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7021116D-56F2-402B-9259-DC105519F8BB}"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421" i="2" l="1"/>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8462" i="1"/>
  <c r="J8461" i="1"/>
  <c r="J8460" i="1"/>
  <c r="J8459" i="1"/>
  <c r="J8458" i="1"/>
  <c r="J8457" i="1"/>
  <c r="J8456" i="1"/>
  <c r="J8455" i="1"/>
  <c r="J8454" i="1"/>
  <c r="J8453" i="1"/>
  <c r="J8452" i="1"/>
  <c r="J8451" i="1"/>
  <c r="J8450" i="1"/>
  <c r="J8449" i="1"/>
  <c r="J8448" i="1"/>
  <c r="J8447" i="1"/>
  <c r="J8446" i="1"/>
  <c r="J8445" i="1"/>
  <c r="J8444" i="1"/>
  <c r="J8443" i="1"/>
  <c r="J8442" i="1"/>
  <c r="J8441" i="1"/>
  <c r="J8440" i="1"/>
  <c r="J8439" i="1"/>
  <c r="J8438" i="1"/>
  <c r="J8437" i="1"/>
  <c r="J8436" i="1"/>
  <c r="J8435" i="1"/>
  <c r="J8434" i="1"/>
  <c r="J8433" i="1"/>
  <c r="J8432" i="1"/>
  <c r="J8431" i="1"/>
  <c r="J8430" i="1"/>
  <c r="J8429" i="1"/>
  <c r="J8428" i="1"/>
  <c r="J8427" i="1"/>
  <c r="J8426" i="1"/>
  <c r="J8425" i="1"/>
  <c r="J8424" i="1"/>
  <c r="J8423" i="1"/>
  <c r="J8422" i="1"/>
  <c r="J8421" i="1"/>
  <c r="J8420" i="1"/>
  <c r="J8419" i="1"/>
  <c r="J8418" i="1"/>
  <c r="J8417" i="1"/>
  <c r="J8416" i="1"/>
  <c r="J8415" i="1"/>
  <c r="J8414" i="1"/>
  <c r="J8413" i="1"/>
  <c r="J8412" i="1"/>
  <c r="J8411" i="1"/>
  <c r="J8410" i="1"/>
  <c r="J8409" i="1"/>
  <c r="J8408" i="1"/>
  <c r="J8407" i="1"/>
  <c r="J8406" i="1"/>
  <c r="J8405" i="1"/>
  <c r="J8404" i="1"/>
  <c r="J8403" i="1"/>
  <c r="J8402" i="1"/>
  <c r="J8401" i="1"/>
  <c r="J8400" i="1"/>
  <c r="J8399" i="1"/>
  <c r="J8398" i="1"/>
  <c r="J8397" i="1"/>
  <c r="J8396" i="1"/>
  <c r="J8395" i="1"/>
  <c r="J8394" i="1"/>
  <c r="J8393" i="1"/>
  <c r="J8392" i="1"/>
  <c r="J8391" i="1"/>
  <c r="J8390" i="1"/>
  <c r="J8389" i="1"/>
  <c r="J8388" i="1"/>
  <c r="J8387" i="1"/>
  <c r="J8386" i="1"/>
  <c r="J8385" i="1"/>
  <c r="J8384" i="1"/>
  <c r="J8383" i="1"/>
  <c r="J8382" i="1"/>
  <c r="J8381" i="1"/>
  <c r="J8380" i="1"/>
  <c r="J8379" i="1"/>
  <c r="J8378" i="1"/>
  <c r="J8377" i="1"/>
  <c r="J8376" i="1"/>
  <c r="J8375" i="1"/>
  <c r="J8374" i="1"/>
  <c r="J8373" i="1"/>
  <c r="J8372" i="1"/>
  <c r="J8371" i="1"/>
  <c r="J8370" i="1"/>
  <c r="J8369" i="1"/>
  <c r="J8368" i="1"/>
  <c r="J8367" i="1"/>
  <c r="J8366" i="1"/>
  <c r="J8365" i="1"/>
  <c r="J8364" i="1"/>
  <c r="J8363" i="1"/>
  <c r="J8362" i="1"/>
  <c r="J8361" i="1"/>
  <c r="J8360" i="1"/>
  <c r="J8359" i="1"/>
  <c r="J8358" i="1"/>
  <c r="J8357" i="1"/>
  <c r="J8356" i="1"/>
  <c r="J8355" i="1"/>
  <c r="J8354" i="1"/>
  <c r="J8353" i="1"/>
  <c r="J8352" i="1"/>
  <c r="J8351" i="1"/>
  <c r="J8350" i="1"/>
  <c r="J8349" i="1"/>
  <c r="J8348" i="1"/>
  <c r="J8347" i="1"/>
  <c r="J8346" i="1"/>
  <c r="J8345" i="1"/>
  <c r="J8344" i="1"/>
  <c r="J8343" i="1"/>
  <c r="J8342" i="1"/>
  <c r="J8341" i="1"/>
  <c r="J8340" i="1"/>
  <c r="J8339" i="1"/>
  <c r="J8338" i="1"/>
  <c r="J8337" i="1"/>
  <c r="J8336" i="1"/>
  <c r="J8335" i="1"/>
  <c r="J8334" i="1"/>
  <c r="J8333" i="1"/>
  <c r="J8332" i="1"/>
  <c r="J8331" i="1"/>
  <c r="J8330" i="1"/>
  <c r="J8329" i="1"/>
  <c r="J8328" i="1"/>
  <c r="J8327" i="1"/>
  <c r="J8326" i="1"/>
  <c r="J8325" i="1"/>
  <c r="J8324" i="1"/>
  <c r="J8323" i="1"/>
  <c r="J8322" i="1"/>
  <c r="J8321" i="1"/>
  <c r="J8320" i="1"/>
  <c r="J8319" i="1"/>
  <c r="J8318" i="1"/>
  <c r="J8317" i="1"/>
  <c r="J8316" i="1"/>
  <c r="J8315" i="1"/>
  <c r="J8314" i="1"/>
  <c r="J8313" i="1"/>
  <c r="J8312" i="1"/>
  <c r="J8311" i="1"/>
  <c r="J8310" i="1"/>
  <c r="J8309" i="1"/>
  <c r="J8308" i="1"/>
  <c r="J8307" i="1"/>
  <c r="J8306" i="1"/>
  <c r="J8305" i="1"/>
  <c r="J8304" i="1"/>
  <c r="J8303" i="1"/>
  <c r="J8302" i="1"/>
  <c r="J8301" i="1"/>
  <c r="J8300" i="1"/>
  <c r="J8299" i="1"/>
  <c r="J8298" i="1"/>
  <c r="J8297" i="1"/>
  <c r="J8296" i="1"/>
  <c r="J8295" i="1"/>
  <c r="J8294" i="1"/>
  <c r="J8293" i="1"/>
  <c r="J8292" i="1"/>
  <c r="J8291" i="1"/>
  <c r="J8290" i="1"/>
  <c r="J8289" i="1"/>
  <c r="J8288" i="1"/>
  <c r="J8287" i="1"/>
  <c r="J8286" i="1"/>
  <c r="J8285" i="1"/>
  <c r="J8284" i="1"/>
  <c r="J8283" i="1"/>
  <c r="J8282" i="1"/>
  <c r="J8281" i="1"/>
  <c r="J8280" i="1"/>
  <c r="J8279" i="1"/>
  <c r="J8278" i="1"/>
  <c r="J8277" i="1"/>
  <c r="J8276" i="1"/>
  <c r="J8275" i="1"/>
  <c r="J8274" i="1"/>
  <c r="J8273" i="1"/>
  <c r="J8272" i="1"/>
  <c r="J8271" i="1"/>
  <c r="J8270" i="1"/>
  <c r="J8269" i="1"/>
  <c r="J8268" i="1"/>
  <c r="J8267" i="1"/>
  <c r="J8266" i="1"/>
  <c r="J8265" i="1"/>
  <c r="J8264" i="1"/>
  <c r="J8263" i="1"/>
  <c r="J8262" i="1"/>
  <c r="J8261" i="1"/>
  <c r="J8260" i="1"/>
  <c r="J8259" i="1"/>
  <c r="J8258" i="1"/>
  <c r="J8257" i="1"/>
  <c r="J8256" i="1"/>
  <c r="J8255" i="1"/>
  <c r="J8254" i="1"/>
  <c r="J8253" i="1"/>
  <c r="J8252" i="1"/>
  <c r="J8251" i="1"/>
  <c r="J8250" i="1"/>
  <c r="J8249" i="1"/>
  <c r="J8248" i="1"/>
  <c r="J8247" i="1"/>
  <c r="J8246" i="1"/>
  <c r="J8245" i="1"/>
  <c r="J8244" i="1"/>
  <c r="J8243" i="1"/>
  <c r="J8242" i="1"/>
  <c r="J8241" i="1"/>
  <c r="J8240" i="1"/>
  <c r="J8239" i="1"/>
  <c r="J8238" i="1"/>
  <c r="J8237" i="1"/>
  <c r="J8236" i="1"/>
  <c r="J8235" i="1"/>
  <c r="J8234" i="1"/>
  <c r="J8233" i="1"/>
  <c r="J8232" i="1"/>
  <c r="J8231" i="1"/>
  <c r="J8230" i="1"/>
  <c r="J8229" i="1"/>
  <c r="J8228" i="1"/>
  <c r="J8227" i="1"/>
  <c r="J8226" i="1"/>
  <c r="J8225" i="1"/>
  <c r="J8224" i="1"/>
  <c r="J8223" i="1"/>
  <c r="J8222" i="1"/>
  <c r="J8221" i="1"/>
  <c r="J8220" i="1"/>
  <c r="J8219" i="1"/>
  <c r="J8218" i="1"/>
  <c r="J8217" i="1"/>
  <c r="J8216" i="1"/>
  <c r="J8215" i="1"/>
  <c r="J8214" i="1"/>
  <c r="J8213" i="1"/>
  <c r="J8212" i="1"/>
  <c r="J8211" i="1"/>
  <c r="J8210" i="1"/>
  <c r="J8209" i="1"/>
  <c r="J8208" i="1"/>
  <c r="J8207" i="1"/>
  <c r="J8206" i="1"/>
  <c r="J8205" i="1"/>
  <c r="J8204" i="1"/>
  <c r="J8203" i="1"/>
  <c r="J8202" i="1"/>
  <c r="J8201" i="1"/>
  <c r="J8200" i="1"/>
  <c r="J8199" i="1"/>
  <c r="J8198" i="1"/>
  <c r="J8197" i="1"/>
  <c r="J8196" i="1"/>
  <c r="J8195" i="1"/>
  <c r="J8194" i="1"/>
  <c r="J8193" i="1"/>
  <c r="J8192" i="1"/>
  <c r="J8191" i="1"/>
  <c r="J8190" i="1"/>
  <c r="J8189" i="1"/>
  <c r="J8188" i="1"/>
  <c r="J8187" i="1"/>
  <c r="J8186" i="1"/>
  <c r="J8185" i="1"/>
  <c r="J8184" i="1"/>
  <c r="J8183" i="1"/>
  <c r="J8182" i="1"/>
  <c r="J8181" i="1"/>
  <c r="J8180" i="1"/>
  <c r="J8179" i="1"/>
  <c r="J8178" i="1"/>
  <c r="J8177" i="1"/>
  <c r="J8176" i="1"/>
  <c r="J8175" i="1"/>
  <c r="J8174" i="1"/>
  <c r="J8173" i="1"/>
  <c r="J8172" i="1"/>
  <c r="J8171" i="1"/>
  <c r="J8170" i="1"/>
  <c r="J8169" i="1"/>
  <c r="J8168" i="1"/>
  <c r="J8167" i="1"/>
  <c r="J8166" i="1"/>
  <c r="J8165" i="1"/>
  <c r="J8164" i="1"/>
  <c r="J8163" i="1"/>
  <c r="J8162" i="1"/>
  <c r="J8161" i="1"/>
  <c r="J8160" i="1"/>
  <c r="J8159" i="1"/>
  <c r="J8158" i="1"/>
  <c r="J8157" i="1"/>
  <c r="J8156" i="1"/>
  <c r="J8155" i="1"/>
  <c r="J8154" i="1"/>
  <c r="J8153" i="1"/>
  <c r="J8152" i="1"/>
  <c r="J8151" i="1"/>
  <c r="J8150" i="1"/>
  <c r="J8149" i="1"/>
  <c r="J8148" i="1"/>
  <c r="J8147" i="1"/>
  <c r="J8146" i="1"/>
  <c r="J8145" i="1"/>
  <c r="J8144" i="1"/>
  <c r="J8143" i="1"/>
  <c r="J8142" i="1"/>
  <c r="J8141" i="1"/>
  <c r="J8140" i="1"/>
  <c r="J8139" i="1"/>
  <c r="J8138" i="1"/>
  <c r="J8137" i="1"/>
  <c r="J8136" i="1"/>
  <c r="J8135" i="1"/>
  <c r="J8134" i="1"/>
  <c r="J8133" i="1"/>
  <c r="J8132" i="1"/>
  <c r="J8131" i="1"/>
  <c r="J8130" i="1"/>
  <c r="J8129" i="1"/>
  <c r="J8128" i="1"/>
  <c r="J8127" i="1"/>
  <c r="J8126" i="1"/>
  <c r="J8125" i="1"/>
  <c r="J8124" i="1"/>
  <c r="J8123" i="1"/>
  <c r="J8122" i="1"/>
  <c r="J8121" i="1"/>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<sst xmlns="http://schemas.openxmlformats.org/spreadsheetml/2006/main" count="76980" uniqueCount="17855">
  <si>
    <t>Índice onomástico anual · Gacetas oficiales de 1813</t>
  </si>
  <si>
    <t>Del 1 de enero al 31 de diciembre de 1813 · Gaceta de Madrid, Gazeta de la Regencia de las Españas, Gazeta de Madrid bajo el Gobierno de la Regencia</t>
  </si>
  <si>
    <t>Aviso: índice generado a partir del OCR de facsímiles históricos. Las grafías y lecturas dudosas deben cotejarse con la página enlazada.</t>
  </si>
  <si>
    <t>8456 menciones · 417 archivos oficiales · 2839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</si>
  <si>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</si>
  <si>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</si>
  <si>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</si>
  <si>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</si>
  <si>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</si>
  <si>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</si>
  <si>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</si>
  <si>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</si>
  <si>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</si>
  <si>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</si>
  <si>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</si>
  <si>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A'Court</t>
  </si>
  <si>
    <t>Operaciones o servicios militares</t>
  </si>
  <si>
    <t>Noticias militares</t>
  </si>
  <si>
    <t>Gazeta de la Regencia de las Españas n.º 161</t>
  </si>
  <si>
    <t>PDF p. 4</t>
  </si>
  <si>
    <t>Nombre detectado automáticamente; cotejar si se va a citar</t>
  </si>
  <si>
    <t>…á su pr.is en poder del enemigo, y sobrevivir á su desgracia. — El comandante en gefe del exército del Austria Interior — Barón di BUlerr ISLAS JONICAS. Xante j8 de Setiembre. El señor A'Court, enviado extraordinario de S. M. B. cerca de los estados de Berbería, ha convenido, en nombre de sn amo, con el bey de ArgcL que las embarcaciones de las islas Jónicas ocupa das por las tropas icglesss lltvapdo pabellón británico , serán respe tadas dt 1 s ar…</t>
  </si>
  <si>
    <t>Lectura OCR</t>
  </si>
  <si>
    <t>A, Ambrosio</t>
  </si>
  <si>
    <t>Ambrosio A</t>
  </si>
  <si>
    <t>Mención en noticia o disposición</t>
  </si>
  <si>
    <t>Noticias y disposiciones</t>
  </si>
  <si>
    <t>Gazeta de la Regencia de las Españas n.º 44</t>
  </si>
  <si>
    <t>PDF p. 8</t>
  </si>
  <si>
    <t>Lectura automática dudosa; cotejar el facsímil</t>
  </si>
  <si>
    <t>…res, id. p; r 8, 96*. D. Juan Santos Fiáríaní, i i. por 4, 48. ü. Aa'ouío Mora, id. por 4, 48. D. Faustino López, id. por 12, 144 D. Francisco Al Tares Calle* .ron, id. por 8, 9#. D. Ambrosio A!bajar, id. p rS, 96 D. Francia©o Antonia Iharbia, id. pnr'S , §S. D. Juan M-io.uel Campo blanca, id. por 8,96. D. Mateo Gona z, id. por 8, 96, O. Rain .ai Qrtiz , id. por 8,96 D. Francisco Nnñez G tgo , id. p ,r 8, 96. D. Manuel Pri mo,.id. p#r 8, 96. D. Juan…</t>
  </si>
  <si>
    <t>Revisar OCR</t>
  </si>
  <si>
    <t>A, Carlos</t>
  </si>
  <si>
    <t>Carlos A</t>
  </si>
  <si>
    <t>Nombramiento o servicio público</t>
  </si>
  <si>
    <t>España</t>
  </si>
  <si>
    <t>Gaceta de Madrid n.º 66</t>
  </si>
  <si>
    <t>…do. Barrio de las Niñas de la Paz. D. Arias Gonzalo de Mendoza, substituto se D. Francisco Blanco, alcalde. gundo. D- Tomas Ximenez, substituto primero. Barrio de las Mercenarias. D. Carlos A riña, substituto segundo. D. Domingo Rcinoso, alcalde. Barrio de la Loma.ire. D. Josef Aronso , substituto primero. D. Francisco Gorvea , alcalde. D. Miguel de Moya, substituto segundo. D. Ramón del Casal, substituto primero. Barrio de Capuchinos de ¡a Pacien…</t>
  </si>
  <si>
    <t>A, Joaquín</t>
  </si>
  <si>
    <t>Joaquín A</t>
  </si>
  <si>
    <t>Gazeta de Madrid bajo el Gobierno de la Regencia n.º 62</t>
  </si>
  <si>
    <t>…uerpo*. Teniente............ D. Prudencio Martínez............. Voluntarios de Leoa. (&gt;a pitan....,......... D« .Antonio ^ítcolao* ••««»«»•« .Moiuerei. - \ ¡ ' Alféreces de Fra--. D. Joaquín A{güelles*.i«.,V....... ^Marina. gata................ 3 D. Angel Martínez............. ............ Sargento mayor.. D. Vicente María Jaudenes.,......... Benavente. Teniente............. D. Casto La-Rúa.,.......................... Idem. i; Otro.......... D. Dom…</t>
  </si>
  <si>
    <t>A, L. A. y</t>
  </si>
  <si>
    <t>L. A. y A</t>
  </si>
  <si>
    <t>Gazeta de Madrid bajo el Gobierno de la Regencia n.º 30</t>
  </si>
  <si>
    <t>…elipe, y de Ranz , calle de la Cruz , á 42 rs. en rústica y $4 en pasta. Cartilla natural y política del ciudadano español: un tomo en octavo. =: Los fenómenos, papelucho nuevo de D. L. A. y A., que contiene una cantinela pues ta en música para forte-piano, distinta de la vulgarizada. Se hallarán en la librería de Perez, calle de las Carretas. Canción al famoso combate dado por el brigadier D. Juan Martin en los cam pos (Je Torrejon el día 2 2 de ma…</t>
  </si>
  <si>
    <t>A, Luis</t>
  </si>
  <si>
    <t>Luis A</t>
  </si>
  <si>
    <t>Gazeta de la Regencia de las Españas n.º 38</t>
  </si>
  <si>
    <t>311</t>
  </si>
  <si>
    <t>…scurra, 200. D. Miguel Cabe’lo, £00. D. Miguel Antonio Ar óla, 200. D. Fran cisco Maíz , 100 D. P&lt; dro M:guel I jibareen, 100. D. Femín Co ya, 100Í £1 conde Villa* do Fuente, 100. D. Luis A¿elmo L&amp;n*</t>
  </si>
  <si>
    <t>A, Sidinouth de S.</t>
  </si>
  <si>
    <t>Sidinouth de S. A</t>
  </si>
  <si>
    <t>Gaceta de Madrid n.º 107</t>
  </si>
  <si>
    <t>PDF p. 3</t>
  </si>
  <si>
    <t>…icado. de consejeros privados, á quien últimamente h« ,, La prín esa de Gales informa al señor orador vuelto á encomendarse el examen de la conducta de que ha recibido por el lord vizconde Sidinouth de S. A.; pero pareciendo por el silencio que la in copia de un informe dado en consecuencia de las tención del noble lord no era la de hacer alguna órdenes del Prin ipe Regente por ciertos miembros proposición sobre este asunto antes que él, ha de mui honrado consejo…</t>
  </si>
  <si>
    <t>Aagereau</t>
  </si>
  <si>
    <t>Gazeta de la Regencia de las Españas n.º 153</t>
  </si>
  <si>
    <t>PDF p. 2</t>
  </si>
  <si>
    <t>…poleón , acompañado del. rey de Saxonia y su familia , partió para Leipíick el 28 de Setiembre, y añaden que se transfirió allí el cuartel general. El cuerpo francés del mando del general Aagereau marchó de Bamberg para Coburgo, habiendo de—</t>
  </si>
  <si>
    <t>Aato</t>
  </si>
  <si>
    <t>Gazeta de Madrid bajo el Gobierno de la Regencia n.º 48</t>
  </si>
  <si>
    <t>…ín González, subteniente del segundo de Asturias; D. Agustín Benitez, tenientet^el de la Constitución; D. Agus4 tin Bera¡$./ capitán del de Santiago ; D;&lt; Josef María: Soladura y. D. Aato» nio Soloviano, tenientes del de Laredo. ..i f &lt; T ^ Asimismo ha s:do herido el comandante general de las tropas del centro «Lmariscal de campo D. Francisco Xavier Losada; el brigadier segundo gefe de estado mayor del quarto exército D. Antonio: Roselló ; el…</t>
  </si>
  <si>
    <t>Ab.xandjro</t>
  </si>
  <si>
    <t>Gazeta de la Regencia de las Españas n.º 66</t>
  </si>
  <si>
    <t>PDF p. 1</t>
  </si>
  <si>
    <t>…consecuencia del rompimiento de la P usía coa Francia, ha permanecido - adí el de Arastd».— Ha llegado á esta capital un ofbval auwtíiaco que pasó por 0r«sd&amp;, y conferencio con el emperador Ab.xandjro: dices® que trae pliegos de su corte. El gobsma ¡o? saxo^i de Tcrgau ha tenido una conferencia coa el general ruso conde Winasiag^rode. En una carta de Har*sb 5?go de 16 del corriente 3* refiere et guíente hecho. El rey de Dmuinarsa participó oficialmente al…</t>
  </si>
  <si>
    <t>Abad, Erartcisco</t>
  </si>
  <si>
    <t>Erartcisco Abad</t>
  </si>
  <si>
    <t>Actividad económica o mercantil</t>
  </si>
  <si>
    <t>Gazeta de Madrid bajo el Gobierno de la Regencia n.º 13</t>
  </si>
  <si>
    <t>PDF p. 16</t>
  </si>
  <si>
    <t>…e Jas Carretas, casa de la fonda del Angel, á 80 rs. cada juego. Retratos de los gefes de partida D. Julián Sánchez, D. Juan Martin (el Em pecinado), D. Juan Palarea (%l'Médico J7 D. Erartcisco Abad ( Chaleco)* pues tos á jabalío, d(buzados y grabados con el mayor esmero'; jr sc ^eguirátj haciendo los de todos fos gefes de partida ó comandantes d[e. división, que mas se han distin guido *. qn me&lt;l^0 pliego de marquilia. Sé hallarán en la librería de QbqÓ…</t>
  </si>
  <si>
    <t>Abadía, Pedro</t>
  </si>
  <si>
    <t>Pedro Abadía</t>
  </si>
  <si>
    <t>…para auxilio de la valiente división navarra el mando del ma riscal de campo D. Fian cisco Espoz y Mina. D. Martin y D. Miguel Osambela, 6000 ps. fs. D. Juan Bautista Oy&amp;rzabal y D. Pedro Abadía, 1000. D. Antonio y IX José Matías Eiizalde, 500. D. Francisco Xavier Izcue, 500. D Juan Bautista Errea, 500 D. .Loan Pcrtica, 500. D. José Arizmendi y D. Miguel Abnorza, 500. D. J sé Antonio Errea , 500. D. José Hipólito y Don Ambrosio Ibañez, 500 D Francisc…</t>
  </si>
  <si>
    <t>Gazeta de la Regencia de las Españas n.º 43</t>
  </si>
  <si>
    <t>351</t>
  </si>
  <si>
    <t>…sos fuertes mensuales cada soltíaao. D. Antonio Alvarez de Villar, 10 hombres por un año. D. Bar tolomé Va!dés,8id. O. Francisco Xavier Izcue, 8 id. D. Juan Bau tista O variaba! y D. Pedro Abadía, 20 id. D. Lorenzo Tajonar, 2 id. D. Fermín de Arriaga, 2 id. D. Nicolás Soreguí, 1 id. D. Juen Bautista de Sarrata, 2 id D. Jot,é A tomo de Erna, 4 iii. D Mi guel de Garate, 1 id. D. Joaquín de Lostfa, 1 id. D. Raisuui Ven-</t>
  </si>
  <si>
    <t>Abadía, Ramón</t>
  </si>
  <si>
    <t>Ramón Abadía</t>
  </si>
  <si>
    <t>Gazeta de la Regencia de las Españas n.º 115</t>
  </si>
  <si>
    <t>PDF p. 5</t>
  </si>
  <si>
    <t>…os compañías que batieron á los franceses, pudiendo por este incidente y la obscuridad cumplir la orden que le llevó el capitán de Doyle, empleado en el estado mayor de la divhion D. Ramón Abadía, que á costa del mayor peligro pudo llegar, y salvar su cuerpo sin perder un hombre, pudierdo asegurar que al movimiento de este regimiento se debe el que los enemigos no se hubiesen corrido sobre Hurguete, y nos hubiesen incomodado in finito antes de h*ber l…</t>
  </si>
  <si>
    <t>Abascal, José de</t>
  </si>
  <si>
    <t>José de Abascal</t>
  </si>
  <si>
    <t>Gazeta de la Regencia de las Españas n.º 12</t>
  </si>
  <si>
    <t>PDF p. 7</t>
  </si>
  <si>
    <t>…dré el honor de remitirlos á V. JE. por final de esta interesante y feliz campaña. — Dios &amp;c. Cuartel general de Cochabamba 6 de Ju nio de 1812 —Je sé Manuel de Goyeneche.— Excmo. Sr. D. José de Abascal, virey del Perú.5r (Se continuarán.} ARTICULO DE OFICIO. El gobierno intruso para remover los embarazos que se le opo nían al aprovechamiento y circulación del crecido número de vales, de que se apodeTÓ en su invasión en la capital y las provincias , re solvi…</t>
  </si>
  <si>
    <t>Abbé</t>
  </si>
  <si>
    <t>Gaceta de Madrid n.º 64</t>
  </si>
  <si>
    <t>…salió á medio dia de Pamplona 18 de diciembre. íschia con nueve marine/os y otros tantos pasade ros , entre los que había dos mugeres y #11 niño. El dia 16 del corriente salió el general Abbé, Xlegada-á Jas^aguas dc'Vantebona, fue atacada por gobernador de esta plaza, con parte.de las tropas una chalupa enemiga, y conducida á la isla desier que están á su mando, y se dirigióla '‘rafalla para ta de Zannpna , donde se. hallaba anclado otro bu recoge…</t>
  </si>
  <si>
    <t>Gazeta de la Regencia de las Españas n.º 46</t>
  </si>
  <si>
    <t>581</t>
  </si>
  <si>
    <t>581 Cuarte. „Cuandó el general Abbé, al frente de 4000 infantes y SCO ca ballos, se lisonjeaba regresar á Pamplona desde Tafalla, en cuyo pueblo se hallaba el 97 , fué atacado por mí el 98 entre los lugares del Pueyo y Mendivíl. Para ei efecto mandé cortar el puente de este pueblo, operación qu…</t>
  </si>
  <si>
    <t>PDF p. 6</t>
  </si>
  <si>
    <t>…érdida de mas de 900 hombres , y número considerable de caballos. Ademas de los oficiales que han quedado en el campo, han conducido á Pamplona 29 heridos; de los dos edecanes del general Abbé el uno fué muerto en el campo , y el otro ha espirado en la capital de resultas de sus heridas. También de les oficiales han muerto varios. „Mi pérdida ha consistido en S5 muertos, entre estos el sargento mayor del cuarto batallón D Martin José liurralde, en…</t>
  </si>
  <si>
    <t>Edición extraordinaria</t>
  </si>
  <si>
    <t>Gazeta de la Regencia de las Españas n.º 47 (extraordinaria)</t>
  </si>
  <si>
    <t>386</t>
  </si>
  <si>
    <t>…dispuse obrar contra Tafalla, guarnición que miraban los franceses como á su emporio , y que era considerada por ellos por plaza de tercer orden, atendida su fortificación. Mas el general Abbé acechaba mis operacio nes , y atalayaba mis movimientos ; yo no debía ignorarlo , y para el efecto de frustrar sus ideas , debía adoptar medidas enérgicas que en frenasen su orgullo , y no se opusieran á mis intenciones. Con este objeto me dirigí á Tafalla el…</t>
  </si>
  <si>
    <t>388</t>
  </si>
  <si>
    <t>…obresaliente y distinguido que han contraído mis tropas en las operaciones dichas, no solo las que se hallaron en la rendición de este fuerte , sino también l¿s que re chazaron al general Abbé que venia en su socorro : debo , pues , espe rar que V. E. Ja recomendará á S. A. la Regencia para que se sírva dispensarles las gracias á que las juzgase acreedoras. „Nuestro Señor guarde- la vida de V. E. muchos años. v Taíalla 16 de Febrero de 181-3.=: Exc…</t>
  </si>
  <si>
    <t>Gazeta de Madrid bajo el Gobierno de la Regencia n.º 79</t>
  </si>
  <si>
    <t>…paces por sí solas de arredrar á otros soldados que no fuesen españoles, ingleses ó portugueses. La division-dei general Morillo cortó y dispersó al cuerpo enemigo manda do por el general Abbé, el que corrió en pelotones á ponerse al abrigo del rio Ni ve. . Se dice que las tropas aliadas han empezado ya el sitio de Bayona, y que ios;£isanceses se han retirado 14 leguas á lo interior; pero esta y otras noticias que corren por esta capital necesitan…</t>
  </si>
  <si>
    <t>Abcrdeen</t>
  </si>
  <si>
    <t>99</t>
  </si>
  <si>
    <t>…MARTES 23 DE NOVIEMBRE DE 1813. ORAN -.BRETAÑA. I Londres 29 de Octubre• ■ SECRETARIA DE NEGOCIOS EXTRANGEROS. Extracto de los oficios de Sir C. Stezvart , de JMr. Tkornton y del conde Abcrdeen* V Praga 21 de Setiembre de i8ig. Milord : las tropas austríacas que formaban la vanguardia del cuerpo del general Klenau, baxo del inmediato mando del general Scheiter, entraron en Freyberg* donde cogieron á .400 soldados ene migos con su general Bruno. Es m…</t>
  </si>
  <si>
    <t>Abe</t>
  </si>
  <si>
    <t>Actuación administrativa o judicial</t>
  </si>
  <si>
    <t>Gazeta de la Regencia de las Españas n.º 169</t>
  </si>
  <si>
    <t>…e que Bonaparte dice haber sido causa de sus reveses, porque lo'volaron á mal tiempo; y si fuese cierto semejante acontecimiento, no se hubiera olvidado, m el lord Cathcart, ni ei lord Abe, d ten, ni S. C. Stevrsrt, ni Mr. Thornton de especificar esta circunstancia, que era muy digna de la hi.to rta. — Se ha dicho, y se ignora con qué fundamento, que Talleyrand había salido de París para Francfort á tratar de paz con lo» aliados. En el Monitor…</t>
  </si>
  <si>
    <t>Abeiia, Juan</t>
  </si>
  <si>
    <t>Juan Abeiia</t>
  </si>
  <si>
    <t>Gazeta de la Regencia de las Españas n.º 86</t>
  </si>
  <si>
    <t>…los enemigos; é igualmente á Antonio Benet , cazador de Matare, que incendio las puertas del fuerte, de cuyas resultas inti mados los enemigos segunda vez por el capitán del mismo D. Juan Abeiia, se entregaron á discreción. »jE1 señor general en gefe, muy satisfecho de este suceso militar, ha mandado se publique en la orden general del exército para satis facción de todos, y particularmente de los que tuvieron parte en su feliz resultado, habiendo da…</t>
  </si>
  <si>
    <t>Abella, Manuel</t>
  </si>
  <si>
    <t>Manuel Abella</t>
  </si>
  <si>
    <t>Gazeta de Madrid bajo el Gobierno de la Regencia n.º 25</t>
  </si>
  <si>
    <t>…y rendida , poema heroico en latín, por D. Henrique Alien» ingles; premiado en los exámenes públicos del colegio de Winchester el día 14 de mayo de 1810: publicado en Londres por D. Manuel Abella, oficial de la éecretaría de Estado, y secretario de Ja embazada extraordinaria de España en aquella corte; y traducido 'al verso castellano por D. Joaquín Escñche; un quaderno en octavo'mayor. Se hallará en la imprenta nacional i 4 rs. Los comentarios de Gay…</t>
  </si>
  <si>
    <t>Gazeta de Madrid bajo el Gobierno de la Regencia n.º 68</t>
  </si>
  <si>
    <t>…de Teniei. • - vr, .• 6.° D. Juan Capistrano Pujadas, vecino de Calatayud. 7.0 D. Gerónimo Castillon , maestre-escuelas de Huesca , natural de Ponzano , partido de Barbastro. 8.° D. Manuel Abella /oficial de 4a secretaría de Estado , natural de Za ragoza. 9.0 D. Nicolás Fá 'Miel, abogado ‘ del colegió ’de 'Madrid , natural de Puerto-Mingalbo, partido de Alcañiz.... . -.i ,, , ., Suplentes. i.° D. Pedro Aznar , cura de Hottaiezavnatural de Tabuetica*.…</t>
  </si>
  <si>
    <t>Abello, Mariano</t>
  </si>
  <si>
    <t>Mariano Abello</t>
  </si>
  <si>
    <t>Gazeta de Madrid bajo el Gobierno de la Regencia n.º 7</t>
  </si>
  <si>
    <t>…guardia nacional. La nuestra ha sido mui corta, lo que no es’de extrañar á vista de la tan com pleta sorpresa que se logró; sin embargo, la hace sensible la muerte del ayu* dante D. Mariano Abello, que fue muerto en la plaza desde una ventana, después de haberse comportado con el valor que en todas ocasiones acredita ba: dos soldados fueron igualmente muertos, un herido y otro prisionero. El fruto de e&lt;ta brillante empresa, es la.de 300 cabezas de gana…</t>
  </si>
  <si>
    <t>Aberdcen</t>
  </si>
  <si>
    <t>Gazeta de la Regencia de las Españas n.º 152</t>
  </si>
  <si>
    <t>…ste mes dicen que habh habido una gran ba talla cerca de L ipsick d'sde el 12 ha:ta el 15 del misino. El 25 se recibí ron y publicaron en esta capital otros oficios re cibidos del conde Aberdcen y de Sir C Stewsrt. En el del pvimero, escrito ee Commotau á de Octubre, se dice que el exército alia do marchaba derecho á LeipsLk, cerca de cuya ciudad tenia ya su cuartel general el príncipe de Schwanzemberg: que el Príi cipe real y Blüí-her marchaban al m…</t>
  </si>
  <si>
    <t>Aberdeea</t>
  </si>
  <si>
    <t>Gazeta de la Regencia de las Españas n.º 141</t>
  </si>
  <si>
    <t>…e Francia ha expedido una circular para que todos los obispo» de *us dominios hsgan cantar ei Te Deum yot las supuestas victorias que ha conseguido íu esposo. El 5 de este mes, el lord Aberdeea, embarrador extraordinario y ministro plenipotenciario de la Gran-Bretaña, tuvo su primera audiencia del emperador de Austria, en que presentó sus creden ciales con las ceremonias de estilo. Escriben de Inspruck. coa fecha del 15 del corriente , que se es tab…</t>
  </si>
  <si>
    <t>Aberdeem</t>
  </si>
  <si>
    <t>Gazeta de Madrid bajo el Gobierno de la Regencia n.º 36</t>
  </si>
  <si>
    <t>…o aun no se ha presen tado en público con carácter diplomático. La Emperatriz de Francia llegó á Maguncia el 25 de julio, y volvió al instante Á /V,W*Í ‘ El público, viendo que el conde Aberdeem va á salir para Alemania, parece que está preparadp para 1 recibir-la noticia de su nombramiento para asistir al pretendido congreso de Praga por parte de la Inglaterra; pero se ' juzga-que deberá‘conferer^ar con él Emperador de Aájstriaj y en caso de ser fel…</t>
  </si>
  <si>
    <t>Gazeta de Madrid bajo el Gobierno de la Regencia n.º 38</t>
  </si>
  <si>
    <t>…. (Diario del imperio.) París ¡¡ de agosto. La noticia que vino de Francfort refiriendo la llega da de un plenipotenciario ingles,fue prematura; mas no hai duda en que si* embargo lord Aberdeem está nombrado plenipotenciario para el congreso de Praga por el gabinete de S. James, para cuyo destino ha salido ya de In glaterra. (Diario de París.) ESPAÑA. Mahon 8 de julio. El gobernador de esta isla acaba de recibir de Sicilia en aviso oficial ía siguie…</t>
  </si>
  <si>
    <t>Abérdeen</t>
  </si>
  <si>
    <t>Gazeta de Madrid bajo el Gobierno de la Regencia n.º 33</t>
  </si>
  <si>
    <t>…Praga, aun quando quiera dársele este nombre á las conferencias (que no ha habido mas) de algunos ministros en Trachemberg. No ha ido ni irá plenipotenciario ingles á Praga 9 y el lord Abérdeen, á quien se designaba, no va á Praga, sino á Viena: no á tratar con Bonapar*e,de lo que se desdeña la Inglaterra,-sino con el Emperador de Austria*</t>
  </si>
  <si>
    <t>Aberdeen</t>
  </si>
  <si>
    <t>Gazeta de Madrid bajo el Gobierno de la Regencia n.º 37</t>
  </si>
  <si>
    <t>….británicos., fecha de 17 de ju nio, Algunqs de ellos están en ^ ¡mayor necesidad: pocos pudieron salvar de la rapacidad francesa alguna pequeña ■pqrcion de s^ ijienes. • i ! ■ El conde Aberdeen llego aquí la semana, pasada. Hablase de que par tirá inmediatamente con una r misión, particular cerca del Emperador* de Austria, y que será-uñó de. los pleqipotenqlmíiqs de.la,Oran Bretañá en el congreso de Praga. Llev^ consigo á Mr. C^ordon su hej'mj;no,jf…</t>
  </si>
  <si>
    <t>Gazeta de Madrid bajo el Gobierno de la Regencia n.º 66</t>
  </si>
  <si>
    <t>…eban estar sir viendo i Bonaparte. Tenia ^q^^compañ^rps, naturales de Londres j -peio á estos aun no se les ha cogido. íue, descubterío !poi* las s^ñas qué de jeste malvado dio el conde Aberdeen quando pasó por ‘Stralsíma en su viage á Viena. 1 Del 2$. Esta mañana ha llegado una mala de Ja Jamaica con pápeles hasta el 7 de agosto. A principios de julio sufrió acuella .Hla dos terremotos, y el úl timo dia del mes hubo otro, al qüe siguió un viento, qu…</t>
  </si>
  <si>
    <t>Gazeta de Madrid bajo el Gobierno de la Regencia n.º 90</t>
  </si>
  <si>
    <t>…el viage.GRAN BRETAÑA. Idoficias de Londres hasta 26 de noviembre. jDel 24. Es digno de notarse que ninguno de los ministros británicos el general Stewart, el conde Cathcart ni el lord Aberdeen hagan mención en sus oli dos del puente que hizo volar el cabo de esquadra francés: este suceso, á que Bonaparte atribuyó todos sus reveses, no se hubiera ocultado, si.fuese cierto, á la conocida veracidad de aquellos ministros.-.—Ayer corrió en es ta capital…</t>
  </si>
  <si>
    <t>Gazeta de la Regencia de las Españas n.º 168</t>
  </si>
  <si>
    <t>ftum, x68. 1403 DE LAS ESP AÑAS TS .. ,, £*■ v üS T3 BE DICIEMBRE DE 1815. gran-brstaha. L&amp;ndres 2&lt;T de Noviembre', Boletín oficial. Se han recibido oficios del conde Aberdeen y del lord Cüthcart con fecha desde Francfort del 19 y n del corriente, de Sir Carlos Stewart del lé desde Hannover, y de Mr. Xhornton desde Bremen del 19. El emperador Alexandro entró en Francfort el día 5 , acompa ñado de artillería, caballería y la guardia…</t>
  </si>
  <si>
    <t>Gazeta de Madrid bajo el Gobierno de la Regencia n.º 93</t>
  </si>
  <si>
    <t>…o mayor., conde Traumansdorf; el general de artillería, barón Duka; el teniente fe Id* mariscal Kutscher; el conde Metternich, secretario de Guerra; el barón Bmder; Mr. de Floret; lord Aberdeen, embaxador ingles; el barón HumboJdt, enviado prusiano; el barón Bildt, enviado sueco; el condeCollowrath , gran burgrave de Bohemia, y destacamentos de las guardias nobles alemana, 0hema y húngara. Há.sido nombrado gobernador de esta ciudad el rrmcipe Felipe…</t>
  </si>
  <si>
    <t>Áberdeen</t>
  </si>
  <si>
    <t>Gazeta de la Regencia de las Españas n.º 170</t>
  </si>
  <si>
    <t>¥ A H-4fk CIA DEL MARTES 28 DE DI f GRAN- BRETAÑA Londres 28 de Noviembre. Oficio del conde Áberdeen, fecha en Francfort el 7 de Noviembre, »Mííord: S. M. I. (el emperedor de Austria) hizo sm estrada pública en Francfort ayer por la mañana, habiendo salido á en contrarle á alguna distancia de la ciudad el emperador Alejandro y su comitiva. S. M reeibió en la…</t>
  </si>
  <si>
    <t>Aberdeert</t>
  </si>
  <si>
    <t>Gazeta de la Regencia de las Españas n.º 119</t>
  </si>
  <si>
    <t>…ida en la península, á fin de que se esparzan por todas partes. La gaceta extraordinaria debe intro ducirse también; y ademas se envió un correo extraordinario coa esta noticia al lord Aberdeert. En úna gaceta rusa de 9 del corriente se da noticia de un acto de opresión practicado por los franceses coii el Burgomaestre en Stettin: le encerraron en una prisión, y le pusieron á pan y agua,, en consecuencia de haberse mostrado enemigo de los. franceses-…</t>
  </si>
  <si>
    <t>Aberden</t>
  </si>
  <si>
    <t>Gazeta de Madrid bajo el Gobierno de la Regencia n.º 64</t>
  </si>
  <si>
    <t>…levarán uniformes á la española, asi como se han dirigido á España uniformes á ia prusiana. AUSTRIA. Vierta de setiembre. El f de este mes el Emperador dio su primera audiencia al lord Aberden, embaxador extraordinario de la Gran Bretaña cerca de nuestra corte, y en la que S. E. tuvo el honor de presentar sus credenciales. GRAN BRETAÑA. Continuación de las noticias de Londres hasta jo de setiembre. París 24 de setiembre. El día 18 se recibió en Mil…</t>
  </si>
  <si>
    <t>Aborta, Vicente</t>
  </si>
  <si>
    <t>Vicente Aborta</t>
  </si>
  <si>
    <t>314</t>
  </si>
  <si>
    <t>…0. D. Antonio León, 50. D. Juan y D. M g-id Viña, 50. D Andrés Sánchez Quiroz , 50. D. Antonio Bbras, 50. D Francisco Nnaez, 50. D. Manuel Odrinsola, 50 D. Fulg í c o Z avala, 50. D. Vicente Aborta, 50. D. Francisco Sagasti, 50. D. Pedro Larrañ ga, 25 D. Julián Psraz, 25 O. José Osorio, 25. D. Miguel Jáaregui, 25. D Juan Mella, 95 O. Alonso Ronero, 25. 13 Domingo Ufqu’jo. 25 1). José Oétolasa, 25. D. Fran cisco Muían Rodrí guez , 25. D Manuel Julián G r…</t>
  </si>
  <si>
    <t>Abrainruicz, Nicolás</t>
  </si>
  <si>
    <t>Nicolás Abrainruicz</t>
  </si>
  <si>
    <t>Gaceta de Madrid n.º 67</t>
  </si>
  <si>
    <t>267</t>
  </si>
  <si>
    <t>…istro de Re mente su país, mas no á ningún otro: que tiene laciones exteriores, el señor Nasarzewski, caballero mucho apego á sus costumbres, á su régimen, á su polaco; y el señor conde Nicolás Abrainruicz, agre patria ; pero de donde al mismo tiempo se expa gado al estado mayor del ducado de Varsovia. trian tantos individuos voluntariamente para no vol ver jamas. La inquietud, la codicia, la ambición no les hace amar ni desear la guerra; el espíritu na cional…</t>
  </si>
  <si>
    <t>Abvuieen</t>
  </si>
  <si>
    <t>…para Italia á mandar en gefe su exérrito: en bit ve oiremos hablar de su entrada triunfante en Milán. Entre ios diferentes pliegos recibidos del continente se halla o» oficio del lord Abvuieen ie d, Le'psick el 22 d-, Octnbie. que ex pone la relee on de ios secesos de aquells época; y aunque-.sabido» ya por otras r 1 aciones, no ¿exa de ser todavía interesante esta, cu yo extracto p, serr. otos. Mi ord : Pt d¡:r- o'-n la mayor satisfacción extender…</t>
  </si>
  <si>
    <t>Acebal, Toribio</t>
  </si>
  <si>
    <t>Toribio Acebal</t>
  </si>
  <si>
    <t>…María Zuloaga, 300. D. Pedso Moreno Altu-arra , 300 D. Juan Pedro Zelayeta, 200. D. Dámaso de Arias, 200. D Matine? Partido, 200. D. Martin Axamburu, 200. D. M afras I are a, 200. D. Toribio Acebal, secretario de gobier no, 200. D. José lio dirifo, 200. D. Miguel Fermín Escurra, 200. D. Miguel Cabe’lo, £00. D. Miguel Antonio Ar óla, 200. D. Fran cisco Maíz , 100 D. P&lt; dro M:guel I jibareen, 100. D. Femín Co ya, 100Í £1 conde Villa* do Fuente, 100. D. Lu…</t>
  </si>
  <si>
    <t>Acompaño</t>
  </si>
  <si>
    <t>Gazeta de la Regencia de las Españas n.º 82</t>
  </si>
  <si>
    <t>…e Francia del general Jourdan por el regimiento británico núm. 87. Dios guarde á V.E. muchos años. Salvatierra 22 de Junio de 1813. =r Wellington , duque de Ciudad-Rodrigo. j «i-\ D. Acompaño á V. un estado de heridos'y muertos (*): el general Morillo fué herido , é ignoró hasta ahora el nombre de los demas‘oficiales de su división, pero lo remitiré en otra ocasión, as Excmo. Sr. D. Juan O-Donojú.” R si ación de la artillería, carros y municiones…</t>
  </si>
  <si>
    <t>Gazeta de Madrid bajo el Gobierno de la Regencia n.º 16</t>
  </si>
  <si>
    <t>PDF p. 11</t>
  </si>
  <si>
    <t>…e Fran cia del general Jourdan por el regimiento británico núm. 87." Dios guarde á V. E. muchos años. Salvatierra 22 de junio de 1813. == Weliingicn, duque de Ciudad-Rodrigo. „ P. D. Acompaño á V. F. un estado de heridos y muertos: el general Morillo fue herido, é ignoro hasta ahora el nombre de los demas oficiales de su división; pero lo remitiié en otra ocasión. == Excmo, .Sr. D. Juan O-Donoju. Relación de la artillería, carros y municiones toma…</t>
  </si>
  <si>
    <t>Acosta, Juan Bautista</t>
  </si>
  <si>
    <t>Juan Bautista Acosta</t>
  </si>
  <si>
    <t>Gazeta de la Regencia de las Españas n.º 10</t>
  </si>
  <si>
    <t>84</t>
  </si>
  <si>
    <t>…Ugarte, D. Ignacio "Echeverría, D. Pedro Echegoyen , D. José María Gurrea, D. Francisco Erdozain , D. Ma nuel Sauca, D. Agustín Apezteguia, D. Martin Benuza, D. Miguel Tolqsana , D. Juan Bautista Acosta , D. Xavier Azanza , D. Juan de Ortigosa, D, Basilio Oilabarren , D. Sebastian Cortazar, D. Teo doro González, D. Juan Oyaga, D. Remigio Crespo, D. Mauricio Segura, D. I^on Landache, D. Pedro Suso, P. Hermenegildo Mendigam n, D. F&lt;-mando Gamboa. (Se continuar…</t>
  </si>
  <si>
    <t>Acosta, Juan de</t>
  </si>
  <si>
    <t>Juan de Acosta</t>
  </si>
  <si>
    <t>Publicación o actividad intelectual</t>
  </si>
  <si>
    <t>Gazeta de la Regencia de las Españas n.º 3</t>
  </si>
  <si>
    <t>…eniente de granaderos al de fusileros D. José Palomino ; á idem de fusileros al subteniente de granade ros D. Juan de Castro Palomino ; á subteniente de granaderos al de fusileros D. Juan de Acosta; y á subteniente de bandera al sargen to primero D. José Al varado. CADIZ : EN LA IMPRENTA NACIONAL.</t>
  </si>
  <si>
    <t>Acosta, Pedro Alcántara de</t>
  </si>
  <si>
    <t>Pedro Alcántara de Acosta</t>
  </si>
  <si>
    <t>Gazeta de la Regencia de las Españas n.º 127</t>
  </si>
  <si>
    <t>…para primer secretario el Sr? D. Ramoa Felín , diputado por el Perú; para segundo el Sr. D. Miguel Antonio Zumsiacarregai, di putado por la provincia de Guipúzcoa; para tercero el Sr. D. Pedro Alcántara de Acosta, diputado por la isla de Cuba; y para cuarto el Sr. D. Antonio Díaz, diputado por la provincia de Granada. Concluida la elección ocuparon sus respectivos puestos el señor presidente y secretarios, cesaado en sus funciones la diputación per manente, y quedando…</t>
  </si>
  <si>
    <t>Gazeta de Madrid bajo el Gobierno de la Regencia n.º 55</t>
  </si>
  <si>
    <t>Antonio Zumalacarregui, diputado por la provincia de Guipúzcoa ; para tercero el Sr. D. Pedro Alcántara de Acosta, diputado por la isla de Cuba , y para quarto el Sr. D. Antonio Díaz, diputado por la provincia de Granada. Concluida la elección ocuparon sus respectivos puestos el señor presidente y secretarios, cesando en sus funciones la diputación permanente, y que dand…</t>
  </si>
  <si>
    <t>Acosté, Bruno Francisco de</t>
  </si>
  <si>
    <t>Bruno Francisco de Acosté</t>
  </si>
  <si>
    <t>…encomendados por leyes, reglamentos u orde nanzas municipales en todo lo que no ce oponga ¿ la presente instrucción. (Se continuara.) Ignorándose mucho tiempo hace el paraderp de D. Bruno Francisco de Acosté y de D, Francisco Antonio Hidalgo Muñoz, y teniendo que comunicarles noticias interesantes, se anuncia para que qualquiera persona que.sepa el paradero de dichos sugetos, se sirva avisarlo á Juan García Gonzalo, mozo de oficio de la adminis tración principal…</t>
  </si>
  <si>
    <t>Adams</t>
  </si>
  <si>
    <t>Gazeta de la Regencia de las Españas n.º 106</t>
  </si>
  <si>
    <t>…s , primer teniente del Euryalus, y de los dos guardias Mr. John Monck del J3ertwick&gt; y de Mr. Crawford, del Euryalus.. Tengo la honra &amp;c. = E\ Hace, capitán.” Segundo, Oficio del capitán Adams del navio de S. Af. el Invencible, d hora do de este en la bahía de S.¿lou el dia 4 de Abril. «Habiéndome rogado el barón de Eróles que le auxiliase para un ataque meditado contra las posiciones del enemigo en Ampola y Pereiló , cerca del Ebro, salieron de es…</t>
  </si>
  <si>
    <t>Gazeta de Madrid bajo el Gobierno de la Regencia n.º 47</t>
  </si>
  <si>
    <t>…embre. i « a : - • - » Hemos recibido una papeleta por la parte de V alenda, en Ja que se ha bla, de una acción en Cataluña entre las tropas de Suchet y la vanguardia in glesa del coronel Adams. Las cartas dé Reüs, que hablan‘también d,eT e; ta ba talla^ ho confrontan en todo'con dicha pápetela; y siendo próbáblé que no tardáremos ;en recibir, noticias‘positivas del qúarfel geheriti déf primer ejérci to* suspendemosdérallárpor ahora dicha acción, co…</t>
  </si>
  <si>
    <t>Adán, Juan Josef López Merlo y</t>
  </si>
  <si>
    <t>Juan Josef López Merlo y Adán</t>
  </si>
  <si>
    <t>Gazeta de Madrid bajo el Gobierno de la Regencia n.º 22</t>
  </si>
  <si>
    <t>PDF p. 10</t>
  </si>
  <si>
    <t>…dado en Yebra. '5*° D. Josef del Valle Salaba r, natural de Fuenlabrada, y abogado del colegio de Madrid. Suplentes. »D. Antonio Gami* , ministro del suprimido consejo de «Indias. D. Juan Josef López Merlo y Adán. ARTICULO'DE 0*1010. Rbgéoerál eugefe del segundo exército ha dirigido por extraordinario al Señor secretario del despacho de’la Guerra el parte siguiente: „.Excmo. Sr.: los enemigos abandonaron esta capital el 5 al amanecer, tomando la dirección de Murviedro…</t>
  </si>
  <si>
    <t>Adkrkreutz</t>
  </si>
  <si>
    <t>Gazeta de la Regencia de las Españas n.º 167</t>
  </si>
  <si>
    <t>…eal dirigirse hacia Holanda al frente de las tropas rusas y prusianas, de jando las operaciones en esta parre del Norte, donde está Davoast y ia conquista de Hamburgo . ai general barón Adkrkreutz con las tropas suecas, el cuerpo que manda el general Walmoden, y e! ruso del general Beniagsen.” Se habla de la conquista de Dantztck; pero el gobierno parece no ha recibido mas pliegos que del coronel M’Dorudd, que está de lante de la plaza, y participando…</t>
  </si>
  <si>
    <t>Adlercrantz</t>
  </si>
  <si>
    <t>…lla actual mente en el mismo país. El general Bulow está entre Munster y Arnheim en Gelderlaind. El cuerpo del general Bennigsen, el general Vvalmodeii con los hannoverianos, y el general Adlercrantz con los suecos marchan ^contra Davoust y los dinamarqueses. Según las últimas noticias el general Wrede, que salió herido de la acción de Hanau, está ya fuera de cuidado. EXTRACTO DE LOS PAPELES FRANCESES. •5 V París 20 de noviembre. S. M. ha presidido ayer e…</t>
  </si>
  <si>
    <t>Adlercreutz</t>
  </si>
  <si>
    <t>Gazeta de la Regencia de las Españas n.º 111</t>
  </si>
  <si>
    <t>…r príncipe Putbos, al canciller de la corte barón Wetterstedt, al chambelán del gabinete conde Brahe , al teniente coronel Camps, y á los barones Stiercona &gt; Essen Scc. £1 general barón Adlercreutz ha tomado el mando en ge fe del exército sueco durante la ausencia del Príncipe real. £1 general ruso barón de Suchtelen y el ministro ingles Thoratoa han acompañado también á S. A. R. Gottemburgo aj de Julio. En los dias io, n y 12 de este mes se avistaron e…</t>
  </si>
  <si>
    <t>Gazeta de la Regencia de las Españas n.º 160</t>
  </si>
  <si>
    <t>…ballos muertos ó heridos bexo de sí. Por la tarde salió el enemigo de la ciudad y se d‘r*g;ó al puente sobre el Muida, qu.2 estaba defendido por un batallo i á las órde nes dé i:'.coronel Adlercreutz. Este valiente oficial p só el puente, ata có si enemigo, y le persiguió hasta la ciudad ; cuyas puertas cer raron después de entrar. Ayer á las 9 de la mañana se presentó el enemigo con un cuer po de 7 á 8© hombres en las inmediaciones de Oriünenbaum , entre…</t>
  </si>
  <si>
    <t>Adrianoff</t>
  </si>
  <si>
    <t>Gazeta de Madrid bajo el Gobierno de la Regencia n.º 53 (extraordinaria)</t>
  </si>
  <si>
    <t>con uns fuerte división de suexército. El enemigo había desalojado de Juterbock al coronel Adrianoff, y ocupaba el punto con 600 huíanos polacos y dos batallones, con la idea sindudade favorecer la retirada, y mantener la comunicación con el Elba; pero el coronel Krázonski le atacó el 26: to * mo el pueblo, y el general Benkendorff con quatro esquadrones rus…</t>
  </si>
  <si>
    <t>AdrianofF</t>
  </si>
  <si>
    <t>Gazeta de la Regencia de las Españas n.º 130</t>
  </si>
  <si>
    <t>…genera! O’Rocrke llegó á Gottan, por donde el duque de Reggio y Padua y el g-uerai Rsgnier pasaron la noche anterior conjura gran de Jivi ioü de su exército. El enemigo, obligó al coronel AdrianofF á retirarse de Joteibock, y husici‘dose apostado allí con dos batallones de infantería y 6eo (i) Este y el boletín siguiente se publican enteros por la ma yor importancia de m contenido,</t>
  </si>
  <si>
    <t>Adrienof</t>
  </si>
  <si>
    <t>Gazeta de la Regencia de las Españas n.º 33</t>
  </si>
  <si>
    <t>…iales y 200 solda dos quedaron prisioneros , como también un correo que llevaba plie gos de NYpolcon al príncipe de Nenfchatel. £¡j el camino que con duce á Nurenberg, el teniente coronel Adrienof, persiguiendo al enemigo , encontró un escuadrón de Badén, y le destruyó casi en teramente , tomándole 47 prisioneros. El cuartel general del empera dor estaba el 18 de Enero en Raíscbky, y el 19 en Lyc-k. Orden general á los exérdtos. — Cuartel general de Iy…</t>
  </si>
  <si>
    <t>AdUDS</t>
  </si>
  <si>
    <t>Gazeta de la Regencia de las Españas n.º 140</t>
  </si>
  <si>
    <t>1164</t>
  </si>
  <si>
    <t>…r_ ter- , minab2 al pie de la montaña, en caya eminencia hay sim.ado Ufl alltigl'So reducto, el cual SI h2Uaba ocupado ya por un.atanen de" ~a l"h.e~es de ]a brigada del expresado coronel AdUDS, quiea can el resto tenia tomada la d!recha • .En esta eHspolicion, y despues de haber cabierto 1a$ avenidas segun las tenia el regimi..::nto primero de Ba.da-j()Z t á quietl relevé, dispuse que formados pabellones descansase la tropa. I't A las 11 Y media de…</t>
  </si>
  <si>
    <t>Afi, Luis</t>
  </si>
  <si>
    <t>Luis Afi</t>
  </si>
  <si>
    <t>Gazeta de la Regencia de las Españas n.º 61</t>
  </si>
  <si>
    <t>…ato á este á otro capitán La pérdida de este batallen ha consistido en % muertos, 43 heridos y un cantuso. La del mió ha sido de 55 he ridos y 7 muertos, contándose entre estos el capitán D. Luis Afi lio , que aunque no en ia acción, murió después de resultas de sus heridas, y el subteniente D. Antonio Ladrón ? que quedó en el «am po* Los tenientes D. Tictor Pastor y D. José LpAiano, y el subte niente D. Gabriel Alegría, fueron heridos. Y si bien debo rec…</t>
  </si>
  <si>
    <t>Afina, Francisco Espez y</t>
  </si>
  <si>
    <t>Francisco Espez y Afina</t>
  </si>
  <si>
    <t>Gazeta de la Regencia de las Españas n.º 45</t>
  </si>
  <si>
    <t>364</t>
  </si>
  <si>
    <t>…s otros fines aun cuan do se opongan á sus deseos ciertas consideraciones irresistibles. Que do &amp;c. — El barón de Engestrom ESPAÑA. Tírapu 31 de Enero. Partes dd mariscal de campo D. Francisco Espez y Afina, dirigí* dos al Exorno. Sr. X). Gabriel de Mendixabal. Primero. „Excmo. Sr.: El anhelo de los fieles aragoneses por la destruccien de sus enemigos , y los vivos deseos que eu repetidas ocasiones me han mostrado por verse libres del infame' yugo , me han preci…</t>
  </si>
  <si>
    <t>Agar, Pedro de</t>
  </si>
  <si>
    <t>Pedro de Agar</t>
  </si>
  <si>
    <t>Gazeta de la Regencia de las Españas n.º 31</t>
  </si>
  <si>
    <t>…almente componen la RegenSWlel reyno , y que se encarguen de elia previ donalaieaíe loa- tres consejeros de Estado mas antiguos que en el día se k?.Jlan en dicho consejo ; que son D. Pedro de Agar, I).-Gabriel Ciscar, y el M. R. cardenal arzobispo de Toledo; los cuales dispondrá la Regencia se presenten inmediatamente en el Congreso, que espera en sesión permanente, á prestar su juramento, y acto continuo serán puestos por la Regencia que va á cesar en…</t>
  </si>
  <si>
    <t>Agraciado</t>
  </si>
  <si>
    <t>Gazeta de Madrid bajo el Gobierno de la Regencia n.º 43</t>
  </si>
  <si>
    <t>440</t>
  </si>
  <si>
    <t>…Weilington no dexará á ninguno mas airo so que á otro; pero sin embargo, es digno de observarse el germen de diso lución que ya se manifiesta en el sistema murar del tirano. Todo general Agraciado es condenado sin darle oidos; por consecuencia precisa queda descontento, y.ya se sabe que todos los hombres que han debido su eleva ción á los exércitos, han perecido siempré á manos de los generales. (Couritr d' Angteterre d¿l 24 de agosto.) En la audiencia…</t>
  </si>
  <si>
    <t>Agramuntell, Antonio</t>
  </si>
  <si>
    <t>Antonio Agramuntell</t>
  </si>
  <si>
    <t>Gaceta de Madrid n.º 56</t>
  </si>
  <si>
    <t>…Todoli, seminarista , presbítero. dos de caballería, armados y equipados; la ciudad Para el de Benirredrá, vacante por promoción de Angers 4; ; el cantón de Metz quatro; la ciu de D. Antonio Agramuntell al curato de Gestaigar, dad de Lieja 50; la ciudad de Brujas 20; la de á D. Vicente Juanes, presbítero. Ñames 50; Mezleres tres; Auxerre seis ; Mans 10; Para el de Font de Encarroz, vacante por as Nanci 15. censo de D. Vicente Llopis al curato de Alcacer, ESP…</t>
  </si>
  <si>
    <t>Agu</t>
  </si>
  <si>
    <t>…trios7 pata liPéitinéion dé'ladéúdS 'pública. liéidá él acta1] sé1 dió Cuenta de una exposición de Tadeo Sánchez Éscándon; en que'ofrecía á las Cor tes por donativo, y á-nombre de D. Agu^tin Ramón Valdés* la cantidad de 3 4907 pesos en vales p’ara que se quemeh;bonUoT64oXváleá ,&lt;‘qóé! han man dado las Cortés' íe qlíepén el! dia íJ4. ^¡¿SlÜ7 Sti ‘"González pidió que5 se iñséí» tase fia exposWiotThéh fef-diario de Córies J‘‘yl qué al sugetO qtf…</t>
  </si>
  <si>
    <t>Aguado, Lúeas Alemán y</t>
  </si>
  <si>
    <t>Lúeas Alemán y Aguado</t>
  </si>
  <si>
    <t>Gazeta de Madrid bajo el Gobierno de la Regencia n.º 51</t>
  </si>
  <si>
    <t>PDF p. 12</t>
  </si>
  <si>
    <t>…le guas , iofde Yofédpf y ó de Tajávera,^por’.cuya estafeta-se dirigirá la correspon dencia áí áyü'ritá¿u¡entov ’ La Chicharra: quinta parte del "Picotero, Papagayo &amp;c.: sú autor D. Lúeas Alemán y Aguado. Se hallará en la librería de Perez, calle de xas Carretas. , ¡ ■ ii ' . . ■' J ' ■■ ‘ ’ Ü ’ - ■ ’ ' ' ' - ■ l .,, • ■ v--- ------- -7—7———rr—:—• rrr:—r —' .4 M EN LA. IMPRENTAa. NACIONAL, o</t>
  </si>
  <si>
    <t>Agüero, Vicente Ruiz de</t>
  </si>
  <si>
    <t>Vicente Ruiz de Agüero</t>
  </si>
  <si>
    <t>…nacional. Se halla vacante el partido de cirujano de S. Martin de Pusa, dotado en 500 ducados, cobrados por la justicia: los pretendientes remitirán sus memoriales por Tal avera á D. Vicente Ruiz de Agüero* alcalde constitucional de dicho pueblo. J! Felicitación que hace el ayuntamiento constitucional de Madrid al soberano Congreso nacional por la abolición del tribunal de la inquisición. Se vende en casa de Quiroga, calle de las Carretas, casa de la fonda del…</t>
  </si>
  <si>
    <t>Aguila, Luis del</t>
  </si>
  <si>
    <t>Luis del Aguila</t>
  </si>
  <si>
    <t>550</t>
  </si>
  <si>
    <t>…tido i este superior go bierno el siguiente oficio y partes que le acompañan. „Excmo. Sr.: Acompaño á V. E. la» doa adjuntas copias de los partes que acabo de recibir del teniente coronel D. Luis del Aguila, en que expresa lo ocurrido en la marcha del convoy á Perote, y regreso de este con el regimiento de Zamora, no habiendo llegado á mis manos el qne dice me dirigió de N^palucan, ni la caita del brigadier I). Rosendo Portier. E i llegando el convoy á esta ciud…</t>
  </si>
  <si>
    <t>Gazeta de la Regencia de las Españas n.º 67</t>
  </si>
  <si>
    <t>559</t>
  </si>
  <si>
    <t>559 mente coronel ayudante primero del estado mayor general D. Luis del Aguila. „Conforme á la orden de V. S. salí de esa mudad el 29 con des tino á impedir qua Moretes atacase á Orizava. Marché hasta Tepeaca, 7 leguas: reuní las tropas que formaban la vanguardia , y cami né el 30 hasta Q a ¡chula, otras 7, sin poder adquirir noticias d…</t>
  </si>
  <si>
    <t>561</t>
  </si>
  <si>
    <t>…ac&amp;a , se sabe que Arroyo perdió en el ataque una pierna, y recibió otra herida en una irgle , de cuyas resultas liabia fallecido. Segunda : la fuerza con que combatió el teniente coronel D. Luis del Aguila fué de 1246 hombres entre infantería y caballería con tres piezas de artillería, á srber: un obús de ? pulgadas y dos ca ñones de á 6 , mandados por D. Nicolás Pinzón. Tercera : su pérdida consistió en 7 soldados muertos , 4 de drngones de México , 2 id. de P…</t>
  </si>
  <si>
    <t>Aguilar</t>
  </si>
  <si>
    <t>Gaceta de Madrid n.º 52</t>
  </si>
  <si>
    <t>…España, el Excmo. Sr. conde de Guz- Rei de Iralia, protector de la confederación del man, consejero de Estado de S. M. Católica; el Rin, Mediador de la confederación suiza &amp;c. &amp;c. caballero Aguilar , gobernador de los palacios de A quantos las presentes vieren, salud: S. Al. Católica en Granada; el caballero de Prada, Hemos decretado y decretamos lo siguiente: corregidor de Madrid. El Cuerpo legislativo se convocará para el t.® Por el señor duque de Car…</t>
  </si>
  <si>
    <t>Aguilar, Francisco Martínez de</t>
  </si>
  <si>
    <t>Francisco Martínez de Aguilar</t>
  </si>
  <si>
    <t>Fallecimiento, herencia o memoria</t>
  </si>
  <si>
    <t>Gazeta de Madrid bajo el Gobierno de la Regencia n.º 92</t>
  </si>
  <si>
    <t>887</t>
  </si>
  <si>
    <t>…que le conozca (ó .habiendo fallecido á sus herederos), y sepa su exis tencia , le comunique este aviso, noticiándolo haberlo he^ho, y del pueblo donde exista el dicho Iglesias, á D. Francisco Martínez de Aguilar, del comercio de li bros de Málaga. ; ’ Si alguno supiese el paradero del Lie. D. Pedro Antonio Arroquia, abogado, que se hallaba en Cádiz en el mes de judo de este año, y tuviese á bien avisarlo, podrá hacerlo poniendo el sobrescrito del modo siguiente: Al s…</t>
  </si>
  <si>
    <t>Aguirrc, Vicente Ambrosio</t>
  </si>
  <si>
    <t>Vicente Ambrosio Aguirrc</t>
  </si>
  <si>
    <t>…mamentos y D. Francisco de la Carrera , substituto segundo. de municiones de guerra: que una brigada de ca Barrio de Santo Tomas. ■ ballería, compuesta de dragones y Cazadores, de D. Vicente Ambrosio Aguirrc, alcalde. fuerza de 2® caballos , se halla en-Dantzick ba D. Josef Carí Vidal, substituto primero. so las-ordene de! general Cavaign.ac: que ei gene- D. Jaime Culi, substituto segundo. riiv.Rapp ocupa lo extern: r de la plaza á diez le Barrio de Santa Cruz. '…</t>
  </si>
  <si>
    <t>Aguirre, Manuel</t>
  </si>
  <si>
    <t>Manuel Aguirre</t>
  </si>
  <si>
    <t>Gazeta de la Regencia de las Españas n.º 79</t>
  </si>
  <si>
    <t>…obrado con la bizarría que caracteriza á esta heroica aliada nación, tanto durante el sitio, como en el embarco de la guarnición, habiéndose distingui do en la brecha el teniente coronel D. Manuel Aguirre, que reci bió un bayonetazo, y el antiguo capitán de artillería D. Mariano Castaños., que se presentó voluntariamente á la defensa de dicha plaza. Corana $ de Junio. listado y fuerza de las divisiones españolas que hay en las pro vincias Vascongadas , Navarra…</t>
  </si>
  <si>
    <t>Agus</t>
  </si>
  <si>
    <t>…ef Arana , subteniente del primero de Guipúzcoa. Los'prisioneros son TX Joaquín González, subteniente del segundo de Asturias; D. Agustín Benitez, tenientet^el de la Constitución; D. Agus4 tin Bera¡$./ capitán del de Santiago ; D;&lt; Josef María: Soladura y. D. Aato» nio Soloviano, tenientes del de Laredo. ..i f &lt; T ^ Asimismo ha s:do herido el comandante general de las tropas del centro «Lmariscal de campo D. Francisco Xavier Losada; el brigadi…</t>
  </si>
  <si>
    <t>Gazeta de la Regencia de las Españas n.º 139 (extraordinaria)</t>
  </si>
  <si>
    <t>…D. José Ramón Ferradas, han llenado plenamente mis deseos. «El comandante general de ingenieros mariscal de campo D. Ma nuel Zappiño, el brigadier comandante general de artillería D. Agus tín García Carrasquedo , el coronel mayor general de la misma arma D. Matias Ferraz, y el brigadier subinspector de infantería del exér cito D. Félix Prat, han asistido á mi inmediación en todas estas ope raciones. «Para que V. E. pueda enterarse m-jor del mé…</t>
  </si>
  <si>
    <t>Agus, Pedio</t>
  </si>
  <si>
    <t>Pedio Agus</t>
  </si>
  <si>
    <t>Gazeta de la Regencia de las Españas n.º 103</t>
  </si>
  <si>
    <t>861</t>
  </si>
  <si>
    <t>861 den general, haciéndolo saber igualmente á todos los gefes que esten separados y pertenezcan á él.zzLuis Wimpffeji.— Sx. D. Pedio Agus tín Girón. Manresa 22 de Julio. Hoy tenemos el exéreito de Suehet en el campo de Tarragona: su objeto era penetrar por Aragón; pero no ha pedido verificarlo por estar ya ocupado aquel reyno por nuestras tropas. Va compo niendo los caminos de su tránsito para…</t>
  </si>
  <si>
    <t>Agus, Pedro</t>
  </si>
  <si>
    <t>Pedro Agus</t>
  </si>
  <si>
    <t>Gazeta de la Regencia de las Españas n.º 156 (extraordinaria)</t>
  </si>
  <si>
    <t>1301</t>
  </si>
  <si>
    <t>…ia izquierda por la tercera división del mando del marised de cam po el honorable Cárlbs CoiviUe, y por su derecha por la reserva dé Andalucía á.Jas órdenes del mariscal de campo D. Pedro Agus tín Girón; y el mariscal de campo Cárlos, barón- de .Alten tomó lss posiciones sobre la Petite La Rhune, Después cooperaron todos en el ataque de la principal posición delenemigo situada á la; espalda del mencionado lugar. „La tercera y séptima división se ap…</t>
  </si>
  <si>
    <t>Agustin</t>
  </si>
  <si>
    <t>263</t>
  </si>
  <si>
    <t>…omas Azardiiia, alcalde. D. Cristóbal Vicuña , alcalde-, D. Josef Ferroni, substituto primero. D. Manuel Valentín García , substituto primero. D. benito Trigo, substituto segundo. D. Agustin de la Calle, substituto segundoBarrio del Buen Suceso, QUARTEL de palacio. D. Casimiro Ipoly , alcalde. Barrio de S. Nicolás. D. Francisco Peralta, substituto primero. D. Mariano del Portillo, alcalde. D. Salvador Alarcon, substituto segundo. D. Vicente Puyol…</t>
  </si>
  <si>
    <t>Agustín</t>
  </si>
  <si>
    <t>Gazeta de la Regencia de las Españas n.º 96</t>
  </si>
  <si>
    <t>…o 500 enemigos, que desaparecieron al .llegar al puerto el Sr. Negrete, quien avanzo hasta la laguna de Yurira , habiendo hecho, lo mismo &gt;or su respectivo camino d citado capitán comandante D. Agustín fturvide; pero 110 habiendo encontrado ninguna gavilla, se regresa ron quemando al paso al pueblo de S Gerónimo, donde solo .se ha116 á un infeliz abrasado de pólvora, y una fundición de cañones con un pedrero reventado, algunas balas, cobre y demas útiles de…</t>
  </si>
  <si>
    <t>Gazeta de la Regencia de las Españas n.º 136</t>
  </si>
  <si>
    <t>…l t8 del que rige tuve la satisfac ción de anticipar á V. E. la plausible noticia de la victoria que con siguieren las valerosas tropas del rey , mandadas por el teniente colOr-el D. Agustín lurvide en la ciudad de Salvatierra con ira los ca becillas Rayones, y la numerosa gavilla de malvados que manda ban ; iodo ha salido según anuncíe á V. E. en dicha caita, inclu yéndole copia de los panes que hab‘a recíb'clo, y solo hay dife rencia de que los…</t>
  </si>
  <si>
    <t>Agustín', Pedro</t>
  </si>
  <si>
    <t>Pedro Agustín'</t>
  </si>
  <si>
    <t>Gazeta de la Regencia de las Españas n.º 118 (extraordinaria)</t>
  </si>
  <si>
    <t>PDF p. 9</t>
  </si>
  <si>
    <t>…ibido del ge;fieral iDi Manuel Freyre, en que detalla .lo ocurrido qn ia acción que i sostuvo la parte.del cuarto exército de su inrn.eqi.áio mando el 31 de Agosto, y ei en que el general D. Pedro Agustín'(jirón detalla las y operaciones del ex ircito de reserva de Andalucía en los días 3.0 y 31 ■ del mismo me?. = Dios guarde á V. E. muchos" años. ‘Lesaca 3 de Se- tiembre, de 1813. = WI 1Ungían, duque, de Ciudad-Rodrigo. == Es _ (¿OplílC _ - ' - ’ ; . ' . / \ ^…</t>
  </si>
  <si>
    <t>Agustín, Pedro</t>
  </si>
  <si>
    <t>Pedro Agustín</t>
  </si>
  <si>
    <t>Gazeta de la Regencia de las Españas n.º 93</t>
  </si>
  <si>
    <t>…caballería, y por esta parte mar cha alguna infantería. = Ei rey intruso y su comitiva están en Ba yona, de donde extraen los mercaderes sus efectos. Burgos 8 de Julio. ,Parte del general D. Pedro Agustín. Girón al Exorno. Sr. Don Francisco Xavier Castaños. " ííExckio. Sr.; Encargué al señor coronel Longa, comandante de la sexta división del exército, tomase los fuertes de Pasages, lo que ha verificado después de dos dias de a.taque.</t>
  </si>
  <si>
    <t>Gazeta de la Regencia de las Españas n.º 112</t>
  </si>
  <si>
    <t>934</t>
  </si>
  <si>
    <t>934 i8i$ • — 'Francisco Rovira = Fxcmo. Sr. D. Francisco Copons y NavÍ2..= Es copia. ss Antonio Puigy ayudante primero.” Oy ¿ir z un $ d¿ Agosta. Parte del general D. Pedro Agustín (Airón a. Exento. Sr. D. Eran*• cisco Xavier Castaños. *»Excmo. Sr.,: Habiendo recibido avisos ,al amanecer del i.° del actual de que ios enemigos, después de haber s;ido batidos tan glo riosamente sobre Pamplona» se habían visto forzados á retirarse; y preme…</t>
  </si>
  <si>
    <t>Gazeta de Madrid bajo el Gobierno de la Regencia n.º 63</t>
  </si>
  <si>
    <t>612</t>
  </si>
  <si>
    <t>…o de 11 horas; ¡pero aunque sensible, se hace llevade ra, habiendo conservado el crédito de! exército y la posición que se le confió. El señor general en gefe el mariscal de campo D. Pedro Agustín</t>
  </si>
  <si>
    <t>Gazeta de Madrid bajo el Gobierno de la Regencia n.º 78</t>
  </si>
  <si>
    <t>…del. Norte parece que se halla en Maguncia, y que Napoleón I13 {legado á París. ; ¡ Parte que el brigadier D. Juan Dotóme dirigió al general de la van guardia del quarto éxército D. Pedro Agustín (jirón después de la ac■ cion del dia 10 del corriente. ■ . Tengo el honor de participar á V. S. que en cumplimiento de sus órde nes-respecto al ataque de ayer al romper ei alba, en que debía apoderarme con el batallón ligero de Navarra de las primeras ocho c…</t>
  </si>
  <si>
    <t>Aibun, José</t>
  </si>
  <si>
    <t>José Aibun</t>
  </si>
  <si>
    <t>…eniente del de tiradores de Cantabria; D: Buenavent&amp;ra Tomasa, teniente coronel; D. Guimeiindo Churruca, teniente, y D. José Manuel Carril, subteniente dei segundo de Guipúzcoa, y D. José Aibun, subteniente del primero del mñmo nombre. Los contusos son: D. Ruperto Otero, teniente del de R-ivero; D. José María Carrillo, coronel, y D. Francisco Son Julián, capitán del segundo de Asturias; D. José Martínez ,'espitan del primero cántabro; D. Nicolás Dor…</t>
  </si>
  <si>
    <t>Aicaina, Vicente</t>
  </si>
  <si>
    <t>Vicente Aicaina</t>
  </si>
  <si>
    <t>Gazeta de Madrid bajo el Gobierno de la Regencia n.º 28</t>
  </si>
  <si>
    <t>…gieron á ía puerta déla plaza del Estudio, aparentando.¿n asalta.apc.astiUp,; mientras ocho gastadores derribaban las puertas. A la de S, Mateo se diri gid con toda su compañía el capitán D. Vicente Aicaina, haciendo amagos con ocho escaleras de asaltar la muralla: delante ía torré de la Fuente se cons tituyó el capitán de cazadores D. Juan Bautista Bellvef cbn el resto de su compañía, debiendo realizar el asalto, al tiempo que se abriese brecha con picos y azad…</t>
  </si>
  <si>
    <t>Aiexamdro</t>
  </si>
  <si>
    <t>…la oferta de su mediación como amigo común de los Estados-Unidos y de la Gran- Bretaña , con el fin de facilitar la paz entre las dos naciones. Presentándose el alto carácter del emperador Aiexamdro, como garante de la sinceridad de su propuesta , fue inmediatamente aceptada ; y como prueba de la disposición de los Estados Unidos para entrar en proposiciones honrosas con s-u controlo, se deter mino evitar las demoras que proceden de las distancias , prov…</t>
  </si>
  <si>
    <t>Aiexandro</t>
  </si>
  <si>
    <t>Gazeta de la Regencia de las Españas n.º 107</t>
  </si>
  <si>
    <t>Se ha recibido hoy un correo de Suecia; las cartas con fecha del 17 dicen que el príncipe real (Bernadotte) tuvo una conferencia con el emperador Aiexandro , el rey de Pruda y el emperador Francisco; y se asegura que los aliados instaron al ultimo soberano para que to mase el título de emperador de A?emaniai. La expedición que salió hace algunas semanas de este país llegó á Gottenburgo: según algunas cartas, Jas…</t>
  </si>
  <si>
    <t>Aíexandro</t>
  </si>
  <si>
    <t>Gazeta de la Regencia de las Españas n.º 166</t>
  </si>
  <si>
    <t>1393</t>
  </si>
  <si>
    <t>…s en Leydem y Rotterdam, habían ya destacado tropas contra los profagos enemigos. El emperador de Austria había entrado el 6 de Noviembre en Francfort , donde salid á recibir e el emperador Aíexandro, y un in menso pueblo, que lleno de gozó, le recibieron con las mayores aclamaciones. Ei rey de Prusia se hallaba ya en Berlín ; pero en breve volvería á salir para los exércitos. EÍ rey de Saxonia y su espora entraron el 25 de Octubre en aquella capital, y 1…</t>
  </si>
  <si>
    <t>Aiexsndro</t>
  </si>
  <si>
    <t>…arwitz entró ea Bruns wick y aprisionó 400 francese;. D isriameate se prson de 30 á 40 enemigos á los aliados. — Según noticias de Petersxurgo, ti aíbtamiento mandado hacer por el emperador Aiexsndro debe producir 180$ hambres. El mismo emperador firmó en Top itz un ukase el 2 de Setiembre para otra leva de 8 hombres de cada 5 00. Por la mala de Gottenburgo, que llego á Londres el 22 del cor riente, ha recibido pliegos nuestro gobierno, y los emboxadores…</t>
  </si>
  <si>
    <t>Aímazan, Antonio Tavira y</t>
  </si>
  <si>
    <t>Antonio Tavira y Aímazan</t>
  </si>
  <si>
    <t>Gazeta de Madrid bajo el Gobierno de la Regencia n.º 31</t>
  </si>
  <si>
    <t>…la invasión de los franceses desde la batalla de Ocaña hasta el dia de la entrada de las tropas aliadas: un quaderno en 4.° rústica, rr Informe que de orden de S. M. dió el limo. Sr. D. Antonio Tavira y Aímazan sobre el procedimiento del tribunal de la inquisición de Granada en cerrar y tabicar un confesonario sin noticia ni intervención d® la jurisdicción eclesiástica, al que precede la representación de D. Francisco Perez de Quiñones, y la carta del Excmo. Sr. D-…</t>
  </si>
  <si>
    <t>Aimeida, Josef</t>
  </si>
  <si>
    <t>Josef Aimeida</t>
  </si>
  <si>
    <t>6uj Se dará la enseñanza de principios matemáticos y de arquitectura por el profesor y consiliario D. Francisco de Paula Vega; y la de dibuxo por el maestro D. Josef Aimeida, y D. Miguel Alexo Fuertes, educado en la mis ma escuela. Madrid 2$ de octubre, La gazeta de la Regencia de 14 de setiembre próximo pasado inserta un parte del señor duque de Ciudad-Rodrigo, fecha 22 de agosto anterior, en que manifiesta á la nación y al gobi…</t>
  </si>
  <si>
    <t>AimeTÍch, Melchor de</t>
  </si>
  <si>
    <t>Melchor de AimeTÍch</t>
  </si>
  <si>
    <t>Gazeta de la Regencia de las Españas n.º 15</t>
  </si>
  <si>
    <t>…rgo de ser mas que triples las fuerzas contrarias; pero no lo permitieron las copiosas lluvias y creciente de un rio in termedio. Estos obstáculos continuaron el 24, en el cual el brigadier D. Melchor de AimeTÍch, gobernador de Cuenca, que con m divi sión se hallaba separado de Y alie, resolvió el ataque combinado de ambas para la madrugada del 2ó; pero teniendo que marchar de no che é bastante distancia por caminos escabrosos, la guia de Aimerich tx ravió su división…</t>
  </si>
  <si>
    <t>Aimiren, Juan Francisco</t>
  </si>
  <si>
    <t>Juan Francisco Aimiren</t>
  </si>
  <si>
    <t>Gazeta de la Regencia de las Españas n.º 65</t>
  </si>
  <si>
    <t>546</t>
  </si>
  <si>
    <t>….. . ,,S« me olvidaba recomendar á V. S. el distinguido mérito del? capitán de voluntados de caballería de esta ciudad D. J ian Gui • lleimo. Marqusegue; del teniente de la mi 'ma D. Juan Francisco Aimiren, y del teniente de la Concordia D Casimiro Marquiegui, que con otros vecinos sostuvieron desde un balcón los ataques del enemigo, y del alférez D&gt; Mariano Morales, que defendiendo con valoría trinchera, mató con su espada un hú»ar enemigo. — D os guarde á V.…</t>
  </si>
  <si>
    <t>Air.LongfordWhirbreaden</t>
  </si>
  <si>
    <t>Gaceta de Madrid n.º 41</t>
  </si>
  <si>
    <t>…io es una medalla de oro ael valor de 880 francos ó 200 ducados. Lord Eleve, hizo en esta cámara la misma pro- «La ópera cómica debe también estar toda en Sosidonir. HardqueL)&lt;vis.lord Air.LongfordWhirbreaden la alta,propusoy Jaunaapoyólar queversose.hay endichodos sobreó tresla actos,debida proporcionadosduración de Ja típe-á lo ga enmienda reducida principalmente á .«que se ra seria. El premio es una medalla de oro del valor tomasen las providencias convenientes…</t>
  </si>
  <si>
    <t>Airoldi, Cesar</t>
  </si>
  <si>
    <t>Cesar Airoldi</t>
  </si>
  <si>
    <t>Gazeta de la Regencia de las Españas n.º 110</t>
  </si>
  <si>
    <t>…a que fuesen á participar esta acta á S. A. R. De la misma suerte ia cámara de los Comunes, habiendo dado al dia siguiente principio á sus sesiones, y elegido por su presidente al caballero Cesar Airoldi; aprobada qúe fué por S. A. R. esta elec ción , propuso y aprobó unánimemente que se diesen á S. A. R. el príncipe Vicario general lss gracias, protestando que procurarían por todos Jos medios posibles desempeñar los objetos que S. A. R. se había dignado prop…</t>
  </si>
  <si>
    <t>Aivarez'su, Ciego</t>
  </si>
  <si>
    <t>Ciego Aivarez'su</t>
  </si>
  <si>
    <t>T f- ■? *2 legar á que fuese'envuelto per la. izquierda, dexé ei) Monbuy al mari de del coronel D. Ciego Aivarez'su regimiento de Fernando VII y las compañías de zapadores con la artillería, y baxé á protegerla iz quierda de los cazadores de Cataluña con el regimiento de Barcelona, mas dado por su coronel D. José Costa. Después de haber intentado in útilmente el enemigo va…</t>
  </si>
  <si>
    <t>Akniier</t>
  </si>
  <si>
    <t>Gazeta de la Regencia de las Españas n.º 39</t>
  </si>
  <si>
    <t>316</t>
  </si>
  <si>
    <t>…do á todos; pues en sus comunicaciones diplomáticas faltó siempre aquel respeto y miramiento que se deben unos á otros los monarcas. Al hacer presentes las intenciones de V. M. el barón Akniier habla ba como un procónsul romano, sin advertir que no trataba con es clavos. En consecuencia este ministro ha sido la causa primaria de la desconfianza que la Suecia empezó á manifestar en orden á las instrucciones de V. M. relativas á este reyno, y los acon…</t>
  </si>
  <si>
    <t>Ákxandro</t>
  </si>
  <si>
    <t>Gazeta de la Regencia de las Españas n.º 6</t>
  </si>
  <si>
    <t>43</t>
  </si>
  <si>
    <t>…pe regente el Escuro. Sr. conde de Eleven, embaxador extraordina rio y ministro plenipotenciario de S. M. el emperador de todas las Rusias,' quienX entregói-/ sus credenciales. El emperador Ákxandro ha hecho al general Kutusow príncipe de Smolensko, y caballero de la primera clase de la orden de S. Jor ge, que solo se da al que triunfa de algún feid-mariscal. Bonaparte fué perseguido por un regimiento de cosacos ; pero logró salvarse á costa de muchas in…</t>
  </si>
  <si>
    <t>Akxandro</t>
  </si>
  <si>
    <t>Gazeta de la Regencia de las Españas n.º 137</t>
  </si>
  <si>
    <t>1126</t>
  </si>
  <si>
    <t>…ersuadido que el celo de estos hombres valerosos servirá de satisfacción á las potencias aliadas. OFICIO SEGUNDO. Cuartel general imperial de Toplitz i.° de Setiembre. «Milcrd, el emperador Akxandro llegó á Praga el 15 del pasado. La mayor parte del exército ruso de la Silesia y un cuerpo prusiano se pusieron en marcha psra Bohemia en los dias 11 y 12 , y se re unieron si exército austríaco en los dias 17 y siguientes del mes de Agosto. El dia 19, los em…</t>
  </si>
  <si>
    <t>Al, Diego</t>
  </si>
  <si>
    <t>Diego Al</t>
  </si>
  <si>
    <t>Gazeta de la Regencia de las Españas n.º 99</t>
  </si>
  <si>
    <t>…e aquella guarnición (nada recelosos de mi movimiento) para San ta Pau, adonde me dirigí inmediatamente con 500 infantes y 30 ca ballos; disponiendo que el coronel de Fernando Vil D. Diego Al bires se aproximase con su batallón á la villa de Oiot, tanto para impedir que saliese refuerzo, como para cortar, si era dable, la re tirada de los que se habían separado. Aunque no se desperdició mo mento, faltó un cuarto de hora para llenar todo mi objeto:…</t>
  </si>
  <si>
    <t>Al, Echará</t>
  </si>
  <si>
    <t>Echará Al</t>
  </si>
  <si>
    <t>Gazeta de Madrid bajo el Gobierno de la Regencia n.º 80</t>
  </si>
  <si>
    <t>…l 14 de reforzarse en el valle de la Drave, hizo el 18 una incursión en el departamento del Piave. El 20 entró en Bellune una coluna de algunos millares de hombres, mandada por el general Echará Al momento que el príncipe vire! tuvo noticia de estos movimientos, dirigió contra el enemigo una coluna de tropas baxo las ór denes del general’Palombini, y creyó debía dirigir al mismo tiempo y so bre igual punto el cuerpo del general Grenmer , con orden de ob…</t>
  </si>
  <si>
    <t>Al, José</t>
  </si>
  <si>
    <t>José Al</t>
  </si>
  <si>
    <t>…fusileros al subteniente de granade ros D. Juan de Castro Palomino ; á subteniente de granaderos al de fusileros D. Juan de Acosta; y á subteniente de bandera al sargen to primero D. José Al varado. CADIZ : EN LA IMPRENTA NACIONAL.</t>
  </si>
  <si>
    <t>Alamo, Miguel del</t>
  </si>
  <si>
    <t>Miguel del Alamo</t>
  </si>
  <si>
    <t>Gazeta de la Regencia de las Españas n.º 49</t>
  </si>
  <si>
    <t>408</t>
  </si>
  <si>
    <t>…extienden y confirman los enemigos en su destacamento de Guadalaxira. Por nuestra parte hubo muertos los oficiales, el capitán Craser y D. Femando Morales, con el cadete de Cuenca D. Miguel del Alamo , 2 sargentos, 32 soldados y un caballo ; 5 oficiales heri dos , 2 cadetes, 5 sargentos, 88 soldados con 8 caballos : la tropa en general se ha portado bien, aunque particularmente ha habido mo tivo para reprehender y castigar; él numero de que constaba es de…</t>
  </si>
  <si>
    <t>Alania, Josef</t>
  </si>
  <si>
    <t>Josef Alania</t>
  </si>
  <si>
    <t>…, patrimonista, presbítero. ballo montados y equipados , se presentaron los ciu Para el de Benidoleig, vacante por promoción dadanos principales á satisfacer su contingente, re de D. Josef Alania á la parroquial de Bélgida, á parándose en algunos, que despwes de haber subs D. Cristóbal Marco, patrimonista presbítero. crito á una suma bastante crecida, volvieron des Para el de Aguacor, vacante por ascenso de pués ¿ doblarla , por manera que las subscri…</t>
  </si>
  <si>
    <t>Alarcon, Salvador</t>
  </si>
  <si>
    <t>Salvador Alarcon</t>
  </si>
  <si>
    <t>…o segundoBarrio del Buen Suceso, QUARTEL de palacio. D. Casimiro Ipoly , alcalde. Barrio de S. Nicolás. D. Francisco Peralta, substituto primero. D. Mariano del Portillo, alcalde. D. Salvador Alarcon, substituto segundo. D. Vicente Puyol, substituto primero. D. Ventura López, substituto segundo. QUARTEL DE SAN MARTIN. Barrio del Sacramento. Barrio del Cdrnien Calzado. D. Ramón de Segcvia, a'calde. D. J aime Bouhde, alcalde. D. Francisco JCavier Correa , s…</t>
  </si>
  <si>
    <t>Alava, Juan Ignacio</t>
  </si>
  <si>
    <t>Juan Ignacio Alava</t>
  </si>
  <si>
    <t>Gazeta de Madrid bajo el Gobierno de la Regencia n.º 70</t>
  </si>
  <si>
    <t>…oficial .muerto lo es el subteniente D. Juan Antonio Campo?, del se gundó" de Sevilla: lo«í heridos lo son, gravemente el sargento mayor de Pravia.D. Francisco Cabrera; el segundo teniente D. Juan Ignacio Alava, y los alféreces .D. Lorenzo Somera y D. Josef de las Cuevas, del segundo bata llón de,guardias Españolas; el capitán D. Manuel Carrillo, del batallón de .Almería^ el ayudante mayor D. Manuel Baso, y el teniente D. Josef Vi•tal.,. del "regimiento segundo de S…</t>
  </si>
  <si>
    <t>Alava, Miguel de</t>
  </si>
  <si>
    <t>Miguel de Alava</t>
  </si>
  <si>
    <t>tis-fecfco que estoy 3e 'sti coñáüctá, ígHálrnétíte qué la del mariscal de ¿•ampo D. Miguel de Alava, y de la aél brigadier D. José O-Lawlor, quienes hace tanto tiempo que e^tan empleados útilmente conmigo. La artillería se colocó juiciosamente por, el teniente coronel Dikson¿ y esta anrva fue bieh: servida ,, y el exército está particularmente reco nocido é…</t>
  </si>
  <si>
    <t>…e les ha sido po*ib:e durante e tas operaciones; y me valgo de esta opor tunidad tara manifestar lo satis fe che que- estoi de su conducta, igualmente que la del maté cal de Campo D. Miguel de Alava y la del brigadier Don Jos.ef O- Lawh r, quienes hace tanto tiempo que están empleados útilmente conmigo, la artillería se colocó Juiciosamente por el teniente coronel Diksm, y esta arma fue bien servida, y el exército está particularmente reco nocido á este…</t>
  </si>
  <si>
    <t>Alba, Fornier de</t>
  </si>
  <si>
    <t>Fornier de Alba</t>
  </si>
  <si>
    <t>Gaceta de Madrid n.º 119</t>
  </si>
  <si>
    <t>…et y ingenieros Chamberlhac. Grandjean, al general de caballería Cavaignac, al Cusiría, guarnecida con 3©'hombres, y man general Campredon, comandante de ingenieros, y dada por el general Fornier de Alba. al general Lepiu, comandante de la artillería, se G/ogau, mandada por el general Laplane y el mantiene en la plaza de Dantzick con una guarni de ingenieros Dode, y defendida por 60 hombres. ción que pasa de 30© hombres, provisiones de pan Spandan, á las órde…</t>
  </si>
  <si>
    <t>Alba, José</t>
  </si>
  <si>
    <t>José Alba</t>
  </si>
  <si>
    <t>Gazeta de la Regencia de las Españas n.º 7</t>
  </si>
  <si>
    <t>56</t>
  </si>
  <si>
    <t>…ano y D. Pedro Fernandez, y á subtenientes á D. Bonifacio Ro dríguez , D. José Sánchez y D. Manuel de los Santos. En el de Ir landa á capitán ¿ D. Miguel Miangolarna; á ayudante á D. José Alba; á teniente á D. José Benet, y á subteniente á D. Felipe Negrete. En el cuerpo de ingenieros de los exércitos nacionales, en la di visión de Ultramar, se ha servido la Regencia del reyno promover á teniente coronel al sargento mayor de brigada D. Miguel Atero…</t>
  </si>
  <si>
    <t>Alba, Manuel</t>
  </si>
  <si>
    <t>Manuel Alba</t>
  </si>
  <si>
    <t>…spañolas. Barrio de la Hu rta del Bayo. D. Pedro Petez, alcalde. D. Felipe Santintregui, alcalde. D. Pedro del Rio, substituto primero. D. Josef Manuel Aynz Gardazabal, substituto D. Manuel Alba, substituto segundo. hamo de tas Sal.primero. D. Agustín Mlchel, substituto segundo. D. Josef Fabregas, alcalde. Barrio de S. Cayetano. D. Manuel Lucio Gutiérrez, substituto primero. D. Juan Represa , alcalde. D. Agustín Pascual, substituto segundo. D. Diego…</t>
  </si>
  <si>
    <t>Albalá, Antonio y</t>
  </si>
  <si>
    <t>Antonio y Albalá</t>
  </si>
  <si>
    <t>Gazeta de la Regencia de las Españas n.º 40</t>
  </si>
  <si>
    <t>327</t>
  </si>
  <si>
    <t>…igual juramento Córdoba, Moatilla, Baena, Luque y Valenzuela.—El 2 de Noviembre se dió cuen ta de haberse jurado en Arévalo , Ciudad-Real, Torremocha, Pue bla de Ovando, Casa3 de D. Antonio y Albalá , Piedras Albas, Por tezuelo , Villa del Campo, Santibañez el Alto, Villa del Arco, la Ro ca, Zaynos, Santa Ana, Conquista, Campo, Alcollarm, Madroñera, Campillo, Cabañas, Mesas de Ibor, Fresnedoso, Quintana, Mingabril, Higuera de la Serena, Miagadas , Tamurc…</t>
  </si>
  <si>
    <t>Alban</t>
  </si>
  <si>
    <t>Gaceta de Madrid n.º 6</t>
  </si>
  <si>
    <t>lleros, de n68.t hombres. El parque de artillería venor, el coronel Alban, sir Tomas Sulton , sirCaltiene 156.piezas. • vert y otros mucho* miembros déf antiguo parlamentó parece que están seguros de que serán GRAN BRETAÑA. reelegido», Del 17: Londres ti de agosto. . Esta mañana ha llegado unj mala de Malta: no Se continúan enviand…</t>
  </si>
  <si>
    <t>Albillos, Vicente Ruiz</t>
  </si>
  <si>
    <t>Vicente Ruiz Albillos</t>
  </si>
  <si>
    <t>Noticia política o diplomática</t>
  </si>
  <si>
    <t>…á Cortes ordinarias a jos Sres. D. Gerónimo Diez, individuo del tribuna! supremo de Justicia; D. Joseí Mintegui , catedrático de prima de cánones jubilado de aquella universidad; D. Vicente Ruiz Albillos, canónigo lectoral de la catedral de Ciudad-Rodrigo; y á D. Martin Hinojosa, catedráti co de prima de leyes jubilado de dicha universidad: este último en calidad de suplente. i *.). ii '...... ; •. * . El señor Gefe político de esta provincia, de acuerdo con…</t>
  </si>
  <si>
    <t>Albornoz, Josef María Carrillo</t>
  </si>
  <si>
    <t>Josef María Carrillo Albornoz</t>
  </si>
  <si>
    <t>…sto im portantísimo, en cuya pronta adquisición consistió en gran manera el éxito de las restantes operaciones; y-los coroneles D. Rafael de Goicoch'ea-, D. Fran cisco Piasencia y D. Josef María Carrillo Albornoz, que tuvieron el mérito de guiar á sus. tropas á la victoria con tanta resolución cbmo buen orden. El gefe del estado mayor mariscal de campo D. Estanislao Salvador y to dos los oficiales de su cuerpo se portaren en! este dia con la distinción qu^ Ies caracte…</t>
  </si>
  <si>
    <t>Albuerne, Pedro</t>
  </si>
  <si>
    <t>Pedro Albuerne</t>
  </si>
  <si>
    <t>…egundo de Asturias ; D. Mariano Torija, capitán del de la Constitución; D Manuel Pardo, subteniente del de la Corona; D . Fernando Miranda, coronel del de voluntarios de Asturias; D. Pedro Albuerne, D. Mateo Torraiba, D. Tomas Caneja y D. Antonio Fernandez, capitanes los dos primeros , y tenientes los segundos del propio cuerpo; D. Andrés González, teniente del de Oviedo; Don Manuel Suarez Campa , capitán de la compañía de obreros; D. Ra món Lozano, D.…</t>
  </si>
  <si>
    <t>Albumes, José</t>
  </si>
  <si>
    <t>José Albumes</t>
  </si>
  <si>
    <t>Gazeta de la Regencia de las Españas n.º 13</t>
  </si>
  <si>
    <t>…sa, I), Tomas Faudiño, 1). Gregorio .Eche» garay, D. A n Ionio Arzola, D. Jacinto O na , D José Vinegra, D. Santos Besga , D. Joaquín Ruiz, D. Ma uel Clemente, D. Ra món Marañon , D. José Albumes, D. José Luizaain , D. Francisca Ardaiz, D. José Díaz, D Antonio Abadía, D. Nicolás Soriano, D. Bernardo Moliner, D. Manuel Llera, D. José Perulan, D. Ray» mundo Marqués, D. José Gorriz, D. Dionisio Fonolitas, D. Can» dido Zunzarren * D. M:guel Quartero , D.…</t>
  </si>
  <si>
    <t>Albun, Josef</t>
  </si>
  <si>
    <t>Josef Albun</t>
  </si>
  <si>
    <t>…nte del de tirado res de Cantabria; D. Buenaventura Tomasa, teniente corone!; D. Guimeriudo Cliurruca, teniente, y D. Josef Manuel Carril, subteniente del se gundo de Guipúzcoa, y D. Josef Albun , subteniente del primero del mis ino nombre. ! « Los contusos son D. Ruperto Otero, teniente del de Rivero; D. Josef María Carrido, coronel, y D. Francisco S. Julián, capitán del segundo de Asturias; D. Josef Martínez, capitán del primero Cántabro; D. Nicolá…</t>
  </si>
  <si>
    <t>Alcaina, Vicente</t>
  </si>
  <si>
    <t>Vicente Alcaina</t>
  </si>
  <si>
    <t>…uerta de la plaza del Estudio, aparentando un asalto al castillo, iniciitrítS 8 g^stadoie^* é. iribaban las puerta^. A la cíe S* Ma teo se dirigió con toda su compañía el capí tan D. Vicente Alcaina, haciendo amagos con 8 escaleras de atsliar la muralla: delante de' la torre de la fuente se situó el capitán de cazadores D. Juan Bautista Beüver con el resto de su compañía, debiendo realizar el asalto, luego que abriese brecha con picos y azadones en la pu…</t>
  </si>
  <si>
    <t>Alcalá, Luis</t>
  </si>
  <si>
    <t>Luis Alcalá</t>
  </si>
  <si>
    <t>…del segundo de Asturias; D. José Rico , capitán; y D. Juan de Oüoqui, teniente del de Gaadalaxara; D* Juan Loarte, coronel; D. Antonio Villegas y D. Antonio Martínez, tenientes ; Don Luis Alcalá, subteniente dei de la Constitución; D. Mariano Castell, teniente coronel; D, José Rio-mayor, capitán; D* Nicolás Collar D. Manuel Ramón Gastell , D. José María Hernández y D. José .efe Paga, tenientes; D. Ventura Nogueyra y D. Laureano Iriarte, sub tenientes…</t>
  </si>
  <si>
    <t>Alcalde, Ventura</t>
  </si>
  <si>
    <t>Ventura Alcalde</t>
  </si>
  <si>
    <t>…D. Josef Martínez , substituto segundo. D- Siiverio Perez , alcalde. Barrios a. Guardas de K,otps. D. Ignacio fichar, substituto primero. D. Andrés del Peral, substituto segundo. D. Ventura Alcalde , alcalde. Barrio de Santa Isabel. I&gt;. Vicente Rodríguez , substiruto primero. D. Felipe Guelves, substituto segundo. D. Josef Domínguez, alcalde. D. Manuel de Cereceda , substituto primero. Barrio de Afligidos. D. Josef Vidal, substituto segundo. D. Pedro Ca…</t>
  </si>
  <si>
    <t>Alcaraz, Francisco López</t>
  </si>
  <si>
    <t>Francisco López Alcaraz</t>
  </si>
  <si>
    <t>Gazeta de Madrid bajo el Gobierno de la Regencia n.º 29</t>
  </si>
  <si>
    <t>…za. D. Antonio Martel, vecino y abogado del colegio de Madrid. D. Manuel Aleas, vecino de Colmenar viejo. D. Francisco Marchámalo, magistrado de la audiencia de Castilla la nueva. D. Francisco López Alcaraz, vecino de Madrid. D. Rafael Oseñalde , cura propio de S. Andrés de Madrid. 1). Francisco Crespo de Texaaa, d^l comercio de (Madrid. ARTICULO DS OFICIO* las.Cortes generales y extraordinarias, deseando transmitir,á,la mas re mota posteridad lá memoria de % gl…</t>
  </si>
  <si>
    <t>Alcega, Miguel de</t>
  </si>
  <si>
    <t>Miguel de Alcega</t>
  </si>
  <si>
    <t>*En las operaciones de este dia se distinguieron particularmente: el señor general Latorre, los señores brigadieres D. José Aymerich,, D. Miguel de Alcega y D. Juan Dowme, los c* rondes D. Alejan dro Hore , del regimiento de Ordenes Mi itares; D. Ramón Figueroa&gt; espitan de reales guardias Españolar, comandante del batallón, de cazadores de la columna de la derecha -y el teniente coronel Doa Fcrmi» Mendialdua, comandante del re…</t>
  </si>
  <si>
    <t>…onservaban los ene migos su comunicación. ,,En las operaciones de este dia se distinguieron particularmente el señor general • Latorre, los señores brigadieres D. Josef Aymerich , D. Miguel de Alcega y D. Juan Downie, los coroneles D; Alexandro Hore, del regi miento de Ordenes Militares; D. Ramón Figueroa, capitán de reales Guar dias Españolas, comandante del batallón de cazadores de la coluna de. la de recha; el teniente coronel D. Fermín Mendialdua, comandante del regi…</t>
  </si>
  <si>
    <t>Alcxandre</t>
  </si>
  <si>
    <t>Núm. 46. 32Í M GACETA DE LA REGENCIA DE LAS ESPADAS DEL JUEVES 1* DE ABRIL DE Í813. RUSIA. Wilna 6 de Enero. Prodama del emperador Alcxandre; ,,D¿os y el universo saben el designio y las fuerzas con que en tró ei enemigo en nuestra amada patria, sin que bastase razan al guna á apartarle de su propósito. Orgullosamente confiado en sus propias fuerzas y en las que había reunido contra nosotros en ca…</t>
  </si>
  <si>
    <t>Alcxandt</t>
  </si>
  <si>
    <t>Gazeta de la Regencia de las Españas n.º 34</t>
  </si>
  <si>
    <t>279</t>
  </si>
  <si>
    <t>…hiplitz comunica que el mayor general conde Ururk, á su entrada en la aldea de Stalopenen faé recibido con extraordinario regocijo por ios habitantes, ios cuales gritaban vivei el emperador Alcxandt o t y sea el protector de una nación inocente que está padeciendo. (Se cQnÍi¡euzrá.) ESPAÑA. Berga 5 de Febrero. Parle dirigido al Excmo Sr. gefe del estado mayor general en 26 del próximo pasado Enero por el señor general en gejfe de este exér* - - cito y pr…</t>
  </si>
  <si>
    <t>Alda, Eusebio Ocha de</t>
  </si>
  <si>
    <t>Eusebio Ocha de Alda</t>
  </si>
  <si>
    <t>107</t>
  </si>
  <si>
    <t>…Irigoyen , D. Antonio Ladrón, D. Antonio Zabalza, D. Felipe Vicuña, D Manuel Arragu i, D Manuel Otayza, D Ramón Tajonar, D. José Hernández, D. Gregorio Beriani, D. Domingo Ihañez, D. Eusebio Ocha de Alda, D Angel Estabulo, D Valerio Landache, D. Miguel Villacampa, D ’B'-roardo Eohsdecu, D. Cosme Vi'Hacampa y D. Ma nuel ■ 8alave.ru : á subtenientes dé fusteros á D. Ramón Gómez, D. Juan Migad de Iriso, D. Manuel Beriain, D. Manuel Gurpi-</t>
  </si>
  <si>
    <t>Aldasoro, Ramón</t>
  </si>
  <si>
    <t>Ramón Aldasoro</t>
  </si>
  <si>
    <t>Gazeta de la Regencia de las Españas n.º 27</t>
  </si>
  <si>
    <t>213</t>
  </si>
  <si>
    <t>…e ha servido nombrar inten dente general del primer exército á D. Francisco Xavier de Oteiza; del segundo al comisario ordenador D. Julián Navanete; del ter cero al de igual clase D. Ramón Aldasoro ; y del cuarto al inten dente D. Baltasar Valdes Argiielles. Los distritos asigóados i cada uno de estos intendentes genera les constan de las provincias que comprchenden las capitanías ge nerales anexas á los respectivos generales en gefe, con arreglo á la c…</t>
  </si>
  <si>
    <t>Alday, Joaquín</t>
  </si>
  <si>
    <t>Joaquín Alday</t>
  </si>
  <si>
    <t>Gazeta de la Regencia de las Españas n.º 131</t>
  </si>
  <si>
    <t>…e apode rado de una caseta que había en la era llamada de Chueca , desde donde enfilaban á la mina; quedando en esta ocasión herido de muer te el subteniente del quinto regimiento D. Joaquín Alday. Esta mis ma batería fue la que desalojó á los enemigos de sus baluartes hasta destruirlos. El mismo camino cubierto iba á comunicarse con la bate» ría de 3 obuses, colocada junto al camino de la Casa-blanca, y tam bién con la de la unión de los dos caminos d…</t>
  </si>
  <si>
    <t>Aldercreutz</t>
  </si>
  <si>
    <t>…allos mue'rtós ó heridos. Por la noche volvió á salir el enemigo de la ciudad, y sé dirigió al puente que atraviesa el Muida, el qual estaba encargado á un batallón’, al mando del coronel Aldercreutz. Este valiente oficial pasó el puente, atacó al enemigo, y le arrojó otra vez á la ciudad, cuyas puertas se cerraron entonces. Ayer á las nueve de la mañana el enemigo se presentó con un cuerpo de 7 ú'8® hombres en las cercanías de Oraniembaun entre el Muida…</t>
  </si>
  <si>
    <t>Áldércreutz</t>
  </si>
  <si>
    <t>Gazeta de Madrid bajo el Gobierno de la Regencia n.º 87</t>
  </si>
  <si>
    <t>829</t>
  </si>
  <si>
    <t>…as tropas prusianas y suecas. El regimiento 14.0 de cazadores , mandado por el coronel Krasousky, tomó la puerta llamada Das CrrimmisckeThor. y también algunos cañones. El general barón Áldércreutz se halló en todos los parages del mayor riesgo animando á las tropas con su exemplo. Como el enemigo fue obligado i retirarse por el desfiladero del Pleissa, los bagagés, artillería y tropas se amontonaron en medio de los -pasos estre chos que Tes quedaban li…</t>
  </si>
  <si>
    <t>Aldler</t>
  </si>
  <si>
    <t>Gaceta de Madrid n.º 49</t>
  </si>
  <si>
    <t>…ente sentencia á los condenados y á los absuelto.-, Al señor Boccheiampe, prisionero de estado, y que la hiciese executar en todas sus partes den culpable de complicidad con el ex-general Aldler, tro del termino de 24 horas. por la mayoría de cinco votos contra dos. Ultimamente, previno que se remitiese copia ñ Recogidos de nuevo los votos en la misma tor- los excelentísimos señorc; ministros de Guerra }'de nta arriba dicha, Po¡ ¡cía general dei impe…</t>
  </si>
  <si>
    <t>Aldreuitz</t>
  </si>
  <si>
    <t>4/6 \ ■ ! -V ‘ f El mayor general Gib.ss. desembarcó e.njStralsund con un cuerpo ..de ^3® ingleses. - ' - :'f; V- .-r... -*v - ,*** ES general barón Aldreuitz es gcfe del estado mayor del exército aliado del norte de Alemania,* y tiene á sus órdenes al mayor gfenfcrai barón Tarvast y al conde Gustavo Lowínteselr como ayudantes genéralls encargados de recibir y comunicar las órdenes. Se han tomado las disposiciones…</t>
  </si>
  <si>
    <t>Ale</t>
  </si>
  <si>
    <t>Gazeta de la Regencia de las Españas n.º 72</t>
  </si>
  <si>
    <t>…fico bayte. Dícese que ademas de los 12© suecos que se hallan ya en el continente, se espera por momentos que se les reúnan 20© mas. Ayer salió de aquí para el cuartel general del emperador Ale jandro el conde de Artois: le acompañan su hijo primogénito el du que de Angulema, el conde F. D’Escars, el barón de Roll y E» Dama. v Se ha sabido ya de oficio la muerte del general Kutusow, prín cipe de Smolensko, acaecida el 28 de Abril en Bauntzlau de una…</t>
  </si>
  <si>
    <t>…n destino al exércjto d.e reserva de Galicia el primer batallón del hermoso regimiento de infantería imperial Alexandro, que formado en la capital del imperiojTUSP por el teniente coronel D. Ale,xandro O-Donell, baxo los auspicios y¡ protección.&lt;le' aquellos Soberanos, nuestros fieles aliados, desembarcó en Santander el 4 ,dpi. corriente, y; se acantonó el mismo día en. esta villa.JLaf sobresaliente conducta y disciplina que ha observado durante su p…</t>
  </si>
  <si>
    <t>Aleas, Manuel</t>
  </si>
  <si>
    <t>Manuel Aleas</t>
  </si>
  <si>
    <t>…Hortaleza. / D. Antonio Martel, vecinp y.abogado;del colegio de Madrid. : Eiebtores* D. Pedro Aznar, cura de Hortaleza. D. Antonio Martel, vecino y abogado del colegio de Madrid. D. Manuel Aleas, vecino de Colmenar viejo. D. Francisco Marchámalo, magistrado de la audiencia de Castilla la nueva. D. Francisco López Alcaraz, vecino de Madrid. D. Rafael Oseñalde , cura propio de S. Andrés de Madrid. 1). Francisco Crespo de Texaaa, d^l comercio de (Madrid…</t>
  </si>
  <si>
    <t>Aleega, Miguel de</t>
  </si>
  <si>
    <t>Miguel de Aleega</t>
  </si>
  <si>
    <t>…el puesto principal que atacába mos, me obligó á dividir en tres columnas el ataque; á saber: el regimiento de Almería al cargo del comandante general de la se-r güfida brigada el brigadier D. Miguel de Aleega para que-dirigién dose por la cordillera de'la derecha atacase el ala izquierda del in-’ dicado punto; El regimiento de Sevilla al cargo del brig idl r Don Juan Downie que faldeando la cañada atacase de frente , y el desta camento de zapadores con el regimien…</t>
  </si>
  <si>
    <t>Alegre, Francisco</t>
  </si>
  <si>
    <t>Francisco Alegre</t>
  </si>
  <si>
    <t>Gazeta de la Regencia de las Españas n.º 92</t>
  </si>
  <si>
    <t>…creedores á la testamentaría de D. José Andrade, vecino que fué de la Habana, se manda citar y emplazar por término de cuatro meses á D. Francisco Sabugo , Doña Margarita Fábrega, D. Francisco Alegre y Doña Cayetana Rosier, para que por sí, sus apoderados , herederos y representantes acudan al tribunal á recibir las cantidades que se les han asignado en rateo, como acreedores á dicha testamentaría, en concepto que pasado di cho término se procederá en su consecuencia á deposita…</t>
  </si>
  <si>
    <t>Alegre, Manuel</t>
  </si>
  <si>
    <t>Manuel Alegre</t>
  </si>
  <si>
    <t>…de Lérida para Monzon : salí á reci birlos como era justo con dos cc mprñías de infantería, y vi que •1 Sr. Josué les traía muy de cerca. Mandé entonces al teniente de caballería D. Manuel Alegre se pusiese á su frente con 20 caballos, no muy buenos. Después de algún luego los fuimos conduciendo en completa de rrota hasta la» inmediaciones de Monzon.: al acercarse á esta p asa, quisieron introducirse por la mina que han facilitado los enem igos desde…</t>
  </si>
  <si>
    <t>Alegría, Gabriel</t>
  </si>
  <si>
    <t>Gabriel Alegría</t>
  </si>
  <si>
    <t>…acción, murió después de resultas de sus heridas, y el subteniente D. Antonio Ladrón ? que quedó en el «am po* Los tenientes D. Tictor Pastor y D. José LpAiano, y el subte niente D. Gabriel Alegría, fueron heridos. Y si bien debo recomen dar á V. S. a todos ios oficiales y soldados de ambos batallones, h?go presente á V. S. el mérito particular que contT&amp;xeron las com pañías de cazadores y granaderos, que á la bayoneta despedazaron algunos oficiales, un…</t>
  </si>
  <si>
    <t>Alejan</t>
  </si>
  <si>
    <t>…s operaciones de este dia se distinguieron particularmente: el señor general Latorre, los señores brigadieres D. José Aymerich,, D. Miguel de Alcega y D. Juan Dowme, los c* rondes D. Alejan dro Hore , del regimiento de Ordenes Mi itares; D. Ramón Figueroa&gt; espitan de reales guardias Españolar, comandante del batallón, de cazadores de la columna de la derecha -y el teniente coronel Doa Fcrmi» Mendialdua, comandante del regimiento de* Generé; E&gt;.…</t>
  </si>
  <si>
    <t>Alejandro</t>
  </si>
  <si>
    <t>Gazeta de la Regencia de las Españas n.º 35</t>
  </si>
  <si>
    <t>287</t>
  </si>
  <si>
    <t>287 los franceses quieran usar de la fuerza para sacar los caballos. — Dícese que el emperador Alejandro ha declarado á sn hermano Constantino rey de Polonia. El conde Nupping, embaxador austríaco cerca de la corte de Suecia, pasó el 3 de Febrero por Hele imburgo para su destino. Dícese que se va á hacer un arreglo entre Dinamarca y Rusia,, según el cual se perm…</t>
  </si>
  <si>
    <t>…e Noviembre, »Mííord: S. M. I. (el emperedor de Austria) hizo sm estrada pública en Francfort ayer por la mañana, habiendo salido á en contrarle á alguna distancia de la ciudad el emperador Alejandro y su comitiva. S. M reeibió en la puerta de Hanau las llaves que le presentaron los primeros magistrados, y se dirigió á caballo por las calles públicas hast ia catedral, donde se cantó el Te Deumf y co mo yo acompañaba á S. M. en esta ocasión, he podido obse…</t>
  </si>
  <si>
    <t>Alessinger, Daniel</t>
  </si>
  <si>
    <t>Daniel Alessinger</t>
  </si>
  <si>
    <t>Gaceta de Madrid n.º 72</t>
  </si>
  <si>
    <t>…, Tristram Ber- riña real la Alerta, de 20 caroñadas die á 18 y i-?o nard, Santiago Pérkins , Jorge Blake , Daniel Sar- hombres de tripulación, al mando del capitán Lauggent, y el coronel Daniel Alessinger. harue, y el brick King-George, de Liverpool, su Concluida la comida, se echaron los siguientes capitán Atkinson. toasts, á ios que correspondían las salvas de la ar El corsario Yaukee, de 16 cañones y 90 hom-</t>
  </si>
  <si>
    <t>Alexaa</t>
  </si>
  <si>
    <t>286</t>
  </si>
  <si>
    <t>…ficar sus puestos avanzados, se habían retirado hacia Varsovia. El cuartel general del emperador y del feld-mariscal llegaron es te dia á la aldea de Meretsch. (Se continuará.) El emperador Alexaa 1ro ha premiado nuevamente al príncipe Kutusow haciéndole príncipe de la familia real. Los generales Platow y Wittgenstein han participado también del favor de S. M. I. 8e dice haberse concluido un tratado entre el príncipe Kutusow y el príncipe Schwartzember…</t>
  </si>
  <si>
    <t>…2 de Mayo en el sitio; imperial!.«llamado Czarskorzelo en las ’ márgenes del Newa , á 4 leguas de esta capital, donde &gt; se reunie^ fon en dos batallones á las órdenes del teniente coronel D. Alexaa— dro O-Donnell todos los soldados españoles » que obligados ,á la fuer-* za á servir en los exércitos del tirano, aprovecharon la primera oca sión para pasarse al exército ruso, deseando con la mayor vehemen-cía volverá su patria .ácontribuir con sus hermanos…</t>
  </si>
  <si>
    <t>Alexander</t>
  </si>
  <si>
    <t>Gazeta de la Regencia de las Españas n.º 21</t>
  </si>
  <si>
    <t>168</t>
  </si>
  <si>
    <t>168 bres : otra de! capitán Clipham, de Iá chalupa la Caribdis, diciendo haber apresado el Biokade , corsario americano de 10 cañones y 60 hombres; y otra del capitán Alexander, del Coloso, dando cuenta de la presa del Delfín, corsario también americano de 12 ca ñones y 56 hombres. Idem 21 de Enero. Oficio del vizconde Cathcart, embaxador extraordinario de S. M. R. en Peierslwrg^, al vizconde Casflerea¿k, secrttario de Estado. Petes…</t>
  </si>
  <si>
    <t>Alexandiíó</t>
  </si>
  <si>
    <t>…es y tropa del exército de reserva de Andalucía durante las operaciones de los dias 7 y 8 del corriente. El ataque que hizo -ajerie! batallón de Ordenes Militares , mandado por el coronel D. Alexandiíó; Horc* •sé hizo en tan buen orden y con tanto denuedo como el qbe.,mejor.'he visto hacerse por tropa alguna, y quedé mui contento del espíritu;y .disciplina de todo este cuerpo/ ,yNo puedo aplaudir demasiado la execucion y disposiciones dadas para estos ataqu…</t>
  </si>
  <si>
    <t>Alexandio</t>
  </si>
  <si>
    <t>1342</t>
  </si>
  <si>
    <t>…destino. Las cartes de Varsovia de 23 ce Setiembre dicen que pasó por aquella ciudad una diputación dei.senrdo de lia Servia y de CzernyJoi'ge, dirigiéndole td cuartel general del emperador Alexandio. Par te de Ib Serbia, segu/a parece, había sido invadida por nn exército turco, y e¿ objeto de tsta misión era implorar la i, terven ción y protección d i emperador de Rusia.—• L^s misares canas de Varsovia r presentan á los polacos en general contemplando co…</t>
  </si>
  <si>
    <t>Alexando</t>
  </si>
  <si>
    <t>Gazeta de la Regencia de las Españas n.º 146</t>
  </si>
  <si>
    <t>…n la Westfulia hay mucho descontento , y los últimos papeles de París dicen que se ha dado una orden repentina para que mar chasen allá todas las tropas que había en Francfort. El emperador Alexando ha escrito una carta muy afectuosa y llena de sentimientos á la viuda del general Moreau , cuya pérdida, aunque no tiene recompensa, procura aliviarla en lo posible. ESPAÑA. Tolos a 2(5* de Octubre. Se asegura, aquí que es indudable la retirada del exército g…</t>
  </si>
  <si>
    <t>Alexandr</t>
  </si>
  <si>
    <t>Gazeta de la Regencia de las Españas n.º 71</t>
  </si>
  <si>
    <t>…guran la riqueza de nuestro suelo, y la industria de sus pueblos^ V. M. sacrificó á tan grandes intereses los cálculos de una política suspicaz, y en su segunda conferencia con el emperador Alexandr© consintió en recibir al rey de Prusia, cuj^a presencia había querido evitar por un justo resentimiento. «Ademas, era una opinión general que el rey de Prusia había si do arrastrado á su pesar al partido de la guerra. V. M. se lisonjeó con el pensamiento de q…</t>
  </si>
  <si>
    <t>Alexandre</t>
  </si>
  <si>
    <t>…tenia indicada. El mayor general conde Leuven arrojó al enemigo de Komosehin, donde hizo prisioneros á un capitán y 82 soldados polacos. Dia l.6 de Febrero. El cuartel general del emperador Alexandre y del general, en gefe se trasladará hoy á la ciudad de Mlawa. Dia 2. Los enemigos que componen la guarnición de Dantzich intentaron el 26 hacer una salida con 2000 caballos por ia parte de (1) Según la gaceta de B r 'in de 16 de Febrero y n tirios posteriere…</t>
  </si>
  <si>
    <t>Alexandro</t>
  </si>
  <si>
    <t>gaceta de la regencia DE LAS ESPAHAS DEL JUEVES 14 DE ENERO DE 1813. RUSIA. Petersburgo 15 de Noviembre de ISIS. Manifiesto del emperador Alexandro. Nos, Alexandro por la gracia de Dios, emperador de todas los Rusias &amp;€. Siendo ya á todos conocida la causa de haber traspasa do el enemigo los límites de nuestro imperio , todos deben también saber que antes del rompimiento se emplearon cuantos medios se ac…</t>
  </si>
  <si>
    <t>…r de Rusia ha concedido; particular permiso á 700 españoles desertores del exército francés para incorporarse en la legión alemana , levantada por «1 duque de Oldemburgo, tro* del emperador Alexandro.. Varias cartas del continente aseguran que Gerónimo Bonaparte lia enviado á Francia todos los efectos preciosos de Casel, y que se esperan grandes conmociones en toda la Alemania , á consecuencia de tos. desastres, que han padecida últimamente los exército*…</t>
  </si>
  <si>
    <t>Alexándro</t>
  </si>
  <si>
    <t>80</t>
  </si>
  <si>
    <t>…por el príncipe(Kutusow , rodeado de to dos, sus generales. Abrió la conferencia , dieiend que habia sido enviado p; ra pedir un arftiisticio, y suplicar al príncipe remitiese al ‘emperador Alexándro una carta de Bonaparte, que suponía conte ner proposiciones de paz, con la mira de poner fin á !a horrible efu sión de sangre causada por la desesperación y barbarie. El prín cipe respondió que no estaba autorizado para recsb r ninguna propo sición dfe paz ni…</t>
  </si>
  <si>
    <t>…de paz con la Puerta Otomana, detuvo en las fronteras del imperio un cuerpo numeroso del exército ruso mu cho tiempo despiies de comenzadas las hostilidades. Amenazado, pues , el emperador Alexandro con tan excesiva superioridad de nú mero , recurrió al plan defensivo , adoptado y aconsejado por e! gran caudillo que manda nuestras tropas en la península. En couseciieucia vimos hacer á los rusos, á,'pesar de la nmn« rosa cuba:len'a del enemigo , una retir…</t>
  </si>
  <si>
    <t>Gazeta de la Regencia de las Españas n.º 16</t>
  </si>
  <si>
    <t>…és por motivos qué se ignoran, y tuvieron orden de retirarse á sus estados, en den de se mantuvieron como simples propietarios, hasta que el hijo volvió ál favor en el reynado del emperador Alexandro , y fué por fin hecho gobernador de Mascow. Se ha recibido en esta capital el discurso del presidente de los Es tados Unidos pronunciado al abrirla sesión del congreso ; pero siendo bastante difuso se pondrán aquí los pasajes que hablan de la Gran Bre taña ,…</t>
  </si>
  <si>
    <t>Gazeta de la Regencia de las Españas n.º 17</t>
  </si>
  <si>
    <t>137</t>
  </si>
  <si>
    <t>…, cerca de 400 piezas de artillería , alguna» banderas, y muchos efectos y provisiones. _ ^ El cuerpo de Mncdonald estaba cercado, y a punto de rendir las armas; y se decía que el emperador Alexandro había ido de Peíersburgo á Wilna. „ . , .. . El comandante de las fuerzas prusianas, queriendo evitar el pe ligro que le amenazaba de ser envuelto en la ruina del exército fran cés se separó de él, y concluyó un tratado particular con el gene ral del exército…</t>
  </si>
  <si>
    <t>…igido una proclama á los polacos, diriéndoles que S M I. los tratará con clemencia, y que si es necesa rio se hará un nuevo arreglo en el gobi ruó de aquel país» Se asegura que el emperador Alexandro tiene también intención de ofrecer bu apoyo á les habitantes de Prusia, y de todos los países de Alemania sometidos á la influencia de la tiranía de Bonaparte, con tal que hagan esfuerzos para reconquistar la independencia de su patria. Se anuncia ademas que…</t>
  </si>
  <si>
    <t>Gazeta de la Regencia de las Españas n.º 23</t>
  </si>
  <si>
    <t>184</t>
  </si>
  <si>
    <t>…bres que debe levantar el Austria para auxiliar á la Francia. El príncipe Kutusow ha sido nombrado caballero de la primera clase ó gran cruz de la orden militar *de S. Jorge. — El emperador Alexandro fué Tecibido en Wilna y pueblos circunvecinos con inex plicable entusiasmo. Ei emhaxador francés Mr. Cadre ha sido despedido de la corte de Suecia. ESPAÑA. Oviedo 30' de Enero. Según cartas de Santander del 18 del presente , los franceses en traron en Bilbao…</t>
  </si>
  <si>
    <t>284</t>
  </si>
  <si>
    <t>…ncia, se hubieran visto suecos en España, así como se han visto alemanes, italianos y polacos, y Be hubieran visto también en Turquía, si el emperador Napoleón hubie se vencido al emperador Alexandro. Si para asegurar la suerte de la Suecia, procurándole seguridad para el dia y garantía para lo sucesivo, V, M. se ha visto obligado á poner en movimiento sus cxércitos, no será seguramente con la intención de conquistar provincias inútiles para la seguridad…</t>
  </si>
  <si>
    <t>…re huma na ha inundado la tierra por espacio de veinte años, y Y. M. com pletará su gloria poniendo fin á tantas calamidades. „Si Y. M. tiene por conveniente que el rey informe ai emperador Alexandro de la posibilidad de una reconciliación, tengo bastantes pruebas de la magnanimidad de este monarca para asegurar que se prestaré gustoso á tratar de un modo equitativo para vuestro impe rio y para todo el Norte. Si se verificase este suceso tan inesperado, a…</t>
  </si>
  <si>
    <t>317</t>
  </si>
  <si>
    <t>…de hacer proposiciones de paz al gobierno británico. Ei consejero Mr. Lebzeltrin, de la le gación austríaca en Petersburgo, va también con la misma comisión al cuartel general del emperador Alexandro.” Han baxaáo al precio corriente en tiempo de paz los seguros para el Báltico con motivo de afirmarse que los dinamarqueses van á disfrutar de la libertad de comercio sin ser molestados , y que tra ficarán como neutrales ; y también porque los buques que paga…</t>
  </si>
  <si>
    <t>Alexandró</t>
  </si>
  <si>
    <t>Gazeta de la Regencia de las Españas n.º 42</t>
  </si>
  <si>
    <t>…k el 6 dei corriente con esta noticia. El general Winzingerode llegó á Gorlitz (8 millas alemanas de Dresde ) el 28 de Febrero. Ea 5 del corriente debían avistarse ea Witemberg el emperador Alexandró y el rey de Prusia. ESPAÑA. Badajoz 26 de Marzo. El 24 del presente salió de esta plaza para Cáceres el Excrao. Sr. D. FraneisdOXavier Castaños con el estado mayor. Se sabe que los franceses ófeujján el campo de Arañuelo, donde una columna volan te de 220 inf…</t>
  </si>
  <si>
    <t>Álexandro</t>
  </si>
  <si>
    <t>Gazeta de la Regencia de las Españas n.º 48</t>
  </si>
  <si>
    <t>3*4 suadida deque Sk M. el emperador Álexandro se armaba para sub yugar la Europa, tratando de someterla al sistema ruso, y de dila tar sus estados hasta el norte de Alemania, no dudarla un momento en declararse y combatir para contener su ambición , guiándose por los principios politices que manifiestan…</t>
  </si>
  <si>
    <t>Gazeta de la Regencia de las Españas n.º 53</t>
  </si>
  <si>
    <t>434</t>
  </si>
  <si>
    <t>…l cuerpo del general Baiow, con lo cual reúne 40000 hombres. — Ei general W\ttgenfct=»¿i no tardará en ocupar las orillas del Elba, en donde se hallan ya al gunas tropas 9UJ&amp;S. El emperador Alexandro entró el 15 eu B/esljtu, de donde regreso el 19 á Kalitsch, acompañándole hasta una mi lla el rey de Prusia. Los suecos han tomado posesión de Stralsuud en la Poraera» nía- — El duque de Cuinberland va. á salir de esta capital para Hannover, adonde irán tambi…</t>
  </si>
  <si>
    <t>Gazeta de la Regencia de las Españas n.º 55</t>
  </si>
  <si>
    <t>453</t>
  </si>
  <si>
    <t>…lla , y esto supo nía de necesidad que se tratase con aquel gobierno sobre el parti cular. Sin embargo el emperador declaró que no consentiría que el rey enviase persona alguna al emperador Alexandro para este obje to , y haciendo así ilusoria la estipulación, vino á quedar anulada. Posteriormente se atropellaron ios incontestables derechos del rey con respecto al cuerpo de trepas prusianas que se hallaba en la Pomerania btxo el mando del general Bulow, p…</t>
  </si>
  <si>
    <t>Gazeta de la Regencia de las Españas n.º 59</t>
  </si>
  <si>
    <t>…sueco conde Axil Moiner, gran cruz de la orden de la Espada. Según noticias fidedignas, el conde Oírlos Molki ha salido de dicha capital con pliegos de grande importancia para el emperador Alexandro. El teniente Fischer salió también dos dias há de esta ciudad para Londres con pliegos importantes. No se duda ja que se verificará inmediatamente la paz con In glaterra , y que un cuerpo de nuestras tropas se reunirá al exército ruso. La vanguardia del exérc…</t>
  </si>
  <si>
    <t>Gazeta de la Regencia de las Españas n.º 74</t>
  </si>
  <si>
    <t>…l duque de Brunswick salid de- esta capital para Hamburgo. — El príncipe Bernadotte se embarco en Calscrona el dia 6 de Maya, y se le esperaba para el 15 en el cuartel general del emperador Alexandro. En un artículo de Viena dé 27 de Abril se |e*e que el archidu que Carlos se encaminaría á Bohemia, donde pasará revista á lar tropas que allí se* reúnen en calidad de capitán general de aquel rey no ; y que el alistamiento se hace con todo rigor en aquella c…</t>
  </si>
  <si>
    <t>Gazeta de la Regencia de las Españas n.º 90</t>
  </si>
  <si>
    <t>…y lejos de esto ofreció' generosamente defenderla, en vísta de io cual el rey no debió ti tubear por mas tiempo. Fiel á sus principios y á sus deberes unió sus tropas con las del emperador Alexandro, mudando de sistema sin mudar de objeto. Espera, pues, rompiendo con la Francia, y con federándose con la Rusia, obtener, por medio de una paz hon rosa, el único objeto de sus deseos; á saber, la independencia de sus pueblos, los beneficios que dimanan de ell…</t>
  </si>
  <si>
    <t>…erca de Jungbunslau), de donde su ministro de negocios extrangeros conde Metternich salió el 21 para el casti llo de Apotschaa (en la frontera de Silesia), adonde había llegado el emperador Alexandro la tarde anterior'. Es frecuente la entrada de correos y oficiales superiores de varias potencias en Praga, adonde ha llegado también un agente ingles llamado Addington. = Por Franc fort (del Mein) han pasado en el mes de Junio grandes refuerzos de artillería…</t>
  </si>
  <si>
    <t>…ias está esperando, tendrá á sus ór denes hombres. Este príncipe aprobó el armisticio por conside rarlo muy ventajoso á los aliados. Sir Roberto \Vilson ha sido condecorado por el emperador Alexandro, en presencia de todo su exército, con la orden de S Jorge, en recompensa de sus servicios en la batalla de Lutzen, y ot:*os pun tos : también lo fueron con la de Sta. Ana el capitán James, y el «apitan Carlos, edecán de Sir Roberto Wilson. ESPAÑA. México 10…</t>
  </si>
  <si>
    <t>Gazeta de la Regencia de las Españas n.º 98</t>
  </si>
  <si>
    <t>…AGOSTO DE 1813. GRAN~BRETAÍ?A. liendres 8 de Julio. El 21 de Junio llegaron á Gbttenburgo los enviados americanos Mr. Gaüatin, JSayard y Tod: van al cuartel gentraí roso, pues el emperador Alexandro ha ofrecido su mediación para componer las desavenencias entre Inglaterra y los Estados-Unidos. Los periódicos americanos pintan con vivos colores el terror que domina á los pueblos de jas costas de los Estados-Unidos. La es* eua ira inglesa ha quemado á Havr…</t>
  </si>
  <si>
    <t>Gazeta de la Regencia de las Españas n.º 101</t>
  </si>
  <si>
    <t>…príncipe. — Dicen que se concluirá en tratado de comercio entre la Prusia, Rusia y la Gran-Bretaúa. El príncipe Bérnadotte tiene actualmente á sus órdenes de 70 á 80© hombres. El emperador Alexandro, después de pasar 12 días en Opetschna, volvió al interior de la Silesia. Bonaparte sigue en Dresde, adonde llegó el ministro austriaco Metternich, y tuvo una conferen cia con Maret.— El virey de Italia ha marchado á Veroaa. ESPAÑA. México jo de Febrero. Cont…</t>
  </si>
  <si>
    <t>…estos á no concluir tra tado ninguno indecoroso con Eonaparte. Creíase generalmente en Stralsund que el armisticio no se prologaría desde el 10 en adelante; y se decía allí que el emperador Alexandro y el rey de l’rusia ha bían declarado al príncipe de Suecia que estaban resueltos 4 conti nuar la guerra. Al pasar por Lissa dicho príncipe mandó al gene ral ruso Winzmgerode, que está baxo sus órdenes, que inmedia tamente marchase con su exército hácia Berlí…</t>
  </si>
  <si>
    <t>…a ó no el armisticio. Avisan de Gottenburgo haber salido de allí para Berlín el gene ral Moreau con el objeto de conferenciar con el príncipe Bernadotte. En el cuartel general dél emperador Alexandro se celebro con un solemne Te De tan el triunfo de Vitoria, que debe tener una grande influencia en los negocios del Norte. Acerca de estos nada se sabe de positivo: los periódicos franceses habían mucho del con greso de Praga, y aun la gaceta de Francia asegu…</t>
  </si>
  <si>
    <t>…ables compatriotas; y en cualquiera parte de Espsña, donde midais vuestras fuerzas con el enemigo del género hsmano, acordaos de que debeis vuestra existencia á la generosidad del emperador Alexandro, cuyo respetable nombre honra vuestro regimiento, y que las banderas" que se os acaban de entregar están adornadas coa las ar mas de su ilustre familia. No necesitáis de ningún exhorto; lo es toy viendo en vuestras caras: venceréis en todos los encuentros; y…</t>
  </si>
  <si>
    <t>Gazeta de la Regencia de las Españas n.º 135</t>
  </si>
  <si>
    <t>…que salid de :me el 8 de Julio, conduciendo á su bordo 280 soldados y 5 ofi ciales esp. ñoles, que habiendo desertado de los exéreitos franceses, se acogieron á la protección, del emperador Alexandró, y vtieWen á so patria para vengarla.de les ultrajes de los franceses. Id. % de Octubre1 Escriben de Salamanca con fecha de 29 del pasado qué una carta particular de París asegura qué el Papa Continúa residiendo en Fon* tsir ebleau ,. en donde S. S. es tratad…</t>
  </si>
  <si>
    <t>Gazeta de Madrid bajo el Gobierno de la Regencia n.º 72</t>
  </si>
  <si>
    <t>…que verificasen, é^e movimiento por la izquierda uiiá compañía dé Ordenes que atacó la cañada de la del cerro de Sta. Bárbara por aquel lado. *'• „ El gefe dé iá1 brigada segunda D. Alexandro dé Hore ine recomienda particularmentédh bizarría de Ibs gefes, el comandante dét batallón del Ge neral D. Fermín de Mendialdua, y el teniente corohel del regimiento de Ordenes* D. Bérnardiño TiváHerV y á todos los dignos oficiales de ambos cuerpos,1 sin atre…</t>
  </si>
  <si>
    <t>…s del conde Aberdeen y del lord Cüthcart con fecha desde Francfort del 19 y n del corriente, de Sir Carlos Stewart del lé desde Hannover, y de Mr. Xhornton desde Bremen del 19. El emperador Alexandro entró en Francfort el día 5 , acompa ñado de artillería, caballería y la guardia, en medio de las aclama ciones del pueblo. , ' Al día siguiente entró el emperador Francisco, y ambos monar cas se dirigieron á la catedral. Se supone que Bonaparte escapó para e…</t>
  </si>
  <si>
    <t>…trangern, y el segundo á fin de servirse de aquellos pueblos para subyugar el resto de Europa.” Extracto de dos oficios del vizconde Cathcart desde Francfort él 8 de Noviembre. El emperador Alexandro entro el 5 al medio dra en Francfort al frente de la artillera montada , de 50 escuadrones de caballería de las guardias impendes rusas, y de algunos escuadrones de ks prusianas: fue recibido en medio de las muyeres aclamaciones de los habitantes. S. M. se pa…</t>
  </si>
  <si>
    <t>Alexandrowick</t>
  </si>
  <si>
    <t>Gaceta de Madrid n.º 13</t>
  </si>
  <si>
    <t>…cretario genera! tendrá voz deliberativa, Ladislao conde Tamo.vski, nuncio del distri xin. Todas las autoridades administrativas, ju- to de Lubartow (departamento de Lublin); Y el conde Alexandrowick, nuncio de Siedie» diciarias y militares continuarán en et exércicio de (departamento de Siediec). sus túncion.s. . i n • xxv. Se enviará una diputación a S- M. el Kei Din arso del seií.r conde Palatino Wybuki, prede S.txonia ,duque de Varsovia , para suplí,…</t>
  </si>
  <si>
    <t>AlexandTO</t>
  </si>
  <si>
    <t>…ntre Dinamarca y Rusia,, según el cual se permitirá por la Gran-Bretaña el comercio entre Dinamarca, Noruega y Rusia haxo cieitas restricciones. El día ¿rites ¿e salir de Wilna el emperador AlexandTO, lo cual se verificó el 6 de Enero, se comunicó á las tropas la siguiente or den de S. M. I. ,,Soldad?*, vuestro valor y perseverancia han sido recompensa dos con una gloriosa reputación, que llegará hasta la mas remota pos teridad- Tu estros nombres y hazaña…</t>
  </si>
  <si>
    <t>Alexaudxo</t>
  </si>
  <si>
    <t>Gazeta de la Regencia de las Españas n.º 89</t>
  </si>
  <si>
    <t>134</t>
  </si>
  <si>
    <t>…á ello, y este «onsenrimunto suponía de necesidad que se tratase sobre el particu lar. Sin embargo, el emperador manifestó no podía consentir que el tty enviase sugeto alguno, al emperador Alexaudxo con este objeta*</t>
  </si>
  <si>
    <t>Alfar, Angd</t>
  </si>
  <si>
    <t>Angd Alfar</t>
  </si>
  <si>
    <t>…Ariaiburu*, 100. D. Cristóbal Aznilcueta, 100. D. Martin Gubasola, 100. D. Ramón Azcarato, 100. D. Joaquín Lostra, 100. D Juii To nas Senoseain , 100. D. Jom B ufhta Garate, 100. D. Angd Alfar*, 103. D. Antonio Tarancc, 100. D. Fernando Mazo, 100. O. J &gt;aqnlu M^ría Ferror, 100. D Ignacio Sobrado, 100. D. Juan del Valle Ponga, 100. D. J ose Correa, 100. D. Juan Bautista Sarraoa, 103. D. S ¡bidíaa Ugardza, 100. D. Manuel Vállate, 100. D. Juan Gil , 1…</t>
  </si>
  <si>
    <t>Alfaro, Angel de</t>
  </si>
  <si>
    <t>Angel de Alfaro</t>
  </si>
  <si>
    <t>…4 id. D. Joaquín d« Asia, 4 id. D. Pedro de Vülaoampa, 4 id. D Juan Macho, 4 id. D. Be nito Ambrosio Canicoba, 4 id. D. Pedro Moreno Altusarra, 4 id. D Joaquín María Ferrer, 4 id. D. Angel de Alfaro y D. Miguel Vertiz, 4 id. D José de Lasarte, 4ríd. (Se continuará.) CADIZ : EN LA IMPRENTA NACIONAL.</t>
  </si>
  <si>
    <t>AlfonsoPeñalver</t>
  </si>
  <si>
    <t>…esta santa iglesia primada. D. Joaqujn Sobrinos, hacendado, labrador y ganadero de la villa de Talavera de la Reina. ...... Lie. D. Simón de Codes, hacendado de la villa de Ocaña. D. AlfonsoPeñalver, presbítero, hacendado de la villa de Mora. Dr. D. Josef Perez de la Maza, párroco de Santiago de Talavera. . Dr. D. Manuel de Mora, hacendado, labrador de la Guardia. N D. Gregorio Sánchez de Rivera, labrador propietario de Gerindote. Y para suplentes d los…</t>
  </si>
  <si>
    <t>Algarotti</t>
  </si>
  <si>
    <t>Gaceta de Madrid n.º 16</t>
  </si>
  <si>
    <t>65</t>
  </si>
  <si>
    <t>…era la ventana por la bahía de Gronstadt se reducen á dos,y á menos donde la Rusia mira á ia Europa; pero á este pen todavía. Muchos puertos y ciudades principales ha samiento del conde Algarotti, mas agudo que jui cen célebre el golfo de Finlandia; por el lado de la cioso, se podría oponer la pregunta ¿y que ha ga Estonia están Roggerswick ó Baltickporr, Revel nado la Rusia por mirar por esta ventana ? Cree y Narva, siendo estas dos últimas mui conoc…</t>
  </si>
  <si>
    <t>Algarra, Juan de</t>
  </si>
  <si>
    <t>Juan de Algarra</t>
  </si>
  <si>
    <t>Gazeta de la Regencia de las Españas n.º 22</t>
  </si>
  <si>
    <t>180</t>
  </si>
  <si>
    <t>…anuel de Hita. Por providencia del tribunal del consulado de esta plaza de 27 del corriente, se manda citar y emplazar á los acreedores que se es timen con derecho á los bienes de D. Juan de Algarra,, para que en el preciso término de dos años, ocurran á formalizarlo con los do cumentos que les comprueben, baxo prevención que pasado dicho término, se cancelarán cualesquiera» garant as dadas, respecto á la adjudicación que se ha declarado en favor de Doña…</t>
  </si>
  <si>
    <t>Algarra, Vicente</t>
  </si>
  <si>
    <t>Vicente Algarra</t>
  </si>
  <si>
    <t>437</t>
  </si>
  <si>
    <t>…noche puso fin á su empeño. „Yo , con tres batallones de infantería, me retiré á Potrel, que •s flanco de Castalia* y la caballería, mandada por el benemérito coronel de Oiivencia D. Vicente Algarra , subsistió en Sax. El exér cito aliado se situó en Castalia y decidido á esperar al enemigo, y este tomó posición en el puerto de Biar y Onil. Así se pasó la co che, y al amanecer del 13 se dirigió una fuerte columna de in fantería con cerca de 300 coraceros…</t>
  </si>
  <si>
    <t>Algete, Emeterio</t>
  </si>
  <si>
    <t>Emeterio Algete</t>
  </si>
  <si>
    <t>…lcalá de Henares» Suplente. I&gt;. Josef de Vargas y Ponce, académico de la Historia, é individuo de la comisión , de Instrucción publica» . ' \ m diputación próvii ' r.l -* K; o i." D. Emeterio Algete, labrador y vecino de Chinchón. . 2.0 D. Antonio Marte!, abogado de los tribunales nacionales en el cole gio de Madrid. f5,. 3.0 D. Francisco Crespo de Tejada, del comercio por mayor y giro en Madrid... . .. ,-,:r ■ ’. 4»0 IX Domingo Puta ri, presbítero. ^ :…</t>
  </si>
  <si>
    <t>Alguer, Juan de Dios</t>
  </si>
  <si>
    <t>Juan de Dios Alguer</t>
  </si>
  <si>
    <t>…los 3$ hombres que por la ma ñana bsxeron hácia este punto, y á pesar de dos tentativas que hicieron para asaltar el edificio, siempre fueron rechazados con pérdida. En seguida su coronel D. Juan de Dios Alguer dispuso saliesen dos compañías que batieron á los franceses, pudiendo por este incidente y la obscuridad cumplir la orden que le llevó el capitán de Doyle, empleado en el estado mayor de la divhion D. Ramón Abadía, que á costa del mayor peligro pudo llegar, y…</t>
  </si>
  <si>
    <t>Ali-Baxá, Meked-</t>
  </si>
  <si>
    <t>Meked- Ali-Baxá</t>
  </si>
  <si>
    <t>Gaceta de Madrid n.º 5</t>
  </si>
  <si>
    <t>…ian ya juntado Las noticias del Cayro de jo de abril dicen !o un exército en Albani, y Mr. Maddisson debe ha siguiente: berle pasado revista á principios de julio. Se cree Nuestro gobernador Meked- Ali-Baxá ha dexa- que inmediatamente después de esta revista hayan do repentinamente esta ciudad para pasar á Ale marchado los americanos para comenzar las opera jandría , donde residirá algún tiempo. Aun no se ciones ofensivas. Los habítantes de la frontera se re sab…</t>
  </si>
  <si>
    <t>Alien, Henrique</t>
  </si>
  <si>
    <t>Henrique Alien</t>
  </si>
  <si>
    <t>…epción de 1 2 niños que ha de enseñar gratis» Los pretendientes dirigirán sus mo» moríales al ayuntamiento constitucional. Zaragoza sitiada y rendida , poema heroico en latín, por D. Henrique Alien» ingles; premiado en los exámenes públicos del colegio de Winchester el día 14 de mayo de 1810: publicado en Londres por D. Manuel Abella, oficial de la éecretaría de Estado, y secretario de Ja embazada extraordinaria de España en aquella corte; y traducido '…</t>
  </si>
  <si>
    <t>Aljovin, Miguel</t>
  </si>
  <si>
    <t>Miguel Aljovin</t>
  </si>
  <si>
    <t>359</t>
  </si>
  <si>
    <t>…uan Hernández, i id. D. Antonio iiodrigsez Hernández, 1 id. D. Mateo Anta, Lid D. M;guel de Arto i a, 1 id. D. Fulgencio Antonio Zabala, 1 id. D. Francisco Antonio - Quiros, 1 id. D. Miguel Aljovin, 1 id. D. Ignacio González, 1 id. D. José Ri bera, 1 id.. D. Francisco Gavidia, 1 id. D. Juan Bautista y D. Mi guel de la V ña, 1 id.- DJ usé Aibarado, 1 id. D. Melchor í&amp;chaustegnl, 1 id. D. Francisco Montes, I id. D. Sebastian Compare!, 1 id. D. A i tordo D…</t>
  </si>
  <si>
    <t>Almansa</t>
  </si>
  <si>
    <t>…e Tuy y sus subalternos; laÍ autoridades civiles , militares y eclesiásticas de Lugo y Mondo¿edo , y las comunidades religiosas y la colegiata de la Coruña. El consejero de estado Sr. Almansa, al dar gracias á las Cortes desde Veracruz por haberle elegido para este encargo, las felicitaba por haber sancionado la constitución ; las felicitaban igualmente con este motivo el consulado de Yeracruz, el ayuntamiento de la misma ciu dad y el de Palma de…</t>
  </si>
  <si>
    <t>Almazan, Joaquín</t>
  </si>
  <si>
    <t>Joaquín Almazan</t>
  </si>
  <si>
    <t>…; por la de S. Gi líes D Pedro Marcelino Blanco; pot la 4e Santa Cruz D Francisco An tonio Rucabado y D. Diego Crespo de Tejada; por la de S. Sebastian Don Juan Antonio de Urraza, D. Joaquín Almazan y D. Juan Josef de Ojanguren; por la de S. Lorenzo D. Miguel de* Áxpe y D. Vicente Montene gro; por la de S. Miguel y S. Justo L&gt;. Manuel Segundo Martínez; per la de S. Andrés D. Domingo Fernandez Campomanes y D. Fermín Rodrí guez; por la de S. Pedro D? Josef Teodoro Santos; por la de S.…</t>
  </si>
  <si>
    <t>Almazan-, Joaquín</t>
  </si>
  <si>
    <t>Joaquín Almazan-</t>
  </si>
  <si>
    <t>…abogado ‘ del colegió ’de 'Madrid , natural de Puerto-Mingalbo, partido de Alcañiz.... . -.i ,, , ., Suplentes. i.° D. Pedro Aznar , cura de Hottaiezavnatural de Tabuetica*. •a;° D. Joaquín Almazan-, abogado' de:'Madrid, natural de Terríente, partida de Albarracjm- - K, r , ^ -i . . v or 3.0 D. Joaquín Gómez, abogado, regidor constitucionabde la ciudad de Zaragoza. 1 Oficio que el general D. Francisco Espoz y Mina ha dirigido al señor gefe político y ayu…</t>
  </si>
  <si>
    <t>Almeida, Joaquín Antonio</t>
  </si>
  <si>
    <t>Joaquín Antonio Almeida</t>
  </si>
  <si>
    <t>…los oficiales que se distinguieron con brillantez en conducir su tropa, y ven, cer lps diversos obstáculos que .encontraban, me tomo la licencia de señalar al mayor Snodgrass,. al,capitán Joaquín Antonio Almeida, al teniente An-</t>
  </si>
  <si>
    <t>Almeida, Joaquín Antonio de</t>
  </si>
  <si>
    <t>Joaquín Antonio de Almeida</t>
  </si>
  <si>
    <t>…ñana. Unacoluna compuesta ae dos piquetes del 4.® de cazadores, mandados por el te niente Antonio Vicente de Quirós; de i^o hombres del 13.° de infantería portuguesa, al mando del capitán Joaquín Antonio de Almeida, protegidos por tres compañías dél 9.0 regimiento, baxo el mando del teniente coronel Crawford, con una reserva de tres compañías de reales escoceses, mandados por el capitán Auguimbean, se formó en la derecha para atacar el reducto, baxo la dirección del may…</t>
  </si>
  <si>
    <t>Almerza, Martin de</t>
  </si>
  <si>
    <t>Martin de Almerza</t>
  </si>
  <si>
    <t>m drall, 2 id. D. Faustino del Campo, 2 id. D. Juan Llano y Cam pos, i id. D. Manuel Antonio del Portillo, 6 id. D. Santiago Rodrí guez, 2 id. D. Francisco Medina, 1 id. D. Martin de Almerza, 5 id. D. José de Aristnendi, 10 id. D. Gerónimo de Urriza, L id. D. To mas Gallegos, 6 id. IL Agustín Caldas, 1 id. D. Blas Camino, 1 id. D. Domingo Urquijo, 1 id. D. Francisco Falconi, I id. D. Francis co de Sagastaveitía„ id. D Francisco Valles, 2 id D. Fr…</t>
  </si>
  <si>
    <t>Almiras</t>
  </si>
  <si>
    <t>Gazeta de la Regencia de las Españas n.º 5</t>
  </si>
  <si>
    <t>58</t>
  </si>
  <si>
    <t>…s acometió , é hizo prisioneros 5 oficiales y 290 soldados.— Ei cuartel general está hoy en UrofF. Ei ayudante general conde Orioff DenizoíF envió dos generales de la división del general Almiras y al brigadier general Burihi; y participa que tomó 20 piezas de artillería junto á la ciudad de Kras noy. . s, . ' . ESPAÑA. Cádiz 11 efe E ero de 1813. En el courier de 23 de Diciembre viene inserto el boletín fran cés 29 y dirigido desde Mollodetslino con…</t>
  </si>
  <si>
    <t>Alonso</t>
  </si>
  <si>
    <t>Gaceta de Madrid n.º 55</t>
  </si>
  <si>
    <t>…que se fixa en la Historia literaria de Mr. Bouterwek; literarias,acabadas en el último tercio del siglo xirr por por donde claramente se dexa entender que los italia el inmortal D. Alonso el Sabio. Escribir en romance su nos no pudieron transmitirnos la poesía rimada, ni per célebre código de las Partidas para reducir á uno solo mite semejante conjetura el distinto y privativo carácter tes varios cuerpos de leyes , y uniformar la administra- q…</t>
  </si>
  <si>
    <t>Alonso, Juan</t>
  </si>
  <si>
    <t>Juan Alonso</t>
  </si>
  <si>
    <t>660</t>
  </si>
  <si>
    <t>…la cübillería, perdió también el suyo, y se di&amp;tínguió como siempre. El comandante de México capitán O. Francisco de Palacio, el capitán graduado D. José Ignacio Ib ni y el cadete D. Juan Alonso se precipitaron de tal guanera sobre el enemigo, que se hallaron dentro de un cercado rodeados</t>
  </si>
  <si>
    <t>Alonso, Martin</t>
  </si>
  <si>
    <t>Martin Alonso</t>
  </si>
  <si>
    <t>Gazeta de Madrid bajo el Gobierno de la Regencia n.º 83</t>
  </si>
  <si>
    <t>…laeta, coronel que fue del regimiento de Vo luntarios de Castilla , han quedado algunos intereses en poder de ciertas personas. Los herederos del expresado coronel podrán acudir á D. Martin Alonso de las Heras, eslíe del Carmen , núm. 7, quarto. segundo, quien les indicará el sugeto con quién deberán entenderse^sobre este particular. , Sé-baila vacante la plaza de maestro de primeras letras de la villa de Navarrete, en la Rioja:.$u dotación es de 400-…</t>
  </si>
  <si>
    <t>Alorousi, Demetrio</t>
  </si>
  <si>
    <t>Demetrio Alorousi</t>
  </si>
  <si>
    <t>Gaceta de Madrid n.º 51</t>
  </si>
  <si>
    <t>…a Valaquia. de el registro de la aduana hasta las costas de Suecia El 7 de noviembre lúe decapitado por orden de el Sund es una tabla de hielo; y si el frío sigue del la Puerta el príncipe Demetrio Alorousi, uno de los misino modo por algunos días, se podrá pasar á Sue plenipotenciarios que ajustaron el tratado de Bucha— cia por encima de el. Muchas de las embarcaciones test, y que estaba designado para principe de Va— que venían de las provincias se han quedado…</t>
  </si>
  <si>
    <t>Alquier</t>
  </si>
  <si>
    <t>260</t>
  </si>
  <si>
    <t>…or todos estas con sideraciones, deseando valerse de cuantos medios pudiesen inspirar al emperador de ios franceses sentimientos favorables á la Suecia. Ea consecuencia se pasó al ministro Alquier una nota oficial en que V.-M. se mostraba dispuesto á estrechar sus relaciones con la Fran cia , esperando que las condiciones de esta alianza serian compati bles con la dignidad y verdaderos intereses de este reyno. Mr. Alquier declaró luego que esta respues…</t>
  </si>
  <si>
    <t>…s. El resultado de ella .fui que V. M. (lebia elegir entre la interrupción de Jas .reíaciones existentes con Francia, y una declaración termal de guerra contra la Gran-Bretaña. El barón Alquier, ministro francés en atockolmo, presentó una nota oficial sobre el mismo asunto , y exigió una respuesta categórica en el término de 5 días, amenazando que saldría de Suecia si el gobierno no obedecia á la voluntad de s&gt;u amo. Cuando y. M consideró en un mome…</t>
  </si>
  <si>
    <t>…r hasta qué punto estaba 'V. M. pre venido contra nosotros, pues concediéndonos cinco dias para res ponder , nos trataba con el mismo rigor que á una nación enemiga. El oficio del barón Alquier no dexó á la Suecia mas que la deloro* aa alternativa de romper los vínculos que la unen con Francia, ó entregarse á discreción de un enemigo formidable , declarándole la guerra sin tener medios con que combatirle. ,,Cuando me determiné á aceptar la sucesión…</t>
  </si>
  <si>
    <t>…S DEL SABADO 17 DE ABRIL DE 1813. GRAN-BRSTAÑA. Umdres 12 de Mario, Continuación de (m correspondencia estire los gabinetes de Sueeio y Francia, f Oficio del barón de Engestrom al barón Alquier, fecho en Slockolmo á b de Enero de 1811. „He dado cuenta al rey, mi amo, de lo que me habéis comuni cado sobre el deseo que tiene S. M. el emperador de los franceses de estrechar por medio de una alianza los vínculos que le unen á S. M. En consecuencia me ha…</t>
  </si>
  <si>
    <t>…agi; es un interes nuestro que todos moráis, pues de otro modo ea breve obraríais como enemigos nuestros.” La Dinamarca, que había cedido á las amenazas y noticias imaginarias del barón Alquier el 3 de setiembre, ha declarado la guerra á la Suecia. Es de admirar que en esta declaración se callen las hostilidades que anteriormen te se habían cometido contra la Suecia' por mar y por tierra. Debemos espe rar que quando el gobierno dinamarqués esté info…</t>
  </si>
  <si>
    <t>Gazeta de la Regencia de las Españas n.º 150</t>
  </si>
  <si>
    <t>…s de b;ber triun fado , no le servirá entonces de nfneua modo para conseguir tan nsode ada? condiciones. Todo el Norte ve con sentimiento esta ilu sión del gobierno dinamarqués El ministro Alquier, que se man tiene allí, se asombrará de su propio poder ¿ y de los efectos de sus órdenes. En el momento en que todos los príncipes de la confe deración des Rhid se istan preparando para sacudir el yugo, es difí cil poder explicar esta hmñillacion. de. la cor…</t>
  </si>
  <si>
    <t>Gazeta de la Regencia de las Españas n.º 151</t>
  </si>
  <si>
    <t>…orte intenta justi ficarse con los aliados, respecto á su declaración de guerra contra Suecia, y pretende haber dado este paso taa solo por evadirse de las incesantes demandas del barón Alquier, que exigía se enviasen 10© hombres mas al Holstein. En esto se echa de ver sin embargo una gran diferencia entre el intento y el hecho. El enemigo no tiene ya ninguna posición fuerte en la izquierda del Elba, desde Wittemberg á Schernbeck. Sus puestos avanza…</t>
  </si>
  <si>
    <t>Alristur, Joaquín</t>
  </si>
  <si>
    <t>Joaquín Alristur</t>
  </si>
  <si>
    <t>…ndaban ; y no con meaos motivo estoy satisfecho dei valor'y dis ciplina de la tropa, de la que, por su igualdad en mérito , no hago particular mención. ,,A mi ayudante de campo el capitán D. Joaquín Alristur, que mandaba un piquete de caballería, sa le proporcionó la ocasión de distinguirse particularmente; y asi á este oficial, como á su compa ñero ti teniente coronel D. Aiexandro G onzakz los juzgo a cree do• res á la consideración ds V . JE. „La pérdida del en…</t>
  </si>
  <si>
    <t>Alten</t>
  </si>
  <si>
    <t>…n del enemigo sobre la Petite La Rhune, y habiéndola tema do , cooperó con la derecha del centro en el ataque de las al turas á ia espalda de Sarre. ,,La bridada de cabalkría d.*l general Alten, dirigida por el te niente general Sir Stapieton Cotton , siguió los movimientos del centro : había tres brigadas de artillería inglesa, con esta pgrte dtlexército , 3 cañones de montaña con el general Girón, y 3 mas con el general Cáríos Alten.. „El teniente…</t>
  </si>
  <si>
    <t>Gazeta de Madrid bajo el Gobierno de la Regencia n.º 85</t>
  </si>
  <si>
    <t>…ón del enemigo sobre ia Petite La Rhune; y habiéndola tomado, cooperó'con la derecha del cen tro en el ataque de las alturas á la espalda de Sarre. i „La brigada de caballería del general Alten, dirigida por el teniente ge-^ neral sir Stapleton Cotton, siguió los movimientos del centro: .había tres brigadas de artillería ingresa con esta parte del exército, tres cañones deonón— taña con el general Girón, y tres mas con ei general Cárlos Altén.i r; „…</t>
  </si>
  <si>
    <t>Alten, Cáríos</t>
  </si>
  <si>
    <t>Cáríos Alten</t>
  </si>
  <si>
    <t>…eton Cotton , siguió los movimientos del centro : había tres brigadas de artillería inglesa, con esta pgrte dtlexército , 3 cañones de montaña con el general Girón, y 3 mas con el general Cáríos Alten.. „El teniente general D. Manual Freyre marchó en dos colum nas desde las alturas de Mandalé hacia Ascain con el fin -de-apro vecharse de cualquier movimiento que el enemigo pudiese hacer desde la dereeh: dé su posición hüeis su centro ; y el teniente ge nera…</t>
  </si>
  <si>
    <t>Alten, Víctor</t>
  </si>
  <si>
    <t>Víctor Alten</t>
  </si>
  <si>
    <t>Gazeta de la Regencia de las Españas n.º 69</t>
  </si>
  <si>
    <t>do del general Fane, del general Eong, del general Víctor Alten, la brigada de la caballería de la Casa-Reál con ¿1 sexto regimiento por tugués , y el cuerpo español de D. Julián Sánchez : poniendo igual mente en movimiento el 22 del corriente desde Fresneda el cuartel general. »EÍ enemigo ha evacuado.á Ledesma ayer tarde…</t>
  </si>
  <si>
    <t>Gazeta de Madrid bajo el Gobierno de la Regencia n.º 6</t>
  </si>
  <si>
    <t>…ligera y la del mando r del conde de Amarante, la división española del general’ftlurilio-, y asimis mo los cuerpos de caballería 'del mando del general Fane,del general Long, del general Víctor Alten, la brigada de la caballería de la casa real, con el 6.° regimiento portugués, y el cuérpo español de D. Julián Sánchez; po niendo igualmente en movimiento el 22 del corriente desde Fresneda el quar^ tel general. ,, El enemigo ha ¡evacuado á Ledesma ayer tard…</t>
  </si>
  <si>
    <t>…rdamos su dere cha con ios húsares, la brigada de caballería del brigadier general • Tensón by , y la división ligera procedente de Izar, mientras qué la brigada de caballería del general Víctor Alten, y la de infantería del honorable coronel O-Caílaqhan, de la segunda división , subían des de Hormaza las alturas ; y el resto de las tropas ¿ mandadas, por el teniente general Sir Rolando Hi 11, amenazaban las alturas de Estepar. Estos movimientos desalojaro…</t>
  </si>
  <si>
    <t>Altén.i, Cárlos</t>
  </si>
  <si>
    <t>Cárlos Altén.i</t>
  </si>
  <si>
    <t>…otton, siguió los movimientos del centro: .había tres brigadas de artillería ingresa con esta parte del exército, tres cañones deonón— taña con el general Girón, y tres mas con ei general Cárlos Altén.i r; „E1 teniente general D. Manuel Freyre marchó en dós cólutias;dqsdelasí alturas de Mándale hacia Ascain, con el fin de aprovecharse de qiíalquier movimiento que el enemigo pudiese hacer -desde la derecha de su posición</t>
  </si>
  <si>
    <t>Altieri, Paluzzo</t>
  </si>
  <si>
    <t>Paluzzo Altieri</t>
  </si>
  <si>
    <t>Gaceta de Madrid n.º 63</t>
  </si>
  <si>
    <t>…lectoral del departamento de Roma, compuesta de TERCER. ARTICULO. los señores Luis Marconi, presidente, adjunto al ( Víanse las gazetas del 1 j y r¡ de febrero.)inaire de Roma; el príncipe Paluzzo Altieri , pro pietario, y el marques Josef Torlonia, propietario, Hemos probado que la ignorancia, la desidia y los quales han sido acompañados é introducidos en la superstición pervierten las opiniones de los hom Ja forma ordinaria , y presentados por S. A. S. el br…</t>
  </si>
  <si>
    <t>Altu-arra, Pedso Moreno</t>
  </si>
  <si>
    <t>Pedso Moreno Altu-arra</t>
  </si>
  <si>
    <t>…ea, 500 D. .Loan Pcrtica, 500. D. José Arizmendi y D. Miguel Abnorza, 500. D. J sé Antonio Errea , 500. D. José Hipólito y Don Ambrosio Ibañez, 500 D Francisco María Zuloaga, 300. D. Pedso Moreno Altu-arra , 300 D. Juan Pedro Zelayeta, 200. D. Dámaso de Arias, 200. D Matine? Partido, 200. D. Martin Axamburu, 200. D. M afras I are a, 200. D. Toribio Acebal, secretario de gobier no, 200. D. José lio dirifo, 200. D. Miguel Fermín Escurra, 200. D. Miguel Cabe’lo, £…</t>
  </si>
  <si>
    <t>Altusarra, Pedro Moreno</t>
  </si>
  <si>
    <t>Pedro Moreno Altusarra</t>
  </si>
  <si>
    <t>…pólíto y D Ambrosio íbañez, 4 id. D. Juan Miguel de Castañeda, 4 id. D. Joaquín d« Asia, 4 id. D. Pedro de Vülaoampa, 4 id. D Juan Macho, 4 id. D. Be nito Ambrosio Canicoba, 4 id. D. Pedro Moreno Altusarra, 4 id. D Joaquín María Ferrer, 4 id. D. Angel de Alfaro y D. Miguel Vertiz, 4 id. D José de Lasarte, 4ríd. (Se continuará.) CADIZ : EN LA IMPRENTA NACIONAL.</t>
  </si>
  <si>
    <t>Alva, Francisco Xavier</t>
  </si>
  <si>
    <t>Francisco Xavier Alva</t>
  </si>
  <si>
    <t>…ancisco Salvador , subtenientes del primero cántabro; D. Silvestre Hidalgo, teniente coronel; D. Bernardo Alvarez, D. José Tai la y D. Manuel Mendez, capitanes; D. Vicente Noriega,D. Francisco Xavier Alva rez y D. Francisco Fresno , tenientes ; D. Sebastian Sánchez, Don Félix Arenal, D. Juan José Paz y D. Luis Ortiz Falla, subtenientes dei de Laredo; D. José Castrejon, teniente, y D. Vicente de la Tórnente., subteniente del de tiradores de Cantabria; D: Buenav…</t>
  </si>
  <si>
    <t>Alvarez</t>
  </si>
  <si>
    <t>…s, mató 6 rebei-rdes, hirió no pocos, hizo prisionero al llamado coronel Cardón de la gavilla de Oropesa, y recegió porción de gente honrada que lleva ban consigo los malvados. El cura Alvarez, dirigiéndose por ia de recha contra un cuadro de i2&gt; infantes, cuyos costados estaban flan queados de alguna caballería, lo arrolló completamente con su fuego ,de fusilería y de-.canon á ,metralla, dexó tendidos en el campo 80 Rebeldes, destacando su.caballe…</t>
  </si>
  <si>
    <t>Alvarez, Antonio</t>
  </si>
  <si>
    <t>Antonio Alvarez</t>
  </si>
  <si>
    <t>…fusileros á D. Francisco Retana, D. Agustín Men* dioroz, D. Juan Francisco Guelbenzu , D. Joaquín Diez, D. Do mingo Zaídna, D. José Buesa, D. Antonio Gastón, D. Tomas Otochoreua , D. Antonio Alvarez , D. Manuel Sesé , D Martin Martínez, D. Antonio Laso y D. José Moriones: á subtenientes de granade ros y cazadores á D. Fermín Izu , D Sebastian Echarte , D. Mariano Oliver, D Dionisio Antoñana, D. Antonio Andia, D. Eusebio Oraá , D Mariano Gayarte , D. Faus…</t>
  </si>
  <si>
    <t>Alvarez, Bernardo</t>
  </si>
  <si>
    <t>Bernardo Alvarez</t>
  </si>
  <si>
    <t>…io y D. Francisco Mediaviila, tenientes; D. Francisco Solimi, D. Marcelo Ortiz y D. Francisco Salvador , subtenientes del primero cántabro; D. Silvestre Hidalgo, teniente coronel; D. Bernardo Alvarez, D. José Tai la y D. Manuel Mendez, capitanes; D. Vicente Noriega,D. Francisco Xavier Alva rez y D. Francisco Fresno , tenientes ; D. Sebastian Sánchez, Don Félix Arenal, D. Juan José Paz y D. Luis Ortiz Falla, subtenientes dei de Laredo; D. José Castrejon, t…</t>
  </si>
  <si>
    <t>…D. Francisco: Median villa, tenientes; D. Francisco Solimi, D. Marcelo. Ortiz y D.. Francisco Salvador, subtenientes del primero Cántabro; D. Silvestre Hidalgo, tenien te coronel; D. Bernardo Alvarez, D. Josef Talla y D. Manuel Mendez, capitanes; D. Vicente Noriega, D. Francisco Xavier Alvarez y D. Fran cisco Fresno , tenientes; D. Sebastian Sánchez , D. Félix Arenal ; D. Juan Josef Paz y D. Luiz Ortiz Falla, subtenientes del de Laredo; D. Josef Castrejon…</t>
  </si>
  <si>
    <t>Alvarez, DóFranciseo</t>
  </si>
  <si>
    <t>DóFranciseo Alvarez</t>
  </si>
  <si>
    <t>…ito de reserva, for mó un grueso pelotón de bandidos , y se dirigió para el pueblo de Nüchbtlari , donde se hallaba con su subdivisión &gt; correspbhdieiite" á este exército, el cura comandante DóFranciseo Alvarez, con el de signio de destruir á este benemérito patriota* que instruido de todé</t>
  </si>
  <si>
    <t>Álvarez, Francisco</t>
  </si>
  <si>
    <t>Francisco Álvarez</t>
  </si>
  <si>
    <t>…su intrepidez se arrojó en medio de la chusma. 6. Taguna de Piedras 2 de Abril de 1812. El teniente Don Francisco Mijares, comandante de guerrilla de la división del cura «apitan D. Francisco Álvarez, atacó con ico hombres á 400 rebel des de la gavilla de Qropesa en el rancho del Bocadito, y persiguién dolos hasta el llano de la laguna de Piedras, les mató’47» hirió á al gunos, dispersó á los demas, quitándoles 2 patriotas de Teo-caltiche que llevaban pri…</t>
  </si>
  <si>
    <t>Alvarez, Francisco</t>
  </si>
  <si>
    <t>Francisco Alvarez</t>
  </si>
  <si>
    <t>226</t>
  </si>
  <si>
    <t>…se han tomado las disposiciones necesarias para su pronta circulación. ESPAÑA. México-10 de Febrero. Continúa fl extracto de los partes de Nueva-España* 43. En 5 de Julio, el cura capitán D. Francisco Alvarez con sm cuerpo volante, y algunos fusileros y lanceros destacados por el ca pitán D. Ramón Gómez de Lir.ño, á las órdenes del capitán D. Marcos Hornelas, se dirigieron para el cerro del Alzado, cerca de la hacien da de S. Pedro de los Villalobos, donde se hall…</t>
  </si>
  <si>
    <t>Gazeta de la Regencia de las Españas n.º 70</t>
  </si>
  <si>
    <t>…l favor de la obscuridad lograron escapatse. 16. Paso desechado del Rio Ver de &lt;5 de Maye de 1812. Lntie las varias correrías que ha hecho contra la canalla la división del ctira^ comandante D. Francisco Alvarez, matando y aprisionando gran nu mero de bandidos, merece particular atención el ataque que en esta* fecha dio al cabecilla Oropesa, que acaudillaba 500 rebeldes, el co mandante de guerrilla de dicha división teniente 13. Francisco Mija res en el paso desechad…</t>
  </si>
  <si>
    <t>Alvarez, Francisco Xavier</t>
  </si>
  <si>
    <t>Francisco Xavier Alvarez</t>
  </si>
  <si>
    <t>…ncisco Salvador, subtenientes del primero Cántabro; D. Silvestre Hidalgo, tenien te coronel; D. Bernardo Alvarez, D. Josef Talla y D. Manuel Mendez, capitanes; D. Vicente Noriega, D. Francisco Xavier Alvarez y D. Fran cisco Fresno , tenientes; D. Sebastian Sánchez , D. Félix Arenal ; D. Juan Josef Paz y D. Luiz Ortiz Falla, subtenientes del de Laredo; D. Josef Castrejon , teniente, y D. Vicente de la Tórnente, subteniente del de tirado res de Cantabria; D. Buenaventura Tom…</t>
  </si>
  <si>
    <t>Alzorr, Matías</t>
  </si>
  <si>
    <t>Matías Alzorr</t>
  </si>
  <si>
    <t>…o. D. Matías Ezcay, D. Félix Beroz, D. Bernardo Sonosiain , IT Mañano Ustarroz, D. Felipe Virtus, D. Joaquín Aquerreta, D. Fermín Josué, 1), Martin Ziarriz, D, Francisco Larrodé , D. Matías Alzorr z, D. J uan Ramón Arlegui, D. Bonifacio Jaso, D; Mvouel Sancho, D. Bonifacio Martínez, D. Julián Gofr , D. Justo Taiazona, D. José María Munuce, D. Antonio Longis, D. José Canoras, D Cele Io nio Lerruz, D. Juan Macáya, D, Luis A lamo, D Francisco íturralde, D…</t>
  </si>
  <si>
    <t>Ambrona, Juan Antonio</t>
  </si>
  <si>
    <t>Juan Antonio Ambrona</t>
  </si>
  <si>
    <t>456</t>
  </si>
  <si>
    <t>…un capitán y un alférez , y 17 caballos, de los cuales 13 se han cogido sin lesión, con varios heridos; la nuestra consiste en 3 muertos, un prisionero y 12 heridos , sién dolo el teniente D. Juan Antonio Ambrona, que mandaba la cuarta compañía, y el cadete D. Manuel García, este de gravedad.—» Dios guar le á V. S. muchos años. Talamanca l.°de Abril de 1813 — Antonio Martin. — Sr. brigadier D. Juan Martin ei Empecinado, comandante general de ía quinta división del Beg…</t>
  </si>
  <si>
    <t>Ambrosi, Francisco</t>
  </si>
  <si>
    <t>Francisco Ambrosi</t>
  </si>
  <si>
    <t>…Bautista y D. Mi guel de la V ña, 1 id.- DJ usé Aibarado, 1 id. D. Melchor í&amp;chaustegnl, 1 id. D. Francisco Montes, I id. D. Sebastian Compare!, 1 id. D. A i tordo D: ñho, 1 i i. D. Francisco Ambrosi, 1 id¿ La archicofradíade Ntra, Sra. del Rosario, 10 id. D. Gregorio Lamas, 12 id. Son 379 hambres á razón de 192 ps. fs. al año por cada uno. Hacen 72768 ps. fs —D. Alberto Camino , al mes 8 ps. por ua sño, 96. D. Bero?rd no G rdíl-o, id. por 4,4S. D. Cayeta…</t>
  </si>
  <si>
    <t>Amedo, León</t>
  </si>
  <si>
    <t>León Amedo</t>
  </si>
  <si>
    <t>…cheverría , D. Lo renzo Mauleon, D. José Clemente, D. Pedro Francés, D. León Iriarte, D. Pedro Viilarroya, D Domingo Josué y D. Diego Cebadua; á ayudantes á D. Francisco Moñones , D. León Amedo, D. Manuel Mecolalde y D. Atanasio Mendivil: á tenientes á D. An drés Berrueta, D. Mariano Sauz, D. Juan Ignacio Noain, D. Fran cisco Azcarate , D. Martin Antonio Laquidaia , D Santos Ayerra, D. Tomas Ayerra, D Juan Esteban Alemán, D. León Mayo, D. Aniceto Un…</t>
  </si>
  <si>
    <t>Amhtdn, Sir Juan</t>
  </si>
  <si>
    <t>Sir Juan Amhtdn</t>
  </si>
  <si>
    <t>…del tenien te general el honorable Sir Guillermo Hesvart; la sexta división del mando del teniente general Sir Henríque Cl'ntoo; una división portuguesa á las órdenes del teniente general Sir Juan Amhtdn; una división española i las órdenes del general Murüio; una brigada de caballería al mando del coronel Grant; una brigada de artillería portuguesa mandada por el teniente coronel Tulioh, y tres caño nes de montaña á las órdenes del teniente Bobe; estas tropa…</t>
  </si>
  <si>
    <t>Amigot, Alexandro</t>
  </si>
  <si>
    <t>Alexandro Amigot</t>
  </si>
  <si>
    <t>387</t>
  </si>
  <si>
    <t>…, que le deci diese á capitular al dia siguiente. El capitán D. Juan Wadin fué muer to en esta tentativa, como igualmente el subteniente D. Francisco Pe ralta, y herido el capitán'D. Alexandro Amigot, quien después ha muerto de resultas de sus heridas, y unos 20 soldados. Todos estos bra vos oficiales lo eran del primer batallón, y su pérdida ha sido general mente sentida. En la tarde del 10 intime un parlamento al enemigo, que lo admitió gustoso; y sin e…</t>
  </si>
  <si>
    <t>Amorós, Mariano</t>
  </si>
  <si>
    <t>Mariano Amorós</t>
  </si>
  <si>
    <t>…teban Alemán, D. León Mayo, D. Aniceto Unciti y D. Sebastian íso : á alféreces á D. Nicolás Sada, D. Lucas Munarriz, D. Francisco Ruiz , D. Cristóbal Pereti, D. Mariano Raqpedano, D. Mariano Amorós, D. Manuel Rodrigo, D. Gregorio Lagarda, D. José García, D. Antonio Ortíz, D. An gel Martínez, D. Antonio Blesa, D Fermín Fabiano, D. Pedro Garrea, D. Pablo Franca, D. Antonio Santos, D. Manuel Uría^ D. Bernardo Uriz, D. Geferino Galindo y D. Seraíin Ockoa. C…</t>
  </si>
  <si>
    <t>Amstrong</t>
  </si>
  <si>
    <t>Gaceta de Madrid n.º 75</t>
  </si>
  <si>
    <t>399</t>
  </si>
  <si>
    <t>…r. Emtis, determinado que el apronto del departamento del secretario de guerra, ha dado su dimisión , y se Sena por ambos respetos se incorpore en los regi creíalo reemplazaría el general Amstrong: e^ta mu mientos de caballería de su guardia, los 500 hom danza anuncia Ja vigorosa continuación de la guer bres ofrecidos entrarán con sus caballos en el se ra. (The Star.) gundo regimiento de lanceros, y los 200 caballos Buenas-Aires 21 de octubre. La disco…</t>
  </si>
  <si>
    <t>An</t>
  </si>
  <si>
    <t>…Brull .* á tenientes de granaderos y. cazadores á D. Isidoro IrachMta, D. Martin de Yoldi, D. Martin Gastón, D. Vicente Pe- rez, D; Pedro Osta, D. PrudencLoBujandayD- José Orduna,D. An gel El vial de. D- Marianos Jlundain , D. Federico G billón , D. Luis Ganuza, Fan^ rancisco Ilundáin, D. Florencio Olabé ,&lt;D. Francisco Antonio Asuran D. Tomás Zubiri, D. Pedro Miguel Salvador , Don Prudencio Cortazar , D. Celedonio Gómez , D. Juan Braulio Di…</t>
  </si>
  <si>
    <t>…eón Iriarte, D. Pedro Viilarroya, D Domingo Josué y D. Diego Cebadua; á ayudantes á D. Francisco Moñones , D. León Amedo, D. Manuel Mecolalde y D. Atanasio Mendivil: á tenientes á D. An drés Berrueta, D. Mariano Sauz, D. Juan Ignacio Noain, D. Fran cisco Azcarate , D. Martin Antonio Laquidaia , D Santos Ayerra, D. Tomas Ayerra, D Juan Esteban Alemán, D. León Mayo, D. Aniceto Unciti y D. Sebastian íso : á alféreces á D. Nicolás Sada, D. Lucas…</t>
  </si>
  <si>
    <t>Gaceta de Madrid n.º 36</t>
  </si>
  <si>
    <t>…ca á quantos intenten ha Niñas , en te que tura el .papel de Dolía Irene !a señoracerles semejantes argumentas. ,,'Si en circunstan María Ribera, actriz jubilada, y el de barba el señor An cias extraordinarias, dice el articulo 308 del títu tonio Ponce, y la opereta el Secreto, intermediada con. lo v, capítulo m, la seguridad del estado exigiese el'bbléro. Se cobrara J¿e subida. A las siete. en toda la monarquía ó en parte de ella la suspen - É…</t>
  </si>
  <si>
    <t>Gazeta de la Regencia de las Españas n.º 68 (extraordinaria)</t>
  </si>
  <si>
    <t>…arlos en propiedad para desempeñar las expresadas secretarías. Tendréislo en tendido para su cumplimiento, y lo co municareis á quien corresponda. — Cá diz 30 de Mayo de 1813. — A D. An tonio Cano Manuel.” ..'.'■i ' K En la noche del 27 al 28 del pasado evacuaron los enemigos la capital en nú mero de 5000 hombres con bastante ar tillería, habiendo inutilizado la que no sé pudieron llevar. El jueves 27 á las 8 de la mañana salió el convoy con…</t>
  </si>
  <si>
    <t>Gazeta de Madrid bajo el Gobierno de la Regencia n.º 20</t>
  </si>
  <si>
    <t>216</t>
  </si>
  <si>
    <t>…exigirán g rs.lt en las librerías da Castillo* Trente i las gradas de S. Felipe, y de Perez, calle.de las. Carretas. l. Exposición que en favor de Jos ayuntamientos leyó el señor diputado An tonio de Capmani en la sesión pública de las Cortes el día 18 de junio dé i8ig. .Se Jiaílará en la librería de Quirogá* calle 4® las Carretas, fonda del Angel. 1 Las corridas de toros vindicadas pbr*un chispero en conversaciones famifiare#, en las quales tamb…</t>
  </si>
  <si>
    <t>481</t>
  </si>
  <si>
    <t>…ipriníeío-CiánÜbro,? y/Dt’ Joaquín capira-n dé tiradores de Cantabria. .«&gt;h: .A rib v, : ? ,nr: xveri v crin 'o;Los heridos'son D: Abtonio&lt;iBaosivi:£.«ubténieuite- del de Toledo ;&gt;D. An drés Narvaez y'D..'Francisco Romero, tenientes del de Monterei; T).• Juab^ de Asas y*D; Josef Puma rejo , f,ententes del regimiento, de .Marina; D. Ce^ ferino Araujo,.Subteniente del .del Beniavente.;, D: Félix; Car ai ra ,*cbi:ú¿d ,.»y» D. Alberto Gutiérrez,…</t>
  </si>
  <si>
    <t>…letrado de primera ins-‘ tanda de esta villa, se cita, llama y emplaza á los parientes y demas personas que presuman tener derecho á lo» bienes quedados por fallecimiento del Líe. D. An drés González de Gómez, ábogado tjtíe' fue de los realas consejos y det colegid de esta corte , ínatural de la vilia. de Gata , obispado de'Coria, hijo légítimódd Don Andrés González de Gómez y Doña María Teresa. Rodríguez Giraldoy para que' dentro del términ…</t>
  </si>
  <si>
    <t>1129</t>
  </si>
  <si>
    <t>…dad el dia 2 del corriente , acompañado de los se ñores auditor general de guerra D. Manuel Santurio, el secretario de S. E., los individuos del ílutre ayuntamiento constitucional D. An gel de la Riba y D. Julián Suarez , y el médico D. Juan Camiña; recorrió detenidamente todas las piezas de tan inmunda zahúrda, re cogiendo los memoriales que le presentaron ios infelices presos, dán doles las mas seguras esperanzas de alivio en cuanto sea co…</t>
  </si>
  <si>
    <t>An, Francisco</t>
  </si>
  <si>
    <t>Francisco An</t>
  </si>
  <si>
    <t>Gazeta de Madrid bajo el Gobierno de la Regencia n.º 12 (extraordinaria)</t>
  </si>
  <si>
    <t>…tos. J 99 GAZETA EXTRAORDINARIA DE MADRID DEL VIERNES 25 DE JUNIO DE 1S13 BAXO EL GOBIERNO DE LA REGENCIA DE LAS ESPANAS. Madrid 25 de junio. El sepor gefe política, el intendente general D. Francisco An tonio de Góngora, y el comandante general de la provincia y go bernador militar de esta plaza , han recibido á las nueve de la ma ñana de hoi la siguiente noticia oficial, que Ies comunica el Excmo. Sr. D. Francisco Xavier Castaños. »» El exército enemigo reu…</t>
  </si>
  <si>
    <t>An, José</t>
  </si>
  <si>
    <t>José An</t>
  </si>
  <si>
    <t>…o tengo el honor de incluirle adjunto Jos partes que me lian dado los señores comandantes generales de lasVlivisiones, y por mí me limito á recomendar á V. E. al mariscal de campo D. José An tonio Latorre, al brigadier D. José Aymerich , al coronel D. Alexandro Hore, al capitán de reales guardias Españolas D. Ramón Figueroa , y al sargento mayor del regimiento de Pravia D. Francisco Ca brera. , /i «Adjunto tengo el honor de incluir á V- E. el est…</t>
  </si>
  <si>
    <t>Gazeta de la Regencia de las Españas n.º 162</t>
  </si>
  <si>
    <t>…gra duado de teniente coronel D. Vicente de Irañeta; el teniente Don Santiago Medrano, y el subteniente D. José Miguel, del regimiento de Baza; el capitán D. Joaquín Manresa, y él teniente D. José An tonio de Miguel, de Leales Manresanos ; el subalterno contuso lo es «1 subteniente del regimiento de Baza D. Juan del Castillo. Seguida. Ei único prisionero que se tuvo faé por haber sido in te* herido. = San Feliú de Codlnas 8 de Noviembre de 1813. =;EI gefe…</t>
  </si>
  <si>
    <t>An-</t>
  </si>
  <si>
    <t>…on brillantez en conducir su tropa, y ven, cer lps diversos obstáculos que .encontraban, me tomo la licencia de señalar al mayor Snodgrass,. al,capitán Joaquín Antonio Almeida, al teniente An-</t>
  </si>
  <si>
    <t>954</t>
  </si>
  <si>
    <t>…toda- destruida, quedando prisioneros cíos tenientes, un sargento y 33 soldados, y muertes los demas en el campo .de batalla. «El capitán Vicente, los subtenientes D. Alexo Vsils, D. An-</t>
  </si>
  <si>
    <t>Ana, María</t>
  </si>
  <si>
    <t>María Ana</t>
  </si>
  <si>
    <t>…n arreglo á la Constitución. La Regencia del reyíso ha recibido la desagradable noticia de haber fallecido en Rio-Jaoeyro el ió de Mayo próximo pasado la serenísima señora infanta Doña María Ana, tía de S. A. R. el señor príncipe regente de Portugal. Con tan ic&amp;Bvto motivo ha tenido á bien mander S. A. que ia corte se vista de luto por dos semanas, una riguroso y otra de alivio, desde lioy 28. Cuando en el año próximo pasado comenzó la guerra entre l…</t>
  </si>
  <si>
    <t>554</t>
  </si>
  <si>
    <t>…ÑA. Cádiz 28 de setiembre. La Regencia del reino ha recibido la desagradable noticia de haber fallen cido en Rio-Janeiro el 16 de mayo próximo pasado la Serenísima Señora In fanta Doña María Ana, tia de S. A. R. el Señor Príncipe Regente de Por tugal. Con tan infausto motivo ha tenido á bien mandar S. A. que la corte se vista de luto por dos semanas,,una riguroso y otra de alivio, desde hoi. ( G azeta de la Regencia.) t Madrid 6 de octubre. Después d…</t>
  </si>
  <si>
    <t>'i 417 la corte por el . fallecímiento dé la serenísima señora infanta Doña María Ana, que santa gloria haya.” . . Se fea publicado en trances y vascuence la siguiente proclama del feld mariscal marques de Wellington, comandante en ge fe de los ejércitos aliados £cc. &amp;t. Las autoridades constituidas en las ciudades y lugares del terri torio fr…</t>
  </si>
  <si>
    <t>Anant, Juan Esteban</t>
  </si>
  <si>
    <t>Juan Esteban Anant</t>
  </si>
  <si>
    <t>…pitanes de fusileros á D. Ramón Navarlaz, D. Hilario Mar co, D. Ramón Marichalar, D. Juan Badina y D. Juan Francisco Zarimluqui: á ayudantes á D. Pascual Sanz, D. Domingo Olejua , Don Juan Esteban Anant, D. Juan Monton ,D. Ramón Díaz de Itarraza, D. Ambrosio Dorregaray, D. José Mari a Larcano j Joaquín Mezquiriz, D. Santiago Arizavala, Dj Ildefonso Zizur, D.José Pinilla y D. Pedro Brull .* á tenientes de granaderos y. cazadores á D. Isidoro IrachMta, D. Mart…</t>
  </si>
  <si>
    <t>Anchuelo, Manuel</t>
  </si>
  <si>
    <t>Manuel Anchuelo</t>
  </si>
  <si>
    <t>Gazeta de Madrid bajo el Gobierno de la Regencia n.º 21</t>
  </si>
  <si>
    <t>PDF p. 13</t>
  </si>
  <si>
    <t>…, 11. D. Josef Martin y Montes, natural y,residente en Torrejon de Velasco. 12. D. Patricio Magano, natural de Fuencarral, y residente en Madrid. 1 ' , Del partido de Alcalá. i.° D. Manuel Anchuelo, vecino de Anchuelo. 2.0 D. Felipe Perez Valle , cura dé la villa de Camarina de Esteruelas. 3.0 D. Francisco Fernandez Gaseo, vecino de Daganzo de arriba. ARTICULO DE OFICIO. Al señor secretario del despacho de la Guerra se ha comunicado por los secretarios…</t>
  </si>
  <si>
    <t>Andatuce, Antonio</t>
  </si>
  <si>
    <t>Antonio Andatuce</t>
  </si>
  <si>
    <t>…to segundo. D. Ramón del Casal, substituto primero. Barrio de Capuchinos de ¡a Paciencia. D. F rancisco Ortiz , substituto segundo. D. Vicente Zally, alcalde. Barrio de S. Isidro. D. Antonio Andatuce, substituto primero. D. Tomas Perez , alcalde. D. Manuel Pardo, substituto segundo. D. Pedro Brugada, substituto primero. Nuestros ministros de la Policía general, de la D. Lázaro Soto, substituto segundo. Justicia y de lo Interior quedan encargados de la exe…</t>
  </si>
  <si>
    <t>Andia, Antonio</t>
  </si>
  <si>
    <t>Antonio Andia</t>
  </si>
  <si>
    <t>…, D Martin Martínez, D. Antonio Laso y D. José Moriones: á subtenientes de granade ros y cazadores á D. Fermín Izu , D Sebastian Echarte , D. Mariano Oliver, D Dionisio Antoñana, D. Antonio Andia, D. Eusebio Oraá , D Mariano Gayarte , D. Faustino Irigoyen , D. Antonio Ladrón, D. Antonio Zabalza, D. Felipe Vicuña, D Manuel Arragu i, D Manuel Otayza, D Ramón Tajonar, D. José Hernández, D. Gregorio Beriani, D. Domingo Ihañez, D. Eusebio Ocha de Alda, D A…</t>
  </si>
  <si>
    <t>Andorra, Agustín</t>
  </si>
  <si>
    <t>Agustín Andorra</t>
  </si>
  <si>
    <t>…ro Ira heta, quien con 5 soldados acometió á los ene migos con tal denuedo, que los hizo dispersar, y los desalojó de una altura que ocupaban ; al granadero Joaquín Erdczain, y al sargento Agustín Andorra, que habiéndose adelantado sabré todos, hicieron prisionero al capitán de granaderos del 105 , y ©ataron inmediato á este á otro capitán La pérdida de este batallen ha consistido en % muertos, 43 heridos y un cantuso. La del mió ha sido de 55 he ridos y 7 mue…</t>
  </si>
  <si>
    <t>Andrade, Gerónimo</t>
  </si>
  <si>
    <t>Gerónimo Andrade</t>
  </si>
  <si>
    <t>mo 24. D. Gerónimo Andrade, id. por 10, 120. D. Joaá Posso Fernán* de*, id. por 15, 180. D. Juan Amonio Miranda, íi. por 8, 96 D. Jo* sé Quiri&gt;ga,id. por 8. 93. D. J»ian Mnriie&amp;so, id. p:r 4, 48 D Juaa • Rtfymúndae, id por Ü, 96. D. Juan de Sapinos a, id. por 8, 9&amp;¡ D. José Roso, id. p…</t>
  </si>
  <si>
    <t>Andrade, José</t>
  </si>
  <si>
    <t>José Andrade</t>
  </si>
  <si>
    <t>…e Junio dé zzTomas José González Carvajal. Por disposición del tribunal del Consulado de esta plaza del dia i.° del corriente en autos concurso de acreedores á la testamentaría de D. José Andrade, vecino que fué de la Habana, se manda citar y emplazar por término de cuatro meses á D. Francisco Sabugo , Doña Margarita Fábrega, D. Francisco Alegre y Doña Cayetana Rosier, para que por sí, sus apoderados , herederos y representantes acudan al tribunal á r…</t>
  </si>
  <si>
    <t>Andrade, José de</t>
  </si>
  <si>
    <t>José de Andrade</t>
  </si>
  <si>
    <t>564</t>
  </si>
  <si>
    <t>…e por aquellas costas. En autos número 153 del año pasado de 1812 pendientes en este tribunal del consulado de comercio, que son de ocurrencia de acree dores á la testamentaría de D. José de Andrade, vecino de la Ha* baña, se ha decretado en 7 del corriente citar á cualquiera persona que se considere con derecho i los bienes de dicha testamentaria, ara pago de cuyos descubiertos por las consignaciones que se le Eicieroa de dependencias por varios individ…</t>
  </si>
  <si>
    <t>Andrade, Navarro de</t>
  </si>
  <si>
    <t>Navarro de Andrade</t>
  </si>
  <si>
    <t>…por el Emperador de Rusia Alexandro al caballero Rodri go Navarro de Andrade, actual encargado de Negocios de S. A. R. el Príncipe Regente cerca de S. M. el Rey de Cerdeña, Señor caballero Navarro de Andrade: Siéndome bien conocido quanto os habéis desvelado en el progreso de las calentura de Berthier se presentan al parecer como precursores de alguna catástrofe; y no dudamos ya que el exército francés habrá sufrido una gran derrota, que al fin confesarán en ios…</t>
  </si>
  <si>
    <t>Andrasy</t>
  </si>
  <si>
    <t>…os medios de subsistencia, hicieron necesario ca minar hacía B, h mia para e&lt;tar mas cerca de nuestras provisiones. Ea dichas «Cviones cenemos que lamentar la pérdida del valeros© general Andrasy, y del generat ruso Miles &gt;¡mo: el fe.d-marica! conda Giuiay, y los g nerales Maniassy y Fri_reberger, fueron he ridos: los generales Músico y Seczen no se sabe de ellos. Tofliiz 31 de Agosto. Habiendo desconocido el enemigo las causas que nos movieron á retr…</t>
  </si>
  <si>
    <t>Andrea, Irene de</t>
  </si>
  <si>
    <t>Irene de Andrea</t>
  </si>
  <si>
    <t>694</t>
  </si>
  <si>
    <t>…reos. • , En la villa de Maranehon , provincia de Guadalaxara, se celebra nueva mente en los viernes dé-dada semana el mercado que se había suspendido por la invasión del enemigo. Doña Irene de Andrea, vecina de está capital, á quien en el mes' de agosto del año 12 '^c la desapareció un hijo llamado D. Juan Bautista Laborde, de edad de 18 años, y de copa existencia ha ignorado hasta pocos días há que fa han asegurad» haber pasado e! dia t í dé mayo por Viü…</t>
  </si>
  <si>
    <t>Andrene</t>
  </si>
  <si>
    <t>Gaceta de Madrid n.º 121</t>
  </si>
  <si>
    <t>…los seis millas- de distancia1; pero ames que llegaran las coroneles Lewis y Alien. . : demas tropas (el regimiento deOhio, mandado por „E1 general Tupper se ha puesto en cami el coronel Andrene) tuve noticias positivas de que no para incorporarse con el general Harrison, a la derrota habia sido completa, y los generales Pay- quien hace algún tiempo se juntaron .ya las bri ne y Perkili con los oficiales de línea opinaban que gadas de los generales Pe…</t>
  </si>
  <si>
    <t>Andreosi</t>
  </si>
  <si>
    <t>Gaceta de Madrid n.º 138</t>
  </si>
  <si>
    <t>…costumbre los presentes magntñqps en el 5 de abril.confituras que le han enviado las legaciones extran jeras. Las noticias de Dantzick eran satisfactorias; su El 2 de este mes el general Andreosi, etnbaxa- numerosa guarnición habia formado campamentos dor de Francia, ha tenido su primera audiencia so fuera de la plaza, de la que estaba bastante apar lemne del Gran Señor. S. E. ha sido recibido con tado el enemigo, sin intención, según demostra todas l…</t>
  </si>
  <si>
    <t>Andreossi</t>
  </si>
  <si>
    <t>Gaceta de Madrid n.º 120</t>
  </si>
  <si>
    <t>Nóm. 120. 477 GAZETA DE MADRID DEL VIERNES 30 DE ABRIL DE 1813. TURQUIA. El señor conde Andreossi, embaxador d« Fran cia, ha tenido el 6 de este mes la audiencia solem Constant inopia 16 de febrero. ne de recepción en la casa del Caimacan-baxá, El 30 de enero , al rayar el dia , las salvas de donde fue recibido con todos los honores y distin artillería de…</t>
  </si>
  <si>
    <t>Andrés</t>
  </si>
  <si>
    <t>…sente en esta junta general. Ea el acto de exhibir las acciones y los documentos que van preve nidos , se dará á cada vocal una esquela rubricada por el secretario del mismo banco D. Andrés de la Cuesta, que deberá presentar al tiempo de entrar en la junta para asegurar la legitimidad de la re presentación de cada individuo. No siendo posible que muchos ó los mas de los accionistas residentes en esta ciudad, venidos de otra3 provincias del reyno…</t>
  </si>
  <si>
    <t>Andreu, Esteban</t>
  </si>
  <si>
    <t>Esteban Andreu</t>
  </si>
  <si>
    <t>…n otra mucho mayor de enemigos, que desde Olot iban á S. Feliu por el mismo camino, y ae resultas se trabó la acción que se manifiesta en el siguiente parte, que el mismo teniente coronel D. Esteban Andreu pasó al coronel de su cuerpo. ,, Con arreglo á las instrucciones de V. S. he salido esta mañana con la compañía de cazadores y tercera de fusileros, con 10 caballos al mando del alférez D. Juan Gómez del esquadron del General, para practicar el recono cimient…</t>
  </si>
  <si>
    <t>AndrianofF</t>
  </si>
  <si>
    <t>Gazeta de la Regencia de las Españas n.º 19</t>
  </si>
  <si>
    <t>154</t>
  </si>
  <si>
    <t>154 aquella plaza encaminándose á Groduao, destaco inmediatamente do« regimientos de cosacos al mando del coronel AndrianofF para ocu parle , y al misir o tiempo envió partidas por los caminos que condu cen ó Grodno y Slonim. Id. 16. También refiere con fecha del 15 que el general austría co Moore estaba el 14 con su destacamento en Rou mhüny, y sien do observado por los cosacos ,…</t>
  </si>
  <si>
    <t>Angla-, Josef</t>
  </si>
  <si>
    <t>Josef Angla-</t>
  </si>
  <si>
    <t>Gaceta de Madrid n.º 112</t>
  </si>
  <si>
    <t>…abía hecho hasta ahora, sino que se le trata ximas cortes D- Josef Llocer, fiscal del tribunal ba con mayor rigor, negándole hasta los auxilios del santo oficio de la inquisición, D. Josef Angla- espirituales, y nuevamente sin motivo se le había sell, alcalde mayor de lárrega , y D. Joaquín Rei, trasladado á un calabozo subterráneo. La comisión juez de la universidad de Cervera. Esto ha cau- de justicia, en vista de esta reclamación y de lo .sado no p…</t>
  </si>
  <si>
    <t>Angulo, Antonio López</t>
  </si>
  <si>
    <t>Antonio López Angulo</t>
  </si>
  <si>
    <t>Gazeta de la Regencia de las Españas n.º 63</t>
  </si>
  <si>
    <t>…caballos déla guardia reaicen preparati vos de ponerse en marcha para Pe ñafie!. Mil dificultades se me ofrecían para poder realizar una sorpresa que llenase mi deseo. Mi segundo D. Antonio López Angulo se hallaba distante con el segun do batallón y restantes tropas del primero: los infantes y caballos se hallaban algo cansados á causa de unas marchas rápidas en los días antefieres : la villa de Roa ofrecía una posición, que ademas de es tar mu: gda, es nn f…</t>
  </si>
  <si>
    <t>Angulo, Ramón de</t>
  </si>
  <si>
    <t>Ramón de Angulo</t>
  </si>
  <si>
    <t>…s alcaldes, re gidores y procurador síndico; y salieron electos para alcaldes el conde de Morezuma y,D. Nicolás de Garro, marques de las Hormazas: para regido res conde de Sáceda, D. Ramón de Angulo, D. Joséf de Tejada Ruiz, D. Antonio Landaiuce, D. Josef Hernández Martínez , D. Santiago1 de las Rivas, D. Josef de las Barcenas, D Tomas Púertolas; y para procurador síndico general D. Josef Teodoro Santos. La Regencia del reino ha dispuesto que el literato…</t>
  </si>
  <si>
    <t>Ani</t>
  </si>
  <si>
    <t>…llego, D. Cayetano Ramos, D. Joaquín Encara y D. Ga« bino Montes : 6 capitnlares , chantre , lectora!, doctoral, 'arcediano de Cea, D. Luis Otpzo y D. Gabriel Alonso; 3 hacendados D. Ani ceto Cavero , D. Ruperto Cea y D. Benito Merino, y 2 cemerciantes Puclits y Coi tés: pidieron racionas solo para aquel día, y á las 11 de la mañana del 4 salieron con dirección ¿ Man silla , dexando encargada la pronta remesa de 20 colchones , 40 sábanas de p…</t>
  </si>
  <si>
    <t>Anieva, Francisco</t>
  </si>
  <si>
    <t>Francisco Anieva</t>
  </si>
  <si>
    <t>Gazeta de la Regencia de las Españas n.º 76</t>
  </si>
  <si>
    <t>6$2 En tabaco. Libs. D. Francisco Palacios en diferentes cali dades...................... 654 D.Ju a 11 Montalvo. . BS j D. Francisco Anieva. 427 V Sa valor en ps. 667 6 8 D. Matías Perez. . . 1145 Total. ... 2314 -............................................. ■ ■»-.........................&gt; ' &gt; Con el fin de dar en la península un crecido aumento á este do nativo, y con ei de proporcionar á la ca…</t>
  </si>
  <si>
    <t>Aniillon</t>
  </si>
  <si>
    <t>Gazeta de Madrid bajo el Gobierno de la Regencia n.º 76</t>
  </si>
  <si>
    <t>722</t>
  </si>
  <si>
    <t>…es está depositada la soberaneóle la nación, faltaríamos á nues tro deber si no diésemos noticia del suceso desagradable ocurrido en la no che del 3 del corriente mes con el señor diputado Aniillon, y del noble mo do de pensar de sus dignos compañeros. Ei siguiente extracto de las sesiones de Cortés dará idea de dichí» acontecimiento. Dia 4. Se vio un oficio del señor Antilloji, participando al señor presi dente que anoche al retirarse del Congreso, y e…</t>
  </si>
  <si>
    <t>Anikade</t>
  </si>
  <si>
    <t>…stencia del enemigo, que ni aun tímenos el gusto de ver, y aquella misma noche llegaron á Córdoba 200 mientes y 50 caballos que destaqué á auxiliarla, y que regresaron el 4 con el coronel Anikade y 2 cañones, uno de á (i de fierro, y otro enterrado en estas inmediaciones. „Todas las tropas pelearon con extraordinario valor, y seria injusticia el particularizar á nn cuerpo mas que á otro; pero la suerte hizo que las compañías de granaderos y cazadores…</t>
  </si>
  <si>
    <t>Anlep, Juan González</t>
  </si>
  <si>
    <t>Juan González Anlep</t>
  </si>
  <si>
    <t>Gazeta de Madrid bajo el Gobierno de la Regencia n.º 34</t>
  </si>
  <si>
    <t>349</t>
  </si>
  <si>
    <t>…. las:éiéi á todos los señores gefes, oficiales y. tropa que concurrieron á'esta acción ,y'particularmente á los señores coroneles de Palma y coraceros D. Josef Ramón de Caries }r Don Juan González Anlep. Igualmente ha dispuesto que á la tropa se la gratifique con 3© rs., y que á los señores oficiales se.Jes haga entender que les tendrá presentes á su de bido tiempo para recompensar su mérito. Lo que de orden del señor general én gefe/sé hace saber al exércit…</t>
  </si>
  <si>
    <t>Ansa, Sebastian</t>
  </si>
  <si>
    <t>Sebastian Ansa</t>
  </si>
  <si>
    <t>Gazeta de la Regencia de las Españas n.º 9</t>
  </si>
  <si>
    <t>76</t>
  </si>
  <si>
    <t>…ravilla, IX José ítútria, IX Pedro Mayó , U. Ambrosio Seguin , D. R ímon Artica, IX Agus-* ílu Góngora , D -Félix Miranda ,' D. FideL Boira , D. Ramón Elorrio, Jó. Joaquín Ferrér, D. Sebastian Ansa, I). Sebastian Goñi, D Fausto-* Lantler, D. Miguel Asíiz, D. José Apellaniz, D. José Antonio Escu dero. . ! (Se continuará.) id €M)ÍZk *EN LA IMPRENTA NACIONAL.</t>
  </si>
  <si>
    <t>Ansí</t>
  </si>
  <si>
    <t>…RTEL DE MARAVILLAS. D. F vancisco Mata, substituto primero. Barríc de S. Basilio. D. Antonio Poma redo, substituto segundo. D. Francisco P.uiíio, alcalde. Barrio d’ tas Vistillas. D. Ansí res Ortiz , su'vriiuto primero. D. Pedro Lu is Nápolt, alcalde. D. Santiago de la Peña, substituto segundo. D. Migue! Oquendo,substituto primero. Barrio de la Buena-Dicha. D. Angel de Sata, substituto segundo. D. Rafael Flores, alca,Je. Barrio de la Latina. D…</t>
  </si>
  <si>
    <t>Anson</t>
  </si>
  <si>
    <t>…ara defender los que hay sobre el Zadorra en estos lugares. El brigadier Pack con su brigada portuguesa, y @1 coronel Tonga cón su división española, sostenidos por la brigada del general Anson, y la quinta división de infantería del mariscal de campo Osibaid , destinado á mandar todas estas tropas, tuvieron ofi cien de envolver y ganar las alturas. „E1 teniente general Sir Tomas Graham me da parte de que en la execucion de este servicio los portugu…</t>
  </si>
  <si>
    <t>…ra defender los qüe hai sobre el-Zadorra en estos lugares. El brigadier Pack con su brigada portuguesa, y el¡ coronel Longa con su división española, sostenidos por la brigada del general Anson, y la quinta división de infan tería del mariscal de campo Osibald, destinado á mandar todas estas tropas, tuvieron orden de envolter y ganar las alturas.</t>
  </si>
  <si>
    <t>Gazeta de la Regencia de las Españas n.º 87</t>
  </si>
  <si>
    <t>…orta de la columna pudo subir por el monte en el mismo dia, y hasta el 24 muy entrado no pude mover me desde Segura sobre Villafraoca con la brigada de dragones lige ros del mayor general Anson, los dos batallones ligeros de ia guar dia real, y las dos brigadas portuguesas, no habiendo llegado aun las demas tropas. «La retaguardia de. la columna enemiga iba entonces pasando por el camino real de Villa Real y Viliafranca , y ocupaba con fuerzas consi…</t>
  </si>
  <si>
    <t>Ánson</t>
  </si>
  <si>
    <t>214</t>
  </si>
  <si>
    <t>…te corta de la coluna pudo subir por el monte en el mismo dia, y hasta el 24 mui entrado no pude moverme desde Segura sobre ViUafranca con la brigada dé dragones ligeros del mayor general Ánson, los dos batallones ligeros de la guardia real y las dos brigadas portuguesas, no habiendo llegado aun Tas demas tropas. ,, La retaguardia; de la coluna enemiga iba entonces pasando por el ca mino real de Villa Real y ViUafranca , y ocupaba con fuerzas consid…</t>
  </si>
  <si>
    <t>Ant</t>
  </si>
  <si>
    <t>…illante conducta que en estaac¿en han o~J5ervado l~s cuerpos queteogo el hon~r de mand~r,·tampoco ,·tne es fácil manifestar el.válorcon .que se han comportado los dignísimos gefes D. Ant)nio Bray, coronel del reghl1i~n to Tiradol"cs ~e Cádiz, D. JuanTer~D yD. Joaquia ,Henriquez, teniente eorose!, y sar5eBto mayor del regimL'!nto primero 'voluntarios ,de Arag:&gt;n, h3hiendo ·sido e~.te,úItimo levemente 'herido, ·D. Jos6 He::n'audez de Tejada y .…</t>
  </si>
  <si>
    <t>Anta, Mateo</t>
  </si>
  <si>
    <t>Mateo Anta</t>
  </si>
  <si>
    <t>…o. 2 id. D. José Medica, 2 id. D. Juan ILmisía de Esrrea, 2 id. D. Juan Gil, 2 id. D. Juan Anto nio d&amp;rriva, I id. i). Juan Hernández, i id. D. Antonio iiodrigsez Hernández, 1 id. D. Mateo Anta, Lid D. M;guel de Arto i a, 1 id. D. Fulgencio Antonio Zabala, 1 id. D. Francisco Antonio - Quiros, 1 id. D. Miguel Aljovin, 1 id. D. Ignacio González, 1 id. D. José Ri bera, 1 id.. D. Francisco Gavidia, 1 id. D. Juan Bautista y D. Mi guel de la V ña, 1 id.-…</t>
  </si>
  <si>
    <t>Antesa, Mariano</t>
  </si>
  <si>
    <t>Mariano Antesa</t>
  </si>
  <si>
    <t>545</t>
  </si>
  <si>
    <t>…de tan peligroso accidente destacé el señor gobernador intendente co ronel 0. Joté Márquez dé la Piata, que dirigíala del ala derecha con su segundo^ el teniente coronel graduado D. Mariano Antesa* na, un anxbio tan oportuno que logramos desalojar al enemigo, y continuar la defensa con el mismo tesón que se había comenzado*. Después de 3 horas de combate al mas constante y vigoroso que se h&amp;bia visto jamas, se retiró el enemigo á los mismos altos de la…</t>
  </si>
  <si>
    <t>Antesana, Mariano</t>
  </si>
  <si>
    <t>Mariano Antesana</t>
  </si>
  <si>
    <t>…l graduado D. Pedro Antonio Olañeta, proporcionándome to* dos los recursos que ha podido allanar su actividad. Igualmente son digno» deda consideración de V. S. ios de igual clase D. Mariano Antesana y D. Venancio B 2*1 ávidos , mi ayudaste de órdenes capí* tan graduado D. Casimiro Hoyos, 0. José B^r mudez, vista de esa aduana, D. José María Larraraendi, e*l sargento de primera clase del real de Lima Ildefonso Cadenas, los soldados retirados del tico de Buenos-Ayres Féli…</t>
  </si>
  <si>
    <t>Anthimos</t>
  </si>
  <si>
    <t>Gaceta de Madrid n.º 94</t>
  </si>
  <si>
    <t>…ón del doctor hacen la misma descripción de la penuria que ex Stefjnos Oikonomos, químico insigne. El Sr. Kou perimenta aquel estado. Las obras que van á publi mas, ayudado por el Sr. Anthimos , arzobispo de carse sobre este imperio nos darán probablemente Esmirna, ha despertado tanto el zelo de los grie algunas nociones mas imparciales que los panegíri gos de esta rica ciudad, que ya se cuentan en el cos de Storch y de otros pocos alemanes domicil…</t>
  </si>
  <si>
    <t>Antilion</t>
  </si>
  <si>
    <t>…r Yandiola propuso que, sin perjuicio de la resolución, se prevenga al Gobierno facilite al señor Antillon ios auxilios que su situación demanda; y asi se resolvió. Se presentó el señor Antilion, y tomando la palabra, habló substancial mente en los términos siguientes: Señor, volviendo á presentarme en este augusto Congreso, por haberse dignado la Providencia preservar mi vida, reputo como el primero de mis deberes expresar mi gratitud, protestando d…</t>
  </si>
  <si>
    <t>723</t>
  </si>
  <si>
    <t>…onage y la re compensa de un proceder mas horroroso acaso que el atentado con que se ha orendido á lá soberanía. Estoi bien seguro de que si nuestro apreciabilísi mo compañero, el señor Antilion , se hallase entre nosotros, sería el que con mayor firmeza sostendría estos principios: los ha proclamado constantemen te, los abriga en su corazón heroico, y su alma elevada es incapaz de des mentir tan dignos sentimientos: no apruebo pues la indicación del…</t>
  </si>
  <si>
    <t>Antilloji</t>
  </si>
  <si>
    <t>…ado Aniillon, y del noble mo do de pensar de sus dignos compañeros. Ei siguiente extracto de las sesiones de Cortés dará idea de dichí» acontecimiento. Dia 4. Se vio un oficio del señor Antilloji, participando al señor presi dente que anoche al retirarse del Congreso, y en ias cercanías de su casa, fue acometido por tres asesinos, recibiendo de uno de ellos dos golpes de sable, con los que cayó en tierra sin sentido, quedando como muerto. Háliase en c…</t>
  </si>
  <si>
    <t>Antillon</t>
  </si>
  <si>
    <t>…illagomez y Rech opinaron por la traslación. De distinto dictámet? fueron los señores ae La-Serna, Pelegrin y Ántillon, adhiriéndose al de la Regencia ^ cuyas razones amplificó el señor Antillon extensamente, ya rebatiendo los argumentos del señor Rech, ya demostrando hasta la evi dencia los riesgos de semejante medida, que sentía en su corazón no po der, aprobar ahora; pues no dudaba que en el ilustrado pueblo de Madrid encontrarían las nuevas insti…</t>
  </si>
  <si>
    <t>Gazeta de Madrid bajo el Gobierno de la Regencia n.º 46</t>
  </si>
  <si>
    <t>…sistema, que lia formado la comisión de acuerdo con la* junta nacional, para realizar la grande obra de la consolidación del crédi to público, fue aprobado elanterior dictamen-----Sr. Antillon: que las Cor tes para hacer grande y célebre el día en que cierren sus sesiones, manden que en la mañana de dicho día se verifique la quema de los 6401 vales___ . Aprobado-----Sr. conde de Toreno: propuso que para que esto se pudiese llevar á efecto se comuni…</t>
  </si>
  <si>
    <t>Ántillon</t>
  </si>
  <si>
    <t>Gazeta de Madrid bajo el Gobierno de la Regencia n.º 52</t>
  </si>
  <si>
    <t>…n snbsgrU&amp;$£ á J2 í^puda cop iptfrespe 3 por ido 9 á ja sin interesare* cibirán en lugar del. vale 9 vales el documento perteneciente á la clase de deuda á que se subscriban. . El Sr. Ántillon, precedida dé un elegante y sólido discurso» Hizo la si** guíente proposición» que fue aprobada* --—Que en los yales nacionales y en todos los documentos públicos en que se ponga el año del reinado de nuestro amado Reí» se ponga también el correspondiente de…</t>
  </si>
  <si>
    <t>638</t>
  </si>
  <si>
    <t>638 El Sr. Antillon, encareciendo quan glorioso era á la nación española ha ber plantado el estandarte de su libertad, hollando, el suelo francés , propu so que se manifieste á los generales , oficiales y soldados de nuestro valiente exército la satisfacción que ha recibido el C…</t>
  </si>
  <si>
    <t>…ente general de regulares, sean estos libres de continuar en su método actual de vida, sin que pueda obligárseles por sus prelados á volver á los conventos. El Sr. Cepero apoyó al Sr. Antillon, refiriendo por muestra del prurito en corrervar su autoridad de algunos prelados regulares, que un provincial, •en Andalucía mismo, recorriendo con unos quaiitos frailes los pueblos en que estaban situados sus yermos conventos, los abría, é instalándose en c…</t>
  </si>
  <si>
    <t>…a que haga salir de Cádiz con la misma dirección los tribunales y oficinas que aun existen en aquella ciu dad, especialmente las juntas de Crédito público y suprema de Censura. El Sr. Antillon, indicando lo determinado ayer con respecto á esta última, pro puso : que para la resolución de todo se traigan los antecedentes; y asifse acordó. El Sr. Perez Pastor hizo proposición, que se leyó por primera vez, de que se encargue á la Regencia tome las mas…</t>
  </si>
  <si>
    <t>…esión extraordinaria de esta noche presente su dictámen sobre este atroz suceso. El señor Yandiola propuso que, sin perjuicio de la resolución, se prevenga al Gobierno facilite al señor Antillon ios auxilios que su situación demanda; y asi se resolvió. Se presentó el señor Antilion, y tomando la palabra, habló substancial mente en los términos siguientes: Señor, volviendo á presentarme en este augusto Congreso, por haberse dignado la Providencia pres…</t>
  </si>
  <si>
    <t>768</t>
  </si>
  <si>
    <t>…ían la inviolabilidad del Congreso..... ! quando estas armas cogen laureles en el Pi rineo..*..!__-El señor Cepero demostró que el atentado se dirigía contra el Congreso, y que el señor Antillon era una víctima que se habia querido inmolar en odio desús virtudes y amor á la patria. ,,Devoren los remordi mientos, díxo, al parricida que alzó su mano contra el mejor de sus amigos, contra ei mas ardiente defensor de sus derechos. {Insensato! Creyó acaso…</t>
  </si>
  <si>
    <t>AntiUon</t>
  </si>
  <si>
    <t>Gazeta de Madrid bajo el Gobierno de la Regencia n.º 84</t>
  </si>
  <si>
    <t>8 o í arengó conforme al objeto; dfe su misión, contestándole el señor presidente en los términos de estilo. ?* ¡ El señor AntiUon : „ Esos trofeos gloriosos, que hoi recibe el Congreso nacional entre las aclamaciones del júbilo y la pompa del patriotismo , mojnumeotos son del orgullo abatido del tirano;. pero monumentos también de nuestra antigua debilidad y de la estúpida confianza ¡co…</t>
  </si>
  <si>
    <t>Anto</t>
  </si>
  <si>
    <t>Gazeta de la Regencia de las Españas n.º 8</t>
  </si>
  <si>
    <t>61</t>
  </si>
  <si>
    <t>…aca mentos de cazadores se le procuró atraer á nuestra posición. ,,Todo lo que pongo en noticia de V, E., á quien recomiendo efi cazmente el mérito que ha contraído en este dia el capitán D. Anto nio Lombas : la conducta y valor con que se han portado los demas oficiales y soldados de este cuerpo de caballería, de quien tengo re petidas pruebas , y particularmente la intrepidez, arrojo y serenidad del teniente D. Francisco Miller, que habiéndose batid…</t>
  </si>
  <si>
    <t>Gazeta de Madrid bajo el Gobierno de la Regencia n.º 27</t>
  </si>
  <si>
    <t>…is se imprima , publique y. circule. == L. de Borbon , cardenal de Scala, arzobispo de Toledo, presidente. =sPedró de Agar. = Gabriel Ciscar. = En Cádiz á 17 de julio de 1813. = A D. Anto nio Cano Manuel.” •&gt; •’ En la gazeta anterior, página 275 , línea 18, donde dice fizara f léase Lizaso. 1 Tarifa elemental para el uso de las boticas del reinoó sea el arte de tasar qualesquiera recetas reducido á principios fundamentales, en la que va insert…</t>
  </si>
  <si>
    <t>Anto, Juan</t>
  </si>
  <si>
    <t>Juan Anto</t>
  </si>
  <si>
    <t>…de Taiamo, 3 id. O. José Francisco Miranda, 2 id. D. Jo^é Ig nacio 'PvJacios, 2 id. D Gaspar Rico. 2 id. D. José Medica, 2 id. D. Juan ILmisía de Esrrea, 2 id. D. Juan Gil, 2 id. D. Juan Anto nio d&amp;rriva, I id. i). Juan Hernández, i id. D. Antonio iiodrigsez Hernández, 1 id. D. Mateo Anta, Lid D. M;guel de Arto i a, 1 id. D. Fulgencio Antonio Zabala, 1 id. D. Francisco Antonio - Quiros, 1 id. D. Miguel Aljovin, 1 id. D. Ignacio González, 1 id. D.…</t>
  </si>
  <si>
    <t>…e área plana, y se halla tasada con arreglo á las p:esentes circunstancias en 46234 rs. Quien quisiere hacer pos tura á ella acuda ante dicho señor por la escribanía del número de D. Juan Anto nio de Urraza. Manual del cristiano para asistir al santo sacrificio de la misa. Esta obríta, orde nada por el presbítero D. Josef de la Canal, no solamente es útil para hacer entrar á los fieles en el espíritu de Ja Iglesia en la celebración de sus augustos…</t>
  </si>
  <si>
    <t>Antoa</t>
  </si>
  <si>
    <t>…cumplimiento, y dispoadreis le im,rima, publi9ue y circule.:;::: L. di! Borbon, cardens{ de Scala, araobispo de Tolecie, preside.m.te. = Pedr() dI Agal". = (iJaÍJr;el Cis-, 1 I A D. Antoa!&lt;Il Cano ".,.. = Ha Cádia. á 4 de Setiembre de 13-= ManaeL ) PArte que ñ. áiriAiJo al (.f~1feral tn ~l'fi! ~l s,su.",{o ex;"'cit, dt (Jp~rac;(Jl:es, 1'0,. condl/"cto del CG1I1J,:.11'uiant~ K~1Zeral de la ter.ceril Jivision del mismo, D. Jo.ré d~ Torr~.r, 'co1…</t>
  </si>
  <si>
    <t>Antolin, Santos</t>
  </si>
  <si>
    <t>Santos Antolin</t>
  </si>
  <si>
    <t>…primero. Barrio de Afligidos. D. Josef Vidal, substituto segundo. D. Pedro Cancio, a!calde. Barrio del Ave María. D. Andrés Aros, sub-tituto primero. D. Antonio Arnesto, alcalde. D. Santos Antolin , substituto stgundo. D. Josef Rodas, substituto primero. Barrio de S. Marcos. D. Ventura González , substituto iegundo. D. Francisco Tellez, alcalde. Barrio de la Trinidad. D. Sebastian de Echestia, substituto primero. D. Santiago Ubon , substituto segundo.…</t>
  </si>
  <si>
    <t>AntonicJ'deSpielmann</t>
  </si>
  <si>
    <t>Gaceta de Madrid n.º 110</t>
  </si>
  <si>
    <t>…iéndose ála extensión dél comercio de la India á ciertos puertos del Reino-Unido, se han presentado . Viena ¡ de marzo. á la cámara alta por medio de un par de Inglater • El señor'barón AntonicJ'deSpielmann, estadis ra y;y á la dé los :¿o'múnes por lina diputación de escribanos de la ciudad.ta mui distinguido baxo el,teinado de Josef iií regidores’y quien se encargó la defensa de los intereses del ,,.v y . y Carta: al editor del Tintes. Austria al ^tiempo de las…</t>
  </si>
  <si>
    <t>Antonio</t>
  </si>
  <si>
    <t>…do Izquierdo, D. Pedro Colmenares , D Pedro de la Cantolta, D José Nicolás ¿e Chimioni, D. Antonio Fernandez , D Juan Miguel Arrambi le, D. Antonio Arrambide, D, Antonio Gailuzo y D. Antonio de la Iglesia y Smith: igualmente ha promovido S. A. á coronel del referido cuerpo en la división de ultramar, al graduada y teuie»to etaronel del mismo D. José de la Fuente Pitá. En la impré&amp;ta mactonál se halla de venta el segundo tóme de los decretos y ord…</t>
  </si>
  <si>
    <t>…. £1 piismp, entusiasma cuentan todos ios de Para el de Montanejos, vacante por fallecimien parta tnentos- Lps diversos distritos del departamen to de D. Juan Domingo Belinchon, á D. Antonio tos del [gaxp^Rin han presentado 290 hombres de Aguilar , cura párroco de Benifairo de Valdigña. á caballo, montados 5 armados y equipados} la ciu- Para el de Quttretondeta, vacante por muerte cjad de Maguncia ha dado 2; ; los comunes de su de D. Juan Bautist…</t>
  </si>
  <si>
    <t>…Ig nacio 'PvJacios, 2 id. D Gaspar Rico. 2 id. D. José Medica, 2 id. D. Juan ILmisía de Esrrea, 2 id. D. Juan Gil, 2 id. D. Juan Anto nio d&amp;rriva, I id. i). Juan Hernández, i id. D. Antonio iiodrigsez Hernández, 1 id. D. Mateo Anta, Lid D. M;guel de Arto i a, 1 id. D. Fulgencio Antonio Zabala, 1 id. D. Francisco Antonio - Quiros, 1 id. D. Miguel Aljovin, 1 id. D. Ignacio González, 1 id. D. José Ri bera, 1 id.. D. Francisco Gavidia, 1 id. D. Juan…</t>
  </si>
  <si>
    <t>Gaceta de Madrid n.º 145</t>
  </si>
  <si>
    <t>…dados! donde campean los copleros, y sobresalen los lite ----,, Abeja española núm. 188. Principia con nn ratos ganapanes} ¿son mas raros por ventura los diálogo entre JO. Jorge y D. Antonio sobre varias tarántulas l EN LA IMPRENTA REAL,</t>
  </si>
  <si>
    <t>Gazeta de Madrid bajo el Gobierno de la Regencia n.º 18</t>
  </si>
  <si>
    <t>…rdenanzas de 5 de fe brero de 1804 á los que pretendiesen títulos de licenciados y doctores en dicha facultad. Los aspirantes á estos grados se presentarán en el citado co legio á D. Antonio de la Cruz, secretario de él, á exhibir los documentos que previene la lei sobre el particular. ARTICULO DE OFICIO. Enterada la Regencia del reino de que continúan admitiéndose por fian zas de empleos los vales reales contó si fuese metálico, se*ha servido re…</t>
  </si>
  <si>
    <t>Gazeta de la Regencia de las Españas n.º 100</t>
  </si>
  <si>
    <t>ESPAÑA. México jo de Febrera. Continúan los extractos de los partes de Nueva-Espada. 46. En 8 de Agosto, 30 soldados de la división de Colotlan á car go del teniente D. Antonio de la Torre, después de una marcha di latada y penosa por la sierra de Nayarith , acometieron á la gavilla de Hernández Flores en' las cercanías de la misión de Jesús María, dieron muerte á 8, incluso el cabecilla, hicieron 3 prisioneros, y les tomaron alguna…</t>
  </si>
  <si>
    <t>…onstitución; D. Manuel Pardo, subteniente del de la Corona? D. femando Miranda , coronébdel. de voluntarios defAsturias; De Pedro Albuérne:,1 D. Mateo Torralba, D.. Tomas Caneja-y.D. Antonio; Fernandez^ capitanes los dos primeros, y tenientes los segundos del.propio cuerpo ; Dou Andrés González, teniente del de Oviedo; D. Mantel.Suanez Campa, ca pitán de-la compañía de obreros; D.. Ramón L.Qza6b,; D. Juan:Ruvi, Don Josef íOronqz , capitanes, D. .…</t>
  </si>
  <si>
    <t>…simismo ha s:do herido el comandante general de las tropas del centro «Lmariscal de campo D. Francisco Xavier Losada; el brigadier segundo gefe de estado mayor del quarto exército D. Antonio: Roselló ; el de igual elase^D. Federico Castáñon * gefe de la primera brigada de.laPquarta divi-í sion:*y:el subteniente D. Mariano García ayudante de, órdenes deXgéfe de ^tadoTnaycr; el ayudante general del.'mismo D. Luis La viña,dgefe del de i,as'tropíasid…</t>
  </si>
  <si>
    <t>Antonio, Francisco</t>
  </si>
  <si>
    <t>Francisco Antonio</t>
  </si>
  <si>
    <t>…D. Juan Anto nio d&amp;rriva, I id. i). Juan Hernández, i id. D. Antonio iiodrigsez Hernández, 1 id. D. Mateo Anta, Lid D. M;guel de Arto i a, 1 id. D. Fulgencio Antonio Zabala, 1 id. D. Francisco Antonio - Quiros, 1 id. D. Miguel Aljovin, 1 id. D. Ignacio González, 1 id. D. José Ri bera, 1 id.. D. Francisco Gavidia, 1 id. D. Juan Bautista y D. Mi guel de la V ña, 1 id.- DJ usé Aibarado, 1 id. D. Melchor í&amp;chaustegnl, 1 id. D. Francisco Montes, I id. D. Sebast…</t>
  </si>
  <si>
    <t>479</t>
  </si>
  <si>
    <t>…. Por otra de D. Juan Ignacio de Gar- Por los de una escritura de imposi doqui .................................................... 5° ción en la compañía de paños cor Por otra de D. Francisco Antonio de respondientes al año de 1812......... 3000 Ibarreche........................................ 300 Multas. Limosnas. De una entregada por el agente de Por la que dexó un devoto, sin ma policía D. Pedro Lozano.................. 22 Esta, como todas, habrá empe…</t>
  </si>
  <si>
    <t>…a ,Henriquez, teniente eorose!, y sar5eBto mayor del regimL'!nto primero 'voluntarios ,de Arag:&gt;n, h3hiendo ·sido e~.te,úItimo levemente 'herido, ·D. Jos6 He::n'audez de Tejada y .D. Francisco Antonio 'L1oret, teniente coronel y f'argento mayor del de Cid:z; el teniente ~oronel graduado D. J:'sé Jtlondeli, comandante de la columna de gral'Jade"osqne fué nerido, comotambietlel d:gnís~~o oaplíanD. FrancÍsco,Zavala, que le substituy á ,en d mando de ,la. eoln…</t>
  </si>
  <si>
    <t>Antonio, Gregorio</t>
  </si>
  <si>
    <t>Gregorio Antonio</t>
  </si>
  <si>
    <t>Gaceta de Madrid n.º 118</t>
  </si>
  <si>
    <t>…ti ra sepultado , hallándose ni el lugar del general tución. Yo soi el atropellado ciudadano español, el Elio, Hasta con el humillante nombre de mal es insultado anciano madrileño D. Gregorio Antonio pañol insultó mi honradez y mis tristes canas, bro Fitzgevald. Hoi se cumplen tres meses del espanto so allanamiento y detnoÜmiento de mt casa, orde tadas con pobreza, pero con honor, en el servicio nado por el general Elio, que á tan horribles aten de mi ade…</t>
  </si>
  <si>
    <t>Antonio, Juan</t>
  </si>
  <si>
    <t>Juan Antonio</t>
  </si>
  <si>
    <t>…por orden de ías Cortes, en que se les absuelve. Se hallará, en la librería de Quiroga, calle de las Carretas, á 8 rs. Elementos para gobierno de un diputado en Cortes, por el Dr. D. Juan Antonio^ Rodriga!varez, arcediano titular de Cuenca. Este papel, si bien es útil á todo espa ñol amante de su patria, es útilísimo á las diputaciones provinciales, á los electores de partido, y á los señores diputados de la nación en las próximas Cortes ordina-* rías…</t>
  </si>
  <si>
    <t>…esaliente que es este oficial, no puedo menos de rogar á V. S. lo haga presente al Gobierno, recomendando sus distinguidos -servicios. ¿«Mi ayudante de campo él teniente de Murcia D. Juan Antonio -Fernandez, ha comunicado mis órdenes y lia dirigido varias tropas de la división á posesiones arriesgadísimas .con actividad, acierto y bi zarría , el que es digno lo recomiende á V. S. para las consideracioties del Gobierno. ,»Por último dirijo á V. S. el o…</t>
  </si>
  <si>
    <t>Antonio, Manuel</t>
  </si>
  <si>
    <t>Manuel Antonio</t>
  </si>
  <si>
    <t>…riéronlo personas. Ei brigadier Downie ha sido nombrado comandante de la vanguardia del exércíto de reserva del conde del Abisbai; y el individuo del supremo tri bunal de Justicia D. Manuel Antonio de la Bodega y Mollinedo ha sido tam bién nombrado secretario del despacho de la Gobernación de ultramar. El Conciso del 11 del cortiente inserta el siguiente extracto de noticias extrangeras: En c\ Anifyallfcan-Monitor se lee: Por un sugeto que ha venido de…</t>
  </si>
  <si>
    <t>Aparici</t>
  </si>
  <si>
    <t>636</t>
  </si>
  <si>
    <t>…e leyó por primera vez una proposición del Sr. Martínez de la Rosa, para que se entienda con las demas órdenes regulares ,1o resuelto ayer para con la de S. Juan de Dios. Otra del Sr. Aparici, para que el gobierno informe periódicamente acer ca del estado de subsistencias de los exércitos, y su reemplazo. Otra del Sr. Blanes, para que asimismo informe el gobierno las provi dencias que haya dado para socorrer las necesidades del exército en la cer…</t>
  </si>
  <si>
    <t>Apeite, Angel María</t>
  </si>
  <si>
    <t>Angel María Apeite</t>
  </si>
  <si>
    <t>815</t>
  </si>
  <si>
    <t>…• « D. Francisco Bonafont. 171 de 150 pesos. De 600 ps. de Entro de 1809. 1. • • 367064 D. Joan Dges¡ ........ T365641 372707 373696''} { 651 373412 960 | 14. , .&lt; 792 468 375424 &gt;D. Angel María Apeite| 367973 532 732 ( guia. L368046 688 J 15 de 600 peso*. De 300 ps. de Enero de 1809. 1. . . 126538 • • * • « • • • • D. Francisco Bonafont* 2. . . 97891 98380 • • • D. Jofcé Lacroust. 81281 90951 102235" 82526 92703 116544 12. . . (►Al mismo. 84292 93458 12205…</t>
  </si>
  <si>
    <t>Apellaniz, José</t>
  </si>
  <si>
    <t>José Apellaniz</t>
  </si>
  <si>
    <t>…ica, IX Agus-* ílu Góngora , D -Félix Miranda ,' D. FideL Boira , D. Ramón Elorrio, Jó. Joaquín Ferrér, D. Sebastian Ansa, I). Sebastian Goñi, D Fausto-* Lantler, D. Miguel Asíiz, D. José Apellaniz, D. José Antonio Escu dero. . ! (Se continuará.) id €M)ÍZk *EN LA IMPRENTA NACIONAL.</t>
  </si>
  <si>
    <t>Apezteguia, Agustín</t>
  </si>
  <si>
    <t>Agustín Apezteguia</t>
  </si>
  <si>
    <t>…rillo , D, Juan Jaurrieta, D. Bartolomé Guiberalde, D- Antonio Ugarte, D. Ignacio "Echeverría, D. Pedro Echegoyen , D. José María Gurrea, D. Francisco Erdozain , D. Ma nuel Sauca, D. Agustín Apezteguia, D. Martin Benuza, D. Miguel Tolqsana , D. Juan Bautista Acosta , D. Xavier Azanza , D. Juan de Ortigosa, D, Basilio Oilabarren , D. Sebastian Cortazar, D. Teo doro González, D. Juan Oyaga, D. Remigio Crespo, D. Mauricio Segura, D. I^on Landache, D. Pedro Sus…</t>
  </si>
  <si>
    <t>Apodaca</t>
  </si>
  <si>
    <t>…. Y queriendo la Regencia del rey no dar un testimonio de lo gratos que le han sido el patriotismo y gene rosidad de los donadores, y el benéfico pensamiento del referido capi tán general Apodaca, se ha servido mandar, después de haberles dado particularmente las mas expresivas gracias, que se manifieste en laga reta para conocimiento del público y satisfacción de los interesados. Asimismo ha ordenado S. A. se inserte la lista del donativo que el indi…</t>
  </si>
  <si>
    <t>Apodaca, Juan Ruiz de</t>
  </si>
  <si>
    <t>Juan Ruiz de Apodaca</t>
  </si>
  <si>
    <t>…del donativo voluntario para atender a los ac tuales urgencias de la guerra, hecho por varios vecinos de la f Habana d solicitud del Exento. Sr. capitán general de la isla de Cuba D. Juan Ruiz de Apodaca. En dinero, efectivo.■ Ps. Rs. Aírs. I&gt;. Tello Mantilla.................................. 5419 3 17 D. Agustín Santa Cruz. ........................... ... . 116 4 El conde de Zaldivar. .................................... 5596 2 l7 Total ... 11132 2</t>
  </si>
  <si>
    <t>Aquerreta, Joaquín</t>
  </si>
  <si>
    <t>Joaquín Aquerreta</t>
  </si>
  <si>
    <t>…l Aúnate, D. Angel Labiano, D. ber nardo ZaTo, D. Francisco Mtmuce, D. Pedro Mancho. D. Matías Ezcay, D. Félix Beroz, D. Bernardo Sonosiain , IT Mañano Ustarroz, D. Felipe Virtus, D. Joaquín Aquerreta, D. Fermín Josué, 1), Martin Ziarriz, D, Francisco Larrodé , D. Matías Alzorr z, D. J uan Ramón Arlegui, D. Bonifacio Jaso, D; Mvouel Sancho, D. Bonifacio Martínez, D. Julián Gofr , D. Justo Taiazona, D. José María Munuce, D. Antonio Longis, D. José Canoras,…</t>
  </si>
  <si>
    <t>Ar, Miguel Antonio</t>
  </si>
  <si>
    <t>Miguel Antonio Ar</t>
  </si>
  <si>
    <t>…D. Martin Axamburu, 200. D. M afras I are a, 200. D. Toribio Acebal, secretario de gobier no, 200. D. José lio dirifo, 200. D. Miguel Fermín Escurra, 200. D. Miguel Cabe’lo, £00. D. Miguel Antonio Ar óla, 200. D. Fran cisco Maíz , 100 D. P&lt; dro M:guel I jibareen, 100. D. Femín Co ya, 100Í £1 conde Villa* do Fuente, 100. D. Luis A¿elmo L&amp;n*</t>
  </si>
  <si>
    <t>Ara, Manuel López</t>
  </si>
  <si>
    <t>Manuel López Ara</t>
  </si>
  <si>
    <t>Gazeta de la Regencia de las Españas n.º 134</t>
  </si>
  <si>
    <t>…is se im prima, publique y circule. =5i. de Borbon, cardenal de Scala, ar zobispo de Toledo , - presidente, zr Pedro de Agar. — Gabriel Cis car En Cádiz á 30 de Agosto de 1813.= A D. Manuel López Ara uio. CADIZ : IMPRENTA NACIONAL: 1813.</t>
  </si>
  <si>
    <t>Aragón, María de</t>
  </si>
  <si>
    <t>María de Aragón</t>
  </si>
  <si>
    <t>…. Francisco JCavier Correa , substituto primero. D. Benito Rodríguez,, substituto primero. D. ManueL Casado, substituto segundo. D. Manuel de Castro, substituto segundo. Barrio de Doña María de Aragón. Barrio de las Descalzas Re ates. D. Josef Cañedo, alcalde. D. Fr..neÍsco de 1 ruegas, alcalde. D. Félix Bener, substituto primero. D. Francbco L..yin , 'substituto primero. D. Manuel Urbina , substituto segundo. D. Juan Torre , substituto segundo. Barrio de…</t>
  </si>
  <si>
    <t>Gazeta de Madrid bajo el Gobierno de la Regencia n.º 71</t>
  </si>
  <si>
    <t>678</t>
  </si>
  <si>
    <t>…la pequeña obra que dice el mismo ser bastante para que se puedan colocar 400 espectadores con un gasto despreciable, y á que continúe con la mayor actividad la obra co menzada en Doña María de Aragón , para lo quaí dice haberse ya hecho considerables expensas.* . - . ; , v : Y de orden de la Regencia del reipo 10 traslado a,bV» S, para su inteli gencia y cumplimiento, y que lo comunique al ayuntamiento de esa capi tal, y al inspector del salón de Cortes p…</t>
  </si>
  <si>
    <t>Aragonés, Tosef</t>
  </si>
  <si>
    <t>Tosef Aragonés</t>
  </si>
  <si>
    <t>…tí , cura de Sot de Chera. juez de primera instancia, refrendada de D. Jacinto Para el de Alcaali, vacante por fallecimiento Gaona y Locches, escribano del número, en virtud de de D. Tosef Aragonés , á D. Joaquín Saez Quinta- superior habilitación, te han mandado sacar á pública nilla, presbítero. subasta por término de 20 dias, contados desde el ai Para el de Genoves , vacante por muerte de del corriente, unas casas sitas en la calle de las Hileras, nú…</t>
  </si>
  <si>
    <t>Arahuetes, Blas de</t>
  </si>
  <si>
    <t>Blas de Arahuetes</t>
  </si>
  <si>
    <t>…igar; él numero de que constaba es de 1800 infantes y 500 caballos- A raí me matarou un caballo; y pu de caer prisionero con el teniente coronel D. Gerónimo L Tizón, ei capitán mi secretario D. Blas de Arahuetes y alguno otro ; pues ocu pados en reunir el batallón de Guadálaxara , mandábamos y reñía mos algunos enemigos, creyéndolos soldados de aquel cuerpo; las respuestas se dexan ver como serian : la uniformidad del trage pro* duxo este incidente. Gorra , carruage…</t>
  </si>
  <si>
    <t>Aramburu, Juan Antonio</t>
  </si>
  <si>
    <t>Juan Antonio Aramburu</t>
  </si>
  <si>
    <t>…rtin y Blanco , l id D~ Martin Cortiguera, 1 id. D. Manuel López Díaz, 1 id. D. D amingo Ximenez, i id. D. Boni facio Vivanco, 1-id. D. José Sarria, 1 id. D. Mariano Sarria, 1 id. D. Juan Antonio Aramburu, 1 id. D. José Francisco de Isasi, 1 id. D. Ramón Eurivano, 1 id. D. Ramón de Azcarate, 1 id. D. Fran cisco Abasólo, l id. D. Juan Panero, 1 id. D. Juan Mella, 1 id. D. Miguel Jáuregui, 1 id. D. Rosendo Gao, 1 id. D- Antonio Her rero, 1 id. D. Vicente López y…</t>
  </si>
  <si>
    <t>Aramburu, Manuel de Urlonagoena y</t>
  </si>
  <si>
    <t>Manuel de Urlonagoena y Aramburu</t>
  </si>
  <si>
    <t>…Manuel de Santiago, 1 id. D. Martin y D. Felipe Osambela., 10 i'd. D. José Ramón de Idiaquez, 8 id. D Ignacio de Santiago, 6 id. D- Andrés Reboredo, 6 id. D, Antonio Baras, 6 id. D. Manuel de Urlonagoena y Aramburu, 5 id. D Francisco Marta Zuloaga, 5 id. D Vicenta de la Riva, 4 id. D José II pólíto y D Ambrosio íbañez, 4 id. D. Juan Miguel de Castañeda, 4 id. D. Joaquín d« Asia, 4 id. D. Pedro de Vülaoampa, 4 id. D Juan Macho, 4 id. D. Be nito Ambrosio Canicoba, 4 id. D…</t>
  </si>
  <si>
    <t>Aramburu, Martin de</t>
  </si>
  <si>
    <t>Martin de Aramburu</t>
  </si>
  <si>
    <t>…an de Perlica, 8 id. D. Dimaso de Arias, 6 id. D. Jacinto Xiraeno, 6 id. D. Manuel Ortiz de Villate, 4 id. D. José Rodolfo, 4 id. D. Antonio León, 4 id. D Paulino Domínguez, 3 id. D. Martin de Aramburu, 3 id. D. Francisco Vázquez de Usieda, 2 id. D. José Correa, 2 id. D. Juan Bautista Zaracondegui, 2 id. D. Francisco Antonio Goitesolo, 2 id. D. Miguel Fernando Ruiz, 2 id. D. Andrés Sánchez Quiros, 2 id. D. Francisco de Paula Calvo, 2 id. D. Pedro Juan de Ol…</t>
  </si>
  <si>
    <t>Aran, Manuel</t>
  </si>
  <si>
    <t>Manuel Aran</t>
  </si>
  <si>
    <t>…de Noviembre de 1812. Continúan los extractos de los partes de Nueva-España. 2 í . Santa Rosa, jurisdicción de Tamazula, Mayo 14 de 1812, Ti coronel D. Manuel del Río, el teniente coronel D. Manuel Aran do y el capitán D. Aíagin Galli, con sus respectivas divisiones , batie ron en la cañada de Sta. Rosa la gavilla de 2© rebeldes de á cabalio y crecido número de infantes, que al abrigo de 5 cañones de b.roní j , y apostados en una altura ventajosa tuvieron la…</t>
  </si>
  <si>
    <t>Arana, José</t>
  </si>
  <si>
    <t>José Arana</t>
  </si>
  <si>
    <t>…ero; D. José María Carrillo, coronel, y D. Francisco Son Julián, capitán del segundo de Asturias; D. José Martínez ,'espitan del primero cántabro; D. Nicolás Doronzoro, teniente ; D. José Arana , subte niente del primero de Guipúzcoa. Les prisioneros son: D. Joaquín González, subteniente del se gundo de Asturias; D. Agustín Ber.itez, teniente del de la Constitu ción,; D. Agustín Berais, espitan del de Santiago ; D-José María So ladura. y D. Antonio…</t>
  </si>
  <si>
    <t>Arana, Josef</t>
  </si>
  <si>
    <t>Josef Arana</t>
  </si>
  <si>
    <t>…ro; D. Josef María Carrido, coronel, y D. Francisco S. Julián, capitán del segundo de Asturias; D. Josef Martínez, capitán del primero Cántabro; D. Nicolás Do^ ronzoro, teniente ; D. Josef Arana , subteniente del primero de Guipúzcoa. Los'prisioneros son TX Joaquín González, subteniente del segundo de Asturias; D. Agustín Benitez, tenientet^el de la Constitución; D. Agus4 tin Bera¡$./ capitán del de Santiago ; D;&lt; Josef María: Soladura y. D. Aato» ni…</t>
  </si>
  <si>
    <t>Arango, Francisco de</t>
  </si>
  <si>
    <t>Francisco de Arango</t>
  </si>
  <si>
    <t>Gazeta de la Regencia de las Españas n.º 56</t>
  </si>
  <si>
    <t>464</t>
  </si>
  <si>
    <t>464 El intendente de la Habana ha dado cuenta á la Regencia de! reyno de la oferta que ha hecho D. Francisco de Arango de 400 barriles de aguardiente de caña para socorro de nuestros exércitos; y S. A., al mismo tiempo que ha mandado darle gracias en su nom bré , quiere que se publique en la gaceta cate rasgo de patriotismo piara satisfacción del contribuyente. D. Antonio Fer…</t>
  </si>
  <si>
    <t>Arango, Manuel</t>
  </si>
  <si>
    <t>Manuel Arango</t>
  </si>
  <si>
    <t>…y algunas lanzas, espadas y machetes. 2i. El dia 6 de Mayo salid de Zapotlan el grande una partida de guerrilla de la segunda división de este exército á las ordenes del teniente coronel D. Manuel Arango y comandante de Colima D. Juan Nepomuceno Cuellar, en busca de 500 rebeldes acaudillados por los cabecillas Maclas, Miguel del Rio y Juan Cárdenas que asolaban las inmediaciones de Xiquilpan. Pero habiendo huido la canalla lue go que avisto la guerrilla , dis…</t>
  </si>
  <si>
    <t>Arango, Manuel de</t>
  </si>
  <si>
    <t>Manuel de Arango</t>
  </si>
  <si>
    <t>247</t>
  </si>
  <si>
    <t>…por todo el camino, 52. En 27 de ídem, el intrépido húsar del escuadrón de esta ciu dad D. Plácido Díaz, destacado con 50 infantes montados y 100 ca ballos por orden del teniente coronel D. Manuel de Arango, coman dante de la segunda división de este exército, sita en ei pueblo de Tamazula, sorprehendió dos horas después de media noche al infame Barajas, que con su gavilla dormia en ia hacienda del ¿alto. Mató 6 rebeldes , hirió muchos mas, é hizo 24 prisioneros…</t>
  </si>
  <si>
    <t>Aranguren, Santiago</t>
  </si>
  <si>
    <t>Santiago Aranguren</t>
  </si>
  <si>
    <t>…Madrid. Los individuos nombrados para las actuales Cortes por la provincia de Guipúzcoa son los señores D. JoserAntonio Larruir.bide, fiscabque fue .de la audiencia de Zaragoza, y D. Santiago Aranguren, conde de Montarron en propiedad; y por suplente D. Pedro dé^Vengoa, arcediano de Náxera y canónigo,de, la,santa iglesia de Calahorra. * ; En el oficio del Sr: D.; Carlos España pasado á esta redacción , de orden del Sr gefe político, no venia copiado el sigu…</t>
  </si>
  <si>
    <t>Araoz, Ramón</t>
  </si>
  <si>
    <t>Ramón Araoz</t>
  </si>
  <si>
    <t>…coluna de 1® infantes y 100 caba llos enemigos marchaba hacia el expresado puente con el mismo fin. Enton ces dispuse que la compañía de cazadores de mi regimiento, al mando de su capitán D. Ramón Araoz, protegida de las dos compañías de caballería dra gones de Soria , á las órdenes del capitán D. Pedro Rodríguez, avanzasen hácia el enemigo, y se apresurasen á ocupar él puente; mas quañdo el ene migo observó esta operación, y vio mi regimiento formado én col…</t>
  </si>
  <si>
    <t>Arau, Geferino</t>
  </si>
  <si>
    <t>Geferino Arau</t>
  </si>
  <si>
    <t>…io Bausivi, subteniente del de Toledo; D. Andrés Narvaez y D. Francisco Romero, tenientes del de Monterey ; D. Juan de Asas y D. José Pumarejo, tenientes del Regimiento de Marina; D. Geferino Arau/o, subteniente del de Benaveate; Don Félix Carrera, coronel, y D. Alberto Gutiérrez , teniente del de Rivero ; D. Esteban Rodríguez y D. Alberto Rodríguez , capitanes, D. Manuel Taboada , D. Juan Hevia y D.-Francisco Lema , sub tenientes del de Oviedo ; D. Jo…</t>
  </si>
  <si>
    <t>Arauio, Manuel López</t>
  </si>
  <si>
    <t>Manuel López Arauio</t>
  </si>
  <si>
    <t>Gazeta de la Regencia de las Españas n.º 154</t>
  </si>
  <si>
    <t>…se im prima, publique y circule. =L. de Borbon, cardenal de Scala, ar zobispo de Toledo, presidente. = Pedro de Agar. =r Gabriel Cis car. = En Cádiz á.25 de Setiembre de 1813. = A D. Manuel López Arauio. CADIZ ; IMPRENTA NACIONAL ; 1813.</t>
  </si>
  <si>
    <t>Araujo, Josef María</t>
  </si>
  <si>
    <t>Josef María Araujo</t>
  </si>
  <si>
    <t>Gazeta de Madrid bajo el Gobierno de la Regencia n.º 65</t>
  </si>
  <si>
    <t>629</t>
  </si>
  <si>
    <t>…á reconocer las alturas inmediatas á la plaza de Tortosa los ayudantes primeros el coronel D. Manuel de Tena y D. Cayetano María Degrés, al qüe, por hallarse en fermo, substituyó Don Josef María Araujo. Aquella noche se dieron en la Ga lera las órdenes competentes á fin de que al dia siguiente antes de la madru gada se hallase el batallón de Cuenca y 80 caballos d¿ Guádalaxára en la in mediación de la cuesta dicha de Villallops y puente de Alcántara * y que…</t>
  </si>
  <si>
    <t>Araujo, Manuel López</t>
  </si>
  <si>
    <t>Manuel López Araujo</t>
  </si>
  <si>
    <t>…lique y circu le. ss L. de Barben, cardenal de Scala, arzobispo de Toledo, presi dente. = Pedro de Agar. r= Gabriel Ciscar. = En la Real Ida de León á 27 de Noviembre de 1813.-7-A D. Manuel López Araujo. La Regencia del reyno ha recibido de oficio la noticia de que el día 7 del corrí.nte se entregó á las armas españolas el fuerte de Denla, quédenlo tu guarní don prisionera de guerra, conforme á ía capitula ción que habla sido ajustada el dia anterior. Anunci…</t>
  </si>
  <si>
    <t>Áraujó, Manuel López de</t>
  </si>
  <si>
    <t>Manuel López de Áraujó</t>
  </si>
  <si>
    <t>Gazeta de Madrid bajo el Gobierno de la Regencia n.º 42</t>
  </si>
  <si>
    <t>431</t>
  </si>
  <si>
    <t>…se imprima, publique y circule. r=L,;de Borbon, cardenal.de Scála?i arzobispo de Toledo ,, presiden te., = P^dro de Agar. =Gabriel Ciscar. =éEn Cádiz á 4 de setiembre de 1813.= A D. Manuel López de Áraujó.” , Continúa la instrucción para el gobierno económico-político de las pro vincias* , CAPITULO III. De los gefes políticos. articulo 1. Estando el gobierno político de cada provincia, según d art. 324 de la Constitución, á cargo del gefe superior político nom…</t>
  </si>
  <si>
    <t>Araujo, Manuel López de</t>
  </si>
  <si>
    <t>Manuel López de Araujo</t>
  </si>
  <si>
    <t>Gazeta de la Regencia de las Españas n.º 121</t>
  </si>
  <si>
    <t>…se im prima , publique y circule. = L. de Barbón, cardenal de Scala , ar zobispo de Toledo, presidente. = Pedro de Agar.sz. Gabriel Cis car.—Un Cádiz á 4 de Setiembre de 1813. = A D. Manuel López de Araujo. Estado de la salud pública de las provincias limítrofes al mar de la península, y la de sus islas adyacentes en la primera quincena de Agosto del presente año de 1813, . formado en virtud de ór denes del Gobierno por las no acias recibidas en la junta suprem…</t>
  </si>
  <si>
    <t>Gazeta de Madrid bajo el Gobierno de la Regencia n.º 56</t>
  </si>
  <si>
    <t>…éis se imprima , publique y circule. = L. de Borbon, cardenal de Scala, arzobispo de Toledo, presidente. = Pedro de Agar.seGa briel Ciscar.=Hn Cádiz á 16 de setiembre de 1813. = A D. Manuel López de Araujo.” En la gazeta anterior de 7 del corriente pág. 536, línea 12, donde dice I desempeñof léase desengaño. La voz consoladora de un fiel hijo español á su madre patria, triunfante del ti rano de la Europa, y rescatada á su .gloriosa libertad. = Definición de la…</t>
  </si>
  <si>
    <t>1344</t>
  </si>
  <si>
    <t>…, publique y circule. = L. de Barbón, cardenal de Scala, arzobispo de Toledo, presidente. = Pedro de Azar. =r Gabriel Ciscar. = En la Realista de L«on á 6 de Noviembre ae iSij.ssA D. Manuel López de Araujo. Segundo. D. Fernando vii , por la gracia de Dios y por la Constituoioa de la monarquía española, rey de las Españas, y ea su ausencia y cautividad la Regencia del reyno, nombrada por las Cortes genera les y extraordinarias, á todos los que las presentes vier…</t>
  </si>
  <si>
    <t>…ue y circule. =r L. de Barbón , cardenal de Sea la, arzobispo de Toledo, presiden* te. zz Pedro de Agar.zz Gabriel Ciscar. = En la Real Isla de León á 21 de Noviembre de 1813.=: A D. Manuel López de Araujo. Tercero. D. Fernando vii , por la gracia de Dios y por la Constitución de la monarquía española , rey de las Españas, y en su ausencia y cautividad la Regencia del reyao, nombrada por las Cortes generales y extraordinarias, á todos los que las presentes vier…</t>
  </si>
  <si>
    <t>Araüjo, Manuel López de</t>
  </si>
  <si>
    <t>Manuel López de Araüjo</t>
  </si>
  <si>
    <t>…, publique y circule. = L. de Borbon, cardenal de Scala, arzobispo de Toledo, presidente, ss Pedro de Agar. = Gabriel Ciscar. == En la Isla de León á if de noviembre de 1813. =: A D. Manuel López de Araüjo. (En ia gazeta próxima se insertará la instrucción anexa á este decreto.) ^Enfermedades de nervios producidas por el abuso de los placeres del amor, y excesos del onanismo. Obra escrita, en francés por el señor Tissot, y traducida, al castellano y aumentada e…</t>
  </si>
  <si>
    <t>Araujo, Tena y</t>
  </si>
  <si>
    <t>Tena y Araujo</t>
  </si>
  <si>
    <t>…o á la cabeza del batallón de Cuenca, adelantando guerrillas de infantería y caballería por el camiiaí) que paralelo al rio sé dirige del puente de Alcán tara á las Roquetas; y el coronel Tena y Araujo lo verificaron escoltados de una compañía, y con otra que se adelantó de cazadores y algunos caballos por el camino que costea las faldas de las atturas contiguas á Jesús y las Ro quetas, dando principio á su reconocimiento. A este tiempo principiaron á oírse…</t>
  </si>
  <si>
    <t>Aravaca, Cayetano</t>
  </si>
  <si>
    <t>Cayetano Aravaca</t>
  </si>
  <si>
    <t>…io Marte 1 y D. Josef Martínez Moscoso; por lá de S. Salvador D:/Juan'de Lera'Cañó1; por da'de S. Luis D. Francisco Marchámalo y D. Fáustirrá‘Sánchez'Sevillano; por la de Santiago D. Cayetano Aravaca y el señor secretario del aytmtamibnto de esta dicha viila D. Angel González Barreyro. Y asi reunidos,* pro cedieron á puerta abierta á la nominación de los citados señores alcaldes, re gidores y procurador síndico; y salieron electos para alcaldes el conde d…</t>
  </si>
  <si>
    <t>Arca, Pablo Ignacio</t>
  </si>
  <si>
    <t>Pablo Ignacio Arca</t>
  </si>
  <si>
    <t>Gazeta de la Regencia de las Españas n.º 52</t>
  </si>
  <si>
    <t>…onstancia de Coro, acordado »or la Regencia á los capitulares el alcalde primero D. Andrés Tafavera, alcalde segundo D. Francisco Cuba, alférez real D. José Zavala, alguacil mayor D. Pablo Ignacio Arca? a, alcalde provisio nal D. José Míralles, y regid* res D. Manuel Uibina, D. Francisco Xavier Irsniguin, D. Miguel Gil y D. Ignacio Xavier de Emasabel; el cual se hará extensivo a los regidores D. Martin José de Echave y D Manuel Quintano y Valera, al síndico…</t>
  </si>
  <si>
    <t>Arcos, Manuel de</t>
  </si>
  <si>
    <t>Manuel de Arcos</t>
  </si>
  <si>
    <t>…ue iban escoltando un convoy , se dividiesen°5oá la vanguardia al mando del teniente D. José María Arleoui, 50 en el centro al de D. José Domingo Vivanco, y la re taguardia al del capitán D. Manuel de Arcos. Como el parage era peligroso por la emesura de ios montes que hay a los dos lados del camino, determino que las guerrillas de vanguardia y centro, la primera al mando del alterca D- Juan Taimada, y la segunda al de su misma ciase Vivanco, con mas 30 patriota…</t>
  </si>
  <si>
    <t>Ardaiz, Francisca</t>
  </si>
  <si>
    <t>Francisca Ardaiz</t>
  </si>
  <si>
    <t>….Eche» garay, D. A n Ionio Arzola, D. Jacinto O na , D José Vinegra, D. Santos Besga , D. Joaquín Ruiz, D. Ma uel Clemente, D. Ra món Marañon , D. José Albumes, D. José Luizaain , D. Francisca Ardaiz, D. José Díaz, D Antonio Abadía, D. Nicolás Soriano, D. Bernardo Moliner, D. Manuel Llera, D. José Perulan, D. Ray» mundo Marqués, D. José Gorriz, D. Dionisio Fonolitas, D. Can» dido Zunzarren * D. M:guel Quartero , D. Juan Urzaniqui, D. Ruerto Rajum, D. Manu…</t>
  </si>
  <si>
    <t>Areliano, Juan</t>
  </si>
  <si>
    <t>Juan Areliano</t>
  </si>
  <si>
    <t>328</t>
  </si>
  <si>
    <t>…tés, D. Francisco Melero, D. Tomas Bao darán, D. Epifanio Esteban, D. Temas Terreiro, D. Manuel Ubiña, D. Juan Jaldon , D. Alexandro Buitrón , D. Gabriel Lobo , D. Femando Castro, D. Juan Areliano y D. Antonio Matamoros. También han sido examinados por la referida brigada, y promovidos á subtenientes del propio cuerpo, D. J03Ó Roldan, guardia del real cuerpo de guardias de CoTps, y D. Mariano Geiavert, cadete del regimiento de infantería de Cuba. CADIZ: EN LA IMPRENTA NACION…</t>
  </si>
  <si>
    <t>Arenal, Félix</t>
  </si>
  <si>
    <t>Félix Arenal</t>
  </si>
  <si>
    <t>…ronel; D. Bernardo Alvarez, D. José Tai la y D. Manuel Mendez, capitanes; D. Vicente Noriega,D. Francisco Xavier Alva rez y D. Francisco Fresno , tenientes ; D. Sebastian Sánchez, Don Félix Arenal, D. Juan José Paz y D. Luis Ortiz Falla, subtenientes dei de Laredo; D. José Castrejon, teniente, y D. Vicente de la Tórnente., subteniente del de tiradores de Cantabria; D: Buenavent&amp;ra Tomasa, teniente coronel; D. Guimeiindo Churruca, teniente, y D. José Ma…</t>
  </si>
  <si>
    <t>…onel; D. Bernardo Alvarez, D. Josef Talla y D. Manuel Mendez, capitanes; D. Vicente Noriega, D. Francisco Xavier Alvarez y D. Fran cisco Fresno , tenientes; D. Sebastian Sánchez , D. Félix Arenal ; D. Juan Josef Paz y D. Luiz Ortiz Falla, subtenientes del de Laredo; D. Josef Castrejon , teniente, y D. Vicente de la Tórnente, subteniente del de tirado res de Cantabria; D. Buenaventura Tomasa, teniente corone!; D. Guimeriudo Cliurruca, teniente, y D. Jo…</t>
  </si>
  <si>
    <t>Arengo, Manuel</t>
  </si>
  <si>
    <t>Manuel Arengo</t>
  </si>
  <si>
    <t>Gazeta de la Regencia de las Españas n.º 114</t>
  </si>
  <si>
    <t>…uniforme descendieron de las cuatro direcciones las compañías desplegadas en guerrillas con sus correspondientes reservas, y principio la acción dirigiéndola per mis instrucciones D. Manuel Arengo, mayor del batallón del general, y el término de media hora faé suficiente pa ra refrenar al enemigo, el que huyó á cubrirse de ios fuegos de la plaza , hasta donde fué perseguido: después ha dGrsdo el tiroteo hasta tes 4 de la tarde; pues no me resolví á dex…</t>
  </si>
  <si>
    <t>Arftonio-Llórente, Juan</t>
  </si>
  <si>
    <t>Juan Arftonio-Llórente</t>
  </si>
  <si>
    <t>…político-ci viles eq. defensa de la potestad de la Iglesia y silla dé S.,Pedro cóñtra la doctrina estampada en* el‘discurso ptei’hrtiñará'ia Colección" diplohvática qiíé dió á luz'Don Juan Arftonio-Llórente sobre'dispensas matrimoniálííS y'btrós puntos de disciplina ec!esiástfca,-eon una-crítica anti-diplomática-de alguríás materias de la colección: ordenado y publicado por el Dr.-D., Miguel Fernandez de Hermánelo, presbítero, canónigo,lectora! de.la santa iglea…</t>
  </si>
  <si>
    <t>Argiielles, Baltasar Valdes</t>
  </si>
  <si>
    <t>Baltasar Valdes Argiielles</t>
  </si>
  <si>
    <t>…mer exército á D. Francisco Xavier de Oteiza; del segundo al comisario ordenador D. Julián Navanete; del ter cero al de igual clase D. Ramón Aldasoro ; y del cuarto al inten dente D. Baltasar Valdes Argiielles. Los distritos asigóados i cada uno de estos intendentes genera les constan de las provincias que comprchenden las capitanías ge nerales anexas á los respectivos generales en gefe, con arreglo á la citada orden circular de 21 de Enero, á saber: el del primer…</t>
  </si>
  <si>
    <t>ArgüeHes-, Canga</t>
  </si>
  <si>
    <t>Canga ArgüeHes-</t>
  </si>
  <si>
    <t>804</t>
  </si>
  <si>
    <t>…ta próxima. Esta ocurrencia hizo en el Congreso la mayor -sensación. Són dignas den otarse las opiniones que en aq u el ítodmcn to in añi &gt;festaron ;variqs ;señohes dipotados&amp;i El señor Canga ArgüeHes-;deseaba que se colocaseo las banderas eni^tejnpJb itjue haser vado •pára-las* últimas.' sééioner, v en ei saldn preparádo pata él las: :etor?efeta(jotte: sor proposición fueaprobada , 3" tanribien Ja del señor.AntÍlk&gt;n , reducida á que ios trofeos arrancados…</t>
  </si>
  <si>
    <t>Arguelles</t>
  </si>
  <si>
    <t>Gaceta de Madrid n.º 111</t>
  </si>
  <si>
    <t>…el señor E.Jievarri mandó un - iumediutosa la mesa, fueron separados para que vo ayudante con tropa para prenderle por amigo del tase con preferencia un grupo da canónigos, que se señor Arguelles y promovedor Je las sjnas ideas, arrojó con el aire mugestuoso y despreciativo con uc en concepto de este militar inquisicional, y que han acostumbrado tratar á los hombres que e los enemigos del orden que toman y degradan por zalamería se envilecen á.su pres…</t>
  </si>
  <si>
    <t>Gaceta de Madrid n.º 146</t>
  </si>
  <si>
    <t>…dió que se señalase la lei ex la noche del-S.Se marzo, en cuya mañana se ha presa en que el tribunal habia fundado su fallo. bian leido en el congreso las tres representaciones El señor Arguelles, manifestando en un largo y contra la publicación dél manifiesto; el que, mu elocuente discurso la criminalidad del proceder del dada la regencia, se leyó al fin en las parroquias del señor Ros, rebatió los argumentos de los señores modo que manifiesta eí sig…</t>
  </si>
  <si>
    <t>185</t>
  </si>
  <si>
    <t>…da su lectura propuso el Sr. Aróstegui, diputado en Cortes, que para perpetuar la memoria de esta victoria se erigiese un monumento igual al que se asordó por la de la Albuera. El Sr. Arguelles propuso que las Cortes ad judiquen á dicho Duque una propiedad territorial de los bienes nacionales, cuya cantidad propondrá la Regencia, con la condición de que en el título de posesión se exprese la cláusula de que la concesión sé hace á nombre de la nación…</t>
  </si>
  <si>
    <t>Arguelles, Canga</t>
  </si>
  <si>
    <t>Canga Arguelles</t>
  </si>
  <si>
    <t>…mientras que ellos aseguran con la espada la in?. dependencia nacfonál, démosléi nesorrovuná patrianiélizLque Júfe ,re&lt;íba en ¿-¡su Seaq, y jreeompense sus virtudes^” ¡ •. - u El señor Canga Arguelles dixo asi: „ Oy ó Dios los votos del pueblo es(O Al pronunciar esta expresión, el auditorio dio muestras de ternura. • J*</t>
  </si>
  <si>
    <t>Arguiano, Lorenzo de</t>
  </si>
  <si>
    <t>Lorenzo de Arguiano</t>
  </si>
  <si>
    <t>…. Francis co de Sagastaveitía„ id. D Francisco Valles, 2 id D. Francisco Ba llesteros, 1 id. D. Gregorio Fernandez* 1 id D. Julián García Mon_terroso, 1 id. D. Julián Perez, 2 id. D. Lorenzo de Arguiano, 1 id. D. Matías de Larreta, 3 id D. Manuel délos H¿ros, 2 id. D. Ma nuel déla Torre, 1 id. D. Manuel Garbea y Bulillo, 2 id. D. Ma nuel de Aramburu, í id. D. Miguel de Ezcurra, 1 id. D. Ramo* Martínez de Bartolomé, 1 id. D. Santiago Cachonfajro, 1 id. D. Tir…</t>
  </si>
  <si>
    <t>Argumosa, Juan de</t>
  </si>
  <si>
    <t>Juan de Argumosa</t>
  </si>
  <si>
    <t>…guerrillas de vanguardia y centro, la primera al mando del alterca D- Juan Taimada, y la segunda al de su misma ciase Vivanco, con mas 30 patriotas ^de Tina al de ^su subdelegado D. Juan de Argumosa, que se brinoo á «.icoinpa.LariCs hasta dicha cuesta, saliesen "por derecha é izquierda á explorar el monte, y franquear por este medio el camino al convoy para evitar una emboscada, y que pudieran causar algunas desgracias Impune-' mente. Estando ya en la ma…</t>
  </si>
  <si>
    <t>Arias, Antonio Sandalió</t>
  </si>
  <si>
    <t>Antonio Sandalió Arias</t>
  </si>
  <si>
    <t>Gazeta de Madrid bajo el Gobierno de la Regencia n.º 86</t>
  </si>
  <si>
    <t>…de secretario. D. Ramón Ruel, conrador. D. Casimiro Gómez de Ortega, ‘ubstjtDto de;Contador. D. Francisco de Paula Marti, tesorero. Don Ped^o Arícente deSqldeviüa, bibliotecario. D. Antonio Sandalió Arias , archi vero. ÍL Claudio Boutelou, secretario deja clase de agricultura. D. Torqitato lorio de la Riba, secretario ce U clase de industria. D. Francisco de Pauia Martí, secretario de ia clase de artes y oficios. .. Todo lo que se hace saber al público para-.i…</t>
  </si>
  <si>
    <t>Arias, Dámaso de</t>
  </si>
  <si>
    <t>Dámaso de Arias</t>
  </si>
  <si>
    <t>…Abnorza, 500. D. J sé Antonio Errea , 500. D. José Hipólito y Don Ambrosio Ibañez, 500 D Francisco María Zuloaga, 300. D. Pedso Moreno Altu-arra , 300 D. Juan Pedro Zelayeta, 200. D. Dámaso de Arias, 200. D Matine? Partido, 200. D. Martin Axamburu, 200. D. M afras I are a, 200. D. Toribio Acebal, secretario de gobier no, 200. D. José lio dirifo, 200. D. Miguel Fermín Escurra, 200. D. Miguel Cabe’lo, £00. D. Miguel Antonio Ar óla, 200. D. Fran cisco Maíz…</t>
  </si>
  <si>
    <t>Arias, Dimaso de</t>
  </si>
  <si>
    <t>Dimaso de Arias</t>
  </si>
  <si>
    <t>…1 id. D. Ramo* Martínez de Bartolomé, 1 id. D. Santiago Cachonfajro, 1 id. D. Tir so Estevanez, 1 id. D. Francisco Bosano , 2 id. D. José Gambini, 1 id. D. Juan de Perlica, 8 id. D. Dimaso de Arias, 6 id. D. Jacinto Xiraeno, 6 id. D. Manuel Ortiz de Villate, 4 id. D. José Rodolfo, 4 id. D. Antonio León, 4 id. D Paulino Domínguez, 3 id. D. Martin de Aramburu, 3 id. D. Francisco Vázquez de Usieda, 2 id. D. José Correa, 2 id. D. Juan Bautista Zaracondegui,…</t>
  </si>
  <si>
    <t>Arintero, Santiago Gutiérrez de</t>
  </si>
  <si>
    <t>Santiago Gutiérrez de Arintero</t>
  </si>
  <si>
    <t>Gazeta de la Regencia de las Españas n.º 149</t>
  </si>
  <si>
    <t>…ones, siendo compuesta de los señores Gefe político , presidente; con je de Vilbp^te na, co mo alcalde constitucional; vicario eclesiásrico; vi rador eckT.s.jco; D. Jo?é Arratia y D. Santiago Gutiérrez de Arintero, como r gi 00res constitucionales; D. Juan Ramón Matute, como procurador sín dico general de dicho ayuntamiento; D. Juan Antonio Salcedo, cura párroco de S. Gines , y D. Juan José Barrios , cara pjrrt c'O íis Sta. María, como individuos del cabildo de señores…</t>
  </si>
  <si>
    <t>Arinterof, Santiago Gutiérrez de</t>
  </si>
  <si>
    <t>Santiago Gutiérrez de Arinterof</t>
  </si>
  <si>
    <t>…y S. Justo L&gt;. Manuel Segundo Martínez; per la de S. Andrés D. Domingo Fernandez Campomanes y D. Fermín Rodrí guez; por la de S. Pedro D? Josef Teodoro Santos; por la de S. Josef D. Santiago Gutiérrez de Arinterof y marques de Castrefíuerte; por la de S. Míllan D. León de Ja , Cámara Cano, D: Antonio Marte 1 y D. Josef Martínez Moscoso; por lá de S. Salvador D:/Juan'de Lera'Cañó1; por da'de S. Luis D. Francisco Marchámalo y D. Fáustirrá‘Sánchez'Sevillano; por la de San…</t>
  </si>
  <si>
    <t>Aristnendi, José de</t>
  </si>
  <si>
    <t>José de Aristnendi</t>
  </si>
  <si>
    <t>…Faustino del Campo, 2 id. D. Juan Llano y Cam pos, i id. D. Manuel Antonio del Portillo, 6 id. D. Santiago Rodrí guez, 2 id. D. Francisco Medina, 1 id. D. Martin de Almerza, 5 id. D. José de Aristnendi, 10 id. D. Gerónimo de Urriza, L id. D. To mas Gallegos, 6 id. IL Agustín Caldas, 1 id. D. Blas Camino, 1 id. D. Domingo Urquijo, 1 id. D. Francisco Falconi, I id. D. Francis co de Sagastaveitía„ id. D Francisco Valles, 2 id D. Francisco Ba llesteros, 1 id. D…</t>
  </si>
  <si>
    <t>Árizabala, Santiago</t>
  </si>
  <si>
    <t>Santiago Árizabala</t>
  </si>
  <si>
    <t>…eron sobremanera, sos teniendo á cuerpo descubierto las descargas del enemigo Igualmente debo hacer presente á V. E que el subteniente de la tercera compa ñía del segundo batallón D. Santiago Árizabala con 30 soldados con tuvo por espacio de un gran rato á una bolumna enemiga fuerte de 200 hombres: al soldado de la misma Antonio Tadeo, que habiendo caido prisionero por hallarse herido hizo el muerto, pero al aproxí- _ marse un francés lo hirió de muerte con…</t>
  </si>
  <si>
    <t>Arizavala, Santiago</t>
  </si>
  <si>
    <t>Santiago Arizavala</t>
  </si>
  <si>
    <t>…antes á D. Pascual Sanz, D. Domingo Olejua , Don Juan Esteban Anant, D. Juan Monton ,D. Ramón Díaz de Itarraza, D. Ambrosio Dorregaray, D. José Mari a Larcano j Joaquín Mezquiriz, D. Santiago Arizavala, Dj Ildefonso Zizur, D.José Pinilla y D. Pedro Brull .* á tenientes de granaderos y. cazadores á D. Isidoro IrachMta, D. Martin de Yoldi, D. Martin Gastón, D. Vicente Pe- rez, D; Pedro Osta, D. PrudencLoBujandayD- José Orduna,D. An gel El vial de. D- Marianos…</t>
  </si>
  <si>
    <t>Arizmendi, José</t>
  </si>
  <si>
    <t>José Arizmendi</t>
  </si>
  <si>
    <t>…s. D. Juan Bautista Oy&amp;rzabal y D. Pedro Abadía, 1000. D. Antonio y IX José Matías Eiizalde, 500. D. Francisco Xavier Izcue, 500. D Juan Bautista Errea, 500 D. .Loan Pcrtica, 500. D. José Arizmendi y D. Miguel Abnorza, 500. D. J sé Antonio Errea , 500. D. José Hipólito y Don Ambrosio Ibañez, 500 D Francisco María Zuloaga, 300. D. Pedso Moreno Altu-arra , 300 D. Juan Pedro Zelayeta, 200. D. Dámaso de Arias, 200. D Matine? Partido, 200. D. Martin Axamburu, 200. D. M afras I…</t>
  </si>
  <si>
    <t>Arleoui, José María</t>
  </si>
  <si>
    <t>José María Arleoui</t>
  </si>
  <si>
    <t>…a de los rebeldes de Huichapam, Nopala, Acúleo y S. Antonio, dispuso que ios 150 dragones de su mando, que iban escoltando un convoy , se dividiesen°5oá la vanguardia al mando del teniente D. José María Arleoui, 50 en el centro al de D. José Domingo Vivanco, y la re taguardia al del capitán D. Manuel de Arcos. Como el parage era peligroso por la emesura de ios montes que hay a los dos lados del camino, determino que las guerrillas de vanguardia y centro, la primera…</t>
  </si>
  <si>
    <t>Arnesto, Antonio</t>
  </si>
  <si>
    <t>Antonio Arnesto</t>
  </si>
  <si>
    <t>…nuel de Cereceda , substituto primero. Barrio de Afligidos. D. Josef Vidal, substituto segundo. D. Pedro Cancio, a!calde. Barrio del Ave María. D. Andrés Aros, sub-tituto primero. D. Antonio Arnesto, alcalde. D. Santos Antolin , substituto stgundo. D. Josef Rodas, substituto primero. Barrio de S. Marcos. D. Ventura González , substituto iegundo. D. Francisco Tellez, alcalde. Barrio de la Trinidad. D. Sebastian de Echestia, substituto primero. D. Santiago…</t>
  </si>
  <si>
    <t>Arnsldo, Salvador</t>
  </si>
  <si>
    <t>Salvador Arnsldo</t>
  </si>
  <si>
    <t>509</t>
  </si>
  <si>
    <t>…asado Febrero hicieron una á Sai. Feliu de Codinas para coger las autoridades del ct rregimiento de M ai aró, pero solo pudieron verificarlo ccn eí alcalde ma yor de aqnei partido D. Salvador Arnsldo, y el comisario de guerra D. Elogio de Cuenca, después de haber recibido tres sabíales; y aun íi estos los prendieron, poique creyendo tener mas tiempo, se detuvieron un poco en recoger cuarto inrurtbia á sus respectivos empleos. A las 10 de la rrahtm; deí 27…</t>
  </si>
  <si>
    <t>Aronso, Josef</t>
  </si>
  <si>
    <t>Josef Aronso</t>
  </si>
  <si>
    <t>…Blanco, alcalde. gundo. D- Tomas Ximenez, substituto primero. Barrio de las Mercenarias. D. Carlos A riña, substituto segundo. D. Domingo Rcinoso, alcalde. Barrio de la Loma.ire. D. Josef Aronso , substituto primero. D. Francisco Gorvea , alcalde. D. Miguel de Moya, substituto segundo. D. Ramón del Casal, substituto primero. Barrio de Capuchinos de ¡a Paciencia. D. F rancisco Ortiz , substituto segundo. D. Vicente Zally, alcalde. Barrio de S. Isidro.…</t>
  </si>
  <si>
    <t>Aros, Andrés</t>
  </si>
  <si>
    <t>Andrés Aros</t>
  </si>
  <si>
    <t>…. D. Josef Domínguez, alcalde. D. Manuel de Cereceda , substituto primero. Barrio de Afligidos. D. Josef Vidal, substituto segundo. D. Pedro Cancio, a!calde. Barrio del Ave María. D. Andrés Aros, sub-tituto primero. D. Antonio Arnesto, alcalde. D. Santos Antolin , substituto stgundo. D. Josef Rodas, substituto primero. Barrio de S. Marcos. D. Ventura González , substituto iegundo. D. Francisco Tellez, alcalde. Barrio de la Trinidad. D. Sebastian de E…</t>
  </si>
  <si>
    <t>Aróstegui</t>
  </si>
  <si>
    <t>…julio. Ayer se leyeron en el Congreso nacional los partes remitidos por el se ñor duque de Ciudad-Rodrigo sobre la brillante acción de Vitoria, y con cluida su lectura propuso el Sr. Aróstegui, diputado en Cortes, que para perpetuar la memoria de esta victoria se erigiese un monumento igual al que se asordó por la de la Albuera. El Sr. Arguelles propuso que las Cortes ad judiquen á dicho Duque una propiedad territorial de los bienes nacionales, cuy…</t>
  </si>
  <si>
    <t>Ározatena, José Joaquín</t>
  </si>
  <si>
    <t>José Joaquín Ározatena</t>
  </si>
  <si>
    <t>…de Tejada: á tenientes de fusileros á . D, VictorianoMangiron, D; Joaquín Mendiando , Don Pedro Oses* D José María Subirán , D. Miguel Tartas , D. Manuel Baztan ¿ D. Agustín Oro, D. José Joaquín Ározatena, D. Domingo Chávame, D. Agustín Mora, D. Juan Cruz Larrondo, D. Fran cisco Peralta, D. Manuel Salaberri, D. Dámaso Landa, D. Atanasio Diez, D. Bartolomé Comas, D. Ildefonso Mayo, D» JVLguql Ormachea, D Joaquín Sánchez, D José Migueltorena D Diego Gayarre, D.…</t>
  </si>
  <si>
    <t>Arrambide, Antonio</t>
  </si>
  <si>
    <t>Antonio Arrambide</t>
  </si>
  <si>
    <t>…. Francisco Preysler y Moreno, D José Segundo Izquierdo, D. Pedro Colmenares , D Pedro de la Cantolta, D José Nicolás ¿e Chimioni, D. Antonio Fernandez , D Juan Miguel Arrambi le, D. Antonio Arrambide, D, Antonio Gailuzo y D. Antonio de la Iglesia y Smith: igualmente ha promovido S. A. á coronel del referido cuerpo en la división de ultramar, al graduada y teuie»to etaronel del mismo D. José de la Fuente Pitá. En la impré&amp;ta mactonál se halla de venta el s…</t>
  </si>
  <si>
    <t>Arras</t>
  </si>
  <si>
    <t>Gaceta de Madrid n.º 92</t>
  </si>
  <si>
    <t>…. Su cónsul protege abiertamente á Assad-bei, Las últimas cartas de Washington anuncian que eu hijo de uno de los últimos baxaes, y quiere opo el gabinete ha habido mutaciones. Al general Arras nerle al poseedor actual. No se duda de que sean tróos se le ha nombrado secretario de la Guerra en los ingleses los que animan á los kurdos contra el reemplazo del doctor EuStis, que tenia hecha su di baxá de Bagdad , y se atribuye á sus sugestiones el misió…</t>
  </si>
  <si>
    <t>Arratia, Josef</t>
  </si>
  <si>
    <t>Josef Arratia</t>
  </si>
  <si>
    <t>…enerse las sesiones, siendo compuesta de los señores ^Gefe político, presidente. Conde de Villa paterna, como alcalde constitucional. Vicario eclesiástico. Visitador eclesiástico. D. Josef Arratia y D. Santiago Gutiérrez de Arintero, como regidores constitucionales. D. Juan Ramón Matute, como procurador síndico general de-dicho ayuntamiento. D. Juan Antonio Salcedo, cura párroco de S. Gines, y D. Juan Josef Barrios, cura párroco de Sta. María, como individuos del cabildo de seño res cura…</t>
  </si>
  <si>
    <t>Arredondo, Joaquín de</t>
  </si>
  <si>
    <t>Joaquín de Arredondo</t>
  </si>
  <si>
    <t>Gazeta de la Regencia de las Españas n.º 108</t>
  </si>
  <si>
    <t>Núm. 10$. 897 GACETA DE LA REGENCIA DE LAS ESPADAS DEL MARTES 24 DE AGOSTO DE 1813. ESPAÑA. México jo de Febrero. Continúa el extracto de los partes de Nueva-España. 65. D. Joaquín de Arredondo, gobernador del Nuevo-Santan der y Huasteca, puso al mando del capitán de caballería D. José Antonio Guerra un destacamento de infantería y caballería para per seguir á los rebeldes, acampados en las inmediaciones de Rio-Ver de. El 14 de Abril se dirigid por…</t>
  </si>
  <si>
    <t>Arriaga, Fermín de</t>
  </si>
  <si>
    <t>Fermín de Arriaga</t>
  </si>
  <si>
    <t>…varez de Villar, 10 hombres por un año. D. Bar tolomé Va!dés,8id. O. Francisco Xavier Izcue, 8 id. D. Juan Bau tista O variaba! y D. Pedro Abadía, 20 id. D. Lorenzo Tajonar, 2 id. D. Fermín de Arriaga, 2 id. D. Nicolás Soreguí, 1 id. D. Juen Bautista de Sarrata, 2 id D. Jot,é A tomo de Erna, 4 iii. D Mi guel de Garate, 1 id. D. Joaquín de Lostfa, 1 id. D. Raisuui Ven-</t>
  </si>
  <si>
    <t>Arriaza, Juan Bautista</t>
  </si>
  <si>
    <t>Juan Bautista Arriaza</t>
  </si>
  <si>
    <t>, Poesías, ó Rimas juveniles de D. Juan Bautista Arriaza *. segunda edición, he cha en Londres en papel vitela en dos tomos en 8.° prolongado, con viñetas finas, .encuadernados en becerrillo. Se hallarán en el despacho de Ja imprenta nacional, á oo rs. cada exemplar. Poesías patrióticas del mismo autor, edición de…</t>
  </si>
  <si>
    <t>Arribas</t>
  </si>
  <si>
    <t>485</t>
  </si>
  <si>
    <t>…6 salió de aquí para Madrid una escolta con mu chos carros para conducir los efectos restantes del gabinete de his toria natural y demas establecimientos, y á su vuelta vendrán el ministro Arribas y otros empleados. Este infame ministro ha escrito * se le prevenga su alojamiento en misa del marques de Lozoya: su secretario Gallardo solo pide una buena cama, perqué tienen que venir muchos huéspedes. Lezaeta, Zrrate y otres ímpleedos aquí tienen ya empaq…</t>
  </si>
  <si>
    <t>Arrieta, Eugenio de</t>
  </si>
  <si>
    <t>Eugenio de Arrieta</t>
  </si>
  <si>
    <t>Gazeta de Madrid bajo el Gobierno de la Regencia n.º 23</t>
  </si>
  <si>
    <t>…ura, compuesta de los señores D. Ramón Ca brera presidente y D. -Eugenio de ia Peña , vice-presidente; IX Antonio Si les, D. Antonio Posada y £&gt;. 3ernabé García , propietarios; de D. Eugenio de Arrieta, í&gt;. Benito Gil y Di Josef Moor de Fuentes, suplentes; des pués de prestado el juramento prescrito en el artículo 374 de*la Constitución en manos del señor gefe político superior de esta provincia , ha nombrado por su secretario á IX Julián de Sojo, y se ha i…</t>
  </si>
  <si>
    <t>Arroquia, Pedro Antonio</t>
  </si>
  <si>
    <t>Pedro Antonio Arroquia</t>
  </si>
  <si>
    <t>…ndolo haberlo he^ho, y del pueblo donde exista el dicho Iglesias, á D. Francisco Martínez de Aguilar, del comercio de li bros de Málaga. ; ’ Si alguno supiese el paradero del Lie. D. Pedro Antonio Arroquia, abogado, que se hallaba en Cádiz en el mes de judo de este año, y tuviese á bien avisarlo, podrá hacerlo poniendo el sobrescrito del modo siguiente: Al señor cura párroco de Logroño. —- La Guardia.Paganos. Viag^ del joven Anacarsis á la Grecia á mediados del…</t>
  </si>
  <si>
    <t>Artalejo, Felipe</t>
  </si>
  <si>
    <t>Felipe Artalejo</t>
  </si>
  <si>
    <t>22 9 8.° D. Francisco Linares, natural y residente en Valdenioro. 9.0 D. Juan Peñuelas de Zamora, natural y residente en Madrid. 10. D. Felipe Artalejo , natural y residente en Pinto... . . , 11. D. Josef Martin y Montes, natural y,residente en Torrejon de Velasco. 12. D. Patricio Magano, natural de Fuencarral, y residente en Madrid. 1 ' , Del partido de Alcalá. i.° D. Manuel Anchuelo, vecino de Anchuelo. 2.…</t>
  </si>
  <si>
    <t>Ártazo, Manuel</t>
  </si>
  <si>
    <t>Manuel Ártazo</t>
  </si>
  <si>
    <t>384</t>
  </si>
  <si>
    <t>…secretario interino del des pache de la Gobernación de ultramar la orden siguiente: „Las Cortes generales y extraordinarias han oido con particular agrado la exposición hecha por D. Manuel Ártazo, gobernador y capitán general de la provincia de Yucatán, que Y. S. inserta en su oficio de 25 , en la que manifiesta que sin habar recibido del Gobier no de la nación la constitución y órdenes para publicarla y jurarla, había procedido á executarlo por haber…</t>
  </si>
  <si>
    <t>Arteaua, Antonio</t>
  </si>
  <si>
    <t>Antonio Arteaua</t>
  </si>
  <si>
    <t>…de la división patriótica de Mascota D. Juan José Guzinaa, destacó una partida de caballería é infantería de los soldados -de.su mando y patriotas de Xiquiípan , á las órdenes del teniente D. Antonio Arteaua , contra la eavilla de 200 rebeldes mandados por Rodríguez , Valdivia y Aguí lar-, que talaban las cercanías de dicho pueblo de Xíquílpan. ‘Encontraron ,á legua y media una avanzada enemiga, .que pusieron en precipitada fuga, y su cesivamente á toda la gavill…</t>
  </si>
  <si>
    <t>Arüujo, Manuel López de</t>
  </si>
  <si>
    <t>Manuel López de Arüujo</t>
  </si>
  <si>
    <t>…ima» publique y circule. = L. de Barbón, cardenal de Scala, arzobispo de Toledo, presidente. = Pedro de Agar.-^ Gabriel Ciscar.^=En la Real Isla de León á a8 de Octubre de 1813.=A D. Manuel López de Arüujo. Por decreto de la Regencia del reyno, dirigido al secretario in terino del despacho de Gracia y Ju ticia, te ha encargado interinaB¡en:e al Sr. D. José Layando, s c. etavio del consejo de Estácfo» del despacho de la secretaría de Estado y del Despicho. Por l…</t>
  </si>
  <si>
    <t>Arvilla, Manuel</t>
  </si>
  <si>
    <t>Manuel Arvilla</t>
  </si>
  <si>
    <t>…José Gorriz y D. Se bastian Fernandez: á teniente coronel y comandante de batallón á D. Ramón Ulzurran y D. Joaquín de Pablo : á primeros sargentos mayores á D. Benito'irigoyen , D. Manuel Arvilla , IX Marcelino O. rea y IX Fermín Argaiz : á capitanes de granaderos y cazadores a¿ i). Juan Vülamieva, D. Felipe Navasqües , D. Angel Ros , •Don-’ José. - María Barrica!, D. L uis Arillo, D. José Erriz, O. Felipe Tule sana, XX Luis Gaitdiaga , 1). Simón Pere…</t>
  </si>
  <si>
    <t>Arxsmendi, Cándido</t>
  </si>
  <si>
    <t>Cándido Arxsmendi</t>
  </si>
  <si>
    <t>Gazeta de la Regencia de las Españas n.º 116</t>
  </si>
  <si>
    <t>…ompañía, y cargando á los enemi gos ; y los subalternos del mismo cuerpo D. Jote Vidal y D. José Sierra: el capitán de Guadalaxara D. Francisco Orus, y los sub alternos del propio D. Cándido Arxsmendi y D. Manuel Zuluaga; como asimismo el capitán D. José Neyra, y el sargento primero de este regimiento D. José Roxas, que á ía bayoneta mató en el puente á un sargento enemigo, qu¿ perseguía al géfe de la brigada; y el soldado Andrés Bueno, que con otros 2 hizo prisionero á un sa…</t>
  </si>
  <si>
    <t>Arzac</t>
  </si>
  <si>
    <t>…diaciones de Xiquilpan. Pero habiendo huido la canalla lue go que avisto la guerrilla , dispuso el teniente coironei Arango que la persiguiesen 100 caballos ai mando del esforzado cura Arzac y capitán Oteiza de Colima , quienes habiéndola alcanzado en el rancho del Veladero la atacaron y dispersaron matando 9 de ellos y haciendo otros tantos prisioneros, uno de ellos nombrado Capitán. Reunido después este pequeño destacamento á la partida del ref…</t>
  </si>
  <si>
    <t>Asas, Juan de</t>
  </si>
  <si>
    <t>Juan de Asas</t>
  </si>
  <si>
    <t>…aquín Díaz, capitán de tiradores de Cantabria. Los heridos son: D. Antonio Bausivi, subteniente del de Toledo; D. Andrés Narvaez y D. Francisco Romero, tenientes del de Monterey ; D. Juan de Asas y D. José Pumarejo, tenientes del Regimiento de Marina; D. Geferino Arau/o, subteniente del de Benaveate; Don Félix Carrera, coronel, y D. Alberto Gutiérrez , teniente del de Rivero ; D. Esteban Rodríguez y D. Alberto Rodríguez , capitanes, D. Manuel Taboada , D. Juan Hevia y D…</t>
  </si>
  <si>
    <t>Asas, Martin de</t>
  </si>
  <si>
    <t>Martin de Asas</t>
  </si>
  <si>
    <t>…de navio D. Sebas tian Butler herido gravemente , y el de fragata D. Juan Montaña le vemente. El valor y bizarría de esta oficialidad y su tropa, asi como el del alférez de navio D. Martin de Asas , que con 16 individuos de brigadas mandaba las dos piezas de tren volante de la tercera division, es natural lo digan de oficio á los gefes de ellas D. Domingo Loaces y D. Gerónimo Galiano, pues me han hecho»los mayores elogios de todos, y no puedo menos de…</t>
  </si>
  <si>
    <t>Ase</t>
  </si>
  <si>
    <t>Gazeta de la Regencia de las Españas n.º 97</t>
  </si>
  <si>
    <t>…todo ei botín, después de haberles muerto y herido cerca de 2® hombres, cogiéndoles 8® prisioneros, entre ellos 20 españoles renegados. AVcante 17 de Julio. Copia de una carta de D. Ase&gt;.sio Nebot (el Frsyle.) A las 6 de la mañana del 8 dt 1 corrí rite sa.íó la retaguardia del enemigo de Castellón de ía Piaña para Torrebíanca, ve Ludo á su tránsito el castillo de O opesa, y a las 7 del mismo di* entró en Castellón mi primer batallón y el pri…</t>
  </si>
  <si>
    <t>Ash</t>
  </si>
  <si>
    <t>…érdida fué considerable atendiendo á la dispari dad de fuerzas. »Estoy particularmente satisfecho de la conducta del mayor ge neral Pringle en esta ocasión, como también de la del coronel Ash worth , del coronel O-Callaghan, y del teniente coronel Fitzgerald del regimiento num. 60 de infantería; de todos los comandantes de brigadas que estuvieron á las órdenes de dicho mayor general, é igualmente del teniente general conde de Amarante, y del briga…</t>
  </si>
  <si>
    <t>Ashworth</t>
  </si>
  <si>
    <t>…uya conducta y de la firmeza de su regimiento, el ma yor general se expresa en los términos mas honoríficos. «Habiendo sido también atacada por una fuerza superior la bri gada del coronel Ashworth, esperó con mucha firmeza y rechazó al enemigo á la bayoneta, conservando su terreno toio el tiempo que yo juzgué prudente que lo hiciese ; y un batallón de la br igada del brigadier general Costa defendió lia cumbre del monte en la</t>
  </si>
  <si>
    <t>…ar. El enemigo procuró romper aquel punto; pero filé rechazado por el brigadier Costa; y finalmente arrojado de ia cumbre á la bayoneta por aqueí batallón, parte de la brigada del coronel Ashworth, y por un corto destacamento del regimiento 28. *» Puedo asegurar á V. E. que el enemigo no tiene de qce glo riarse, ni nuestra pérdida fué considerable atendiendo á la dispari dad de fuerzas. »Estoy particularmente satisfecho de la conducta del mayor ge nera…</t>
  </si>
  <si>
    <t>Asíiz, Miguel</t>
  </si>
  <si>
    <t>Miguel Asíiz</t>
  </si>
  <si>
    <t>…n , D. R ímon Artica, IX Agus-* ílu Góngora , D -Félix Miranda ,' D. FideL Boira , D. Ramón Elorrio, Jó. Joaquín Ferrér, D. Sebastian Ansa, I). Sebastian Goñi, D Fausto-* Lantler, D. Miguel Asíiz, D. José Apellaniz, D. José Antonio Escu dero. . ! (Se continuará.) id €M)ÍZk *EN LA IMPRENTA NACIONAL.</t>
  </si>
  <si>
    <t>Asín, Francisco</t>
  </si>
  <si>
    <t>Francisco Asín</t>
  </si>
  <si>
    <t>…de la diputación provincial, y después deberá recaer la del gobierno, sin cuya anuencia no podrá hacerse alteración en este punto. ( Se continuará. ) En virtud de providencia del Sr. D. Francisco Asín, juez letrado de primera imtanc’a de e-ta villa, y para pago de acreedores, se ha mandado sacar á pública subasta por término de 30 dias, contados desde i.° del corriente, una casa sita en esta corte en la ca’le de Silva, señalada con el núm. 19 de la manz. 4…</t>
  </si>
  <si>
    <t>Asin, Francisco</t>
  </si>
  <si>
    <t>Francisco Asin</t>
  </si>
  <si>
    <t>Gazeta de Madrid bajo el Gobierno de la Regencia n.º 41</t>
  </si>
  <si>
    <t>…as diputaciones provinciales tendrán el tratamiento de ex■celencia. (Se continuará.) ' — ■ ■- ■—: ■ —- •1 - - - 1 ^ ' - - -- ■ — ■ .... 'A •En el juzgado de1 primera instancia del Sr. D. Francisco Asin, y, escribanía del número de D. Juan Antonio de Urraza pende la causa formada contra los que resulten cómplices en ei; robo de varios vales reales dinero, y ropas, executado el dia 30 de mayo de este año en el quarto habitación, de D. Francisco Antonio de Urr…</t>
  </si>
  <si>
    <t>Gazeta de Madrid bajo el Gobierno de la Regencia n.º 60</t>
  </si>
  <si>
    <t>…solu ciones, y no extravíe la opinión por medio de extractos equivocados. Se hallarán á real cada pliego en el despacho de la misma imprenta desde el núm. 1.® Por la audiencia del Sr. D. Francisco Asín, juez Letrado de primera instancia en esta villa, y por la escribanía del número de D. Josef Antonio Canosa, se ha llan radicados ios autos de testamentaría formados por fallecimiento de D. Domin go de la Peña y Doña Alexandra Caballero, legítimos consortes,…</t>
  </si>
  <si>
    <t>Asín, Francisco de</t>
  </si>
  <si>
    <t>Francisco de Asín</t>
  </si>
  <si>
    <t>Gazeta de Madrid bajo el Gobierno de la Regencia n.º 24</t>
  </si>
  <si>
    <t>…; S. A. lo comunico á V. S; para su inteligencia y cumplimiento. Dios guar de á V. S. muchos años. Cádiz n de junio de 1813. = Tomas Josef Gon zález Carvajal. Por la audiencia del Sr. D. Francisco de Asín, juez letrado de primera instan cia en Madrid, y por la escribanía de número de D. Josef Antonio Canosa pen den autos por el fallecimiento abintestato de D, Antonio Saenz de Zaldua, de es tado soltero, vecino que fue de esta corte, y natural de la villa de Ba…</t>
  </si>
  <si>
    <t>Assfn, Francisco de</t>
  </si>
  <si>
    <t>Francisco de Assfn</t>
  </si>
  <si>
    <t>Gazeta de Madrid bajo el Gobierno de la Regencia n.º 61</t>
  </si>
  <si>
    <t>594</t>
  </si>
  <si>
    <t>…e diputen con las competentes facultades; en inteligencia de que á los que 110 asistiesen les parará todo perjuicio la resolución de ios con currentes. A virtud de providencia del Sr. D. Francisco de Assfn, juez de primera ins tancia en esta corte, se ha mandado sacar á publica subasta, á instancia de un aeree*’ dor, por término de 30 dias, contados desde el 16 del corriente, una casa sita en esta corte en la calle de S. Juan, barrios de Jesús Nazareno, disting…</t>
  </si>
  <si>
    <t>Assin, Francisco</t>
  </si>
  <si>
    <t>Francisco Assin</t>
  </si>
  <si>
    <t>…n de que dentro de 30 dias, contados desde 23 de este mes, comparezca dicho D. Prudencio, la persona que tenga ínteres en sus bienes, ó la que sepa de su paradero, ante el Sr. Dr. D. Francisco Assin, juez letrado de primer^ instancia de esta capital,-y escribanía del número de D. Cris tóbal de Vicuña, mereciendo á qualquiera persona que sepa de su paradero ó muerte lo comunique, por interesar saberlo para la cobranza de ciertas pensiones vitalicias que g…</t>
  </si>
  <si>
    <t>Gazeta de Madrid bajo el Gobierno de la Regencia n.º 82</t>
  </si>
  <si>
    <t>…denal de Scala , arzobispo de Toledo, presidente. = Pedro de Agar. = Gabriel C¡scar. = En Cádiz á 4 J de setiembre de 1813.= A D. Antonio Cano Manuel. En virtud de providencia del Sr. D. Francisco Assin, juez letrado de primen instancia en esta coite, que como tal entiende en los autos de abintestato formados por el fallecimiento de Ramón Armesto, natural que fue del reino de Galicia, se cita, llama y emplaza á todos ios que tengan derecho á sus bienes, para…</t>
  </si>
  <si>
    <t>…p Rico, juez primero y mas antiguo de primera instancia de la ciudad de Murcia, refrendado de‘D. Bruno ítfa" iíuél de VeWa , escribano de la misma, y -por auto de cumplimiento del Sr. Don Francisco Assin, juez .letrado de primera instancia en esta corte, por ante D. Ra&gt;</t>
  </si>
  <si>
    <t>…a con él nombre de Botijero. En lá gazeta núm. 84, pág. 804, artículo de Madrid, donde dice nues tras colonias de ultramar, léase nuestras provincias. En virtud de providencia del Sr. D. Francisco Assin , juez letrado de primera instancia en esta villa, que como tal entiende en los autos de testamentaría abintestato, formados por eí fallecimiento de María Francisca de Uzandizaga, se cita, llama y emplaza á todos los que tengan derecho á sus bienes, para que…</t>
  </si>
  <si>
    <t>Assin, Francisco de</t>
  </si>
  <si>
    <t>Francisco de Assin</t>
  </si>
  <si>
    <t>462</t>
  </si>
  <si>
    <t>…de Carvajal, :se presentarán dentro del-término de un mes,' contado desde * 8 del cor riente , i legi tima r sus .personas .endebida forma en el juzgado de primera instan cia del Sr. D. Francisco de Assin y .escribanía de provincia vacante, que última-, inente .sirv-ióD. Juan .Antonio ..Zamácot*. í ;. Memoria sobre la naturaleza ó importe de las necesidades ordinarias y extra ordinarias de la nación española en la época presente. Indole y productos de lai rent…</t>
  </si>
  <si>
    <t>594 . Ei Sr. D. Francisco de Assin, juez de prime"*» instancia en esta corte , que co noce de ia testamentaría de D. Isidoro Weis, radicada en la escribanía de provin cia de D. Juan Garrido, ha estimado se celebre junta general de todos sus acreedo res é interesados, señalando para ella el dia…</t>
  </si>
  <si>
    <t>614</t>
  </si>
  <si>
    <t>…se trata y re suelve en las Cortes.” En su cumplimiento se imprime el acta en los térmi nos expresados, y se vende por ahora en la imprenta nacional de Cádiz. Por providencia del Sr. D. Francisco de Assin, juez de primera instancia en esta villa, se cita, llama y emplaza al conde de Campo Alange, D. Francisco Xa vier Negrete, titulado duque de Cotadilla, marques de Branciforte, D, Manuel de Acuña, marques de Escalona, á virtud de posesión que nulamente le dio…</t>
  </si>
  <si>
    <t>…D. Matias Josef Gurrea, á poniente los Calveros, y al norte Juan López, y rs. cada cepa suman 6106 rs. y 17 mrs. Quien quisiere hacer postura á di chas fincas acuda al juzgado del Sr. D. Francisco de Assin, juez de primera instan cia en esta villa, y escribanía de provincia vacante que sirvió últimamente D. Juan Antonio Zamácola, eri donde se admitirán las que se hicieren. Por providencia del mismo señor juez se han mandado sacar á pública subasta &gt; dos oficios…</t>
  </si>
  <si>
    <t>…rdo de casimiros negros y blancos, regulados á 64 rs. vara. Quien quisiere hacer pos tura á dichos efectos acuda en el término de 1 5 dias ante el señor jú. z de primera instancia D. Francisco de Assin, por la escribanía de provincia de D. Juan Gar rido, que se admitirán ias que se hicieren siendo: arregladas. Retrato del Emperador de todas las Rusias, copiado de un original hecho cu Petersburgo por el mejor fisionomista. Se hallará en la librería de Viilar…</t>
  </si>
  <si>
    <t>Gazeta de Madrid bajo el Gobierno de la Regencia n.º 67</t>
  </si>
  <si>
    <t>…ión, y nos engañaremos mucho si ti erudito Mr: Pellrier, editor dél Ambigú ,no vuelve en alguna otra oca sión á hablar de este asunto. ( Diario de la Cortina.) Por providencia del Sr. D. Francisco de Assin, juez de primera instancia de. ésta villa,-se cita, lumia y emplaza al marques de Almenara, Doña Josefa Tu fió, Dóiía Plácida Urquijo, D. Severino Riezu, D.- Francisco Amorós, D. Juan Bau tista Guítart y D. Silvestre Perez, fugados con el gobierno intruso, pa…</t>
  </si>
  <si>
    <t>…saber al público que todas las semanas sale y llega al puerto de •S. Sebastian y al de Pasages un barco dedicado á conducir la corresponden cia de Inglaterra. Por providencia del Sr. D. Francisco de Assin, juez letrado de primera ins tancia en esta villa, se cita, llama y emplaza á D. Silvestre Perez, arquitecto que fue en esta villa, para que en.el preciso término de 30 dias perentorios, contados desde 19 del corriente, comparezca en el juzgado de S. S. por s…</t>
  </si>
  <si>
    <t>Asstn, Francisco</t>
  </si>
  <si>
    <t>Francisco Asstn</t>
  </si>
  <si>
    <t>Gazeta de Madrid bajo el Gobierno de la Regencia n.º 32</t>
  </si>
  <si>
    <t>…ta de la Hacienda pública, ínterin que el gobierno determina el sistema que en esta renta deba adoptarse. Madrid 10 de agosto de 1813. = Francisco Antonio de Góngora. Dí urden del señor D. Francisco Asstn , juez letrado de primera instancia en esta villa, se llama y emplaza á los que tengan derecho á los bienes deD. Pedro Díaz de Ron , marido que fue de Doña Pascuala Portero, y vecino dé esta Corte, que fa lleció abintcstato en el lugar de la Puebla Nueva en 1…</t>
  </si>
  <si>
    <t>Asterman</t>
  </si>
  <si>
    <t>Gazeta de la Regencia de las Españas n.º 80</t>
  </si>
  <si>
    <t>…cuerpos á las montañas de nuestra izquierda que favorecían su plan de ataque; pero el general Miilaradowitch estaba preparado aquí, habiendo destacado al príncipe Garchikoíf y al conde Asterman con 10 batallones de tropas ligeras, y un gran cuerpo de co sacos con artillería correspondiente, á las órdenes del coronel Davidovv , para que ocupasen dichas alturas. «Después de un vivo tiroteo en este punto, y un cañoneo dis tante en nuestra derecha con q…</t>
  </si>
  <si>
    <t>Gazeta de Madrid bajo el Gobierno de la Regencia n.º 17</t>
  </si>
  <si>
    <t>…erpo d las montañas de nuestra izquierda , que favorecían su plan dé ata que; pero el general Millaradowitch estaba preparado aquí, habiendo des tacado al príncipe Garchicoff y ai conde Asterman con 10 batallones de tro pas ligeras, y un gran cuerpo de cosacos con artillería correspondiente, á las órdenes del coronel Davidow, para que ocupasen dichas alturas. ,, Después de un vivo tiroteo en este punto y un cañoneo distante en nuestra derecha, con qu…</t>
  </si>
  <si>
    <t>Ástete</t>
  </si>
  <si>
    <t>Gazeta de la Regencia de las Españas n.º 64</t>
  </si>
  <si>
    <t>…y sirvientes del cxército contrarío, con los cuales se dirige hasta el Pasage ó Cobas, ea donde esperará mis determinaciones, reducidas por ahora á reforzarle con la dlvísioa del coronel Ástete que se halla en Tupita, y remitirle municiones. Me ofrece el detalle oficial de la acción , que por lo incómodo de la marcha y algunas circunstancias que le faltaban no había podido aneglar: luego que lo reciba ío transmitiré a Y. S. para su inteli gencia.-—…</t>
  </si>
  <si>
    <t>Astiz, Miguel</t>
  </si>
  <si>
    <t>Miguel Astiz</t>
  </si>
  <si>
    <t>994</t>
  </si>
  <si>
    <t>…ncia, lo firmó el señor comandante, y en fe de ello yo el secretario interinorE-ÓLftiz. — Ramón García, zz Y pata que conste donde convenga, doy la presente de orden y mandato del Sr. D. Miguel Astiz, coman dante de armas de esta plaza, en un plugo que firmó igualmente di cho señor en Tudela á 7 de Agosto de 1813. — Miguel Astiz. =s Ramón Garcíau De todo ¿o qual enterada S. A., se ha servido condescender con lo que propone el señor duque de Cicdad-Rodrigo…</t>
  </si>
  <si>
    <t>Astiz, Miguel de</t>
  </si>
  <si>
    <t>Miguel de Astiz</t>
  </si>
  <si>
    <t>…que con tra el alcalde de" esta ciudad' dio Ana María Rada, á la partida de D. Pedro Garde, en presencia- &lt;áe un oficial de S. M. B. , el dia 28 de Junio último , recibida por el Sr. D. Miguel de Astiz, espitan de la quinta compañía'del quinto regimiento de la di-visión de Navar ra, y comandante de armas de la expresada plaza: certifico y doy fe que' al folia- 28 vuelto de dicha información se halla la diligen cia siguiente: ¿En la ciudad de Tudela á 7 dé A…</t>
  </si>
  <si>
    <t>Asuran, Francisco Antonio</t>
  </si>
  <si>
    <t>Francisco Antonio Asuran</t>
  </si>
  <si>
    <t>…D; Pedro Osta, D. PrudencLoBujandayD- José Orduna,D. An gel El vial de. D- Marianos Jlundain , D. Federico G billón , D. Luis Ganuza, Fan^ rancisco Ilundáin, D. Florencio Olabé ,&lt;D. Francisco Antonio Asuran D. Tomás Zubiri, D. Pedro Miguel Salvador , Don Prudencio Cortazar , D. Celedonio Gómez , D. Juan Braulio Diaz, D. Patricio Calvete, D. Serafín Zaráquiegui, D. Miguel Senosiain, D. José Echeverría;y D^ Clemente Diez de Tejada: á tenientes de fusileros á . D, VictorianoMangir…</t>
  </si>
  <si>
    <t>Atero, Miguel</t>
  </si>
  <si>
    <t>Miguel Atero</t>
  </si>
  <si>
    <t>…. En el cuerpo de ingenieros de los exércitos nacionales, en la di visión de Ultramar, se ha servido la Regencia del reyno promover á teniente coronel al sargento mayor de brigada D. Miguel Atero; y á este empleo al capitán D. Suan Bautista Jáuregui. CADIZ: EN LA IMPRENTA NACIONAL-</t>
  </si>
  <si>
    <t>Atkinson</t>
  </si>
  <si>
    <t>…mbres de tripulación, al mando del capitán Lauggent, y el coronel Daniel Alessinger. harue, y el brick King-George, de Liverpool, su Concluida la comida, se echaron los siguientes capitán Atkinson. toasts, á ios que correspondían las salvas de la ar El corsario Yaukee, de 16 cañones y 90 hom-</t>
  </si>
  <si>
    <t>Au, Carlos</t>
  </si>
  <si>
    <t>Carlos Au</t>
  </si>
  <si>
    <t>Gazeta de Madrid bajo el Gobierno de la Regencia n.º 19</t>
  </si>
  <si>
    <t>200</t>
  </si>
  <si>
    <t>…ento 31.0 de infantería ligera al servicio de S. M. el Empe rador de los franceses, y empleado en la guarnición del fuerte de Santa En gracia de Pancorvo, con plenos poderes de su gobernador D. Carlos Au gusto Durand, caballero de la legión de Honor, y teniente coronel del re gimiento de infantería de línea, hemos convenido en los artículos si guientes : articulo 1. Las tropas españolas ocuparán el fuerte de Santa Engracia de Pancorvo en el dia y hora que á c…</t>
  </si>
  <si>
    <t>Aubigny</t>
  </si>
  <si>
    <t>Gaceta de Madrid n.º 86</t>
  </si>
  <si>
    <t>conde de Montesquiou, Verhuet, Ríqoet de Cara- en hacer estas útiles compras: asi las necesidades Se man, general Aubigny y barón Bourlier, hemos nuestras fabricas, de nuestra agricultura y de. nues nombrado y nombramos ai señor conde Je Montes- tros exércitos están cada vez nías aseguradas. • quiou presidente del cuerpo legislativo durante la Este grado de prosperidad se debe'á…</t>
  </si>
  <si>
    <t>Aubrai</t>
  </si>
  <si>
    <t>Gazeta de Madrid bajo el Gobierno de la Regencia n.º 2</t>
  </si>
  <si>
    <t>…osiciones para que se hagan atrinche ramientos en Clus Konegsborn y otros puntos, á fin de que el general Bu lou pueda con mayor seguridad bloquear á Magdeburgo por esta parte. F. D. Aubrai , gefe del estado mayor , en nombre del conde VVittgenstein.Y Parte que el comandante general de la, caballería del tercer excrcito Don J05ef Rich dirigió al Exano. Sr. duque del Parque en 2 7 de marzo del presente año. ’■ . * r Excmo. Sr.: el coronel D. Mari…</t>
  </si>
  <si>
    <t>Augereau</t>
  </si>
  <si>
    <t>19</t>
  </si>
  <si>
    <t>…............ . 15000 Cerca de Doughoovtchitchina............................. 500 Víctor y St. Cyr en Polotsk , Lepel y Vitepsk 10000 En la acción de Leowkou , en que se rindió el general Augereau................................. 2000 Plato w en el paso del Dniéper. ••••••••«*•• 980 Total............... 51400 Cuando entró en Rusia Boñaparte tenia 300000 hombres, 40000 caballos, y por lo menos otros 50000 de artillería y transportes. Cuando salió de Mos…</t>
  </si>
  <si>
    <t>…trozado á Víctor; y eo el segundo se halla Kutusow con el exército grande. Ademas de esto es natural que el general Tormasow se haya opuesto á la reunión del cuerpo de reserva del mariscal Augereau, Platow, que con la rapidez de un rayo, acomete y acuchilla á los enemigos , pasó últimamente el Dniéper rodeando y estrechando al exército frailees por el sor; y de todo resulta que Napoleón se halla en el mayor apuro en que puede verse un conquistador. ESPA…</t>
  </si>
  <si>
    <t>Gazeta de la Regencia de las Españas n.º 4</t>
  </si>
  <si>
    <t>27</t>
  </si>
  <si>
    <t>…de refresco, que debían incorpo rarse con los diferentes regimientos de guardias , mandados por el general Baraguay d’Hilliers , acompañado del general Charpentier, y el brigadier general Augereau, hermano del mariscal del mismo nombre. Hallábase este cuerpo distribuido en las tres aldeas de Yasvm , Lacof y Dolgomust, é inmediatamente se tomaron disposicio nes para atacarle con los tres cuerpos de partidas , mandados por el capitán Seslavin , coronel D…</t>
  </si>
  <si>
    <t>Gaceta de Madrid n.º 34</t>
  </si>
  <si>
    <t>…s, especial D. Este pagaré quedó sobre mi cama en el mente los fuera de la tei% que oía repetir á cada momento de irse el general, y no lo he leído hasta asó en esta lectura, y el mariscal Augereau , so después de levantarme. re el que lúcela observación de que,yo habia ser P. Bien está: ¿y entonces lo leisteis con cui vido baxo sus órdenes. dado ? P. Atendida la importancia de estos documen £&gt;. Sí; pero no reparé ni en la falta de fecha, tos, ¿qué prec…</t>
  </si>
  <si>
    <t>Gazeta de Madrid bajo el Gobierno de la Regencia n.º 50</t>
  </si>
  <si>
    <t>…acdonald y Gouvion St. Cyr. Los generales Arrighi (duque de Padua), Reg— nier,. que manda el séptimo cuerpo de los saxones, Bertrand y Laurlston. Quinto. En Bayreuth y Bambérg. El mariscal Augereau con el cuerpo: de reserva. Sexto. En Munich. El general Wxede* comandante en gefe de todos los bávaros. Séptimo. En Francfort. El mariscal Keilorman con el segundo exército de reserva. Octavo. En Italia. El víre! Eugenio, lugarteniente de Bonaparte, el. maris…</t>
  </si>
  <si>
    <t>Gazeta de la Regencia de las Españas n.º 128</t>
  </si>
  <si>
    <t>…Víctor, Marmont, Macdonal, Gouvion St. Cyr. Generales: Arrighi, duque de Padua, Regnier, que manda el séptimo cuerpo de saxones, Bertrand y Lauriston. 5 .0 Bayreuth y Bamberg. El mariscal Augereau coa el exército de reserva.</t>
  </si>
  <si>
    <t>773</t>
  </si>
  <si>
    <t>…Macdonald; los generales Regnier, Souham, Lauriston, Dombrouskí, Vailary, Bruñe y otros to. El-príncipe Poniatowsky ahogado; el general Grenier muerto; el mariscal Ney herido; el mariscal Augereau (según dicen los prisioneros) muerto. En los primeros hai 300 oficiales de estado maybr. Se han cogido 2oo: cañones y 800 carros de municiones. Se calcula que Napoleón ha Salvado de todo su exércitó de 30 á 60© hombres, que huyen llenos de pavor' perseguidos…</t>
  </si>
  <si>
    <t>…de desbaratar á Bonaparte en persona en el campo de batalla. En Eiland ei 8 de febrero de 1807 rechazó todos los ataques de Bo naparte, y destruyó su ala izquierda, mandada por el mariscal Augereau. Posee lo que vulgarmente se llama ojo militar, es decir, que le basta mirar un terreno para conocer exactamente quales son las posiciones que de ben ocuparse Es severo en la disciplina, y dotado de una firmeza de alma á toda prueba. Nació para la guerra, y c…</t>
  </si>
  <si>
    <t>Auguimbean</t>
  </si>
  <si>
    <t>…o de Almeida, protegidos por tres compañías dél 9.0 regimiento, baxo el mando del teniente coronel Crawford, con una reserva de tres compañías de reales escoceses, mandados por el capitán Auguimbean, se formó en la derecha para atacar el reducto, baxo la dirección del mayor general Hay. El mayor general Bradford man. daba la coluna izquierda, compuesta de 200 hombres del regimiento 13.® portugués, al mando del mayor Snodgrass, de igual número, mandados p…</t>
  </si>
  <si>
    <t>Aúnate, Fermín Al</t>
  </si>
  <si>
    <t>Fermín Al Aúnate</t>
  </si>
  <si>
    <t>IOS de, D. Manuel Ibañez, D. José López, D Prudencio Dallo, D. Ce lestino Ximenez , D. Fermín Al Aúnate, D. Angel Labiano, D. ber nardo ZaTo, D. Francisco Mtmuce, D. Pedro Mancho. D. Matías Ezcay, D. Félix Beroz, D. Bernardo Sonosiain , IT Mañano Ustarroz, D. Felipe Virtus, D. Joaquín Aquerreta, D. Fermín Josué, 1), Martin Ziarriz, D, Francisco Larrodé , D. Mat…</t>
  </si>
  <si>
    <t>Ausias, Domingo</t>
  </si>
  <si>
    <t>Domingo Ausias</t>
  </si>
  <si>
    <t>…e Muría, vacante por promoción de La ciudad de Amsterdan ofrece á S. M. un es- D. Juan Bautista Boluter á la parroquial de Bolaquadron de cazadores de á caballo, montados y lia, á D. Domingo Ausias, patrimonista , presbítero. equipados; Utrech 20 soldados de á caballo; Aix- Para el de Arañuel, vacante por ascenso de la-Chapellc 20; Colonia 40; Borcete cinco. D. Mateo Monzó al curato de Espadilla, á D. Ro La ciudad de Amiens ofrece á S Al. 30 solda que T…</t>
  </si>
  <si>
    <t>Austen</t>
  </si>
  <si>
    <t>167</t>
  </si>
  <si>
    <t>…eral Smith, quien tuvo que escapar para salvar la vi da. — Ha habido también algunos alborotos en la Carolina. En la gaceta ministerial del sábado 16 se ha insertado una carta del capitán Austen, del navio de guerra el Elefante, anunciando la presa del Swordfisch, corsario americano de 12 cañones y 82 hom-</t>
  </si>
  <si>
    <t>Avanciny, Carlos</t>
  </si>
  <si>
    <t>Carlos Avanciny</t>
  </si>
  <si>
    <t>…D. Ventura González , substituto iegundo. D. Francisco Tellez, alcalde. Barrio de la Trinidad. D. Sebastian de Echestia, substituto primero. D. Santiago Ubon , substituto segundo. D. Carlos Avanciny, alcalde. D. Juan de Dios de la Pena, substituto primero. D. Josef Vinuesa , substituto segundo. QUARTEL DEL BARQUILLO. Barrio de S. Antón. QUARTEL DE SAN* ISIDRO. Barrio de Mira el Rio. D- Josef Miñones, alcalde. D. Pedro Garrido, substituto primero. D. Gil…</t>
  </si>
  <si>
    <t>Axamburu, Martin</t>
  </si>
  <si>
    <t>Martin Axamburu</t>
  </si>
  <si>
    <t>…é Hipólito y Don Ambrosio Ibañez, 500 D Francisco María Zuloaga, 300. D. Pedso Moreno Altu-arra , 300 D. Juan Pedro Zelayeta, 200. D. Dámaso de Arias, 200. D Matine? Partido, 200. D. Martin Axamburu, 200. D. M afras I are a, 200. D. Toribio Acebal, secretario de gobier no, 200. D. José lio dirifo, 200. D. Miguel Fermín Escurra, 200. D. Miguel Cabe’lo, £00. D. Miguel Antonio Ar óla, 200. D. Fran cisco Maíz , 100 D. P&lt; dro M:guel I jibareen, 100. D. Femín…</t>
  </si>
  <si>
    <t>Axamstouski</t>
  </si>
  <si>
    <t>…abada para siempre en los corazones de todos. ( Gazeta de Fran cia. ) Francfort 3 de agosto. Hoi ha salido para el exército una colima de tropas francesas y polacas mandada por el general Axamstouski, y un con siderable número de oficiales polacos marcharán para el cuerpo de exército que se halla en Hamburgo. (Diario del imperio.) París ¡¡ de agosto. La noticia que vino de Francfort refiriendo la llega da de un plenipotenciario ingles,fue prematura; mas n…</t>
  </si>
  <si>
    <t>Ay, José</t>
  </si>
  <si>
    <t>José Ay</t>
  </si>
  <si>
    <t>…iudad de Goaiemola 24 de Setiembre de 1812. Acuñó también dos de oro dedicando una á las actuales Cortes y otra á la Regencia delreyno, que remite con el'señor cons-jero de estado D. José Ay zinc m*. Al siguiente dia la jaro el gobernador y! capitán general, audiencia y universidad ; y el ir7 estaba jurada por los demas tribunales y corporaciones. Ei M. R. arzobispo con su cabiid® eclesiástico solemnizuron con toda ostentación el sagrado acto de…</t>
  </si>
  <si>
    <t>Ay, Josef</t>
  </si>
  <si>
    <t>Josef Ay</t>
  </si>
  <si>
    <t>…Latorre. „ La coluna de la izquierda la formaban tos regimientos de Sevilla-, Pra*via y Almería y 100 zapadores ,1 á las órdenes del mariscal de campo Don Joaquín Virues. - : „ El brigadier D. Josef Ay merich, comandante general interino de-la se gunda. división del exército, fue destinado á tomar posición á la entrada del ‘ valle de Vera para contener las tropas enemigas que pudieran venir de los campos de Zara. „Destiné el segundo regimiento de Cataluña,…</t>
  </si>
  <si>
    <t>Aycinena</t>
  </si>
  <si>
    <t>…e ayer se insertó algo de estos mismos pliegos que igualmente había dirigido el Lord á la corte de Lisboa. . • r . ;• • , V . ' Cádiz 24 de agosto. * - ," 1 El consejero de Estado señor Aycinena, recien llegado de ultramar, puSo á disposición del congreso, acompañadas de una exposición, 12 medallas de oro y.2^0 de plata, que han hecho acuñar los MM. RR. arzobispos electos dé México y Goatemala para perpetuar la memoria de la publica ción y jura de la…</t>
  </si>
  <si>
    <t>Ayerra, Tomas</t>
  </si>
  <si>
    <t>Tomas Ayerra</t>
  </si>
  <si>
    <t>…ecolalde y D. Atanasio Mendivil: á tenientes á D. An drés Berrueta, D. Mariano Sauz, D. Juan Ignacio Noain, D. Fran cisco Azcarate , D. Martin Antonio Laquidaia , D Santos Ayerra, D. Tomas Ayerra, D Juan Esteban Alemán, D. León Mayo, D. Aniceto Unciti y D. Sebastian íso : á alféreces á D. Nicolás Sada, D. Lucas Munarriz, D. Francisco Ruiz , D. Cristóbal Pereti, D. Mariano Raqpedano, D. Mariano Amorós, D. Manuel Rodrigo, D. Gregorio Lagarda, D. José Ga…</t>
  </si>
  <si>
    <t>Ayimer</t>
  </si>
  <si>
    <t>…ino real: estas tropas estaban sostenidas por la pri mera división de infantería, británica del mando del mariscal de cam pó Howard, por la brigada del mando del mariscal de campo lord Ayimer, que estaba sobre su izquierda á retaguardia de Irun , y por la ^¡visión del general Longa, que estaba acampada á retaguardia de su derecha en la sierra de Aya; con el fin de protegerles aun mas, hice que marchasen á las órdenes del; teniente general Colé, el…</t>
  </si>
  <si>
    <t>Aylerm</t>
  </si>
  <si>
    <t>…tre general de este exército, quien, durante las últimas ope raciones en la batalla del 21, me ha sido de la mayor utilidad. Tam bién estoy obligado al ayudqnte general en segundo lord Aylerm, y á los oficiales de su departamento, y los del cuartel maestre gene ral, como asimismo á los tenientes coroneles lord Fitz Roy Somerset y Campbell, y demás oficiales adictos á mi persona, y al tenien te coronel Sir Ricardo Elcher, y los oficiales del real c…</t>
  </si>
  <si>
    <t>…tre general de este exército, quien, du rante ac dirimas operaciones en la batalla del 21 , me ha sido de la mayor utilidad. También estoi obligado al ay udante general en segundo lord Aylerm , y á los clicl'.let de su departamento y los del quartel maestre gene ra! , c&lt; ino a imismo á los tenientes core neles lord Fítz Roy Semerset y Camp bell y demas clicdales adictos á mi persona, y al teniente coronel sir Ricar do Fie her, y los oficiales del…</t>
  </si>
  <si>
    <t>Aymeric</t>
  </si>
  <si>
    <t>…rdenes. ¡ A las nueve y media el gen'erát en gefe me mandó atacar las alturas ?y Reductos de nuestro frente, haciendo el movimiento paralelo á los ingleses. Entonces acorde con el general Aymeric que llevase el batallón ligero de Navarra, y me sostuviese el de Sevilla, Murcia y 2.® de Cataluña de su mando. Tan pronto como pudieron las tropas subir montes tan altos , atacamos 4 la bayoneta por tres veces al enemigo; y viendo su obstinada resistencia le…</t>
  </si>
  <si>
    <t>Aymerich</t>
  </si>
  <si>
    <t>949</t>
  </si>
  <si>
    <t>…— En ios dias 27 y 28 hicieron los enemigos varias salidas de la. plazacontra las tropas que en la derecha del bloqueo mandaba el general D. Cárlo3 de España, y en la izquierda el brigadier Aymerich, y en todas fueron rechazados con particular bizarría, habien do tenido mas ocasión de distinguirse la ©iiciaiidad y tropa comprehendida en los partes de dichos gefes, que incluso con la-noticia, de la pérdida que experimentaren las tropas de su mando ; añadi…</t>
  </si>
  <si>
    <t>…a la im posibilidad de verificarlo por eí frente, pero fue en vano * porque tampoco podía subirse por aquella parte. n Mientras esto pasaba por aquel costado, di la orden al señor brigadier Aymerich de atacar la montaña por la derecha, lo que ve rificó muy á mi satisfacción : el regimiento de infantería de Ordenes Militares al mando de sa coronel D. Alexandro Hore, sostenido por el del General, el de su comandante D. Fermín Mendialdua* fue ron los encarg…</t>
  </si>
  <si>
    <t>…ista la imposibilidad de veril earlo por el frente; pero fue en vano, porque tampoco podía subirse por aquella parte. „Mientras esto pasaba por aquel costado, di la orden al señor brigadier Aymerich de atacar la montaña por la derecha; lo-que.-verifico .mui d mi satisfacción: ei regimiento de infantería de Ordenes Militares,-. aL mando de su coronel D. Alexandco Plore, sostenido por eí del General,-ai de su co mandante D. Fermín Mendialdua, fueron los en…</t>
  </si>
  <si>
    <t>Aymerich, José</t>
  </si>
  <si>
    <t>José Aymerich</t>
  </si>
  <si>
    <t>…; añadien do que estoy muy satisfecho del valor y atrevimiento que acredita ron las tropas de la división del general D. Caries de Espsña, y de las de este exército, que mandó el brigadier D. José Aymerich , no podiendo menos de recomendar á la bondad del Gobierno- superior la viuda del respetable capitán D. Juan Nebreda,. de la cual hace honorífica mención el general España. — Lo restante déla infantería de este exército se halló en les acciones de dichos dias…</t>
  </si>
  <si>
    <t>…ntonio Latorre. »La columna de la izquierda la formaban los regimientos de Se villa, Pravia y Almería , y 100 zapadores á las órdenes del mariscal de campo D. Joaquín Virues. »»E1 brigadier D. José Aymerich, comandante general interino de la segunda división del exército, fué destinado á tomar posición á la entrada del valle de Vera p¿:ra contener las tropas enemigas que pudieran venir de los campos de Zara. »Destiné el segundo regimiento de Cataluña al mando de…</t>
  </si>
  <si>
    <t>*En las operaciones de este dia se distinguieron particularmente: el señor general Latorre, los señores brigadieres D. José Aymerich,, D. Miguel de Alcega y D. Juan Dowme, los c* rondes D. Alejan dro Hore , del regimiento de Ordenes Mi itares; D. Ramón Figueroa&gt; espitan de reales guardias Españolar, comandante del batallón, de cazadores de la columna de la derecha -y el teniente coronel Do…</t>
  </si>
  <si>
    <t>…adjunto Jos partes que me lian dado los señores comandantes generales de lasVlivisiones, y por mí me limito á recomendar á V. E. al mariscal de campo D. José An tonio Latorre, al brigadier D. José Aymerich , al coronel D. Alexandro Hore, al capitán de reales guardias Españolas D. Ramón Figueroa , y al sargento mayor del regimiento de Pravia D. Francisco Ca brera. , /i «Adjunto tengo el honor de incluir á V- E. el estado (rfim. $.°) de nuestra pérdida que no ha…</t>
  </si>
  <si>
    <t>Aymerich, Josef</t>
  </si>
  <si>
    <t>Josef Aymerich</t>
  </si>
  <si>
    <t>…que en gran fuerza conservaban los ene migos su comunicación. ,,En las operaciones de este dia se distinguieron particularmente el señor general • Latorre, los señores brigadieres D. Josef Aymerich , D. Miguel de Alcega y D. Juan Downie, los coroneles D; Alexandro Hore, del regi miento de Ordenes Militares; D. Ramón Figueroa, capitán de reales Guar dias Españolas, comandante del batallón de cazadores de la coluna de. la de recha; el teniente coronel D.…</t>
  </si>
  <si>
    <t>…rtes que,me han dado los se^ ñores cowendantes generales de las divisiones, y por fiw me limito á reco mendar a V. E. al mariscal de campo ;D. Josef Antonio Latorre, al briga dier D. Josef Aymerich, al coronel D. Aiexandro Hore, al capitán de reales Guardias Españolas D. Ramón Figueroa , .y al sargento mayor del regimien to de Pravia D. Francisco Cabrera. - „ Adjunto, tengo?‘el: hqqor de ínciuir á V*. jE&gt;- el estado (num. 5.0) de nuestra pérdida,:que no…</t>
  </si>
  <si>
    <t>Aymerick, José</t>
  </si>
  <si>
    <t>José Aymerick</t>
  </si>
  <si>
    <t>…Señor general en gefe de este exército. = Es copia conforme. = El teniente coronel secretario de cam paña == Felipe Prados. z=Es copia. = Wimpffem” zz Es copia. cuarto. Parte del brigadier D. José Aymerick al general en gefe interiné del exército de reserva de Andalucía. »&gt; En la mañana del dia 7 recibí la orden de V. S. para marchar con la segunda brigada de la división de mi mando á ocupar la extremidad del valle por donde corre el camino que de Mera se dirig…</t>
  </si>
  <si>
    <t>Azanza, Xavier</t>
  </si>
  <si>
    <t>Xavier Azanza</t>
  </si>
  <si>
    <t>…erría, D. Pedro Echegoyen , D. José María Gurrea, D. Francisco Erdozain , D. Ma nuel Sauca, D. Agustín Apezteguia, D. Martin Benuza, D. Miguel Tolqsana , D. Juan Bautista Acosta , D. Xavier Azanza , D. Juan de Ortigosa, D, Basilio Oilabarren , D. Sebastian Cortazar, D. Teo doro González, D. Juan Oyaga, D. Remigio Crespo, D. Mauricio Segura, D. I^on Landache, D. Pedro Suso, P. Hermenegildo Mendigam n, D. F&lt;-mando Gamboa. (Se continuarán.) CADIZ : EN LA…</t>
  </si>
  <si>
    <t>Azara, Bardaxí y</t>
  </si>
  <si>
    <t>Bardaxí y Azara</t>
  </si>
  <si>
    <t>…'de Rusia el juramento de fidelidad á su legítimo Soberano. La ceremonia de las ban deras del regimiento español imperial de Alexandro se hizo en Zarskoselo el 7 del corriente. El caballero Bardaxí y Azara , ministro plenipotenciario cer ca de nuestra corte, de acuerdo con el príncipe Gortschakow, nuestro mi nistro de Guerra, escogió este dia en memoria de la brillante victoria ganada el 7 de julio de 1808 por los españoles en Bailen. He aquí el orden de la cer…</t>
  </si>
  <si>
    <t>Azardiiia, Tomas</t>
  </si>
  <si>
    <t>Tomas Azardiiia</t>
  </si>
  <si>
    <t>…Piran, substituto primero. D.. Estéban Labios, substituto segundo. D. Ignacio Salgado, substituto segundo. , Barrio denlos Caños del. Peral y Santa Alaría. Barrió de Santa C ruz. D. Tomas Azardiiia, alcalde. D. Cristóbal Vicuña , alcalde-, D. Josef Ferroni, substituto primero. D. Manuel Valentín García , substituto primero. D. benito Trigo, substituto segundo. D. Agustin de la Calle, substituto segundoBarrio del Buen Suceso, QUARTEL de palacio. D. Casim…</t>
  </si>
  <si>
    <t>Azcarate, Francisco</t>
  </si>
  <si>
    <t>Francisco Azcarate</t>
  </si>
  <si>
    <t>Gazeta de la Regencia de las Españas n.º 20</t>
  </si>
  <si>
    <t>…s enemigos, y al en frentar con el pueblo de Muru , y observar la posición del quinto batallón, destacaron una guerrilla al acismo pueblo, á la que otra del mismo, dirigida por el teniente D. Francisco Azcarate, rechazó hasta incorporarse en su división. En esta disposición , el quinto ba tallón rompió el fuego , apoyado por el mió , aunque á alguna dis tancia : entonces , cargando de firme los enemigos con el mayor em peño , lograron dispersar á algunas compañías d…</t>
  </si>
  <si>
    <t>Azcarate, Ramón de</t>
  </si>
  <si>
    <t>Ramón de Azcarate</t>
  </si>
  <si>
    <t>…menez, i id. D. Boni facio Vivanco, 1-id. D. José Sarria, 1 id. D. Mariano Sarria, 1 id. D. Juan Antonio Aramburu, 1 id. D. José Francisco de Isasi, 1 id. D. Ramón Eurivano, 1 id. D. Ramón de Azcarate, 1 id. D. Fran cisco Abasólo, l id. D. Juan Panero, 1 id. D. Juan Mella, 1 id. D. Miguel Jáuregui, 1 id. D. Rosendo Gao, 1 id. D- Antonio Her rero, 1 id. D. Vicente López y U. Manuel del Valle, 1 id. D. To mas de la Casa y Piedra, 6 id. D. Martin de Guisasola…</t>
  </si>
  <si>
    <t>Azcarato, Ramón</t>
  </si>
  <si>
    <t>Ramón Azcarato</t>
  </si>
  <si>
    <t>…®, 100. D. Lorenzo Tajonar, 100. 13. Faustino del Campo, 100. D. Santiago Rodríguez, 100. I). J uan Antonio Ariaiburu*, 100. D. Cristóbal Aznilcueta, 100. D. Martin Gubasola, 100. D. Ramón Azcarato, 100. D. Joaquín Lostra, 100. D Juii To nas Senoseain , 100. D. Jom B ufhta Garate, 100. D. Angd Alfar*, 103. D. Antonio Tarancc, 100. D. Fernando Mazo, 100. O. J &gt;aqnlu M^ría Ferror, 100. D Ignacio Sobrado, 100. D. Juan del Valle Ponga, 100. D. J ose Correa,…</t>
  </si>
  <si>
    <t>Aznar, Pedro</t>
  </si>
  <si>
    <t>Pedro Aznar</t>
  </si>
  <si>
    <t>. . Secretario. D. Francisco Crespo de Texada , del comercio de Madrid. ¡ Escrutadores. D. Pedro Aznar, cura párroco de Hortaleza. / D. Antonio Martel, vecinp y.abogado;del colegio de Madrid. : Eiebtores* D. Pedro Aznar, cura de Hortaleza. D. Antonio Martel, vecino y abogado del colegio de Madrid. D. Manuel Aleas, vecino de Colmenar viejo. D. Francisco Marchám…</t>
  </si>
  <si>
    <t>…aría de Estado , natural de Za ragoza. 9.0 D. Nicolás Fá 'Miel, abogado ‘ del colegió ’de 'Madrid , natural de Puerto-Mingalbo, partido de Alcañiz.... . -.i ,, , ., Suplentes. i.° D. Pedro Aznar , cura de Hottaiezavnatural de Tabuetica*. •a;° D. Joaquín Almazan-, abogado' de:'Madrid, natural de Terríente, partida de Albarracjm- - K, r , ^ -i . . v or 3.0 D. Joaquín Gómez, abogado, regidor constitucionabde la ciudad de Zaragoza. 1 Oficio que el genera…</t>
  </si>
  <si>
    <t>Aznilcueta, Cristóbal</t>
  </si>
  <si>
    <t>Cristóbal Aznilcueta</t>
  </si>
  <si>
    <t>…, 100. D. Valentín Sorzano, i 00. D. Miguel Femando Rui®, 100. D. Lorenzo Tajonar, 100. 13. Faustino del Campo, 100. D. Santiago Rodríguez, 100. I). J uan Antonio Ariaiburu*, 100. D. Cristóbal Aznilcueta, 100. D. Martin Gubasola, 100. D. Ramón Azcarato, 100. D. Joaquín Lostra, 100. D Juii To nas Senoseain , 100. D. Jom B ufhta Garate, 100. D. Angd Alfar*, 103. D. Antonio Tarancc, 100. D. Fernando Mazo, 100. O. J &gt;aqnlu M^ría Ferror, 100. D Ignacio Sobrado, 10…</t>
  </si>
  <si>
    <t>A’qnier</t>
  </si>
  <si>
    <t>…lquier manifestó que no podía ya tratar conmigo , y pidió que se nombrase un sugeto particular con quien corresponderse. Desde entonces cesaron las contestaciones oficiales con el barón A’qnier; al paso que el lenguage del duque de Bassano anunciaba que sobrevendrían mudanzas en la política de Francia respecto de la Suecia. V. M. creyó con satisfacción que una prueba de esta mu danza era el haber sido llamado el ministro , según por esta corte se ha…</t>
  </si>
  <si>
    <t>B'ucher</t>
  </si>
  <si>
    <t>Gazeta de la Regencia de las Españas n.º 143</t>
  </si>
  <si>
    <t>…ebusch sespcd*e?ó de un transporte de 40 cirros cargados de víveres y municiones , des pués de haber muerto ó disperso á su fsco'ta. Las consecuencias de la victoria ganada por el general B'ucher el 26 en el Katzbach son decisivas. El resu'tado de aquála acción el 30 ascendía á mas de 14® prisioneros , 80 piezas de artillería y 300 carros de municiones. Toda la d visión francesa del genersl Pulhod iindió ks armas el 19 ju to á Lovs emfcurgo, á excepci…</t>
  </si>
  <si>
    <t>…l centro, al mando de los generales Blucher y Beningsen, se aproximan á Drescje. El capitán sueco Piaren, de los húsares de Morner, que fue enviado para efectuar ia reunión con el general B'ucher, lo verifico en las cercanías de Bautzen. &lt; El ardiente deseo de Napoleón de acabar con el exército combinado 'dé? norte de Alemania le ha ocasionado mucha pérdida de tiempo y de gente en marchas*y contramarchas. Napoleón envió al duque de Ragusa á Hoyeswerd…</t>
  </si>
  <si>
    <t>B, A.</t>
  </si>
  <si>
    <t>A. B</t>
  </si>
  <si>
    <t>Gazeta de Madrid bajo el Gobierno de la Regencia n.º 54</t>
  </si>
  <si>
    <t>…juzgados de primera instancia. Se hallará en el despacho de la imprenta nacional á 2 rs. en rústica. Diccionario de medicina y cirugía, ó Biblioteca manual médica quirúrgica , por D. A. B.: obra en donde se recopilan todos los principales conocimientos antiguos y modernos del arte de curar, coniprehendiendo Ja anatomía, fisiología, patología, terapéutica, medicina práctica y legal, Ja geografía y biografía médica , expuestas todas estas materia…</t>
  </si>
  <si>
    <t>B, Jom</t>
  </si>
  <si>
    <t>Jom B</t>
  </si>
  <si>
    <t>…guez, 100. I). J uan Antonio Ariaiburu*, 100. D. Cristóbal Aznilcueta, 100. D. Martin Gubasola, 100. D. Ramón Azcarato, 100. D. Joaquín Lostra, 100. D Juii To nas Senoseain , 100. D. Jom B ufhta Garate, 100. D. Angd Alfar*, 103. D. Antonio Tarancc, 100. D. Fernando Mazo, 100. O. J &gt;aqnlu M^ría Ferror, 100. D Ignacio Sobrado, 100. D. Juan del Valle Ponga, 100. D. J ose Correa, 100. D. Juan Bautista Sarraoa, 103. D. S ¡bidíaa Ugardza, 100. D. Man…</t>
  </si>
  <si>
    <t>B, Juaa Cesáreo</t>
  </si>
  <si>
    <t>Juaa Cesáreo B</t>
  </si>
  <si>
    <t>Gazeta de la Regencia de las Españas n.º 144</t>
  </si>
  <si>
    <t>…s:n intermisión mas ó menos vivo, desde antes del dia hasta el anochecer. «Entre los oficiales muertos se cuenta el valiente capitán de ca zadores del regimiento ligero de Navarra D. Juaa Cesáreo B^avo, que d x-a su muger y dos hijos en el mayor desamparo, y ruego á V. E. tenga á bien recomendarla particularm nte al Gobierno. «El mariscal de campo gefe de la primera división D. Joaquín Vi-rúes, y el de igual clase D. José Antonio Latorre, me recomiendan…</t>
  </si>
  <si>
    <t>B, Sir J.</t>
  </si>
  <si>
    <t>Sir J. B</t>
  </si>
  <si>
    <t>Gazeta de la Regencia de las Españas n.º 147</t>
  </si>
  <si>
    <t>…rá hasta que la junta de sanidad tenga mas conocimiento de la salubridad de aquella isla.. GRAN-BRETAÑA.. . Londres 14 de Octubre. Secretaría, del Almirantazgo 11 de Setiembre. El almirante Sir J. B.. Warren , caballero del Baño &amp;c., remitió £ J. W. Croker una carta del capitán R&amp;tray de la corbeta de S. M. Contest, fecha en el río Potomac á 14 de Julio , en que di e cue las lanchas de la Contest y del bergantín Moha wk , á las órdenes ¿el teüie’iite Curr…</t>
  </si>
  <si>
    <t>Ba</t>
  </si>
  <si>
    <t>Gazeta de la Regencia de las Españas n.º 95</t>
  </si>
  <si>
    <t>…pensión de sargento mayor que tiene ya asignada , y el ha ber de comandante que ahora se le asigna* 2.0 Que en atención á es tar «suficientemente probada la propuesta hecha por el general Ba llesteros para la comandancia del citado batallón del General á favor de Cevallos, se entregue á ia viuda el correspondiente real despa cho de su difunto marido para los fines que pueda convenirle; y y.°, que á su hijo D. Matías se le destiae en calidad de ca…</t>
  </si>
  <si>
    <t>Bá</t>
  </si>
  <si>
    <t>PDF p. 14</t>
  </si>
  <si>
    <t>…en anunciar á V. E. que ía conducta de estas tro pas ha sido buena en, todas. ocasiones, como también lo ha sido ahora la de lin batallón de cazadores españoles de la división del general Bá/cena, per tenecientes al exército de Galicia, que se envió-al puente de Yancy en i.# del corriente, la que se sostuvo mucha parte del dia contra un número mui superior del enemigo en su retirada. ,, Habiéndosenos. finido la diyision del quarto exército del ma…</t>
  </si>
  <si>
    <t>583</t>
  </si>
  <si>
    <t>…por la retaguardia luego que las otras tropas le atacasen por el frente. El dia 30 se reunieron á estas tropas las divisiones austríacas Collofedo y Biañchi, mandadas todas por el general Ba relay Q.e.'Joíly. ÉT En\peradc&gt;i* el Rei y el príncipe de Schwártzpmberg esrgban én; altura ¡)H9?Pí al campo. El enemigo se hallaba alojado eerca.de Cülni,, en la «cafa de &lt;fartjpg( de la fam3Ha.de Thum, y en, los bosques. Ei ataque se;,dió.vigorosamente á la…</t>
  </si>
  <si>
    <t>Ba'rera</t>
  </si>
  <si>
    <t>…os. El resto de ios patriotas aconaerio á los enemigos, de manera que mezclados unos con otros, ignoraban los rebeldes quien los atacaba; al contrario, creían que era la gente del capitán Ba'rera que acababa de llegar de Zempoala, cuya equi vocación no era extraña, porque llevaban el mismo vestuario que los patriotas, lo que fue muy ventajoso , pues se hirieron entre sí con los machetes. El resultado fue dexar tendidos dentro del pae-. blo al teniente…</t>
  </si>
  <si>
    <t>Ba, Francisco</t>
  </si>
  <si>
    <t>Francisco Ba</t>
  </si>
  <si>
    <t>…s Gallegos, 6 id. IL Agustín Caldas, 1 id. D. Blas Camino, 1 id. D. Domingo Urquijo, 1 id. D. Francisco Falconi, I id. D. Francis co de Sagastaveitía„ id. D Francisco Valles, 2 id D. Francisco Ba llesteros, 1 id. D. Gregorio Fernandez* 1 id D. Julián García Mon_terroso, 1 id. D. Julián Perez, 2 id. D. Lorenzo de Arguiano, 1 id. D. Matías de Larreta, 3 id D. Manuel délos H¿ros, 2 id. D. Ma nuel déla Torre, 1 id. D. Manuel Garbea y Bulillo, 2 id. D. Ma…</t>
  </si>
  <si>
    <t>Ba, Pedro No'asco</t>
  </si>
  <si>
    <t>Pedro No'asco Ba</t>
  </si>
  <si>
    <t>Gazeta de la Regencia de las Españas n.º 113</t>
  </si>
  <si>
    <t>944</t>
  </si>
  <si>
    <t>…pa se han portado con aquella bizarría é intrepidez que tan justamente tienen acreditada, creo de justicia recomendar á WS. particularmente al coronel D. Jo sé Costa ; al teniente coronel D. Pedro No'asco Ba sa; al sargento mayor D. Matías Cantero, que executaron cada uno escrupulosam.n:e las operaciones que les mandé: á los capitanes D. Juan Pa bia Prast, D. Gaspar Estalella y D. Francisco Maserts; al teniente D. Manuel Herrando y D. José Loscos: los subteniente…</t>
  </si>
  <si>
    <t>Ba, Ventura Puyoiar de</t>
  </si>
  <si>
    <t>Ventura Puyoiar de Ba</t>
  </si>
  <si>
    <t>…eate cargada por los lanceros. „Otr©s varios oficiales se han distinguido en este dia, éntrelos que merecen un lugar el mayor Caitleaux, de lanceros alemanes, el de la misma clase D. Ventura Puyoiar de Ba a, y los capitanes D. Silvestre Mondslly y D. Rafael Larrada de Uitonia. j.Dabo particular obligación á mis ayudantes Gonzalos y Al vistur, los que contribuyeron en mucha parta al buen resultado del día, en el discurso del cual solo me ha sido sensible la pér…</t>
  </si>
  <si>
    <t>Babna</t>
  </si>
  <si>
    <t>686</t>
  </si>
  <si>
    <t>…contra el general Blucher. Pero este no aceptó la batalla que se le presentó, y marchó contra el Neisse, mientras que sus tropas, destaca das en cooperación con las austríacas del general Babna, maniobraron mui felizmente á la retaguardia del exercito. El mayor Falkenhausen y el capitán Schwanenfeld se encontraron el i.° del corriente entre Goerlitz y Bautzen con una compañía de artillería fran cesa, un esquadron de cazadores y una compañía de infan…</t>
  </si>
  <si>
    <t>Bacheln</t>
  </si>
  <si>
    <t>204</t>
  </si>
  <si>
    <t>…, y ciudad por la derecha del Niemen, entró en ella á que se hallaban desde el principio de las conmocio las ocho de la noche. nes lejos de su persona, mandándoles que quando „ El general Bacheln ha marchado esta mañana se uniesen á su Rei, le sirviesen con el mismo zelo sobre Plagan : el general Grandjean ha tomado po y fidelidad con que él lo habia executr.do, y supli sición con su segunda brigada ep Baublen. cando al propio tiempo á S. M. que se di…</t>
  </si>
  <si>
    <t>Bachelu</t>
  </si>
  <si>
    <t>Gaceta de Madrid n.º 57</t>
  </si>
  <si>
    <t>…. alguna en que la Gran Bretaña pueda ser privada de su derecho de exercer justas y necesarias repre "Dantzick ij de enero. salias por temor de perjudicar accidentalmente a los El general Bachelu, que manda una brigada á intereses de un neutral. seis leguas de esta ciudad, mandó atacar el día 15 „S. A. R. se opondrá siempre á que en el exerlas avanzadas enemigas, é hizo prisioneros tres ofi cicio del derecho indubitable, y hasta aquí no con ciales rus…</t>
  </si>
  <si>
    <t>Bachiller, Manuel'</t>
  </si>
  <si>
    <t>Manuel' Bachiller</t>
  </si>
  <si>
    <t>…pa gan por tercios ó meses; y la del maestro se paga de los fondos de propios. Los pretendientes dirigirán los memoriales francos de porte al alcalde constitucional de dicha villa D. Manuel' Bachiller ; en la inteligencia de que la provisión se ha de ve rificar el i.° de noviembre próximo. Discurso sobre la verdadera libertad nacional y civil; del hombre : un tomo en pasta. Se hallará en la,librería de Castillo., frente^ las gradas de S. Felipe, á 10 rs. R…</t>
  </si>
  <si>
    <t>Badajo, Luis LacyA</t>
  </si>
  <si>
    <t>Luis LacyA Badajo</t>
  </si>
  <si>
    <t>…adores de Cataluña que le salieron al encuentro en el Óíd.d. — Dios guarde á V. J3. muchos años. Tér ras?. 5 de Diciembre de ISIS. —• Ése ¡no. Sr. —• JBl baren di Meóles.—— Excmo. Sr. D. Luis LacyA Badajo:s I.c de Enero de ISIS, Soult sigue en Toledo con su plana mayor, dos divisiones de in fantería y alguna caballería;'La contribución debía esiar pronta el 25, contándose entre otros artículos S@00 costales y 30C-0 camas.—-La núéva municipalidad de Toledo esta…</t>
  </si>
  <si>
    <t>Badbolk</t>
  </si>
  <si>
    <t>…ai: duró el combate 4 horas, y el ene migo se retiró á la aldea de Micháilow ; pero habiendo sido perse guido , cayó allí mismo prisionero. Algunos destacamentos j mandados por el príncipe Badbolk y ©tro que fue destinado por el mayor general Carp, hicieron mas de K-0 prisión eres. F1 general Milláradovitch participa con fecha de 12 de Noviera* bre, que el mayor general Necff hizo 160 prisioneros en Chaivanaoff. El mayor general Volosdini participa que…</t>
  </si>
  <si>
    <t>Badina, Juan</t>
  </si>
  <si>
    <t>Juan Badina</t>
  </si>
  <si>
    <t>…a Regencia del reyno en la división que mando el mariscal de campo D. Francisco Espoz y Mina• A capitanes de fusileros á D. Ramón Navarlaz, D. Hilario Mar co, D. Ramón Marichalar, D. Juan Badina y D. Juan Francisco Zarimluqui: á ayudantes á D. Pascual Sanz, D. Domingo Olejua , Don Juan Esteban Anant, D. Juan Monton ,D. Ramón Díaz de Itarraza, D. Ambrosio Dorregaray, D. José Mari a Larcano j Joaquín Mezquiriz, D. Santiago Arizavala, Dj Ildefonso Zizur, D.José Pinilla y D. Pedro Bru…</t>
  </si>
  <si>
    <t>Bagration</t>
  </si>
  <si>
    <t>…mphña dé&gt;Suwá* row en Italia. En ella tuve muchas veces la honra de mandar 4* vanguardia del- generalísimo. . A; ^ . Después de una conversación bastante corta sobre la muerte del príncipe Bagration, se separaron» ; ; ; ' , . . . *i : i • s • r . ,&lt;■ -• . : . - &gt;■ / * - ESPAÑA. \ . * . .• v-- i - \ n .‘V . • - - i-&gt;iív .iJ • *• _ v ^ f _ ■ í ¿ - • - • * J • * ■ Alicante 9 de jEtvrúi , ■* ^ ! \ •*_: Sabemos que elinsigne patriota él Fray le lía reducido á…</t>
  </si>
  <si>
    <t>Bahamonde, Agustin Rodríguez</t>
  </si>
  <si>
    <t>Agustin Rodríguez Bahamonde</t>
  </si>
  <si>
    <t>Gazeta de la Regencia de las Españas n.º 11</t>
  </si>
  <si>
    <t>89</t>
  </si>
  <si>
    <t>…e el Sr. D. Miguel Amonio Zumalacámgui, diputado por la provincia de Guipúzcoa; para vice-presklente el Sr. D. José Marta Calatra\a, diputado por Extremadura; y para secretario el Sr. D. Agustin Rodríguez Bahamonde, diputado por Galicia. JLa Regencia del reyno se h a servido expedir el decreto siguiente, D. Fernando tii, por la gracia de Dios y por la constitución dé la monarquía española, rey de las Españas , y en su ausencia y cautividad la Regencia dél reyno, nombrad…</t>
  </si>
  <si>
    <t>Baibont</t>
  </si>
  <si>
    <t>Gazeta de la Regencia de las Españas n.º 54</t>
  </si>
  <si>
    <t>445</t>
  </si>
  <si>
    <t>…uero, Unos 200 ca zadores del 43 que habia allí, y unos tO hombres del número l.°, que desde Toro venían escoltando 5 carros de dinero. El 19 por la mañana salieron para Burgos el general Baibont, les regimientos 50 y 59, los 2C0 cazadores del 43, cuatro destacamen tos de León, todos los prisioneros que habia aquí, y de 15 a 20 ca zas de municiones con bastantes carros y equipages. Por la tarde llegaron de Madrid varios cuadros en número de 600 hombre…</t>
  </si>
  <si>
    <t>Bainbridge</t>
  </si>
  <si>
    <t>Gaceta de Madrid n.º 129</t>
  </si>
  <si>
    <t>…puerto la fragata pondrá de individuos obligados á servir por solo un de los Estados-Unidos la Constitución, comandada año. Se discurrió al principio que la perspectiva de por el capitán Bainbridge. El teniente Iludlar saltó este servicio por tiempo tan limitado perjudican,! al á tierra con el parte siguiente de una nueva victo alistamiento de los demás cuerpos, cuyos individuos ria que acaban de conseguir nuestros valientes ma se obligan por cinco .año…</t>
  </si>
  <si>
    <t>…s, entre quienes se cuenta su capitán Lamberr, Kuremberg 28 de marzo. oficial mui distinguido, y cuyas heridas 'fueron mortales. Las últimas noticias de Lcipsick, que llegan &gt;, El comandante Bainbridge ha puesto en li hasta el 25 del corriente, nada nos dicen de suce bertad baxo su palabra á todos k&gt;s oficiales y tri sos militares que hayan ocurrido en toda la línea pulación de la Java, y los desembarcó el 3 de de operaciones. Hace algunos dias que las fuer…</t>
  </si>
  <si>
    <t>Baiow</t>
  </si>
  <si>
    <t>…ito prusiano de Silesia que manda el g-eneral Biucher E* 17 llegó á Berlín con 3us tropas el general D’York, á quien el rey de P usia ba nombrado comandante en gefa del cuerpo del general Baiow, con lo cual reúne 40000 hombres. — Ei general W\ttgenfct=»¿i no tardará en ocupar las orillas del Elba, en donde se hallan ya al gunas tropas 9UJ&amp;S. El emperador Alexandro entró el 15 eu B/esljtu, de donde regreso el 19 á Kalitsch, acompañándole hasta una mi…</t>
  </si>
  <si>
    <t>Baker</t>
  </si>
  <si>
    <t>Gazeta de Madrid bajo el Gobierno de la Regencia n.º 91</t>
  </si>
  <si>
    <t>…á Scherliñg con el nuevo plan* el almirante-’habia dado la vela para el" Texrel, dexando el Cutnber.land, de y^ cañones, y da fragatafrancesa Caraitna an-dados en : Scherliñg..El capitán Baker* del Gtimbe rJattd, había pasado la *ráda sin donoéeriue; yo vbbtí ¿1 ipsíaB^e/íy Ife enisontréí escribiendo al capo tan; :Downm¿*h¿órjd'enesiparaj qué ahamanecer^deapnibaroáse de. la fragata to*dos Jos soldados de marina,; y:qüahtos tiríar¡rieros estuviesen…</t>
  </si>
  <si>
    <t>Bal</t>
  </si>
  <si>
    <t>…su mando; y al paso que recomienda generalmente el proceder de todos los señores oficiales y tropa que concurrieron á es ta acción, h ce particular mención del capuan de zapadores D. Bal tasar Vidal, que habiendo sido herido, no quiso separarse de sa puesto. La perdida de los enemigos se calcula como de 200 hombres fue ra de combate; ia nu stra es de 2 oíiciales, un sargento y 1© sol dados heridos , y un oficial y 4 soldados prisioneros. El S…</t>
  </si>
  <si>
    <t>…4 sold .dos heridos; y en el regiíhieiro del Prm.i-pe un oficial, un sargento y 6 soldados heridos y un toldado prisionero. Nota. Lo^ cficiaies heridos son el capitán de Zapadores D. Bal tasar Vidal, el teniente del Príncipe D. Juan Fuer, y prisionero el de la misma ctese.de artillería D. Francisco Lostau.= Montallá iS de Setiembre de 1813. zz. Salvador Valencia. s= Es copia. ~ Miguel Sarasa. = Es copia. = Cabanes. ARTICULO DE OFICIO. El Sr d…</t>
  </si>
  <si>
    <t>Balatie.iy</t>
  </si>
  <si>
    <t>Gazeta de Madrid bajo el Gobierno de la Regencia n.º 15</t>
  </si>
  <si>
    <t>…es Franquemont, Lorenaz y Bruyere quedaron heiidos. En ia acción , del- 19 dice el corso que el general italiano Peni dió malas disposiciones, y perdió 600 hombres, entre ellos el general Balatie.iy y se dexó tomar dos cañones y tres caxones. De los partes rusos resulta que el 12 y 15 tuvo encuentros Miloradoxvitsch, y mató al enemigo 1© hombres, le hirió 1500, y cogió 300. Ei 18 Jelowai.-ki hizo prisionera ia guardia holandesa de lanceros y otros 179 ho…</t>
  </si>
  <si>
    <t>Balatier</t>
  </si>
  <si>
    <t>Gazeta de Madrid bajo el Gobierno de la Regencia n.º 14</t>
  </si>
  <si>
    <t>…s piquetes. A las qpaq tro fue asaltado por una hurra,‘que desordenó algunos batallones , yLtPer4fpf dos piezas de artillería, tres caxas de municiones y 600 hombres.,^inclus^, el general Balatier, de la brigada italiana &gt; que qued&lt;S herido ;.-pero habiepdqjt^.-, mado las armas la división, se conservó en el bosque,é hizqv.W£$te,al enemigo^ Tan luego como se presentó el conde de YTalmy con la cabalíería^ se dispu so marchase al frente de ía división it…</t>
  </si>
  <si>
    <t>Balboa, Manuel Gojanes</t>
  </si>
  <si>
    <t>Manuel Gojanes Balboa</t>
  </si>
  <si>
    <t>Gazeta de la Regencia de las Españas n.º 37</t>
  </si>
  <si>
    <t>…os , para presidente él Sr. D. Francisco Rodrigue* del Caleilo , diputado por Asturias; para vice-presidente el Sr. D. Francisco Salazar, diputado por Li ma ; y para secretario el Sr. D. Manuel Gojanes Balboa, diputado por León. Ial Regencia del reyno se ha servido expedir el decreto que sigue: D. Fernando vil, por la gracia de Dios, y por la constitución de la monarquía española, rey de las Espadas , y en su ausencia y cautividad la Regencia del reyno, nombrada p…</t>
  </si>
  <si>
    <t>Balcones, Prudencio</t>
  </si>
  <si>
    <t>Prudencio Balcones</t>
  </si>
  <si>
    <t>…ies ,* oficia les y tropas, inclusos los empleados en la junta y representantes' do las provincias, que quedarán indultados de la pena de vida, excepto ID. Nicolás de la Peña, Dr.-D. Prudencio Balcones, Dr. D. Miguel Rodríguez, D. Ra.mon Chriboga, Mateos Bayon, de nación francés, D. Joaquín Mancheno, el cura de S. Roque D. José Correa y e! provisor Caycedo; á quienes se perseguirá para que irremisiblemente peguen sus atroces delitos, Segunda. Que en el. tér…</t>
  </si>
  <si>
    <t>Balegi, Félix</t>
  </si>
  <si>
    <t>Félix Balegi</t>
  </si>
  <si>
    <t>…l Vállate, 100. D. Juan Gil , 100. D Lo renzo Machiianda, 100. I). Miguel Arneta,50. D. Martin y D. J.ian Bautiza Estevecorena, 59. D. Ran&amp;on del Valle, 50. D. Rara el Ló pez, 50. D. Félix Balegi, 59. D. Juan Francisco M -toado, 50. D. Manuel G.j»m&lt; z Zuazo, 50. D. To-ms Jurado, 50. O Sebastian Corrínarefc,50. D. Antonio León, 50. D. Juan y D. M g-id Viña, 50. D Andrés Sánchez Quiroz , 50. D. Antonio Bbras, 50. D Francisco Nnaez, 50. D. Manuel Odrinso…</t>
  </si>
  <si>
    <t>Balizan</t>
  </si>
  <si>
    <t>…y muchos bagages. El general conde P&gt;att»v comunica que habiendo logrado dividir en dos trozos una columna enemiga, ia derrotó-enteramente. íCn esta acción fué hecho prisionero el general Balizan con otros SO ofi ales ▼ mas de lóOü soldados, y ademas perdió ei enemigo 4 b unieras. El resto fué perseguido hasta las montañas de Pouary, cerca de las cuales tné acuchilla ía otra columna, y despedazada á ia bayoneta: 28 cañones y otros tantos trenes han si…</t>
  </si>
  <si>
    <t>Balles</t>
  </si>
  <si>
    <t>Gaceta de Madrid n.º 124</t>
  </si>
  <si>
    <t>…islación-,' me ÑUÑO Y GONZALO, ha encargado que os presente sus obras, y junta PATRIOTAS ESPADOLES, mente el catálogo de sus manuscritos, que está Conferencian sobre la suerte del general Balles pronto á comunicaros, permitiendo también que se teros , resultado He la batalla de los Arapiles, saque copia dé ellos si lo deseáis. Este ciudadano y hacen observaciones propias de los hombres excelente , que siempre ha encaminado Lacia el libres. bien públi…</t>
  </si>
  <si>
    <t>Ballester, José</t>
  </si>
  <si>
    <t>José Ballester</t>
  </si>
  <si>
    <t>Gazeta de la Regencia de las Españas n.º 30</t>
  </si>
  <si>
    <t>240</t>
  </si>
  <si>
    <t>…rido. , ¿Tengo mucha razón-para estar satisfecho de la buena conducta 'de los oficiales y tropa del regimiento 50 y del 6.° de cazadores que componen la guarnición de esta plaza.” D. José Ballester, oficial primero del ministerio de Marina, ha ofrecido á favor del erario nacional varias piezas de plata labrada de «u uso, cuyo peso asciende á 12 libras, 8 onzas y 11 adarmes, y La Regencia dei reyno se ha dignado aceptar este donativo, man dando se den la…</t>
  </si>
  <si>
    <t>Ballesteras</t>
  </si>
  <si>
    <t>Gaceta de Madrid n.º 74</t>
  </si>
  <si>
    <t>294</t>
  </si>
  <si>
    <t>294 Quinta representación del general Ballesteras. el destierro á que estoi condenado es de algún p ro..... •* **■ - ;.^p' ■ vecho para mí patria, contento besaré mis cadenas; „~\T. A. rae tiene confinado en Ceuta, sin que y siguiendo las huellas de Gonzalo de Córdoba, mis representaciones , ni el mal estado…</t>
  </si>
  <si>
    <t>…mi re prese ntácion mas representaciones de Ballesteros. del 19 , conozco que no debo aprovecharme de la liberrad que se me ha concedido de quedarme en Tercera representación del general Ballesteras est» ciudad hasta mi entero restablecimiento, par al gobierno de Cádiz. que las condiciones que acompañan'este permiso ,,He visto por la última orden que se me ha sor, incompatibles con mi honor. comunicado por el ministro de !a Guerra, que se ,,Se me manda d…</t>
  </si>
  <si>
    <t>Ballesteros</t>
  </si>
  <si>
    <t>Gaceta de Madrid n.º 29</t>
  </si>
  <si>
    <t>…general Castaños, el que ade los estados austríacos para el surtido de los exérci mas tendrá *1 título de general en gefe de las fuer to* que hai'en Polonia. zas del Mediodía. El general Ballesteros tiene que sufrir su des VVURTEMBERG. tierro á Ceuta, á pesar de su reclamación couna esta providencia, fundada ya en el deshonor que le Stuttgardi £ de diciembre. resulta, y ya en el estado de su salud sumamente S. M. al volver al palacio de Trendenthal, don…</t>
  </si>
  <si>
    <t>…en un monte ; pero teniendo este individuo la rara y gloriosa suerte de quedar con vida , no obstante de 4 balazos que recibió en el acto, volvió á presentarse en la divi sión del general Ballesteros, y se halló nuevamente en la acción de los Castillejos y Fregenal de la Sierra, en que recibió un balazo y dos estocadas : en la de la Higuera de Fregenal y la Palma, en la cual hizo un prisionero y cogió un caballo , que entregó al regimiento: cu la batalla…</t>
  </si>
  <si>
    <t>…ero. ción de V. A., que espero no me. confundirá con Nuestros periódicos han publicado hasta cinco esos otros cobardes y pusilánimes que han recurri representaciones hechas por ci general Ballesteros do á toda especie de pretexros para eximirse de al gobierno de Cádiz, sin que sepamos que hasta cumplir con sus debere- &amp;c. Antequera 19 de no ahora haya merecido respuesta, ¿fin embargo, lo viembre de 181 a. = Firmados: Francisco Balles que pide es que se le…</t>
  </si>
  <si>
    <t>Gaceta de Madrid n.º 106</t>
  </si>
  <si>
    <t>…; que me hizo perder todas mis embarcaciones. En tanto-de-la callada como de la confirmación de un tur, viendo que el temporal se empeoraba cada vez revoltoso, el-último, pasa del señor Ballesteros (que mas , y que el barómetro no une daba indicios de puede traer funestísimas consecuencias ) es hijo dé alguna pronta bonanza, aspiré-i ganar ia rada-de la debilidad del gobierno, que sufriéndole y disi Brest, en la qué entré ayer a7 ¿ lasquatro y media mul…</t>
  </si>
  <si>
    <t>…ebía esperar del acen tes de su patria , aquellos á quienes no cegó el In drado patriotismo é incomparable valor y desinte teres ni la pasión , para que dexasen de conocer rés del general Ballesteros ? qua! era el medio mas seguro y el único camino de N. Quando la regencia le mandó á Ceuta sus salvar la integridad é independencia de la España, razones tendría. Quanto me dices en obsequio de procuraron hacer patente el engaño de sus conciu dicho general es…</t>
  </si>
  <si>
    <t>…a pensión de sar gento mayor que tiene ya asignada, y el haber de comandante que ahora se le asigna: 2.°que en atención á estar suficientemente probada la propues ta' hecha por el general Ballesteros para lá comandancia del citado batallón deluGeneraba-favor de Gevallos, se entregue á la viuda el correspondiente real despacho dé su difunto marido parados fines que pueda convenirle; y 3;°, que á su hijo D. Matías se le destiné en calidad de cadete al estab…</t>
  </si>
  <si>
    <t>Ballesteros, Francisco</t>
  </si>
  <si>
    <t>Francisco Ballesteros</t>
  </si>
  <si>
    <t>…to á V. A. ¿quál es el motivo £1 fin de su señoría era proponer á la regencia de estos procedimientos? ¿Por qué causa es tratado un nuevo plan para aumentar la eficacia de las tro D. Francisco Ballesteros como un reo de estado? pas españolas, y ponerá los exércitos aliados en es ¿ Quál es mi delito? Pruébetnelo V. A., ó escuche tado de aprovecharse de todos su f ■ medios en la mí defensa. Aun quando después de un maduro ex'á- campaña próxima. El marques propon…</t>
  </si>
  <si>
    <t>Ballesteros, Matías</t>
  </si>
  <si>
    <t>Matías Ballesteros</t>
  </si>
  <si>
    <t>…ha distinguido, y la pérdida de su valiente capitán , muerto en la acción, es sensible á todo el exército. Debo recomendar á V. E. el mérito del "teniente de cazadores de Galicia D. Matías Ballesteros, herido gravemente: este oficial habla recibido su retiro del servicio; pero no por esto quiso dexar de tener la sa tisfacción de conducir sus soldados á los enemigos, y darles pruebas por última vsz de que era acreedor á mandarlos. »»En los varios movimiento…</t>
  </si>
  <si>
    <t>…sionerou;ó soldado; Totales frev oficiales y Asoldados: - nota. ¥Jí oficial mWrto&gt;e^iétcapiráp^de-y^iuintarios de&gt;N3Varfa ^ Bar tolomé Estivin; el herido el subteniente de Galicia D. Matías Ballesteros, y ebcontuso el' ptíniep teniénre*del‘ segündo batallón de reales Guardias Espa ¡ -• ñolas D. Seralin Soto.? •T, ■ • ;; ' &lt; ! v ífoiSr. 14% ;W vííU; -í.n:-; ,, Excmo, Sr.: tengo’ la fortuna de poder manifestífr-rá '^‘jTEíJpára sirva ipoóerio&gt;eo&gt;nMÍci;odé Sé A…</t>
  </si>
  <si>
    <t>Ballesteros.pañol</t>
  </si>
  <si>
    <t>…embre de 181 a. = Firmados: Francisco Balles que pide es que se le hagan cargos, se le oiga , y teros.” se le juzgue, y parece extraño que el gobierno es Quarta representación del general Ballesteros.pañol , que con tal entusiasmo preconiza los bene ficios de su nueva constitución, la quebrante con Ante.¡itera 25 de noviembre. ,, Aunque el es tanto descaro respecto áun sugpto tan apreciado en tado de mi salud sea todavía el mismo en que me aquella nación- Ved a…</t>
  </si>
  <si>
    <t>Balo</t>
  </si>
  <si>
    <t>…RAM-BRETASiA, Londres io de Agosta. A Segnn cartas de Stralsund, el rey de Prusia ha puesto á las or denes del príncipe Bernadotte 4c© hombres, inclusos 6© caballos? el cuerpo del general Balo*/ entra en este numero. El general en gefe de ios ejércitos rusos, Barclay deTclly, lia puesto también á las -ordenes del mismo príncipe 25© rusos; y se componen del cuerpe del genere! Winzingerode, y de los destacamentos de Czerincheíiá Woronzow y Tettersbor…</t>
  </si>
  <si>
    <t>Balón</t>
  </si>
  <si>
    <t>5S4 y el teniente general Balón basta Hohenzias. A las 9 de le. ?arde se vié obligado el general de York á enviar su vanguardia hácia Güín* mera, y lo mismo hizo el teniente general Berg. La primera de las ¿os vanguardias dio con el enemigo cerca de D&amp;negkou, y de&amp;pues de un vivo cañoneo, l…</t>
  </si>
  <si>
    <t>Balow</t>
  </si>
  <si>
    <t>1254</t>
  </si>
  <si>
    <t>…fi rma el ala izquierda. El cuartel general de las tropa; suecas está en Roslau: la van guardia se halla ya en la izq: ierda del E-ba , y sdelerra sus aranzazadas hasta Dessau. El general Balow tiene tu cuartel general delante</t>
  </si>
  <si>
    <t>1414</t>
  </si>
  <si>
    <t>…eneral barón de Winzingerode se dirige á Bremen, y debe ocupar con sls tropas todo el prxis de Oldenburgo y ks fronteras de Holanda , para don de envió y* al coronel Nerhchkin. El general Balow, que está en Minden , debe enviar un cuerpo á Munster, y su caballería está ya pronta para reunirse al general CzernichefF en las márgenes del Rhin. El general conde de WoronzofF está en marcha p£,ra Funtburgo. Una dit hion del exército sueco, mandada por el…</t>
  </si>
  <si>
    <t>Bandermafien</t>
  </si>
  <si>
    <t>…l general' "Cláuset,. que -mandaba el. exército del-Norte,, estaba-cerca de Logro ño con una división del exército de Portugal, mandada, por el gene ral Turpin , y ía división del general Bandermafien del del Norte. „La sexta división del exército aliado del mando del Honorablemariscal de campo Eduardo Pakenbam estaba igualmente ausente por* . haberse detenido tres días en Medina de Pomar, con el fin de cubrir la marcha de nuestros almacenes y repuestos.-…</t>
  </si>
  <si>
    <t>…el general Clausel , que mandaba el exército i del norte, estaba cerca de Logroño con una división del exército de Portu-o gal , mandada por el general Turpin , y. la división del general Bandermafien del del norte. ' „ La sexta división del exército aliado, del mando del honorable maris</t>
  </si>
  <si>
    <t>Banks</t>
  </si>
  <si>
    <t>…s noticias que me llegaron déla eosta del Hannover, me resolví á tomar las disposiciones que me parecieron compatibles.: con mis escasas fuerzas para auxiliar á la causa eomun. El teniente Banks salió con dos cañoneras reforzadas con 2 sar gentos y 30 soldados para Cuxhaven, de donde se habian retirado precipitadamente los franceses después de destruir todas, las lanchas armadas, y desmontar los cañones de los reductos que habian coastraído para defe…</t>
  </si>
  <si>
    <t>Banks, Francisco</t>
  </si>
  <si>
    <t>Francisco Banks</t>
  </si>
  <si>
    <t>450</t>
  </si>
  <si>
    <t>…andadas por tan acreditado caudillo, no po drán menos de contribuir eficazmente al triunfo completo de la bue na causa. GRAN-BRETAÑA. Londres 31 de Marzo* Copia de dos oficios del teniente Francisco Banks , comandante del bergantín Bluzer, a John Pfilson Craker, Esc. fechas á vista de Cuxhaven el 10 y 17 del corriente. Primero. ,,Tengo la satisfacción de informar i V., para que lo ponga en noticia de los lores comisionados del almirantazgo, que á consecuen cia…</t>
  </si>
  <si>
    <t>Bañon, Josef</t>
  </si>
  <si>
    <t>Josef Bañon</t>
  </si>
  <si>
    <t>…nos, que salió de lá plaza de Lérida escoltando un convoi de carros para conducir leña el dia 2© del mismo mes, fue completamente batido por 3© húsares catalanes á las órdenes del teniente D. Josef Bañon; y el fruto de esta acción fue nueve prisioneros, cinco caballos, quatro yeguas y treinta muías. Quedaron muertos en el campo diez ginetes y tres caballos enemigos* El oficial francés entró en Lérida herido , sin sable ni sombrero. _ En otro encuentro que dic…</t>
  </si>
  <si>
    <t>Bao, Tomas</t>
  </si>
  <si>
    <t>Tomas Bao</t>
  </si>
  <si>
    <t>…tes de dicho cuerpo de ingenieros de los exércitos nacionales, plazas y fronteras ,á f), Joa quín Junoy , D. José Otero , D. Benito Canales , D. Tomas Cortés, D. Francisco Melero, D. Tomas Bao darán, D. Epifanio Esteban, D. Temas Terreiro, D. Manuel Ubiña, D. Juan Jaldon , D. Alexandro Buitrón , D. Gabriel Lobo , D. Femando Castro, D. Juan Areliano y D. Antonio Matamoros. También han sido examinados por la referida brigada, y promovidos á subtenien…</t>
  </si>
  <si>
    <t>Baquer, José</t>
  </si>
  <si>
    <t>José Baquer</t>
  </si>
  <si>
    <t>…4643 ■4873 134683 135109 30 1 Sres. Die hermanos, de Alicante. 2 '4874 A D. José Esteve, de Valencia. 5 6157 138764 ^ 3 4 D. José Saielles, de Valencia. ¿ 138714 S 5691 7229 ¿ 4 A D. José Baquer, de Valencia. * 6053 8263 £ 49 de 600 pesos. De 150. « f 177143 1S83S5^I I8ÍS50 .189855 181876 190086 182005 198888 184810 . 200307 20 &gt;A D. Ramón Bertrán y Saray. 185280 200638 185SS0 206603 185419 206607 185971 206610 182629 198720 Está conforme con los val…</t>
  </si>
  <si>
    <t>Bar</t>
  </si>
  <si>
    <t>…se han subscripto para mantener sóida ¡os en el exército del Desaguadero, á razón da 16 pesos fuertes mensuales cada soltíaao. D. Antonio Alvarez de Villar, 10 hombres por un año. D. Bar tolomé Va!dés,8id. O. Francisco Xavier Izcue, 8 id. D. Juan Bau tista O variaba! y D. Pedro Abadía, 20 id. D. Lorenzo Tajonar, 2 id. D. Fermín de Arriaga, 2 id. D. Nicolás Soreguí, 1 id. D. Juen Bautista de Sarrata, 2 id D. Jot,é A tomo de Erna, 4 iii. D Mi g…</t>
  </si>
  <si>
    <t>Bar, Diego</t>
  </si>
  <si>
    <t>Diego Bar</t>
  </si>
  <si>
    <t>…n militar con que estas fueron executadas, los coman dantes. de brigadas el brigadier D. José Espoleta, que unió con ta. to fruto el valor y. la inteligencia, el de la misma clase D. Diego Bar co, que verificó U subida dei monte Mandal con tanta celeridad como</t>
  </si>
  <si>
    <t>Bar, Eusebio</t>
  </si>
  <si>
    <t>Eusebio Bar</t>
  </si>
  <si>
    <t>…ectos robados últimamente á estos infelices habitantes. ARTICULO DE OFICIO. El 17 de Diciembre último tuvo la primera audiencia de S. M. el emperador de todas las Rusias el Exemo. Sr. D. Eusebio Bar das y Azara, enviado extraordinario y ministro plenipotenciario del Sr. D. Fernando vii cerca de aquella corte; y al presentar sus credenciales fué recibido por el emperador del modo mas honorífico y lisonjero, manifestando así S. M. 1. el aprecio y distinció…</t>
  </si>
  <si>
    <t>Baragnay</t>
  </si>
  <si>
    <t>…m bre. Parece que Bonaparíe había formado dos planes en Smolenskof uno de los cuales era el abrirse paso por el camino de Kalouga Pa ra conseguir esto destacó el 9 de Noviembre al general Baragnay d’IUlUers con unos i2000 hombres divididos en tres columnas, tina á las órdenes del general Charpcntier ¿ otra mandada por el general</t>
  </si>
  <si>
    <t>Barago</t>
  </si>
  <si>
    <t>Gaceta de Madrid n.º 84</t>
  </si>
  <si>
    <t>…ministro .de lo Interior, GAVIERA. conde Vaccari ; -el ministro de Hacienda, conde Trina; el ministro de Guerra , conde Fonranelii; el Hurembrrg ty de enera. ministro del Tesoro, conde Barago; el consejero La* cartas de. Bohemia ¿¡conque se aseguraba secretario de Estado, conde Stfige.lí; conde B?rgennr^tfncBte qu¿ un correo qué acababa de llegar nardi, conde Maestri, Bargnani, L Giovio, Guasi Praga desde Viena traía la orden de que los ba-' tavii…</t>
  </si>
  <si>
    <t>Baraguay</t>
  </si>
  <si>
    <t>…ncés desde Smolensko con dirección á Kaíouga, cu ya fuerza se componía de tropas de refresco, que debían incorpo rarse con los diferentes regimientos de guardias , mandados por el general Baraguay d’Hilliers , acompañado del general Charpentier, y el brigadier general Augereau, hermano del mariscal del mismo nombre. Hallábase este cuerpo distribuido en las tres aldeas de Yasvm , Lacof y Dolgomust, é inmediatamente se tomaron disposicio nes para atacarl…</t>
  </si>
  <si>
    <t>Barajas</t>
  </si>
  <si>
    <t>…eron en precipitada fuga, y su cesivamente á toda la gavilla, que no espero las primeras descargas. En el alcance se mataron 14, se hicieron 5 prisioneros, entre ellos un nombrado capitán Barajas, los que fueron pasados por las armas, y se les tomaron 53 caballos. %%, El teniente coronel D. José María Mangino, comandante del</t>
  </si>
  <si>
    <t>Baranda, Pedro Sainz de</t>
  </si>
  <si>
    <t>Pedro Sainz de Baranda</t>
  </si>
  <si>
    <t>Gazeta de Madrid bajo el Gobierno de la Regencia n.º 4</t>
  </si>
  <si>
    <t>…e Quiroga, calle de las Carretas, fonda del Angel. _ Respuesta y confutación del artículo publicado en el periódico el Tribuno del pueblo español de 22 de diciembre de 18(2 contra D. Pedro Sainz de Baranda, gefe político de Madrid. Por un ciudadano español. Se hallará en la librería de Pé rez, calle de las Carretas: su precio 9 quartos. Guia para el estudio del derecho patrio, dividida en dos partes: la primera contiene las cinco tablas del resúmen del derecho…</t>
  </si>
  <si>
    <t>Barban</t>
  </si>
  <si>
    <t>Gaceta de Madrid n.º 115</t>
  </si>
  <si>
    <t>…. hechos? citaré pocos;pero forre vmd. de venir nuestra salvación. ¿Qué hemos adelantado &lt;en cobre $ü corazón (2). con ellas ? Acabarnos de arruinar, dexar sin recur ,¿Ese ífiismo señor Barban^ ó D. Tomas Prín sos las provincias, hacer retrogradar el espíritu pú cipe , rárgento del regimiento de caballería de blico, desorganizar ios exércitos, cubrir de luto y aquel'Hombre, fue el inventor de la infame marca, vergüenza centenares de familias, cuyo…</t>
  </si>
  <si>
    <t>Barbé-Marbois</t>
  </si>
  <si>
    <t>Gaceta de Madrid n.º 137</t>
  </si>
  <si>
    <t>H-6 minándolo poco á poco, y una multitud inmensa Al conde Barbé-Marbois, primer presidente de se puso al paso de S. M., que se detenia á cada nuestro tribunal de Cuentas: en pocos años y. por momento para recibir con bondad los memoriales un continuo trabajo este tribunal ha liquidado todo que se le presentaban. En todas partes h…</t>
  </si>
  <si>
    <t>Barbel</t>
  </si>
  <si>
    <t>446</t>
  </si>
  <si>
    <t>…baxaban de 3000 hombres. Copia de una caria del mariscal de campo D. Francisco Espo% 7/ Mina. ,,Ei dia de ayer ataqué entre Lerin y Lodosa á una parte de la columna que mandaba el general Barbel, compuesta de 1000 hom-</t>
  </si>
  <si>
    <t>Barca, Juan Josef Calderón de Ja</t>
  </si>
  <si>
    <t>Juan Josef Calderón de Ja Barca</t>
  </si>
  <si>
    <t>…antiago de Talavera. . Dr. D. Manuel de Mora, hacendado, labrador de la Guardia. N D. Gregorio Sánchez de Rivera, labrador propietario de Gerindote. Y para suplentes d los señores D. Juan Josef Calderón de Ja Barca, hacendado de Orgaz*</t>
  </si>
  <si>
    <t>Barcena</t>
  </si>
  <si>
    <t>…dexar expedita la división del brigadier Longa, para que inquietase en sus movimientos al enemigo conforme me había propuesto este mismo gefe; y en su consecuencia dispuse que el general Barcena con la primera brigada de su división marchase á ocupar los puntos de Vera y Lesaca. »El brigadier Langa noticioso en la mañana del mismo dia de que los enemigos se adelantaban ya sobre el puente de Yanci, des taco á ocuparlo tres compañías de que podia dispo…</t>
  </si>
  <si>
    <t>…y 140 hombres heridos, y un oficial y 13 hombres prisioneros. La de los enemigos ha debido de ser muy considerable, y les hemos hechoalgunos oficiales y soldados prisioneros. «El general Barcena, que mandaba Jas tropas, y cuyo parte remito adjunto á V. E., ha quedado completamente satisfecho de la bizarría y firmeza de todos los cuerpos. «Yo por mi parte debo recomendar ú V. E. este general y los gefes y oficiales, que según su parte han tenido- la o…</t>
  </si>
  <si>
    <t>Barcena, Pedro de Ja</t>
  </si>
  <si>
    <t>Pedro de Ja Barcena</t>
  </si>
  <si>
    <t>…, el resultado de su operación el que V. E. podrá ver en ¡a copia adjuma de su parte, que tengo el honor de, pasar á sus manos. „ » Debo recomendar á V. E. muy partioulaornente al general Don Pedro de Ja Barcena, y á los ofidialsis y sargento que este ¿recomien da; debiendo rogarle se premie desdé luego al capitán de cazado res Toral, y al sargento primero Roxss, varias veces recomenda dos ya por igual; conducta, y de los que el primero tiere las cali dades necesaria…</t>
  </si>
  <si>
    <t>Barclay</t>
  </si>
  <si>
    <t>Gaceta de Madrid n.º 46</t>
  </si>
  <si>
    <t>…pagos, emplear el dinero á tiempo oportuno, términos que se vio precisado á separar á Phul del dar cuentas de los gastos y utilidades, repartir el exércitó. Entonces se encargó al general Barclay dividendo; en una palabra, cuidar de la administra de Tolly que formase otro nuevo plan, que fue el ción de la compañía. Se espera que mui en breve que después se siguió. Según él los dos exércitos habrá los suficientes subscriptores para dar principio debían…</t>
  </si>
  <si>
    <t>Gaceta de Madrid n.º 59</t>
  </si>
  <si>
    <t>…se .dél exército, Jassi a 6" d¿ noviembre. pues los rusos no le perdonan el hab'érsé dexído ba El'nuéyo'príncipe de la Moldavia Carlos Calli- tir en el Ceresina, y añadían qué et' señor Barclay machi ha llegado de Bucharcst á esta ciudad el dia de Tolly le sucedería en el mandó. . ‘ 19 del corriente; pero no ha hecho todavía su en Las enfermedades hacen grandes estragos en las trada solemne. Se apeó en un convento del arrabal. tropas rusas. Han muer…</t>
  </si>
  <si>
    <t>Gaceta de Madrid n.º 117</t>
  </si>
  <si>
    <t>1</t>
  </si>
  <si>
    <t>…r la posición que tomo en la función que se había pedido su retiro á causa del mal estado de su d¡ó cerca de aqui. Este general no perdió mas que salud, ha sido reemplazado por el general Barclay 46 franceses y saxones y quatro polacos, al paso de Tolly. que los rusos tuvieron 46° hombres muertos,^ y mas de un duplo de heridos. Ellos mismos confie IMPERTO FRANCES. san que este ataque Ies costo i® hombres, y que Parts tj de marzo. su exército se compon…</t>
  </si>
  <si>
    <t>…ría el 19 con 9© hombres á reforzar las tropas mencionadas* los generales Barclay de Telly y York pasaron con un grueso cuer po á interceptar y acometer á aquel general. ' ’ n «El general Barclay dé Tólly dio con el enemigo ^n las cerca nías de Konigswerde, donde hubo una acción muy tenida que no sé ¿cabo hasta entrada la noche, y en la cual quedaron victoriosos los aliados. Estos arrojaron al enemigo de todos los puntos tomándoles mas de ifoo prision…</t>
  </si>
  <si>
    <t>…baxo las órdenes del mariscal Nei. Sabiendo esto , se resolvió por los aliados atacar al general Lauriston antes que pudiese recibír refuerzos, y*l efecto se dieron las órdenes al general Barclay déTolly, quien después de mediodía del 10 se dirigió rápidamente sobre Konigswartha, mientras que el general de Yorck marchaba por Wessie para juntarse con* él. óbos rusos vinieron á las manos con el enemigo en Konigswartha, y después^ de un combate tenaz ent…</t>
  </si>
  <si>
    <t>…f MUMwtfc'ifeíggfip^ por esto suponía que aquella *colunahpp 4¡?Q?dejr¿^ 9® sx9.? cjoncepto: eljdla ,i9?á,las quafro.de Ja ñiaíViuWdestacóaj.general Yorck con 20W prusianosj y.al general Barclay de; Tójíy con 18© rusos*, estos se situaron en la aldea de Kli$,.;y aquellos en la de/Wcissig. Entre tanto el general Ber^tran,4ij pata conservar la comunicación ;con el; cuerpo destacado , hab,ia epyía^ do ó ; Koenigswerd con la división Jtaiiana,;aí general…</t>
  </si>
  <si>
    <t>Barco, Diego</t>
  </si>
  <si>
    <t>Diego Barco</t>
  </si>
  <si>
    <t>…itar con que estas ‘ fueron executadas: los comandantes de brigada el brigadier D. Josef María Ezpeleta , que unió con tanto fruto el ▼alor y la inteligencia; el dé la misma clase D. Diego Barco, que verificó la subida del monte Mandal con tanta celeridad como arrojo, puesto im portantísimo, en cuya pronta adquisición consistió en gran manera el éxito de las restantes operaciones; y-los coroneles D. Rafael de Goicoch'ea-, D. Fran cisco Piasencia y D.…</t>
  </si>
  <si>
    <t>Barco, Diego del</t>
  </si>
  <si>
    <t>Diego del Barco</t>
  </si>
  <si>
    <t>…ase en tres co lumnas por los vados de la parte arriba de donde lo pasaron las tro pas anglo-portnguesas; cuyas columnas se componían de las briga das del mando de los brigadieres D. Diego del Barco y D. José Ma ría Espeleta, y de los coroneles D. José María Carrillo, D. Rafael Goycochea y D. Francisco Plasencia, baxo la mmediata dirección de los mariscales de campo D. Pedro de la Barcena y D. Juan Díaz Porlier. El objeto de las cuatro primeras columnas era el de apo…</t>
  </si>
  <si>
    <t>…uel puesto, como do ha bían sido dejos atrincheramientos de Viriatu 3 y perseguidos hasta mas allá del pueblo de Urruña. ^ « La primera brigada de la tercera división al mando del brigadier D. Diego del Barco, debió obrar sola por la derecha del monte de Mandal, de cuya cana llevaba orden de apoderarse, y tanto el pasó del rio que verificó .por tres vados, como la penosa y dific-il subida de la montaña, fue exécutado con tal denuedo y brillantez, que mas parecía u…</t>
  </si>
  <si>
    <t>6f3 brigadieres D. Diego del Barco y D. Josef María Espeleta, y de los coroneiés.D Jos ef María Carrillo, D. Rafael Goicochea y D.F rancheo &gt;Píasencia , baxo la inmediata dirección de los mariscales de campo D. Pedro de ÍBárcena y D. Juan Díaz Porlier. El objeto de las quatro primeras colunas era-el de apoderarse de lo…</t>
  </si>
  <si>
    <t>…mediaciones de Pamplona. Segunda división, que manda el mariscal de cam po D. Garlos de España, de guarnición ea la plaza de Pamplona. Tercera división, que manda interinamente el brigadier D. Diego del Barco, la pri mera brigada en Orduña, y la segunda en Durango, de la misma división. Quarta división en Tolosa y pueblos inmediatos, que manda el brigadier Do» Josef María Espeleta interinamente. Quinta división, qué manda el maris cal de campo D. Juan Díaz Porlier…</t>
  </si>
  <si>
    <t>Gazeta de la Regencia de las Españas n.º 165</t>
  </si>
  <si>
    <t>1385</t>
  </si>
  <si>
    <t>…ediacio nes de Pamplona. Segunda división , que manda el mariscal de campo D. Carlos de España, de guarnición en la plaza de P«mpíona. Tercera división, que manda interinamente el brigadier D. Diego del Barco: la primerj brigada en Oriuña y la segunda en Durando, de la misma división. Cuarta divi ion en Tolosa y pueblos inmediatos, que manda el b ig dk r D. José María Espeleta, interinamente. Quin ta división, que manda el mariscal de campo D. Juan Diaz Perder: la…</t>
  </si>
  <si>
    <t>Bardaxí</t>
  </si>
  <si>
    <t>Gaceta de Madrid n.º 139</t>
  </si>
  <si>
    <t>…eriódicos extrangeros si viene á Cádiz el rante la guerra. enviado de aquella corte. Si vmd. hubiera tenido 14. En quanto á las plazas de Glogau , de Cus- P* esente lo sucedido al señor Bardaxí en su misión trin y de Stettin, que están ahora ocupadas por diplomática á la corte de Viena el año de 1809, las tropas francesas, los gastos de manutención de quizá hubiera sido vmd. mas circunspecto en sus sus guarniciones y para los acopios de sitio 8cc. a…</t>
  </si>
  <si>
    <t>Bardaxí, Ensebio de</t>
  </si>
  <si>
    <t>Ensebio de Bardaxí</t>
  </si>
  <si>
    <t>…pondientes, se dispuso una magnífica tienda de campaña, y junto á ella otra para las damas y caballeros que habían de asistir á la función : la cual determinó sabiamente el Excmo. Sr. D. Ensebio de Bardaxí que se celebrase el dia 19 de Julio, aniversario de la famosa batalla ganada á los franceses en los campos de Báylen. Lle gado este dia, se trasladó con los individuos ds su ministerio y el cónsul general al sitio imperial; y cuando todo estaba dispuesto, hiz…</t>
  </si>
  <si>
    <t>…a donde quiera recibe las distinciones que merece por su inimitable construida y por su esforzado valer. Concluyese esta interesante relación con la srenga siguiente que el Excmo. Sr. D. Ensebio de Bardaxí hizo á las tropas luego que hubieren jurado las banderas.. REGIMIENTO IMPERIAL ALEXANDRO. Hoy hace 5 años que la victoria coronó en los campos de Baylen los primeros esfuerzos del pstriosíimo y del valor español , y que después de una batalla sangrienta, mas…</t>
  </si>
  <si>
    <t>Barne</t>
  </si>
  <si>
    <t>Gazeta de la Regencia de las Españas n.º 104 (extraordinaria)</t>
  </si>
  <si>
    <t>…tropas en el espacio de siete horas que duró la acción. Todos los regimientos cargaban al enemigo á la bayoneta; pero la conducta del regimiento 82, que subió con. la brigada: del general Barne, merece particular elogio. „E1 teniente general el honorable Guillermo Stward fue' levemente he rido : no tuve noticia de estos acontecimientos hasta ta de en la noche del 25 al 26 ; pero luego que fui informado de ellos, adopté inmediatamente medidas para co…</t>
  </si>
  <si>
    <t>…4 de Agosto de 1813.— Wellington , duque de Ciudad Rodrigo.” P. D. ,, Acompaño el estado que expresa los muertos , heridos , pri sioneros y dispersos que tuvimos en la acción del general Barne el 2 del «oliente. — Exento. ¿r. D. Juan O-Donqjú.” — Es copié. % CADIZ: IMPRENTA NACIONAL: IM*</t>
  </si>
  <si>
    <t>…dÍvi?iopp?, Jfejrq Corno. la ti roa división hubiese att^ye^ado, las, pipn taña$ {desde S g sibiMa , f \ lego ri ecesa-\ riamente antes que las otrasq y bailándose la brigada deí. general Barne for mada para el ataque, se adelantó á él sin que pudiesen cooperar con ella la quarta y división ligera. Ppcas veces ó nunca he visto tropas marchar ai ata que con .tanto orden y,bizarría,&gt; ni arrojar con mas,desembarazo al enemigo de las formidables altqf|&lt;…</t>
  </si>
  <si>
    <t>Barnes</t>
  </si>
  <si>
    <t>Gazeta de la Regencia de las Españas n.º 120</t>
  </si>
  <si>
    <t>1001</t>
  </si>
  <si>
    <t>…habla con gran elógio dé los servicios del coronel el honorable Carlos Grewille del 38 de infantería en el mando de la segunda bri gada, y dé la distinguida bizarría del teniente coronel Barnes en el afortunado asalto dé la cortina con el valiente batallón de Reales es coceses, y también de la conducta exemplar del teniente coronel Cameron del 3 ri3. de infantería, y el teniente coronel Miles del 38 de infantería y y de todos los oficiales y soldado…</t>
  </si>
  <si>
    <t>Barols, José</t>
  </si>
  <si>
    <t>José Barols</t>
  </si>
  <si>
    <t>…te recomiendo á V. E. los oficiales de granadero* y cazado res de ambos tejimientos, quienes han acreditad &gt; su acendrado va lor ; son dígaos de la atención de V. K. los tenientés D. José Barols y D. Juan SorrobadelLs, los que voluntariamente se ofrecieron ¿¿ 1© acción. Toda la tropa en general se ha conducido con la brillantez y vídor que caracteriza el primer exército nacional. No me «0, per mitido pasar al olvido el celo del comisario de guerra D. Manuel Miguel Mellado,…</t>
  </si>
  <si>
    <t>Barreda, Manuel</t>
  </si>
  <si>
    <t>Manuel Barreda</t>
  </si>
  <si>
    <t>…ro Juan de Olasagarri, 2 id. D. Juan Ignaoio de Mndizabal, 2 id. D. Manuel Garrido, 2 id. D. Esteban Cardona, 2 id. D. Nicolás Cameruaga, 2 id. D. Francisco Fernandez Ziesa, 1 id. D. Manuel Barreda, 1 id. D. Alonso Candamo, 1 id. D Benito Cristi, 1 id. T). José de San Martin y Blanco , l id D~ Martin Cortiguera, 1 id. D. Manuel López Díaz, 1 id. D. D amingo Ximenez, i id. D. Boni facio Vivanco, 1-id. D. José Sarria, 1 id. D. Mariano Sarria, 1 id. D. Jua…</t>
  </si>
  <si>
    <t>Barreigua, Francisco</t>
  </si>
  <si>
    <t>Francisco Barreigua</t>
  </si>
  <si>
    <t>…Antonio Ibarrola, D. Andrés Rodríguez, D Félix de Toda, D. Juan Pablo Sebastian, graduado de teniente coronel, Don Francisco Huarte y D. Andrés Arango; á capitanes á los tenientes D. Francisco Barreigua, D. Domingo Luis del Valle, D Vicente de la Encina, D. Francisco Preysler y Moreno, D José Segundo Izquierdo, D. Pedro Colmenares , D Pedro de la Cantolta, D José Nicolás ¿e Chimioni, D. Antonio Fernandez , D Juan Miguel Arrambi le, D. Antonio Arrambide, D, A…</t>
  </si>
  <si>
    <t>Barreiío, Angel González</t>
  </si>
  <si>
    <t>Angel González Barreiío</t>
  </si>
  <si>
    <t>…Sta. María, como individuos del cabildo de seño res curas y beneficiados. D. Fermín María de Uria Nafarrondo y D. Luis Gabaldon y López, como individuos de la sociedad económica. D. Angel González Barreiío, secretario del ayuntamiento constitucional, y como tal secretario de esta junta. D. Francisco Fernandez de Ibarra, como habilitado de secretario de dicho ayuntamiento, lo es también de esta junta. La junta en medio de tan apuradas y lastimosas circunstancias…</t>
  </si>
  <si>
    <t>Barreyro, Angel González</t>
  </si>
  <si>
    <t>Angel González Barreyro</t>
  </si>
  <si>
    <t>…añó1; por da'de S. Luis D. Francisco Marchámalo y D. Fáustirrá‘Sánchez'Sevillano; por la de Santiago D. Cayetano Aravaca y el señor secretario del aytmtamibnto de esta dicha viila D. Angel González Barreyro. Y asi reunidos,* pro cedieron á puerta abierta á la nominación de los citados señores alcaldes, re gidores y procurador síndico; y salieron electos para alcaldes el conde de Morezuma y,D. Nicolás de Garro, marques de las Hormazas: para regido res conde de Sá…</t>
  </si>
  <si>
    <t>Barrios, Juan José</t>
  </si>
  <si>
    <t>Juan José Barrios</t>
  </si>
  <si>
    <t>…de Arintero, como r gi 00res constitucionales; D. Juan Ramón Matute, como procurador sín dico general de dicho ayuntamiento; D. Juan Antonio Salcedo, cura párroco de S. Gines , y D. Juan José Barrios , cara pjrrt c'O íis Sta. María, como individuos del cabildo de señores curas y bene ficiados; D. Fermín María de Uria Nafarrondo y D. Luis Gabaldon</t>
  </si>
  <si>
    <t>Barrios, Juan Josef</t>
  </si>
  <si>
    <t>Juan Josef Barrios</t>
  </si>
  <si>
    <t>…rez de Arintero, como regidores constitucionales. D. Juan Ramón Matute, como procurador síndico general de-dicho ayuntamiento. D. Juan Antonio Salcedo, cura párroco de S. Gines, y D. Juan Josef Barrios, cura párroco de Sta. María, como individuos del cabildo de seño res curas y beneficiados. D. Fermín María de Uria Nafarrondo y D. Luis Gabaldon y López, como individuos de la sociedad económica. D. Angel González Barreiío, secretario del ayuntamiento constit…</t>
  </si>
  <si>
    <t>Barrosa, Nicolás</t>
  </si>
  <si>
    <t>Nicolás Barrosa</t>
  </si>
  <si>
    <t>…n el sargento pri mero del regimiento de Rivero Josef Fernandez Cienfuegos, á quien seguía el cabo Antonio Rugo. Inmediatamente se presentó el teniente de Volun tarios de Asturias D. Nicolás Barrosa, que sirvió estas piezas contra los enemigos atrincherados en Monteverde, y contribuyó mucho á que desalo jasen aquel puesto. Ei mariscal de campo D. Pedro de la Barcena, que mandaba inmediata mente estas tropas, dispuso el ataque del expresado Monteverde, y…</t>
  </si>
  <si>
    <t>…gento primero dd. r.egiríiiéñtb' del Rrbero José Fernandez Cieafuegos, á quien seguía el cabo Antonio Puerto. * «Inmediatamente se presentó el teniente de voluntarlos de Astu rias D. Nicolás Barrosa que sirvió esta pieza , contra los enemigos atrin cherados en Monteverde , y. contribuyó mucho á que desalojasen aquei puesto. » El mariscal de campo D. Pedro de la.Barcena que mandaba in mediatamente á estas tropas, dispuso el ataque del expresado Monte verd…</t>
  </si>
  <si>
    <t>Barsa, Pedro Nolasco</t>
  </si>
  <si>
    <t>Pedro Nolasco Barsa</t>
  </si>
  <si>
    <t>…e con ía compa ñía tle cazadores de su cuerpo, y la del de cazadores de Cataluña, una posición muy ventajosa que ocupaba el enemigo sobre la dere cha de su campamento. El teniente coronel D. Pedro Nolasco Barsa con el regimiento de cazadores de Cataluña iba protegiendo al mayor Cantero, y seguían á retaguardia como cuerpos de reserva ei re gimiento de Barcelona y el escuadrón de húsares. La artillería mandé se colocase en una casa que había en ut a colina de suave d…</t>
  </si>
  <si>
    <t>Barto</t>
  </si>
  <si>
    <t>…sos... 1............................. .... * Prisioneros......... ... .......... 1. Totales..• 2............... 28. vota. El oficial muerto e$ el capitán de voluntarios de Navarra D. Barto lomé Estívin; el herido el subteniente de Galicia D. Matías Vallesteros, y el contuso el primer teniente dc4 segundo batallón de reales guardias Españolas D. Serafín Soto. 1 . ' * , ' , ;j ^Núm. 4.0 Parte del general en gefe del qiiartó exército D, Manuel Fre…</t>
  </si>
  <si>
    <t>Basavilvaso, Manuel de</t>
  </si>
  <si>
    <t>Manuel de Basavilvaso</t>
  </si>
  <si>
    <t>…hos prisioneros que hizo, eagió á los falsos oficiales Nepomuceno Agnayo, Bernabé Frutos yJosé Cervantes. r :4®. En la misma "fecha, el comandante interino de patriotas de Goliina D. Manuel de Basavilvaso, destacó una partida de soldados de aquella villa, ¿ las órdenes del teniente D. Agustín Brizuela, con tra los restos de la gavilla de Antonio Btjar, la que habiéndose ia§^do en términos de no poderse averiguar su paradero, se dirigió rizuela contra 2©o rebel…</t>
  </si>
  <si>
    <t>Baso, Manuel</t>
  </si>
  <si>
    <t>Manuel Baso</t>
  </si>
  <si>
    <t>…los alféreces .D. Lorenzo Somera y D. Josef de las Cuevas, del segundo bata llón de,guardias Españolas; el capitán D. Manuel Carrillo, del batallón de .Almería^ el ayudante mayor D. Manuel Baso, y el teniente D. Josef Vi•tal.,. del "regimiento segundo de Sevilla : el capitán ele cazadores. D. Josef García Orczco , ) los subtenientes D. Juan Marc y D. Vicente Alcina, del segundo de Cataluña; el subteniente D. Juan Manuel Quevedo ,-del bata llón del G…</t>
  </si>
  <si>
    <t>Bassa</t>
  </si>
  <si>
    <t>…s flí:nc¡uef.se al enemigo per su derecha , pues trataba esie de defender cb-uñada mente su posición. Ei ímpetu con que atacó el mayor Caí.vero y el rápido movimiento del teniente coronel Bassa , llevaron al ene migo donde yo esperaba, obligándole á abandonar sus posícloner, dexándoias cubiertas de cadáveres y moribundos. La cabaLería, que pasando por dentro de S. Sadurní debía tomar al enemigo por sh espalda, llego cuando estaba este ya desalojado…</t>
  </si>
  <si>
    <t>Bastidos, Fernando</t>
  </si>
  <si>
    <t>Fernando Bastidos</t>
  </si>
  <si>
    <t>Gazeta de Madrid bajo el Gobierno de la Regencia n.º 35</t>
  </si>
  <si>
    <t>…acción. ' J En Ja tarde del dia 21 entraron en Cádiz, procedentes de Veracruz y la Havana, con 40 dias de navegación, el navio de guerra de 64 cañones San Pedro Alcántara t con su comandante D. Fernando Bastidos, y la fragata de guerra la Diana, al mando del capitán de igual clase D. Andrés Caba llero. El primero registró 2.392918 pesos fuertes, y 394 sobornales de añil, 512 caxas de azúcar, 900 sacos de calé , y algunos inarcos de plata para particulares. La segunda…</t>
  </si>
  <si>
    <t>Bastinelier</t>
  </si>
  <si>
    <t>Gazeta de la Regencia de las Españas n.º 163</t>
  </si>
  <si>
    <t>laeioH. Marchó el día 24 á Eislebeo; el 2-; á Rosla, evitando en contrar el cuerpo de tropas westfaiianas, mandadas por el general Bastinelier, que se hallaba situado en Heiligernstadt; hizo un mo vimiento lateral, pasó por Sanderhausen, y llegó el día 29 por la tarde á Mulhausen. Desde aquí marchó en un día á Cassel. Él rey Gerónimo tuyo noticia dos horas antes de su llegada. Habiendo embestido la…</t>
  </si>
  <si>
    <t>Bastineller</t>
  </si>
  <si>
    <t>…combates, entró en Cassel por ca pitulación el 30 de setiembre. El 24 marchó á Éisleben; el 25 á Rosta, evitando encontrarse con el cuerpo de tropas westfalianas, mandadas por el general Bastineller, que se hallaba situado en Heillengernstadt: hizo un movimienro lateral, pasó por Sonderbausen, y llegó el 26 por la tarde á Mulhausen. De aquí marchó en un dia á Cassel. El Rei Gerónimo tuvo dos'* horas antes noticia de su llegada. Habiendo embestido por tod…</t>
  </si>
  <si>
    <t>Bathnrst</t>
  </si>
  <si>
    <t>GRÁN-BRETAÑ A. Londres r$ de Octubre*. COLONIAS*. . . • i ’Do'tvning-Street j de Setiembre*. El conde Bathnrst recibid un oficio del teniente general Sir G. Fre— ▼ost, barone:e , cuyo extracto es el siguiente:. Kingston y en el Cañada superior , gde Julio de i8ig. Tengo el honor de remitir á V* S. copias de las cartas del co ronel Vicente; y dei teniente coronel Bissi…</t>
  </si>
  <si>
    <t>Bathursí</t>
  </si>
  <si>
    <t>Gazeta de la Regencia de las Españas n.º 2</t>
  </si>
  <si>
    <t>…. * En gaceta extraordinaria de esta capital «se-han publicado los ob elos siguientes sobre las ocurrencias con los americanos, remitidos por el teniente general Jorge Praevost al conde Bathursí. ,,Milord : Tengo la satisfacción de comunicar á Y. S. que las fuerzas de S. M. , auxiliadas por las milicias y los indios, apos tados en la frontera de Niagara , han rechazado completamente la segunda invasión del enemigo en la provincia dél Altq-J&gt;aaadá^ ha…</t>
  </si>
  <si>
    <t>Bathurst</t>
  </si>
  <si>
    <t>…ene pira banda de músicos compuesta dé' bohemios, los ' GRAN BRETAÑA. / . ¡. Contbiúitt las de Jjóe-drtSj hasta, 4 de setiembre. ■V Del gi de agosto. Un meriságero de estado, díte'lord Bathurst</t>
  </si>
  <si>
    <t>833</t>
  </si>
  <si>
    <t>…e España del quartel gene ral del lord Wellington. ■Estado mayor general de campaña. De orden,df 1 Excmo. Sr. duque de Ciudad-Rodrigo traslado á V. S. el extracto de;una carta del conde Bathurst, secretario de Estado de S. M. Británica, al marques de Wellington, fecha en Londres á 11 de noviembre de 1813, cuyo tenor es el siguiente: „ V. E. se servirá manifestar al mariscal de campo D. Cárlos de España el. grande aprecio que S. A. R. el Príncipe Rege…</t>
  </si>
  <si>
    <t>Batli</t>
  </si>
  <si>
    <t>…campo D. Carlos España , comandante general de la segunda división del cuarto exército. Be orden di Excmo. Sr. deque de Ciudad -Fodrigo frsslsclo á S. el extracto de una caris del conde Batli; r t, se r tario de tstado de S. M. B., al marques dí Wel¡i:-£-t n, fe .ha en Londres á 11 de noviembre de 1813 , cuyo tenor es el siguiente „v. E. se servirá manifestar al ma iscal de camp" D. Cárlos Es paña el grande.aj-recio que S, A. R. el p&lt; recipe regen…</t>
  </si>
  <si>
    <t>Bau, Juan</t>
  </si>
  <si>
    <t>Juan Bau</t>
  </si>
  <si>
    <t>…l Desaguadero, á razón da 16 pesos fuertes mensuales cada soltíaao. D. Antonio Alvarez de Villar, 10 hombres por un año. D. Bar tolomé Va!dés,8id. O. Francisco Xavier Izcue, 8 id. D. Juan Bau tista O variaba! y D. Pedro Abadía, 20 id. D. Lorenzo Tajonar, 2 id. D. Fermín de Arriaga, 2 id. D. Nicolás Soreguí, 1 id. D. Juen Bautista de Sarrata, 2 id D. Jot,é A tomo de Erna, 4 iii. D Mi guel de Garate, 1 id. D. Joaquín de Lostfa, 1 id. D. Raisuui Ven-</t>
  </si>
  <si>
    <t>…sin, juez de primera instancia de. ésta villa,-se cita, lumia y emplaza al marques de Almenara, Doña Josefa Tu fió, Dóiía Plácida Urquijo, D. Severino Riezu, D.- Francisco Amorós, D. Juan Bau tista Guítart y D. Silvestre Perez, fugados con el gobierno intruso, para que en el término de 20 citas, que por único y perentorio se les señala, comparezcan por &lt;sí, ó por procuradores con los correspondientes poderes, á mi juzgado, y por la escribanía mayo…</t>
  </si>
  <si>
    <t>Bausivi, Antonio</t>
  </si>
  <si>
    <t>Antonio Bausivi</t>
  </si>
  <si>
    <t>…Oronoz , capitanes, D. Felipe Ruvalcab3, teniente, y D. Leonardo Cotera, subteniente del prime ro cántabro, y D. Joaquín Díaz, capitán de tiradores de Cantabria. Los heridos son: D. Antonio Bausivi, subteniente del de Toledo; D. Andrés Narvaez y D. Francisco Romero, tenientes del de Monterey ; D. Juan de Asas y D. José Pumarejo, tenientes del Regimiento de Marina; D. Geferino Arau/o, subteniente del de Benaveate; Don Félix Carrera, coronel, y D. Alberto…</t>
  </si>
  <si>
    <t>Bautista, Juan</t>
  </si>
  <si>
    <t>Juan Bautista</t>
  </si>
  <si>
    <t>…ore?^ .: ■ f soldados son irlandeses. Esta isla, pqrla exuberan-i AVISO. cía de su fecundidad,inagotable, es para la Ingia-.( térra un almacén de&gt; hombresla¿júja /provee á: la, El Sr. D. Juan Bautista (íflttarty del consejo de nxtdre.patua, á la madre desnaturalizada ,. que in- ■ S. M,, y juez.de primera instancia, .se ha servido seña lar el d(f aíjfdéí corriente áTás ties y inedi» de lá farsensible álos beneficios, castiga;en :Ía Irlanda sus de en sú posa…</t>
  </si>
  <si>
    <t>…id. D. Fulgencio Antonio Zabala, 1 id. D. Francisco Antonio - Quiros, 1 id. D. Miguel Aljovin, 1 id. D. Ignacio González, 1 id. D. José Ri bera, 1 id.. D. Francisco Gavidia, 1 id. D. Juan Bautista y D. Mi guel de la V ña, 1 id.- DJ usé Aibarado, 1 id. D. Melchor í&amp;chaustegnl, 1 id. D. Francisco Montes, I id. D. Sebastian Compare!, 1 id. D. A i tordo D: ñho, 1 i i. D. Francisco Ambrosi, 1 id¿ La archicofradíade Ntra, Sra. del Rosario, 10 id. D. Gregorio Lamas,…</t>
  </si>
  <si>
    <t>Bauza, Felipe</t>
  </si>
  <si>
    <t>Felipe Bauza</t>
  </si>
  <si>
    <t>…por el ramo eclesiástijo al R. obispo de Arequipa D. Pedro Chaves de la Rosa, D. José Miguel Ramírez y D. Martin de Navas: por el secular á D. Miguel Moreno, D. Manuel Quinta na, D. Felipe Bauza, D. Manuel de Llano, D. Eugenio Tapia y D. Vicente »Sancho ; y para suplentes á D. Pablo Lailave por lo eclesiástico, y D. José Revollo y D. Juan Aeevedo por lo secular. —■ Lo tendrá entendido la Regencia del reyno para su cumplimiento, y lo hará imprimir, pu…</t>
  </si>
  <si>
    <t>Bauzá, Felipe</t>
  </si>
  <si>
    <t>Felipe Bauzá</t>
  </si>
  <si>
    <t>…uipa D. Pedro Chaves de la Ro sa, á D. Josef Miguel Ramírez y á D. Martin de Navas por el ramo ecle siástico; y por el secular á los señores D. Miguel Moreno, D. Manuel Quin tana, D. Felipe Bauzá, D. Manuel de Llano, D. Eugenio Tapia y D. Vi cente Sancho. Los suplentes son D. Pablo Lallave por lo eclesiástico , y Don Josef Revollo y D. Juan Acevedo por lo secular. El Mercurio Lusitano de 7 del corriente inserta una carta, cuyo conte nido, sacado de un…</t>
  </si>
  <si>
    <t>Bayane</t>
  </si>
  <si>
    <t>…ores: 2. u Los obispos de Nántes, de Tre'veris y de Hemos nombrado para ocupar las trece plazas Evreux quedan nombrados oficiales de la legión de vacantes en el senado: Licuor. Al cardenal Bayane, prelado distinguido por sus 3.0 El arzobispo de Edesa queda nombrado ca virtudes religiosas, la extensión de sus luces y los ballero de la corona de Hierro. servicios que ha hecho á la patria: lia trabajado en el concordato de Eontainebleau, que completa las…</t>
  </si>
  <si>
    <t>Baylo, Pedio López de</t>
  </si>
  <si>
    <t>Pedio López de Baylo</t>
  </si>
  <si>
    <t>…orriz, D. Dionisio Fonolitas, D. Can» dido Zunzarren * D. M:guel Quartero , D. Juan Urzaniqui, D. Ruerto Rajum, D. Manuel López, D. Agustín Munarriz, D. Juan Sliutista fnd'.iusti, D. Pedio López de Baylo, D. José García, D. Andrés Diaz y D. Félix Quitarte. Igualmente se ha servido S. A. promover en el regimiento de caballeril ligera húsares de Navarra de la misma división á teniente coronel á D. Juan José Cnlchaga; á comandantes de escuadrón á D. Miguel María…</t>
  </si>
  <si>
    <t>Bayo, Matías</t>
  </si>
  <si>
    <t>Matías Bayo</t>
  </si>
  <si>
    <t>Gazeta de la Regencia de las Españas n.º 24</t>
  </si>
  <si>
    <t>…José Rodas. 12. . . 460921 745 461299 754 513 221 de 300 pesos. De 600 pti de Setiembre de 1808. 2303 5789 15494^ 2345 7803 134683 2440 8997 135109 f 20. . .&lt; 2619 9080 136332 ¡)&gt;D. Matías Bayo. 3007 12153 137713 3191 677 138714 138764 141415 J 5680 7554 12793 5747 7555 12803 5748 9324 13376 6300 9576 13459 6761 9601 13497 32. . .&lt; 6866 9864 13547 ) 6991 11070 13667 7442 11164 15498 7572 12083 138432 138514 139939 141152 139137 140895 (Se continuará…</t>
  </si>
  <si>
    <t>…22056í 90935 95341 1237741 15 de 300 pesos. De 150 jm. de Enero de 1808. 3. ¿ 273756 277696 280880 D. Juan Dges.. 2. . 290656 293331 .... D. José Lacroust. 2. . 255003 298765 .... D. Matías Bayo. S D. Antonio María Cárde1. . 295988 . . . . • • • • s4 ñas.</t>
  </si>
  <si>
    <t>Bayona, Joaquín</t>
  </si>
  <si>
    <t>Joaquín Bayona</t>
  </si>
  <si>
    <t>…y 7 caballos herido-: los oficiales ío son, los primeros tenientes de reales Guardias Españolas D- José Pcrez TafalU y D. Manuel Sergean., y el segundo teniente del mi mo cuer po D. Joaquín Bayona: también fue herido, y se incluye en el nú mero total, el cadete del regimi nto de infantería de Ciudad-Real D. Francisco de P¿uls Villalba.” CADIZ : IMPRENTA NACIONAL: 1813.</t>
  </si>
  <si>
    <t>Bazan, Juan Manuel</t>
  </si>
  <si>
    <t>Juan Manuel Bazan</t>
  </si>
  <si>
    <t>372 , D. Melchor García Nuñoz, abogado, vecino de Hoyo-quesero. D. Josef Agapito García, cura de Mesegar. D. Juan Manuel Bazan, vecino de Arévalo. D. Lorenzo Rodríguez, vecino de Viüaraayor. Suplentes. D. Santiago Perez, abogado, vecino de Can deleda. D. Josef Bautista Brochero, labrador, vecino de Avila. D. Bernardino Jaén, vecino de Navamorqíiende. Madrid i.° de setiembre. Por el ú…</t>
  </si>
  <si>
    <t>Baztan, Manuel</t>
  </si>
  <si>
    <t>Manuel Baztan</t>
  </si>
  <si>
    <t>…José Echeverría;y D^ Clemente Diez de Tejada: á tenientes de fusileros á . D, VictorianoMangiron, D; Joaquín Mendiando , Don Pedro Oses* D José María Subirán , D. Miguel Tartas , D. Manuel Baztan ¿ D. Agustín Oro, D. José Joaquín Ározatena, D. Domingo Chávame, D. Agustín Mora, D. Juan Cruz Larrondo, D. Fran cisco Peralta, D. Manuel Salaberri, D. Dámaso Landa, D. Atanasio Diez, D. Bartolomé Comas, D. Ildefonso Mayo, D» JVLguql Ormachea, D Joaquín Sánch…</t>
  </si>
  <si>
    <t>Bbras, Antonio</t>
  </si>
  <si>
    <t>Antonio Bbras</t>
  </si>
  <si>
    <t>…cisco M -toado, 50. D. Manuel G.j»m&lt; z Zuazo, 50. D. To-ms Jurado, 50. O Sebastian Corrínarefc,50. D. Antonio León, 50. D. Juan y D. M g-id Viña, 50. D Andrés Sánchez Quiroz , 50. D. Antonio Bbras, 50. D Francisco Nnaez, 50. D. Manuel Odrinsola, 50 D. Fulg í c o Z avala, 50. D. Vicente Aborta, 50. D. Francisco Sagasti, 50. D. Pedro Larrañ ga, 25 D. Julián Psraz, 25 O. José Osorio, 25. D. Miguel Jáaregui, 25. D Juan Mella, 95 O. Alonso Ronero, 25. 13 Do…</t>
  </si>
  <si>
    <t>Bbsho</t>
  </si>
  <si>
    <t>caballería y cíe Infantería, oue se adelantaba con dos ezas de cam pana. Estoy muy sg adecido á la vigilancia dei teniente coronel Bbsho^p,y deseo que se tenga en consideración el parte que da sobre la conducta de los ofici les y demas i-divi imos. que manda, pues me&gt;éten md e'ogics, y especialmente el teniente Fitzglbbor», deí regim iento 49 , q:e rr.ar d bi lii corto destacamento que obro de…</t>
  </si>
  <si>
    <t>Bckendorff</t>
  </si>
  <si>
    <t>512</t>
  </si>
  <si>
    <t>…chos carros de municiones, y casi todo el bagage&lt; Los cosacos si guieron el alcance, porque la infantería prusiana necesitaba algún descanso después de tantas marchas forzadas. El coronel Bckendorff pasó por medio del enemigo el 27 por la noche, y se situó en Gorzke. Es probable que los débiles restos del cuerpo del general Girard, que se retiran'hácia Magdeburgo, caigan en nuestro poder. Lo que hace honor á las tropas del general Hórschfeld son las marc…</t>
  </si>
  <si>
    <t>Bcnr.igsen</t>
  </si>
  <si>
    <t>…to ruso y prusiano pasa de 8g&gt;© hombres, que tan a Teunirse en la 1 nea de Chemnitz y Freyberg, y debe juntarse á ellos el cuerpo del general Klenau de i o© hombres.—Él cuerpo del general Bcnr.igsen, á quien hoy se pasó revista, está en muy buen estado , pero no tengo noticias á qué número asciende. — Está -saliendo de Praga un refuerzo de 7© hombres del cuerpo prusiano del general Kleist. Tengo ei honor &amp;c, =r &amp;.rStzwárt+ , Xerbst4 de Octubre ' Milord:…</t>
  </si>
  <si>
    <t>Be</t>
  </si>
  <si>
    <t>…Vicenta de la Riva, 4 id. D José II pólíto y D Ambrosio íbañez, 4 id. D. Juan Miguel de Castañeda, 4 id. D. Joaquín d« Asia, 4 id. D. Pedro de Vülaoampa, 4 id. D Juan Macho, 4 id. D. Be nito Ambrosio Canicoba, 4 id. D. Pedro Moreno Altusarra, 4 id. D Joaquín María Ferrer, 4 id. D. Angel de Alfaro y D. Miguel Vertiz, 4 id. D José de Lasarte, 4ríd. (Se continuará.) CADIZ : EN LA IMPRENTA NACIONAL.</t>
  </si>
  <si>
    <t>En el mismo día se dio cuenta á las Cortes de una exposición, del ayun tamiento de Campillos, quien participaba, que habiéndose ofrecido. D. Be nito Herrera, abogado de los tribunales nacionales, á explicar:ren aquel pueblo la Constitución y decretos de las Cortes para instruirá!sus•ívfecinos y desterrar las impresiones poco favorables que la malevolencia, procuraba: es4 parcir; el ayuntamiento habia…</t>
  </si>
  <si>
    <t>Bean, M.</t>
  </si>
  <si>
    <t>M. Bean</t>
  </si>
  <si>
    <t>999</t>
  </si>
  <si>
    <t>…miento 13 portugués, mandado por el mayor Snodgrajó,, se adelantó por la playa rasa, y airares© el rio, sostenido por un destacamento del regimiento 24 á las órde nes del teniente coronel M. Bean, caminando con Ja mayor bizarría baxo un vivo fuego de metralla.-Ei mayor Snodgrajó-¡¡tracé, y fi«nalmente ganó la pequeña brecha á la derecha de la grande, y el destacamento de! teniente coronel M. Bean se alojó en la derecha de la gran brecha. No debo calia…</t>
  </si>
  <si>
    <t>Bear, Guillermo</t>
  </si>
  <si>
    <t>Guillermo Bear</t>
  </si>
  <si>
    <t>…i satisfecho de la conducta de los generales Stewart y conde de Amarante.——Desde que últimamente escribí á V. E. he recibido una carta?de 30 de junio anterior del teniente general lord Guillermo Bear tinck. Según otros avisos, el duque del Parque se había retirado det Xúcar, sin pérdida} el 25, y había ocupado n ■ evalúente la posición de Casta Ha.:?: Dios guarde..á V, E. .muchos años, Quartel general de Zubieta ,10 de julio de 1813. = Wellington, duque d…</t>
  </si>
  <si>
    <t>Beares</t>
  </si>
  <si>
    <t>Gazeta de la Regencia de las Españas n.º 94</t>
  </si>
  <si>
    <t>…iendo igualmente á la plaza, donde había dexado de reserva el escuadrón de cazadores de la pa tria, que me mandasen 50 hombres con el teniente del mismo cuer po D. José Gómez. -El capitán Beares hizo en efecto su llamada, ,que surtió .todo el efecto que se deseaba , -porque la chisma se vino con sus acostumbrados gritos; pero recibidos por ía infantería , y sorprehendidos por la caballería que volvió caras, y la que vieron sa lir á escape de la ciuda…</t>
  </si>
  <si>
    <t>Beares, Francisco</t>
  </si>
  <si>
    <t>Francisco Beares</t>
  </si>
  <si>
    <t>…antiago para desembarazarme de que aquella chusma me llama se la atención en el resto del dia , y acaso cuando la acción estu viese mas reñida en otro punto. Ai intento previne ai capitán Don Francisco Beares que con un trozo de 54 hombres de caballería les hiciese una llamada falsa sobre la misma garita, desde donde se mandaron también avanzar al molino de las Monjas 25 infantes con el teniente D. Mariano Qtievedo, previniendo igualmente á la plaza, donde había d…</t>
  </si>
  <si>
    <t>Bechac, Ramón</t>
  </si>
  <si>
    <t>Ramón Bechac</t>
  </si>
  <si>
    <t>…es Monresanos 2 soldados muertos: he ridos un caphan, 2 subalternos, 2 soldados y un subalterno coátaso. Nota. Los señores oficiales heridos son el capitán D. Francisco Monner, el teniente D. Ramón Bechac y el sub-entente D. José Padrol, t d os de la compañía de cazadores de Leales Manressños. San Felin de Codinas 17 de Octubre de 1813. El ayudante segando de estado mayor encargado cL l de la primera división, sss Francisco Severo Sterling.zzQnznéi general de…</t>
  </si>
  <si>
    <t>Bedriaga</t>
  </si>
  <si>
    <t>…s enemigos situados en Bettenhamen con seis piezas de artillería; las que fueron tomadas por una* brillante carga, y se hicieron mas de. 400 prisioneros. En esta acción murió ‘ el coronel Bedriaga, oficial.de un extraordinario valor: su muerte fue llo rada por todo el éxército ruso. Persiguióse á los fugitivos hasta'la ciudad; pero como las calles estaban cortadas, se-retiraron ios rusos. El Réi reunió dos batallones de las guardias y 10 caballos, y hu…</t>
  </si>
  <si>
    <t>…1 s batallones enemigos, situados en Rettenhausen con 6 piezas de artillería. Se dio una bri llante carga, se les hicieron mas d ; 400 prisioneros , y se tomaron las 6 p;ez is. El coronel Bedriaga fué muerto en esta ocasión. Este oficia1', que poseía un notab e valor , fué horado de todo el exér— cito ruso. L )s fugitivos fue on perseguidos hasa la ciudad; pero co mo las ca Us estaban 2trinch ra as , se retiraron los rusos. El rey reunió 2 batallones d…</t>
  </si>
  <si>
    <t>Begines, Antonio</t>
  </si>
  <si>
    <t>Antonio Begines</t>
  </si>
  <si>
    <t>…stas noticias con la alegría que es consiguiente á su decidido patriotismo. ,, Dios guarde á V. S. muchos años. Quartel general de Vitoria 3 de julio de 1813. = Xavier Castaños. = Sr. D. Antonio Begines de los Ríos.” El general D. Pedro Agustín Girón en i.° del actual me dice desde Irun lo siguiente: „ Excmo. Sr. Los enemigos por esta parte están ya fuera del territorio español. ,,E1 brigadier D. Federico Castañon atacó esta mañana con iguales fuer zas la re…</t>
  </si>
  <si>
    <t>Beiiírgsen</t>
  </si>
  <si>
    <t>161</t>
  </si>
  <si>
    <t>…lo manifiesta tan abiertamente su a ver-ion a Gerónimo Bonaparte, que es de esperar se retire á París. P &gt;r de contado , ha mandado ya confiscar todos los bienes que tenia alií el general Beiiírgsen. Escriben de K migaberg coii fecha de 20 de Diciembre, que el comandante francas publicó allí una orden para que iodo* los oficia les, gefes y súbamenos evacuasen en 21 horas aquella plaza, y se reuniesen a los diferentes depósitos de los cuerpos del exército…</t>
  </si>
  <si>
    <t>Beiuinck, Guillermo</t>
  </si>
  <si>
    <t>Guillermo Beiuinck</t>
  </si>
  <si>
    <t>Gazeta de la Regencia de las Españas n.º 164</t>
  </si>
  <si>
    <t>…o de las islas Jónicas. Palerm9 % de Noviembre. Con fecha de 31 de Ocrub^e prójamo pasado, se ha fixado en lus parag .s públicos de esta capital un manifiesto del teniente general lord Guillermo Beiuinck, en que base ver al público que está com prometido con Si M el rey y Con S. A. el príncipe heredero á ga rantir el establecimiento de una constitución libre en Sicilia * sin que por ella se comprometa ia salvación de la corona ni 1¿ tranquilidad pública, todo…</t>
  </si>
  <si>
    <t>BekendorfF</t>
  </si>
  <si>
    <t>Gazeta de Madrid bajo el Gobierno de la Regencia n.º 1</t>
  </si>
  <si>
    <t>…jasado el Elba. coi», el-objeta, dq. arrojar á los franceses hasta el Mein , y es probable que no esperen estosjá ser atacaos. /Uno de los cuerpos ¿e W jttgenstein, al mando del .general BekendorfF, ha entrado en Lubecklos otros cuerpos permanecen' en las ori llas del Elba', cerca de Bqitzenberg» ■ Parte del exército dé Tchichagoff está cerca de Thorn, y otra parte se emplearen él sitio de. Dantzick , á las órdenes del general Plar-ow., ¡ M: Un cuerpo d…</t>
  </si>
  <si>
    <t>Bekendorif</t>
  </si>
  <si>
    <t>…arde ai'genera! KutusoW jhijo del feld-mariscal. Los generales rusos asistieron al teatro , donde fueron recibidos con grandes aplausos.” Una división de tropas rusas al mando del general Bekendorif, segu1?. se dice, ha pasado por Meklenburgo. El conde mariscal VonOlcfíVon, salió de allí para Rostcck el 6 dei corriente con esta noticia. El general Winzingerode llegó á Gorlitz (8 millas alemanas de Dresde ) el 28 de Febrero. Ea 5 del corriente debían avis…</t>
  </si>
  <si>
    <t>BekendoríF</t>
  </si>
  <si>
    <t>…ein ha pasado el Elba con el objeto de arrojar á los franceses hasta el Mein, y es probable que no esperen estos á ser atacados. Uno de los cuerpos de Wittgens tein , al mando del general BekendoríF, ha entrado en Lubeck: los otros cuerpos permanecen en las orillas del Elba, cerca de Boit*. zepJberg. Parte del exército de Tehichagoff está cerca de Thorn , y otra parte se emplea en el sitio de Dantzick á las órdenes del general Piatow. Un cuerpo del exérc…</t>
  </si>
  <si>
    <t>Bekers</t>
  </si>
  <si>
    <t>…hasta la noche en pose-* sion dei campo de batalla. Las cargas violentas de caballería por el ala iz quierda y todos los ataques de la derecha fueron rechazados. El general biváro conde Bekers contribuyó también con su división á este suceso por su loable firmeza. El enemigo tuvo una pérdida considerable» principalmente en la guardia antigua. Se consiguió el objeto que tenia el comandante de impedir la reti rada deí enemigo, y por la noche retiró á…</t>
  </si>
  <si>
    <t>Belanckley</t>
  </si>
  <si>
    <t>…ia. También sabemos que no reina la mejor armonía entre los franceses y diaatnarqueses; y se presume que ha habido negociaciones entre las cortes de Stockolmo y Copenhague. Del El capitán Belanckley, del regimiento 23.0, llegó á la secretaría de Es tado el 24 con la espada de Josef Bonaparte, que este perdió en su fuga de Vitoria, para presentársela al Príncipe Regente. 1 ■ ' f ■ i i 1 » * t &gt; • PORTUGAL. , , Lisboa 8 de setiembre. Por un navio que ha ll…</t>
  </si>
  <si>
    <t>Belau, Pedro</t>
  </si>
  <si>
    <t>Pedro Belau</t>
  </si>
  <si>
    <t>…ies del trono la expresión parsa, seminarista , presbítero. de sus sentimientos patrióticos. Para el de Benimodo, vacante por ascenso de Escriben de Maestrich que apenas acordó el D. Pedro Belau al curato de la Sollana, á D. Fer consejo municipal su oferta de 12 soldados de á ca nando Gómez, patrimonista, presbítero. ballo montados y equipados , se presentaron los ciu Para el de Benidoleig, vacante por promoción dadanos principales á satisfacer su co…</t>
  </si>
  <si>
    <t>Belchy</t>
  </si>
  <si>
    <t>…gundo mayor, general de la octava división , por su celo y servicios durante esta larga contienda. ? ; ^ i ■ »Recomienda vivamente á la atención de V. S. á su ayudante de campo ei capitán Belchy del 59 de infantería, y juntamente con’ el mayor general Hay elogia la conducta altamente meritoria del capitán, James Stewart del tercer batallón de Reales escoceses, ayu dante de campo del mayor general Hay, como también al ayudan te de campo del mayor gene…</t>
  </si>
  <si>
    <t>Belda, Josef</t>
  </si>
  <si>
    <t>Josef Belda</t>
  </si>
  <si>
    <t>…e mayo, £1 día 16 á las tres de la mañana entraron en este pueblo 500 enemi gos, sostenidos por otras tropas que salieron de Onteniente (2). El coman dante de los paisanos armados D. Josef Belda se situó en una altura, y no pudo hacer fuego sobre los enemigos, porque no se lo permitia la obscuri dad, y se exponía por otro ladaá matar muchas familias que huían. Pero entre tanto los franceses saquearon horrorosamente el pueblo, mataron seis ancianos en…</t>
  </si>
  <si>
    <t>Belinchon, Juan Domingo</t>
  </si>
  <si>
    <t>Juan Domingo Belinchon</t>
  </si>
  <si>
    <t>…n ¡xadors &gt; presbítero. tánea. £1 piismp, entusiasma cuentan todos ios de Para el de Montanejos, vacante por fallecimien parta tnentos- Lps diversos distritos del departamen to de D. Juan Domingo Belinchon, á D. Antonio tos del [gaxp^Rin han presentado 290 hombres de Aguilar , cura párroco de Benifairo de Valdigña. á caballo, montados 5 armados y equipados} la ciu- Para el de Quttretondeta, vacante por muerte cjad de Maguncia ha dado 2; ; los comunes de su de D…</t>
  </si>
  <si>
    <t>Belioti</t>
  </si>
  <si>
    <t>Gaceta de Madrid n.º 82</t>
  </si>
  <si>
    <t>…ando diariamente, y trucción de un torno de hilar algodón. querían fixar allí su residencia. Habiendo encarga A Mr. Le Roy, de Paris, para emplear sus do el cuidado de la plaza al coronel Belioti, salid á quatro nuevos modos de pasar la lanzadera en todo las dos de la mañana al frente de una coluna de género’ de telares. éco hombres, formada de las compañías escogidas A Mr. Darrac, de Paris, para la construcción del regimiento 2o.0 de línea francés y…</t>
  </si>
  <si>
    <t>Bell</t>
  </si>
  <si>
    <t>…ducta, y la del capitán del real cuerpo dé ingenieros Henderson. ‘ ** El honorable teniente de 1.a marina real James Arbuthhot mari daba las lanchas , y tanto este oficial como el teniente Bell, de 1* real infantería de marina, han merecido se elogié su condutíá. »»Habiéndose hecho nueva brecha en el fin dé la cortina, y efec tuado para el dia 30 cuanto se creía practicable para facilitar el áproche de las brechas que ánterionnenre se habían hecho é…</t>
  </si>
  <si>
    <t>Bella, C. de</t>
  </si>
  <si>
    <t>C. de Bella</t>
  </si>
  <si>
    <t>Gazeta de Madrid bajo el Gobierno de la Regencia n.º 26</t>
  </si>
  <si>
    <t>…nta en el quarto principal de la. real Panadería ,‘pláizii major: cada tomó á 32 reales en papel, á 34 en rústica, y á 40 en pasta. 1.a Lira de la libertad, poesías patrióticas de D. C. de Bella; impresión do Londres en papel vitela: un tomo en 4.0 Se hallará en la librería de Castilld, fren te á Jas gradas de.S. Felipe. Fábulas políticas de D. C. de Beña, impresas en Londres: un tamo en 4/ Se hallarán en la misma librería. ; ” . . ¿ Purificación, nu…</t>
  </si>
  <si>
    <t>Belltard</t>
  </si>
  <si>
    <t>Gaceta de Madrid n.º 30</t>
  </si>
  <si>
    <t>…bia esta llevado á la costa de Francia á tln gene dado en e! quartel imperial de Smorgony, ha nom ral francés y dos coroneles franceses, tus edecanes. brado al general de división conde Belltard coronel Ya nos guardaremos bien de manifestar sus nom general de coraceros por ascenso del señor condo bres, y de decir el sitio en que han desembarcado, Gouvion-Saint-Cyr á mariscal del imperio. por razones que son de mui obvio alcance. „ Es natural que tan…</t>
  </si>
  <si>
    <t>Bellvef, Juan Bautista</t>
  </si>
  <si>
    <t>Juan Bautista Bellvef</t>
  </si>
  <si>
    <t>…con toda su compañía el capitán D. Vicente Aicaina, haciendo amagos con ocho escaleras de asaltar la muralla: delante ía torré de la Fuente se cons tituyó el capitán de cazadores D. Juan Bautista Bellvef cbn el resto de su compañía, debiendo realizar el asalto, al tiempo que se abriese brecha con picos y azadones en la puerta de Lanós, tapiada por los enemigos. capá tan D. Joaquín López, á las 11 ( hora destinada en; la orden..general para atacar por todas pa…</t>
  </si>
  <si>
    <t>Bellver</t>
  </si>
  <si>
    <t>…ros el estandarte nacional, y oyendo los gritos de alegria .de viva España, viva» la Constitución i perezcan nuestros opresores: á la una y media de la ma drugada se hallaba ya el capitán Bellver sobreda muralla con su tambor , pi tos y cazadores, mientras que el teniente; D; Juan Caro se dirigía tomar la retirada del enemigo por ¿las calíes de la villa, superadas las''dificultades que le oponía la puerta del Estudio. La grande y temeraria resistencia…</t>
  </si>
  <si>
    <t>888</t>
  </si>
  <si>
    <t>…muros el estandarte nacional, y oyendo los gritos de alegría, de viva España, viva la Constitución, perezcan nuestros opresores : á la una y media de la madrugada se hallaba ya el capitán Bellver sobre la muralla con su tambor, pitos y cazadores, mientras que el teniente D. Juan Caro se dirigía á tomar la retirada del enemigo por las calles de la villa, superadas las dificultades que le oponía la puerta del Estudio. La grande y temeraria resistencia c…</t>
  </si>
  <si>
    <t>Beltran, José</t>
  </si>
  <si>
    <t>José Beltran</t>
  </si>
  <si>
    <t>…. Antonio González y D. Pedro Abello, un exemplar á cada uno de un tratado de trigonometría y geometría práctica poj* su aprovechamiento en aritmética y álgebra : á les c,: de tés D. José Beltran , D. José María Gormayo, D. José Ruiz, D. Joaquín Alvarez Sotomayor y D. Vísente Alba, tina obra de. .táctica á padá uno £01* haberse distinguido en la geometría: á los cadetes D,.¡Rafael de ara, D. Alonso Carrasco y D. Juan María-Muñoz, un estuche de: matemá…</t>
  </si>
  <si>
    <t>Ben, Lord</t>
  </si>
  <si>
    <t>Lord Ben</t>
  </si>
  <si>
    <t>…ente á los movimientos que el mariscal Suchet hacia en los días 13 y 14 con sus fuerzas en número de 24© infantes y isoo caballos, el exército anglo-sicilíano, al mando del Excmo. Sr. Lord Ben inck , que se hallaba sobre el Coll de Santa Cristina de Haro, emprendió su marJia re trógrada sobre los puntos de Cambrils y Coll de Balaguer en la tarde del 15 ; y el tercero español, á las órdenes del Excmo. Sr. duque del Parque, verificó la suya desde Con…</t>
  </si>
  <si>
    <t>Ben-</t>
  </si>
  <si>
    <t>…Milord: tengo la honra de iaformar á V. S. que el general Pozzo del Borgo recibió noticias del cuartel general de Bohemia con fe cha de 24 del pasado, de que habiéndose reunido el general Ben-*rúgsen al exército grande , tomaron los monarcas aliados \a resoiucion de hacer un movimiento por la izquierda el i.° de e: te ines para salir de Bohemia. — Esta noticia determinó al Príncipe real á inten-¿ tar el paso del Elba. Se hallaba ya concluido el pue…</t>
  </si>
  <si>
    <t>Beña, C. de</t>
  </si>
  <si>
    <t>C. de Beña</t>
  </si>
  <si>
    <t>…patrióticas de D. C. de Bella; impresión do Londres en papel vitela: un tomo en 4.0 Se hallará en la librería de Castilld, fren te á Jas gradas de.S. Felipe. Fábulas políticas de D. C. de Beña, impresas en Londres: un tamo en 4/ Se hallarán en la misma librería. ; ” . . ¿ Purificación, nuevo y flamantíto avechucho.Dos cartas!sobre la milicia ur bana, y plan para establecerla en Madrid y todo el reinó para cuidar de. la* tran quilidad anterior y ext…</t>
  </si>
  <si>
    <t>Benaigsen</t>
  </si>
  <si>
    <t>Gazeta de la Regencia de las Españas n.º 155 (extraordinaria)</t>
  </si>
  <si>
    <t>1298</t>
  </si>
  <si>
    <t>…o podrá llegar al Rhin. Esta mañana ha sido atacada la ciudad de Leipsick, y tomada des pués de una débil resistencia por los exércitos del general Blucher, del Príncipe real, del general Benaigsen y per el exército grande. Man daban en día ios mariscales Marmont y Macdonald, y se han salva do con los mariscales Angereau y Víctor, acompañados de una pe queña escolta. SS. MM. el emperador de Rusia, el rey de Prus'a, y el Príncipe real de Suecia han entra…</t>
  </si>
  <si>
    <t>Bener, Félix</t>
  </si>
  <si>
    <t>Félix Bener</t>
  </si>
  <si>
    <t>…to segundo. D. Manuel de Castro, substituto segundo. Barrio de Doña María de Aragón. Barrio de las Descalzas Re ates. D. Josef Cañedo, alcalde. D. Fr..neÍsco de 1 ruegas, alcalde. D. Félix Bener, substituto primero. D. Francbco L..yin , 'substituto primero. D. Manuel Urbina , substituto segundo. D. Juan Torre , substituto segundo. Barrio de ¡a Encarnación. Barra de les ring. íes D. Ramón García Muñoz , alcalde. D. Manuel Cardeñoso Herrczueto, alcalde…</t>
  </si>
  <si>
    <t>Benet, José</t>
  </si>
  <si>
    <t>José Benet</t>
  </si>
  <si>
    <t>…á subtenientes á D. Bonifacio Ro dríguez , D. José Sánchez y D. Manuel de los Santos. En el de Ir landa á capitán ¿ D. Miguel Miangolarna; á ayudante á D. José Alba; á teniente á D. José Benet, y á subteniente á D. Felipe Negrete. En el cuerpo de ingenieros de los exércitos nacionales, en la di visión de Ultramar, se ha servido la Regencia del reyno promover á teniente coronel al sargento mayor de brigada D. Miguel Atero; y á este empleo al capitán…</t>
  </si>
  <si>
    <t>Beni</t>
  </si>
  <si>
    <t>…........................ 29 Madrid de las cantidades que han entrado en Por otras dos del señor cura de S. An caxas para la subsistencia de dichos estable drés; la una por mano de D. Beni cimientos , y de su inversión desde &lt;T de diciem to Olmeda, y la otra entregada al bre de j 812 hasta fj i de marzo del presente inspector.............................................. IOIO 4 año de í8/j. Por otra del señor cura de S. Martin INGRESOS. por man…</t>
  </si>
  <si>
    <t>Beniagsen</t>
  </si>
  <si>
    <t>…en esta parre del Norte, donde está Davoast y ia conquista de Hamburgo . ai general barón Adkrkreutz con las tropas suecas, el cuerpo que manda el general Walmoden, y e! ruso del general Beniagsen.” Se habla de la conquista de Dantztck; pero el gobierno parece no ha recibido mas pliegos que del coronel M’Dorudd, que está de lante de la plaza, y participando solo , con fecha dd 1 0 del cor riente, haberse tomado por asalto el fuerte llamado Stackelberg.…</t>
  </si>
  <si>
    <t>Benigsen</t>
  </si>
  <si>
    <t>…oficio del general Blucher, fecha del 18 en Jauer, se sabia que los franceses habían evacuado toda la Silesia, y que él habla puesto su quartel general entre Libnitz y Golberg. El general Benigsen tenia sus avanzadas en Lissa, y habia algunos regimientos de cosacos en Crossen. Todas las cartas dicen que se habia hecho ayudante general de los exércitos aliados ai general Moreau, y que los franceses se retiraban de la Silesia. El general Moreau ocupa en…</t>
  </si>
  <si>
    <t>…de que la tomen los enemigos.— Dos oficiales de la guarnición de Dantzick han desertado á imitación del ge neral Jomini, y han ido á unirse al general Moreau su antiguo gefe___ El general Benigsen, al frente de un nuevo exército de 100© hombres, cami naba á marchas forzadas, y según las últimas noticias su vanguardia estaba en Lissa, .Retchemkach ti de agosto. Después de haber pasado algún tiempo en Stockolmo, salimos de Suecia á principios de julio, y…</t>
  </si>
  <si>
    <t>…bres.— El exército ruso es el mejor que puede imaginarse: las tropas están excelentemente disciplinadas yprovistas de todo. Los austríacos no entran con menos deioo© hombres* y el general Benigsen con otros too© de nuevos reclutas viene por Varsovia. Del r$. ] { _ Hemos recibido por Alemania y por los papeles franceses noticias de la derrota de Vandamme. Como Bonapárte siempre disminuye su pérdida en tres quartaS partes de lo que realmente es, debemos…</t>
  </si>
  <si>
    <t>598</t>
  </si>
  <si>
    <t>…toda probabilidad de que le cause una gran pérdida., El exército unido del norte de Alemania está por consiguiente en comu nicación. por’ su derecha con el exército de-Silesia. El general Benigsen sigue todos estos movimientos. .. Un convol sueco, que pasaba por el Sund el 2 de este mes, fue atacado por las cañoneras dinamarquesas. No le causaron pérdida, y fueron abas tante rechazadas. Los dinamarqueses han reclamado por que los barcos mer cantes suec…</t>
  </si>
  <si>
    <t>Beningsen</t>
  </si>
  <si>
    <t>718</t>
  </si>
  <si>
    <t>…ursos. Reunid á toda prisa durante la noche los cuerpos que babia dexado sobre la línea de operación , y-ias divisiones'que habían quedado sobre el Saale, y acelero la marcha del, general Beningsen, que llegaba con 40® hombres. o«r ues de la retirada que había hecho el enemigo en la tarde y noche del dia 16 ocupo una bella posición, dos leguas á su retaguardia. Era preciso emplear el dia 17 en reconocerle y determinar bien el punto de ataque. Por otro l…</t>
  </si>
  <si>
    <t>…orilla izquierda del Elba. La infantería, de este general se ha unido ya felizmente al cuerpo de exórcito de Blucher. El quarteí general de este se trasladó el 28 á Elsterwerd. El general Beningsen está desde el 25 en Zit~ tau: se espera que por la actividad reunida de estos tres cuerpos el enemigo se vea forzado á retirarse al país ¡entre el Elba y el Saak,. ¡ Wittemberg continúa bombardeada vivamente. En la noche del 27 al ,28 la ciudad estaba incendi…</t>
  </si>
  <si>
    <t>Beningsen'</t>
  </si>
  <si>
    <t>…e no se da crédito á los boletines de Bonaparte, ni apenas hai quien los lea, quando por el contrario se buscan con ansia los de Bernadotte. También se aseguraba en Francia que él general Beningsen' se había' reunido en Silesia con el general Blucher, y que juntas estas fuerzas habian obligado al gene ral francés Macdonald á replegarse sobre Dresde; Sé decía que este movi miento retrógrado no seria el último que hiciesen; y aun se añadía , que ya estaban…</t>
  </si>
  <si>
    <t>Beniroa, Isidoro</t>
  </si>
  <si>
    <t>Isidoro Beniroa</t>
  </si>
  <si>
    <t>Gaceta de Madrid n.º 43</t>
  </si>
  <si>
    <t>aplauso universal por lo bien, escogidas y hermosa Por decretos de 2 y 9 del corriente S. M. ha mente equipadas. nombrado á D. Isidoro Beniroa alcalde mayor juez Eí motivo de esta parada era la entrega de las de primera instancia de ia viiia de llíescas y su dis bandereáis , que cada batallón ha de considerar co trito ; á D. Francisco Saenz de Texada alcalde ma mo su estandarte propio, mientras que…</t>
  </si>
  <si>
    <t>Beniski</t>
  </si>
  <si>
    <t>…dist.ito de Lremberg; 1. Wybicki, Valentín Subdewski, senadores Joaquín Owinzki, nuncio del distrito de Lubún; palatinos; Francisco conde Lubienski, diputado de los dis— Alexandro conde Beniski, nuncio del distrito tritos de Sikalmierz y de ElcbJow; Carlos Skor- de Obornieki (departamento de Po nan); howski, diputado de la ciudad de Cracovia; r ran Estanislao conde Soltyk, nuncio dei distrito de Scidlowire (departamento de Radom ); cheo Wezíck, nunc…</t>
  </si>
  <si>
    <t>Benitez, Agustín</t>
  </si>
  <si>
    <t>Agustín Benitez</t>
  </si>
  <si>
    <t>…o Cántabro; D. Nicolás Do^ ronzoro, teniente ; D. Josef Arana , subteniente del primero de Guipúzcoa. Los'prisioneros son TX Joaquín González, subteniente del segundo de Asturias; D. Agustín Benitez, tenientet^el de la Constitución; D. Agus4 tin Bera¡$./ capitán del de Santiago ; D;&lt; Josef María: Soladura y. D. Aato» nio Soloviano, tenientes del de Laredo. ..i f &lt; T ^ Asimismo ha s:do herido el comandante general de las tropas del centro «Lmariscal de ca…</t>
  </si>
  <si>
    <t>Benitez, Tomas</t>
  </si>
  <si>
    <t>Tomas Benitez</t>
  </si>
  <si>
    <t>…e se Ies dará certifi cación , y acreditará en su hoja de servicio. Los caballeros c. detes premiados son D. Joié de la Torre por preferencia en las clases de geometría y táctica; D. Tomas Benitez, en la de táctica; D. Dionisio Gisb-.’rt y D. Maittn de Villota en las de aritmética y álgebra; D. Francisco da La a en las de aritmé tica y ordenanzas, y D. Juan Saborido^ por su extraordinaria apli cación en ordenanzas y aritmética. ARTICULO DE OFICIO. Habi…</t>
  </si>
  <si>
    <t>Benito</t>
  </si>
  <si>
    <t>Gaceta de Madrid n.º 8</t>
  </si>
  <si>
    <t>…bles. Para el de Zihuri al ex-premostratense D. Ju Madrid 7 de enera. lián González de Uriarte. Extracto de las minutas de la secretaría de Es Para el de Sojuela al ex-benedictino D. Benito tado. Galilea. En nuestro palacio de Madrid á j de enero Para el de Matute al ex-franciscano D. Josef de 1813. María Hernacz. D. Josef Napoleón por la gracia de Dios y por Nuestro ministro de Negocios eclesiásticos que la constitución del estado, REI de las E…</t>
  </si>
  <si>
    <t>Benito'irigoyen</t>
  </si>
  <si>
    <t>…oneles efectivos á O. José Gorriz y D. Se bastian Fernandez: á teniente coronel y comandante de batallón á D. Ramón Ulzurran y D. Joaquín de Pablo : á primeros sargentos mayores á D. Benito'irigoyen , D. Manuel Arvilla , IX Marcelino O. rea y IX Fermín Argaiz : á capitanes de granaderos y cazadores a¿ i). Juan Vülamieva, D. Felipe Navasqües , D. Angel Ros , •Don-’ José. - María Barrica!, D. L uis Arillo, D. José Erriz, O. Felipe Tule sana, XX Luis Gaitdi…</t>
  </si>
  <si>
    <t>Benkendorf</t>
  </si>
  <si>
    <t>…ente el 26 por parte de las tropas que manda el general O’Rourke y por dos escuadrones prusianos al mando del mayor Helhvig. Ei coronel Krasowsky ataco y se apoderó del pueblo. El general Benkendorf persiguió al enemigo coa 4 escuadrones de caballería ruta, habiéndosele reunido los dos escuadrones prusianos con 2 piezas de artillería, que estaban en las aldeas de Rohrbeck y Boschaz. El ene migo perdió en esta acción mas de 300 muertos, ademas de muchos p…</t>
  </si>
  <si>
    <t>Benkendorff</t>
  </si>
  <si>
    <t>…os polacos y dos batallones, con la idea sindudade favorecer la retirada, y mantener la comunicación con el Elba; pero el coronel Krázonski le atacó el 26: to * mo el pueblo, y el general Benkendorff con quatro esquadrones rusos fue -persiguiendo ai enemigo, quien perdió en estas acciones 300 muertos y mu chos prisioneros. Se nos han pasado muchos oficiales' franceses, y se les ha incorporado á nuestras tropas. El general Czernicheíf con sus cosacos ocu;p…</t>
  </si>
  <si>
    <t>BenkendorfF</t>
  </si>
  <si>
    <t>…s hasta'la ciudad; pero como las calles estaban cortadas, se-retiraron ios rusos. El Réi reunió dos batallones de las guardias y 10 caballos, y huyó por el camino de Francfort. El coronel BenkendorfF cargó sobre quatro escuadrones de ca ballería ligera, que formaban parte de la escolta, de los que no escapó nin guno; cogió 250 soldados y 10 oficiales. El general Czernicheff, noticioso' entonces de que el general Bastineller marchaba hacia Cassel, caminó d…</t>
  </si>
  <si>
    <t>Benkendtrff</t>
  </si>
  <si>
    <t>429</t>
  </si>
  <si>
    <t>…tanoso, cortado con innumerables canales. Probablemente el ge neral Morand contaba con poder mantener esta posieion; pero algu nos regimientos de cosacos, mandados per el teniente coronel Benkendtrff, comandante de la vanguardia, acosaron ai enemigo, y des montándose algunos le entretuvieron hasta muy entrada la noche con repetidas escaramuzas, en las que el enemigo hacia mucho uso de su artillería, correspondiendo á cada hurra de los cosacos con un tiro…</t>
  </si>
  <si>
    <t>Benlink</t>
  </si>
  <si>
    <t>…os. Una carta de Reus, fecha de 4 de este mes, dice lo siguiente : Reus 4 de setiembre. ,,Tenemos en esta al.general Copons. que después de haber conferenciado en Tarragona con el lord Benlink, determinaron que (5&gt; Véase la gazeta de: la Regencia de 7 de este mespág. 947.</t>
  </si>
  <si>
    <t>Benn</t>
  </si>
  <si>
    <t>…o el Príncipe real ha debido ser sumamente grato á S. A.— El 6 trasladó á Hannover su cuartel genera!. — El mariscal Elochey debe llegar el día 13 á las cercanías de Colonia. —«El general Benn%^en , en unión con el conde de Walmodcn , operara en la línea del Elba. — Buíow continua en su'posición del Minden , y Winxingerodé en la frontera del norte de k Holeuda, ¡ri mismo tiempo que Woronzov msreha á Luneburgo, y SandeU á BtUnswiek.—* Remito á V. S.…</t>
  </si>
  <si>
    <t>Bennig</t>
  </si>
  <si>
    <t>Gazeta de Madrid bajo el Gobierno de la Regencia n.º 81</t>
  </si>
  <si>
    <t>…su marcha se le perseguía por sus flancos y reta guardia, es difícil calcular qué número de tropas lograrán llegar al Rhin. Las tropas del general Blucher, del Príncipe Real, del general Bennig sen y del exército grande atacaron esta mañana, y tomaron después de una corta resistencia la ciudad de Leipsick. Los mariscales Marmont y Macdonald, que mandaban en ella, lograron, aunque con dificultad, huir con Augereau y Víctor, acompañados de una pequeña…</t>
  </si>
  <si>
    <t>Bennigsen</t>
  </si>
  <si>
    <t>Gaceta de Madrid n.º 39</t>
  </si>
  <si>
    <t>…ruso uno de sus mejores oficialas ge que causará una hermosísima vista en estando todo nerales , el barón de Baggehuftvudet. En la misma enteramente acabado. acción fue herido el general Bennigsen; y se teme París ro de diciembre. qu« por esta causa y su edad avanzada no pueda El 'Agamenón, navio de 74 cañones, y la fra sostener las fatigas de una segunda campaña. gata la Galatea , construidos en Génova, han lle Esta falta de los gefes de mas' experien…</t>
  </si>
  <si>
    <t>Gaceta de Madrid n.º 44</t>
  </si>
  <si>
    <t>…lo ha Cassel a6 de noviembre. exáminaao en Londres; y con efecto contiene un este dada el 13 de Por providencia mes contra c&lt; nexioYi la con asunto entero» tiene cuyo Íoerna de el señor Bennigsen, ve Levin-Augusto-Gottlieb Se se semeja estilo esta obra. liada, al-de y cuyo divide en dos libros de á 610 versos cada uno, y cino que fue de Celle , departamento del Alter, y hace la descripción de un juego semejante al de^ ¡a al presente general de caballe…</t>
  </si>
  <si>
    <t>Núm. no. GACETA DE LA REGENCIA DE LAS ESPAÑAS DEL SABADO 20 DE AGOSTO DE 1815. RUSIA. Petersburgo 8 de Julio. El general de caballería barón Bennigsen ha sido nombrado co mandante en ge fe de varios exérciíos; á saber, del de reserva que manda el general príncipe Lobanoíf Rostofky, del cuerpo de exár£ito formado de diferentes regimientos de milicia, á las ordenes del teniente general conde Tolsíoy, y última…</t>
  </si>
  <si>
    <t>Num. jf. [5 quartos. 1 »3V5 DEL MARTES 31.DE AGOSTO DE 1813 BAXO EL GOBIERNO DE LA REGENCIA DE LAS ESP ANAS. RUSIA. t Petersburgo 5 de julio. El general de caballería barón Bennigsen ha sido nombrado comandante en gefe de los exércitos siguientes: el de reserva que mandaba el príncipe Lobanoff Roslofky: el cuerpo formado por diferentes regimientos de(mivUcías á las órdenes del teniente general conde Tolstoi, y las tropas que man-* daba el…</t>
  </si>
  <si>
    <t>Gazeta de la Regencia de las Españas n.º 142</t>
  </si>
  <si>
    <t>…á Bonaparte á venir segunda vez á su encuentro al pie de Bautzen, habiendo hec cho mas de 18© prisioneros y 100 piezas de artillería, con municio nes y bagages en proporción.— El general Bennigsen con el primer exército de reserva 9 que excede de 18© hombres, atravesó el Oder, se encaminó al Bober, y su guardia avanzada estaba ya mas acá del Katzbaeh. Entre tanto llegaron los víveres y demas cosas que se es peraban , pues se carecía de ellos por los es…</t>
  </si>
  <si>
    <t>Núin. 143. 1183 GACETA DE LA REGENCIA DE LAS ESPAÑAS DEL MARTES 2 DE NOVIEMBRE DE 1813. POLONIA. Varsovia 23 de Agosto. Ei general Bennigsen, comandante en gefe del exéfcito ruso, lla mado de Polonia, ha dirigido la siguiente orden del dia á su exército. ORDE'N DEL DIA. ¡Soldados del exército de Polonia! El armisticio se ha concluido, y otra vez vais á marchar contra el enemigo. Nuevos laureles os…</t>
  </si>
  <si>
    <t>…e víveres. - Es probable que Bonaparte se conserve sobre el Elba cuanto le sea pos ble , visto que la idea de una retirada no le puede ser muy grata. Se espera que el exército del general Bennigsen lle gue dentro de cinco ó seis dias por el paso de Ziitau. == C. Ste^wart» Tojnitz 29 de Setiembre. Milord: hallándome ya suficientemente restab’ecldo, volví el 27 de este mes al cuartel general imperial de Toplitz. Decpues de mi</t>
  </si>
  <si>
    <t>…ropas del enemigó etica de Sto pen , de dcnde este se había retirado después de haber hecho volar el cas illo; los austría cos tuvieron alguna pérdida. H.¡biendo llega :o- ayer el general Bennigsen , esta el ejército aliado á punto de por erse en movimiento. Se juzga que todo el cuerpo de Bsnnigten u puedo-estar aquí an tes del 5 o 4 de Octubre. Ten o el honor &amp;c. ~ C Ste'wart, * P. D. El príncipe Sehwartz-. nberg acaba de saber que Platow y Thielmann r…</t>
  </si>
  <si>
    <t>…• ino punto, y las fuerzas aliadas casi han efectuado su reunión. De esta manera hay un cordon de tropas desde Dessau hasta Marienberg en las fronteras de Bohemia. Entre tanto el general Bennigsen con el cuerpo de Colloredo arrojó ai enemigo de sus atrincheramientos de Gieshubel, y se adelantó hácia Dresde per el camino real de Toplitz. La posición actual é intenciones de Bonaparte son enteramente des conocidas. Xas fuerzas que se oponen al príncipe dé…</t>
  </si>
  <si>
    <t>1297</t>
  </si>
  <si>
    <t>…Steilerhz y en Coonewitz; pero las diversas colum nas que, como he dicho en mi úhimo oficio , se dirigían sobre estos puntos, destruyeron ai fin cuanto se le puso por ¡delante. El general Bennigsen, á quien se había reunido el g^nera^ Bubna, que venia drl frente de Dresde, por haber sido reemplazado en el bloqueo de esta</t>
  </si>
  <si>
    <t>…ar la reserva del general Klenau: la retirada de este cuerpo debía ser sobre Chenanira; la de los generales Wittgenstein, Kleist y Klenau, sobre Altemberg y P¿nig. El exército del general Bennigsen debía adelantar desde Colárit* sobre Grimma y Wurtzen. El cuerpo del general Buba* había sido reemplazado delante de DresJe por eí general Tolstoy. Durante teda la • jornada del ?6, el exército grande sostuvo un fii ego co: siderabie. Ei venera i Blacher reci…</t>
  </si>
  <si>
    <t>…estheyda, Stollintz y Connewitz; pero las diferentes colunas que, según detallé en jni último oficio, sostenian á aquellos puntos, lograron por fin arrollarle por todas partes. El general Bennigsen, acompañado del general Bubna (á quien el general Tolstoy reemplazó en el bloqueo de Dresde), tomó las aldeas que Jvai á la derecha del Keutschove. El general Giulay con 25® austríacos ma niobró en la orilla izquierda del Elster. Las tropas que mandan los gen…</t>
  </si>
  <si>
    <t>Gazeta de la Regencia de las Españas n.º 158</t>
  </si>
  <si>
    <t>…aron recursos. Llamó á toda prisa, durante la noche, ios cuerpos que habia dexado scbre su lír.ea de operación , y las divisiones si tuadas sobre el Saale; y aceleró la marcha del general Bennigsen, el cual llegó con 40© hombres. Después del movimiento de retirada que habia executado el 16 por la tarde y durante la noche, el enemigo ocupó una excelente posición dos leguas mas atras. Fue menester emplear el día 17 en re conocer y determinar con exáciitud…</t>
  </si>
  <si>
    <t>…ó tomar una parte vigorosa en el ataque. Convino con el general Blucher en que el exército del norte de Alemania marchase á Taucha para unirse por la izquierda con e! exército del general Bennigsen, y que el cuerpo de exército del general conde Langeron operase aquel dia á las órdenes de S. A. R. Pocos momentos después se oyó algún fuego de artillería por el lado del exército de Bohemia, y las tropas marcharon con el objeto de pasar el Partha. El cuerpo…</t>
  </si>
  <si>
    <t>Gazeta de Madrid bajo el Gobierno de la Regencia n.º 88</t>
  </si>
  <si>
    <t>…sianos, á las órdenes del general Bulow, están en Minden; y el general Winzingerode llegará á Bremen dentro de uno ó dos dias: los suecos se di rigen sobre Hamburgo. El cuerpo del general Bennigsen baxa el Elba, y ha llegado á Lutzen. Este general y ei conde Walmoden obrarán á la orilla derecha contra la po sición de Davoust en Stecknitz. Los generales Winzingerode y Bulow no detendrán su marcha á Holanda. Las marchas del mariscal Blucher son las siguie…</t>
  </si>
  <si>
    <t>…lido de Bremen para Holanda. El cuerpo del general Winzingerode se Halla actual mente en el mismo país. El general Bulow está entre Munster y Arnheim en Gelderlaind. El cuerpo del general Bennigsen, el general Vvalmodeii con los hannoverianos, y el general Adlercrantz con los suecos marchan ^contra Davoust y los dinamarqueses. Según las últimas noticias el general Wrede, que salió herido de la acción de Hanau, está ya fuera de cuidado. EXTRACTO DE LOS P…</t>
  </si>
  <si>
    <t>…ebe haber pasado el Isonzo»El Príncipe de Eckmülh aun conserva sü posición en él SteignitZ, enviando de tiempo ert tiem po tropas ligeras á sus flancos. L^lPárte del exército- dél general Bennigsen avanza contra él por Un íádó, mientras que él exército del norte de Alema nia ataca por el frente sil'posiciíon. Segunda posdata. El Emperador Napoleón há Repasado el Rhin Va rían las noticias sobre la fuerza de éxéíccito.que le queda4, las mejores le ha-</t>
  </si>
  <si>
    <t>…ya el Isonzq. ■- El príncipe de Eckmukl conserva todavía su posición del Steignitz, desde donde envía de cuando en cuando cuerpos volan tes d sus flancos. — Parte del exército del general Bennigsen avanza contra ella por un lado , al paso que el exército del norte éf Alemania ataca el frente de su posición.”</t>
  </si>
  <si>
    <t>Bennigsm</t>
  </si>
  <si>
    <t>…, á excepcioa de 3co ó 40© hombres. El gene al Blucher el 30 tenia su cuartel general en Holstein, cerca de Lo* embu'go , y continuaba con celeridad en seguimiento del enemigo. El general Bennigsm, con su cuerpo de exército llegó á Brcs cu el mismo dia 30, y sa;ió para Leignitz siguiendo la misma línea del ge neral Blucher. ESPAÑA. Esparraguera 6 de Octubre. Primer exército. =r Estado mayorísrCuartel general. = Orden ge neral. = En vano busca el enemig…</t>
  </si>
  <si>
    <t>Benningfen</t>
  </si>
  <si>
    <t>…a derecho á LeipsLk, cerca de cuya ciudad tenia ya su cuartel general el príncipe de Schwanzemberg: que el Príi cipe real y Blüí-her marchaban al mismo pu-ito ; que en re tanto el general Benningfen tomó á los enemigos los atriocheranaienro» de Gkshubeí, y avanzaba por el camino real de Tcplitz á Dresde, de d; * de £0ñaparte salió el 7 , dexando allí una corta guarní ion: que estaba .enteramente cortada la comunicación det exército francés con Fran cia;…</t>
  </si>
  <si>
    <t>Benningsea</t>
  </si>
  <si>
    <t>…tamente marchase con su exército hácia Berlín. El general Barclay de Tolly da á entender en uno de sus oficios, que de las confe rencias de Praga no habrá resultados pacíficos. El general Benningsea marcha coa grandes refuerzos para el exéiciio ruso. El general</t>
  </si>
  <si>
    <t>Benotow</t>
  </si>
  <si>
    <t>Rusia. Después de verificarse la declaración, y quando la Inglaterra rehusó o ir la propuesta que el conde Benotow hizo respecto á la neutralidad de Dinamarca, el Príncipe Real de Suecia entro en Alemania tan celoso por la buena causa, como siempre lo son por consideraciones nacionales todos los gobiernos opuestos ¿i la Francia. Se detuvo en la Pomerania esperando se le F…</t>
  </si>
  <si>
    <t>Bentiigsen</t>
  </si>
  <si>
    <t>…orilla izquierda del Elba. Este general de infantería se Unid oportunamente al cuerpo del general Blucher, y el cuartel general de este se transfirió el dia 28 á .Elsterwerdn. E! general Bentiigsen está en Zittau desde el 25. La actividad combinada de estos tres cuerpos da esperanza de que el enemigo se ha de ver obli gado á volver en breve á los territorios entre el Eiba y el Saate. Continua el bombeo á Wittemb^rg. La ciudad arjia ea diferen tes pantos…</t>
  </si>
  <si>
    <t>Bentinch, William</t>
  </si>
  <si>
    <t>William Bentinch</t>
  </si>
  <si>
    <t>Gazeta de la Regencia de las Españas n.º 57</t>
  </si>
  <si>
    <t>466</t>
  </si>
  <si>
    <t>…instrumento de la tiranía extrangera, será perse. guido con el mayor rigor como enemigo de nuestra patria. — cher GRAN-BRET AÑA. Londres 13 de Abril» Oficio del teniente general, lord William Bentinch al vice-almirante Sir Eduardo Pelltb y comandante en gefe de la escuadra inglesa del mediterráneo. Palermo 23 de Febrero. —,,Tengo la satisfacción de remitir á V. la relación de una empresa gloriosa executada en la costa de Cala bria , que honra en gran maner…</t>
  </si>
  <si>
    <t>Bentinck</t>
  </si>
  <si>
    <t>Gaceta de Madrid n.º 4</t>
  </si>
  <si>
    <t>14</t>
  </si>
  <si>
    <t>…ibras es han quedado absueltos de toda acusación. terlinas. Los documentos cogidos á ios reos son seis: i.® El canciller del echiquier propuso diversos me un pasaporte librado por lord Bentinck: 2.0 una co dios para subvenir á este producto enorme, en el misión general con los nombres de los agentes y ex qual se halla comprehendido un empréstito de presión de su encargo: 3.0 una instrucción general, ac.389,000 libras: parte de este empréstito deberá…</t>
  </si>
  <si>
    <t>Gaceta de Madrid n.º 131</t>
  </si>
  <si>
    <t>…na explosión próxima. No puedo deciros hoi real; pero no creyéndose aun seguro en este para por qué serie de acciones injustas, vergonzosas y ge, se retiró á ¡a Fienzza. violentas lord Bentinck ha excitado contra él á to La sedición se ha serenado momentáneamente da la población. Estos pormenores serán el objeto por la fuerza; muchos pcrsor.ages distinguidos, sos de una carta que os escribiré por la primera ocasión pechados de haber movido la sedici…</t>
  </si>
  <si>
    <t>Gazeta de la Regencia de las Españas n.º 91 (extraordinaria)</t>
  </si>
  <si>
    <t>…del mando del brigadier Miyares y la caballería , se hallan en esta, y las demás tropas de mi mando se van aproximando por el cami no de las Cabrillas : las tropas del man do del lord Bentinck van acercándose ; y de ellas las dos divisiones españolas de Roche y Wittingliam llegarán , la prime ra pasado mañana, y la segunda el mis mo dia y el siguiente. „Esta es nuestra situación actual, y de todo lo que merezca la atención de V. E. le daré partes c…</t>
  </si>
  <si>
    <t>…del mana do drl brigadier Miyares y la caballería, se hallan en esta, y las demas trorpas-demi mando se van aproximando por el camino de las Cabrillas: las tro mpas Jel mando del lord Bentinck van acercándose; y de ellas las dos divisio«Aies españolas de Roche y Whtingham llegarán, la primera pasado mañana* y la segunda el mismo dia y el siguiente. , Esta es' nuestra situación actual, y de todo lo que merezca la atención tje ¿y*. Ej Je-daré parres…</t>
  </si>
  <si>
    <t>…gada Bartoleti : está, escasa de agua y de municiones, y es probable que quando llegue la artillería de ba-, tir no resistirá un asalto de brecha. El general que manda el sitio es lord Bentinck___ Suchet con una fuerza de 22® hombres llegó á Villafranca (seis leguas de Tarragona); y se cree que este fuese el motivo de no haber desembarcado el drn2 la artillería de batir.-_Los franceses de Tortosa quemaron las barcas del Ebro, ocasionando alguna pérd…</t>
  </si>
  <si>
    <t>…el benéiico infiuxo de tantos acontecimientos felices. Mas la época de su total libertad no está mui lejos. Los exércitos, nacionales se gundo y tercero y el cuerpo británico del lord Bentinck están en la actuali dad en los límites que separan el principado del reino de Valencia, y fuer zas considerables del norte de España se disponen á venir igualmente á nues tro auxilio. ¿Podrán resistir los enemigos á este conjunto de tropas aguerridas y: vic t…</t>
  </si>
  <si>
    <t>…de haberlas podrían atender á la península ó al exército de Observación del Adi ge. (B alija ligera.) Valencia 7 de setiembre. - Se ignoran los últimos movimientos del exército de lord Bentinck en Ca taluña. Circula bastante valido el rumor deque I~a guarnición enemiga de Sar gunto padece una enfermedad que le es peculiar; pero no hai datos suficien tes, á pesar de que ñola juzgamos inverosímil. Ignoramos el estado de las operaciones militares sobre…</t>
  </si>
  <si>
    <t>…Berlín.— Estas son las noticias mas interesantes del paquete que ha traído pa peles de Ldadres hasta 4 del corriente. ESPAÑA. Vich 11 de Setiembre. El exército aliad® al mando de lord Bentinck signe ocupando la derecha del Liobregat sin mas que escopetearse sus guerrillas coa las del enemig©. El 5 del corriente llego de Francia á Barcelona un con voy de 700 carros, escoltado por 4© hombres, y á los 2 dias volvie ron á salir para ei mismo punto de d…</t>
  </si>
  <si>
    <t>Bentinck, Guillermo</t>
  </si>
  <si>
    <t>Guillermo Bentinck</t>
  </si>
  <si>
    <t>…satisfecho de la conducta de los generales Stewart y conde de Amarante. = Desde que últimamente escribí á V. E. he recibido una carta de 30 de Junio anterior del teniente general lord Guillermo Bentinck. Según otros avisos, el duque dei Parque se había retirado del Xucar, sin pérdida , el 25, y había ocupado nuevamente la posición de Casta’la. = Dios guarde á V. E. muchos años. Cuartel general de Zubieta 10 de Julio de 1813.=: Weliington, duque de Ciudad-Rod…</t>
  </si>
  <si>
    <t>…ecibido avisos del 3 de este mes desde Cataluña del teniente general Clinton ; aun estaba en Tarragona, y el enemigo ocupaba su antigua posi ion del Llobregat. El teniente general lord Guillermo Bentinck se habrá em barcado el 22 de Setiembre para Sicilia, w Remito á V. E. este parte por el teniente coronel Montufar, edecán del mariscal de campo D. Pedro Agustin Girón: y ruego á V. E. me permita le recomiende á su protección. = Dios guarde á V. E. muchos anos…</t>
  </si>
  <si>
    <t>…cibido avisos del 3 de este mes desde Cataluña del teniente general Clinton ; aun estaba en Tarra gona, y el enemigo ocupaba su antigua posición del Liohregat. El teniente general lord Guillermo Bentinck se~habrá embarcado el 22 de setiembre pa ra Sicilia. , „ Remito á V- E. este parte por el teniente coronel Montufar, edecán del mariscal de campo D. Pedro Agustin Girón: y ruego á V. E. me peri^ita le recomiende á su protección. = Dios guarde.á V. E. muchos a…</t>
  </si>
  <si>
    <t>Bentinck, W.</t>
  </si>
  <si>
    <t>W. Bentinck</t>
  </si>
  <si>
    <t>…empre aquella barrera de España, é impedir toda entrada y salida á os franceses*. ' Valencia f o de agosto. Según las últimas noticias el señor general en gefe del exército aliado lord W. Bentinck ha sitiado á Tarragona, ha establecido baterías con mu cha proximidad á la plaza, después de haber ocupado el fuerte del Olivo. La plaza de Tortosa está igualmente bloqueada, mientras otras colunas tie nen en expectación al exército de Suchet, dedicado qüasi…</t>
  </si>
  <si>
    <t>Gazeta de la Regencia de las Españas n.º 132</t>
  </si>
  <si>
    <t>…pues es mucha la actividad con que trabajan diariamente en ellas 5® hom bres y todos ios albañiles de los pueblos inmediatos. Para explicar á vd. lo satisfecho que está el general lord W. Bentinck del modo de portarse nuestras tropas, me ha parecido oportuno incluirle , como lo hago, una copia ¿e la orden general de la división dada en el dia de ayer. La pérdida que han tenido los cuerpos de la división ha sido en tre muertos y heridos (pues prisionero…</t>
  </si>
  <si>
    <t>Bentinck, William</t>
  </si>
  <si>
    <t>William Bentinck</t>
  </si>
  <si>
    <t>368</t>
  </si>
  <si>
    <t>…honor de informar á V. S. que jo había tomado ,el mando de la división del exército del Mediterráneo empleada en la costa oriental de España hasta qae llegase el teniente general lord William Bentinck. „Desde la fecha de mi carta del £6 de Febrero no ha ocurrido nada de importancia. ,,Ei 3 del corriente, al reconocer la posición de los franceses en Alcoj, se hizo necesario desalojar su» puertos avanzados. „Se me ha informado que el enemigo tuvo en esta oca…</t>
  </si>
  <si>
    <t>Bentinck, Wiükm</t>
  </si>
  <si>
    <t>Wiükm Bentinck</t>
  </si>
  <si>
    <t>…opas del exército aliado no han hecho movimiento alguno de importancia, ni tampoco el enemigo ninguno de consecuencia. y* ¿lacé días que no he recibido partes del teniente general lord Wiükm Bentinck. &gt;» FU general Mina me dio cuenta de que el castillo de. Daroca se rindió el 11 del corriente.—-Weilingtond ' ESPAÑA. - Makon 18 de Agosto i. ' Desde principios de Julio hasta el día se ha insertado constan* teuí’eñte en el diario de esta ciudad el parte sigu…</t>
  </si>
  <si>
    <t>Bentinek, Wiiiiam</t>
  </si>
  <si>
    <t>Wiiiiam Bentinek</t>
  </si>
  <si>
    <t>Gazeta de la Regencia de las Españas n.º 125</t>
  </si>
  <si>
    <t>1032</t>
  </si>
  <si>
    <t>…reau, quien inspira grande confianza. Las noticias que en Londres se tenian del Excmo. señor general en gefe duque de Ciudad-Rodrigo, son de Lesaca del 18 de Agosto, y del general lord Wiiiiam Bentinek del i.° de Agosto desde las cercanías de Tarragona. En la Coruña se supo el dia 10 del corrien te la toma de S. Sebastian , y la acción gloriosa de solo las tropas españolas sobre el Bidasoa, y allí la supo el paquete 6 buque ing és The Mackezell, que ha traí…</t>
  </si>
  <si>
    <t>Bentink</t>
  </si>
  <si>
    <t>…isla. Se asegura que el general miento por el camino de Petersburgo? Tlurray sucederá en el mando de las tropas ingle Esta ciudad presenta la imagen de una pobla sas de Sicilia al lord Bentink. ción errante; no se espera sino la señal del gefe par ra levantar el campo. Los negocios están parados; SUIZA. se acabó la tranquilidad, y falcan los abastos nece sarios para surtir una capital. Todos los extrangeLans.m* 8 de diciembre. ros han marchado; la…</t>
  </si>
  <si>
    <t>Bentink, W.</t>
  </si>
  <si>
    <t>W. Bentink</t>
  </si>
  <si>
    <t>…disgusto, tantas veces repetido, de ver en la laceria y en la indigencia á nuestros ilustres defen sores. Según las últimas noticias, el señor general en gefe del exército aliado, lord W. Bentink, ha sitiado á Tarragona, y ha establecido baterías con mucha proximidad á la plaza, después de haber ocu pado el fuerte del Olivo. La plaza de Tortosa está igualmente blo queada , mientras otras columnas tienen en espectacion al exército de Suchet, dedicado c…</t>
  </si>
  <si>
    <t>Bentínk, William</t>
  </si>
  <si>
    <t>William Bentínk</t>
  </si>
  <si>
    <t>…guieron, no creyéndose este bastante fuerte para continuarlas. Aun no he recibido de parte de Sir John Murray ia relación detallada de estos acontecimientos. &gt;»EI teniente general lord William Bentínk , que se había incor porado al exército, y tomad® el mando de él el dia 17 en el Coll de Balaguer, lo había hecho retirar á Alicante, donde el mismo lle gó el 23 , y estaba preparándose para executar mis instrucciones. «Cuando el mariscal Suchet marchó á Cata…</t>
  </si>
  <si>
    <t>Bentmck</t>
  </si>
  <si>
    <t>…do á los madrileños. Según dicha gazeta se hallaban en Valencia el día 13 del corriente los generales en gefe del segundo .y tercer exército, Villacampa, el célebre ingles Tupper, lord Bentmck, el almirante de la escuadra Halovel los generales Roche y VVitinghanr, lord Federico Bentrack, her mano del general en gefe, y los generales Clinton ,Makense, Latorre, Smest, y no cesan de entrar en aquella capital desde el día 6 tropas españolas e in glesas…</t>
  </si>
  <si>
    <t>Bentrack, Federico</t>
  </si>
  <si>
    <t>Federico Bentrack</t>
  </si>
  <si>
    <t>…te los generales en gefe del segundo .y tercer exército, Villacampa, el célebre ingles Tupper, lord Bentmck, el almirante de la escuadra Halovel los generales Roche y VVitinghanr, lord Federico Bentrack, her mano del general en gefe, y los generales Clinton ,Makense, Latorre, Smest, y no cesan de entrar en aquella capital desde el día 6 tropas españolas e in glesas de infantería y caballería con respetables trenes d^ artillería, cuya fuerza total de una y ot…</t>
  </si>
  <si>
    <t>Benuigsea</t>
  </si>
  <si>
    <t>…ca _e*tá en medio de nosotros ; será testigo de vuestros esfuer zos , y recompensará á cada uno según su mérito-.” Graduó jp de Julia. El comandante en gefe del exércko de reserva barón Benuigsea llegó antes de ayer á esta ciudad; y después de haber pasado revista á las tropas que se hallan aquí, prosiguió su vlags á Bmiistock. SICILIA.. Palermo 12 de Julio. El Jueves 8 de este mes se congregó ei parlamento general. A las 11 de la mañana, después de h…</t>
  </si>
  <si>
    <t>Benuza, Martin</t>
  </si>
  <si>
    <t>Martin Benuza</t>
  </si>
  <si>
    <t>…ta, D. Bartolomé Guiberalde, D- Antonio Ugarte, D. Ignacio "Echeverría, D. Pedro Echegoyen , D. José María Gurrea, D. Francisco Erdozain , D. Ma nuel Sauca, D. Agustín Apezteguia, D. Martin Benuza, D. Miguel Tolqsana , D. Juan Bautista Acosta , D. Xavier Azanza , D. Juan de Ortigosa, D, Basilio Oilabarren , D. Sebastian Cortazar, D. Teo doro González, D. Juan Oyaga, D. Remigio Crespo, D. Mauricio Segura, D. I^on Landache, D. Pedro Suso, P. Hermenegildo…</t>
  </si>
  <si>
    <t>BenVerie</t>
  </si>
  <si>
    <t>494</t>
  </si>
  <si>
    <t>…andante en •gefe de' las referidas ttopas;' y pondos señores el coronel Delancéy ^diputa do qyárteí-maestrepeneral, el coronel Dickson , comandante'de da artillería, y el teñiente coronel BenVerie 'por parte def señor teniente general Tomas Graham; los quales, después de haber cangeado sus poderes,' han' convenide cn lo siguiente: ...... ; h • - • ... . art. 1. Las tropas imperiales y reales francesas que forman la guarnición del -castillo de la Mota d…</t>
  </si>
  <si>
    <t>Ber</t>
  </si>
  <si>
    <t>…aíViuWdestacóaj.general Yorck con 20W prusianosj y.al general Barclay de; Tójíy con 18© rusos*, estos se situaron en la aldea de Kli$,.;y aquellos en la de/Wcissig. Entre tanto el general Ber^tran,4ij pata conservar la comunicación ;con el; cuerpo destacado , hab,ia epyía^ do ó ; Koenigswerd con la división Jtaiiana,;aí general Pefrr, eiqual habiendollegado, allí por ía tarde,, no tomó l£$ buenas disposiciones que debía , pué$ no hizo reconocer lo…</t>
  </si>
  <si>
    <t>…oi. ¡El; 30 fu$ genf*ral W'ittgenstein mas allá de Altembefg , y rechazó al enemigo. Ho¡ han abandonad^ entecamente, l^is, mpníaq^s. los fraqc^s. .der r^d^l^emigo, causada, por el príncipe Ber¡Hdotte,;y por el gen^íal fiBl uch&lt;»q¡par,tél han llegado anoche, .influirán probablemente Vi&gt;.W:aperacio)Ws! ad en todos. los exérckos..Finalmente las.-brillantes acciones *det 29 Í30 Junto á* TopiítzV aunque execiitadas por* una sola parte del exército, dían…</t>
  </si>
  <si>
    <t>…Lichtenstein. Presentáronse por una y otra parte unos 50 cañones. El combate duró seis horas, sin que el enemigo pu diese ganar una pulgada de terreno. A las cinco de la tarde el general Ber trand decidió la victoria * dando una carga con su reserva, y no solo inuti lizó. los proyectos del enemigo, que queria apoderarse de los puentes de Lindenau y de los arrabales de Leipsick, sino que le obligó á evacuar su campo de batalla. A la derecha del Pa…</t>
  </si>
  <si>
    <t>Ber.itez, Agustín</t>
  </si>
  <si>
    <t>Agustín Ber.itez</t>
  </si>
  <si>
    <t>…o cántabro; D. Nicolás Doronzoro, teniente ; D. José Arana , subte niente del primero de Guipúzcoa. Les prisioneros son: D. Joaquín González, subteniente del se gundo de Asturias; D. Agustín Ber.itez, teniente del de la Constitu ción,; D. Agustín Berais, espitan del de Santiago ; D-José María So ladura. y D. Antonio Solóviano, tenientes del de Laiédp. ; Asimismo ha sido herido el comandante general dé la§ tropas del centro, el mariscal de campo P. Francir…</t>
  </si>
  <si>
    <t>Berais, Agustín</t>
  </si>
  <si>
    <t>Agustín Berais</t>
  </si>
  <si>
    <t>…na , subte niente del primero de Guipúzcoa. Les prisioneros son: D. Joaquín González, subteniente del se gundo de Asturias; D. Agustín Ber.itez, teniente del de la Constitu ción,; D. Agustín Berais, espitan del de Santiago ; D-José María So ladura. y D. Antonio Solóviano, tenientes del de Laiédp. ; Asimismo ha sido herido el comandante general dé la§ tropas del centro, el mariscal de campo P. Francircp Xavier Lo’sadf*; él biigadier segundo gefe de Estad…</t>
  </si>
  <si>
    <t>Bercké'un, Pernety y</t>
  </si>
  <si>
    <t>Pernety y Bercké'un</t>
  </si>
  <si>
    <t>…tetin hasta Custrin. - • Francfort 24 de. febrero. AUSTRIA. Han llegado á esta ciudad S. E. el mariscal du que de Istriá, y los señores generales conde Friant, Vtena i.° de marzo. barón Pernety y Bercké'un. Ha llegado á esta capital el señor general con de de V\ atzdorf, ministro de S. M. el Rei de Sa- GRAN BRET AÑ A. xonia cerca de nuestro Soberano. Londres ¡ de marzo. t SAXONIA. PARLAMENTO BRITANICO. Leipsick 24 de febrero. CAMARA DE J.OS COMUííES. En virtud…</t>
  </si>
  <si>
    <t>Berenger</t>
  </si>
  <si>
    <t>Gaceta de Madrid n.º 37</t>
  </si>
  <si>
    <t>…e para «f te de la Bouillerie, el barón Peiet de la Lo^ere. íin estaba pedida-al señor ministro secretario de Estado interino,, y que se recogería con la mayor Voto particular del conde Berenger. prontitud posible, se señaló para el dia siguiente á Después de haber examinado con detención los. las ti de la mañana la continuación de esta sesión, documentos relativos á Inconducta del señor con y se levantó la junta á las seis dadas de. la tarde. sejero…</t>
  </si>
  <si>
    <t>Berenstorflf</t>
  </si>
  <si>
    <t>207</t>
  </si>
  <si>
    <t>…bligados á retro-: ceder á la orilla derecha del Elba, y suspender sus brillantes operaciones. En la gazeta oficial de Copenhague hai un dilatado artículo relativo á la misión del conde Berenstorflf á este país. El gobierno dinamarqués confiesa que le encargó pedir la garantía de ia integridad de los estados del Rei de Dinamarca, !a restitución de sus colonias, y la indemnización de su esquadra y de las pérdidas experimentadas por el ataque de Copenhague…</t>
  </si>
  <si>
    <t>Beresford</t>
  </si>
  <si>
    <t>Gaceta de Madrid n.º 33</t>
  </si>
  <si>
    <t>pía; pero hasta ahora no se observa en Moldavia mouth, ál lord canciller, al conde de Liverpool, al ningún síntoma de enfermedad contagiosa. marques Campden y al lord Beresford. . . LITUANIA. REINO DE ITALIA. Wilna £ de diciembre. Milán 14 de diciembre. 1.a caballería de los cuerpos de los mariscales La conscripción de 1813 , principiada el día i.* duque de Reggio y de Beliune no han sufrido tan de este mes, ha quedado enteramente c…</t>
  </si>
  <si>
    <t>Gaceta de Madrid n.º 91</t>
  </si>
  <si>
    <t>…rtuguesa j y en con que el tiempo y las circunstancias han obrado una secuencia propuso que se decretasen acciones de gran mutación en la cuestión á que sé refieren las gracias al mariscal Beresford y á ios demas oficiales peticiones; que no existe ya ninguno de los moti agregados á dicha brigada. Esta propuesta fue apro vos que existían antiguamente para temer á los ca bada por la eumara unánimeineure. tó] io is, y que á su entender lo mas sabio, lo mas…</t>
  </si>
  <si>
    <t>239</t>
  </si>
  <si>
    <t>…ués de dar,sus órdenes, se apeó del caballo, se colocó al frente de una coluna de escoceses, y subió por una altura escarpa da para doblar la posición del enemigo, nñentr^s que el mariscal Beresford á la cabeza de otra coluna, y también á pie, rodeaba la misma posición por distinto lado ganando otra altura igual. Los franceses en número de 8® hie ren desalojados de la posición solo por estos movimientos, é hicieron una total retirada. El gran Lord hizo p…</t>
  </si>
  <si>
    <t>Gazeta de la Regencia de las Españas n.º 105</t>
  </si>
  <si>
    <t>…idado; y teniendo por 13 primera vez el mando del exército es España, de acuerdo con el distinguido oficial que admiro como soldado y aprecio como amigo , quiero decir, el ilustre mariscal Beresford, dio al exército un carácter que jamas ha tenido; y debemos considerar ahora con la mayor complacencia que estamos combatiendo por la libertad de España, no so o con la fuerza militar de la Gran-Bre taña, sino también con la de España unida á aquella. «Observ…</t>
  </si>
  <si>
    <t>…Cá ríos Colville, Cárlos, barón de Alten, Lecor y Morillo, que mandaban divisio nes de infantería, y con la de D. Pedro Agustín Girón, que mandab a la reserva de Andalucía. ,, El mariscal Beresford y sir Rolando Hill me han manifestado lo satis fechos que están de la conducta de ios generales y tropas de sus respecti vos mandos $ particularizando los mariscales de campo Byng y Lamberg, que dirigieron el ataque de la sexta división. „ Observé igualmente…</t>
  </si>
  <si>
    <t>Beresford, Sir Guillelmo</t>
  </si>
  <si>
    <t>Sir Guillelmo Beresford</t>
  </si>
  <si>
    <t>…bien que han dirigido la parte del servicio que desde el principio dé las operaciones les lie con fiado hasta la batalla del 21, y por su conducta en ella; lo estoy igualmente al mariscal Sir Guillelmo Beresford por les amistosos con sejos, y asistencia que me ha prestado en todas ocasiones durante nuestras ultimas operaciones.„Tampoco debo omitir el Hacer'mención de la conducta del general Girón que manda el exercito de Galicia, quien hizo una mar cha forzada desde…</t>
  </si>
  <si>
    <t>Beresford, Sir Guillermo</t>
  </si>
  <si>
    <t>Sir Guillermo Beresford</t>
  </si>
  <si>
    <t>8 j i ocupaban la misma posición, se mostrab an animados de igual zelo y espíritu. „El mariscal Sir Guillermo Beresford me acompañó en todas estas o pe*, raciones, y me ayudó mucho, para lo qual le hacen muy adecuado sus bri llantes talentos. „ La conducta de los oficiales y tropa portuguesa en todas las opera ciones de esta campaña y el espíritu que manifiestan en todas ocasi…</t>
  </si>
  <si>
    <t>…da por el teniente coronel Tulioh, y tres caño nes de montaña á las órdenes del teniente Bobe; estas tropas ata caron la posición del enemigo situado á la espalda de Ainhoue. ,„E1 mariscal Sir Guillermo Beresford dirigió los movimientos de la derecha del centro , que se componía de la tercera divi sión de), mando del mariscal de campo el honorable Garlos Colvtlle, de la séptima división del mando del geneíal Lecor, y de la cuar ta división del mando del teniente gener…</t>
  </si>
  <si>
    <t>Beresford, Sír Guillermo</t>
  </si>
  <si>
    <t>Sír Guillermo Beresford</t>
  </si>
  <si>
    <t>…cepción de que el enemigo reconoció el 18 los puestos avanzados del te niente general Sir Juan Hoppe , en cuya ocasión fué desgraciadamente herido el brigadier general Wilson. «El mariscal Sír Guillermo Beresford forzó en el mismo dia á íog puestos avanzados enemigos á pasar el puente de Urdoini, estable ciendo los suyos en él. En la mañana siguiente ántes de amanecer, el enemigo hizo la tentativa de forzarlos á retirarse con el ña de des truir el puente. Fueron recha…</t>
  </si>
  <si>
    <t>Berg</t>
  </si>
  <si>
    <t>…re él el día 5 al oir ;1 cañoneo, que era la señal de haber empezado yo el ataque. „ En la mañana del 5 avanzó á Leitzkeu ek cuerpo del teniente genera! de York, y el del teniente general Berg ó «burgo. wEi tenieite general Borsteil se había adelantado hacia Makun,</t>
  </si>
  <si>
    <t>5S4 y el teniente general Balón basta Hohenzias. A las 9 de le. ?arde se vié obligado el general de York á enviar su vanguardia hácia Güín* mera, y lo mismo hizo el teniente general Berg. La primera de las ¿os vanguardias dio con el enemigo cerca de D&amp;negkou, y de&amp;pues de un vivo cañoneo, le obligó á dexar aquel sitio con pérdida con* siderable: en consecuencia dispuse que los cuerpos de los genera les de York y Berg siguiesen á la vanguardia…</t>
  </si>
  <si>
    <t>…do que yo estuviese tan cer ca, determiné atacarle con todas mis fuerzas para hacerle retroceder. Al in tento reconcentré el dia 4 los.'cuerpos. del general de York y del teniente general Berg en la aldea de Lietzo, estableciendo mi quartel general en Zolesír. JDidrdeii á los generales Borsteli y Bulou, que habian llegado á Ziesa el 4, para que avanzasen quanto se lo permitiese el enemigo, y qüe caye sen impetuosamente sobre él el dia 5 al oir el c…</t>
  </si>
  <si>
    <t>Beriain, Manuel</t>
  </si>
  <si>
    <t>Manuel Beriain</t>
  </si>
  <si>
    <t>…Valerio Landache, D. Miguel Villacampa, D ’B'-roardo Eohsdecu, D. Cosme Vi'Hacampa y D. Ma nuel ■ 8alave.ru : á subtenientes dé fusteros á D. Ramón Gómez, D. Juan Migad de Iriso, D. Manuel Beriain, D. Manuel Gurpi-</t>
  </si>
  <si>
    <t>Beriani, Gregorio</t>
  </si>
  <si>
    <t>Gregorio Beriani</t>
  </si>
  <si>
    <t>…Oraá , D Mariano Gayarte , D. Faustino Irigoyen , D. Antonio Ladrón, D. Antonio Zabalza, D. Felipe Vicuña, D Manuel Arragu i, D Manuel Otayza, D Ramón Tajonar, D. José Hernández, D. Gregorio Beriani, D. Domingo Ihañez, D. Eusebio Ocha de Alda, D Angel Estabulo, D Valerio Landache, D. Miguel Villacampa, D ’B'-roardo Eohsdecu, D. Cosme Vi'Hacampa y D. Ma nuel ■ 8alave.ru : á subtenientes dé fusteros á D. Ramón Gómez, D. Juan Migad de Iriso, D. Manuel Beria…</t>
  </si>
  <si>
    <t>Berlín, Deogracias</t>
  </si>
  <si>
    <t>Deogracias Berlín</t>
  </si>
  <si>
    <t>…I. zambra que se armó entre ellos! D. Cristóbal Mi cro m gas se desvergüenza con D. Simplicio Mitc~ Copia de un despacha de Mr. de San-Marsan. ilejloxo; Sotavento insultó i aquel; D. Deogracias Berlín 22 de febrero dé 1812. Vitela echó por la calle de en medio, diciendo que Mr. de Krusemarck I1.1 escrito á su gobierno él deseaba dexar la tutoría, según le aconsejaba su que tenia grandes esperanzas de que se termiliaria muger, y poco menos dixo D. Simplicio…</t>
  </si>
  <si>
    <t>Bermejo, Juan</t>
  </si>
  <si>
    <t>Juan Bermejo</t>
  </si>
  <si>
    <t>…discurso: suegra y su distrito. ,, Señores gefes y oficíales de cohortes, y voso Por decreto de 9 del mismo S. M. ha nombrado tros soldados, sabed: que e! Excmo. Sr. ministro de á D. Juan Bermejo y D. Mariano GInart y Toran Guerra me ha encargado de que á cada una de vues alcaldes del crimen de la audiencia de Valencia. tras cohortes entregue una de estas banderetas. Por decretos de la misma fecha S. M. ha nom ,,Sabed, que este es el pumo de reunión de los brado ;u presbítero ex…</t>
  </si>
  <si>
    <t>Bermejo, Juan Sánchez</t>
  </si>
  <si>
    <t>Juan Sánchez Bermejo</t>
  </si>
  <si>
    <t>…l Barco de Avila. Suplente. D. Juan Agustín Sanz, vecino de Arévalo* Para la diputación provincial. D. Miguel Benito Cantero y Grande , provisor y canon igo de esta santa iglesia. D. Juan Sánchez Bermejo, vecino del Sotillo de las Palomas. D. Antonio Herrero, cura, de Villarejo.</t>
  </si>
  <si>
    <t>Bermudez, Pedro</t>
  </si>
  <si>
    <t>Pedro Bermudez</t>
  </si>
  <si>
    <t>Gaceta de Madrid n.º 133</t>
  </si>
  <si>
    <t>…a, sostener la representación nacional; pero nadie tam agente de su cabildo González Montaos, y cura de poco mas zeloso que nosotros por la justicia , he Sayar Domínguez; suplente D. Pedro Bermudez. mos visto con el mas profundo dolor esta determi .Algunos de los electores en la junta provincial que nación, que si no se revoca, puede producir terri rían que los poderes fuesen ilimitados, y no con bles consecuencias; siendo exemplo de violación de arregl…</t>
  </si>
  <si>
    <t>Berna</t>
  </si>
  <si>
    <t>…ombre,s, salieron, de Iíamjburgo para Ber^sdorff; y parece que el motivo de'éste itio'virriiento ha sido el recelo que tienen de ser acometidos por algunas tropas del exército del príncipe Berna&lt;iotte luego que concluya el armisticio, por no hallarse Hamburgo en estado de hacer una vigorosa re sistencia. También sabemos que no reina la mejor armonía entre los franceses y diaatnarqueses; y se presume que ha habido negociaciones entre las cortes de Sto…</t>
  </si>
  <si>
    <t>Bernabeu</t>
  </si>
  <si>
    <t>…ndose la corte de gala. Van llegando los miembros de la representación nacional que se hallaban en Cádiz, y otros de las provincias, entre ellos quatro dé Va lencia, siendo uno el señor Bernabeu.—Ha llegado aquí también el célebre Nebot (el Fraile.) Alcald de Henares 18 de octubre. En la universidad y estudio general de esta ciudad se hizo esta manan*</t>
  </si>
  <si>
    <t>Bernabeu, Antonio</t>
  </si>
  <si>
    <t>Antonio Bernabeu</t>
  </si>
  <si>
    <t>Gazeta de Madrid bajo el Gobierno de la Regencia n.º 45</t>
  </si>
  <si>
    <t>…Kelegid$&amp;¡por la provfnciq.de Valencia para las próxi mas ordinarias por el orden de su nombramiento. Licenciado D. Tomas Martin’, abogado. =rLicenciado D. Ricardo Perez Ma reo. = D. Antonio Bernabeu, presbítero. = Licenciado D. Joaquín Moliner, abogado. z= Licenciado- P. Antonio"Colomer, abogado. = Sr. D. Bernar do Falcó , presbítero. = Sr. IL iXÍartiniatio- francisco, Pastor. = Licenciado 1&gt;. Tadeo Ignacio Gil, abogado. = Licenciado, I). Francisco Anton…</t>
  </si>
  <si>
    <t>Bernadoite</t>
  </si>
  <si>
    <t>…ciar que el general Moreau ha aceptado ya un mando en los exércitos aliados ruso y prusiano,y se cree que manda rá todas las tropas aliadas, que han de servir baxo las órdenes del príncipe Bernadoite. El general Moreau habia ya llegado al quartel general de ios aliados. Se dice que los plenipotenciarios franceses, sabiendo el resultado de la batalla de Vitoria antes qiie los de Rusia, Prusla y Austria, quisieron ha cer lo mismo que en 1801 hizo Mr. Otto c…</t>
  </si>
  <si>
    <t>Bernadone</t>
  </si>
  <si>
    <t>…prusiano ha sitiado á Stettin, que según las últimas, noticias es taba para rendirse. : ■. v * En Stralsund hai un cuerpo de tropas suecas, y al comenzar la campaña' mandará-: iL príncipe Bernadone&lt;a©(hombres. i . Las fuerzas^ rusas con que se abrirá la. campaña no baxarárí de 2200* hombres: las.prusianas ascendéránrá 70®: las de Suecia y Pomerania á 50©: total 340© hombres; á los quales, deben añadirse las tropas que suministra-i rán el Hannóver, Hesse…</t>
  </si>
  <si>
    <t>Bernadotíe</t>
  </si>
  <si>
    <t>…ya nuevos refuerzos; que los prusianos, animados del mayor entusiasmo y decidido valor, ansian porque principien las hostilidades; que se hallan en fortísimas posi ciones ; que ei príncipe Bernadotíe tiene ya 30© suecos; y que en uniéndosele los rusos que por dias está esperando, tendrá á sus ór denes hombres. Este príncipe aprobó el armisticio por conside rarlo muy ventajoso á los aliados. Sir Roberto \Vilson ha sido condecorado por el emperador Alexandr…</t>
  </si>
  <si>
    <t>Bernadotie</t>
  </si>
  <si>
    <t>…e muertos, heridos y prisioneros. El 5 de Setiembre atacó Ney con 70© hembres al exército pru siano, que constaba de solos 40®. Este se sostuvífdon mucho valor, hasta que llegó el príncipe Bernadotie con 70 batallones y 4© caba llos suecos y rusos, cuyas tropas reunidas pusieron en desorden al enemigo á quien persiguieron vivamente, haciéndole de 12 á 23® prisioneros, mucha artillería y br.gages, ademas de los muertos y heridos que dexó en el campo. Se ha…</t>
  </si>
  <si>
    <t>Bernadott</t>
  </si>
  <si>
    <t>300</t>
  </si>
  <si>
    <t>…a rescatar á su rey y libertar á la patria de la tiranía extiangtra. Asegúrase que se ha hecho un tratado de alianza entre Pmsia, Suecia, .Dinamarca, Rusia é Inglaterra ; y que el príncipe Bernadott r mandará 90000 hombrea de las "tres punieras naciones. Han llegado á esta capital un mensagero austríaco y un correo con pliegos de lord C&amp;thcart, cuyo contenido no se ha hecho to davía público. ; Las esperanzas de Empaparte se limitan por ahora á defender l…</t>
  </si>
  <si>
    <t>Bernadotte</t>
  </si>
  <si>
    <t>…estacamento prusiano ha si tiado á Stettin , que según las últiraas noticias estaba paia rendirse. En Síralaund hay un cuerpo de tropas suecas, y al comenzar la campaña mandará el príncipe Bernadotte 30000 hombres. Las fuerzas rasas con que se abrirá la campaña no bhx;;rin de S20000 hombres: las prusianas ascenderán ;v 70000 : las as Suecia</t>
  </si>
  <si>
    <t>…Wismar un cuerpo de 12® suecos, que se dirigen al Elba á marchas forzadas, lo que debe contribuir á desvanecer las sospechas concebidas generalmente acerba de la determinación del príncipe Bernadotte sobre tomar 'parte activa y de-' cidida en la campaña que acaba de abrirse. Se han recibido periódicos de París, que alcanzan hasta el 8 , con pom posas relaciones de la abertura de la campaña y operaciones hasta el 30 de abril, en cuya fecha las posiciones d…</t>
  </si>
  <si>
    <t>6*4El duque de Brunswick salid de- esta capital para Hamburgo. — El príncipe Bernadotte se embarco en Calscrona el dia 6 de Maya, y se le esperaba para el 15 en el cuartel general del emperador Alexandro. En un artículo de Viena dé 27 de Abril se |e*e que el archidu que Carlos se encaminaría á Bohemia, donde pasará revista á lar tropas que allí…</t>
  </si>
  <si>
    <t>…años de edad. Pocas horas antes de su muer te recomendó para sucesor suyo al general. VV ittgenstein. Esta mañana han llegado dos malas de Gottemburgo, y por ellas sabe mos que el príncipe Bernadotte se embarcó para Alemania con el ministro ingles Mr. Thornton, y que ambos se dirigen al quartei general ruto, de biendo partir de allí para Wismar, con el objeto de reunirse al exército sue co, compuesto de 12© hombres, ademas de otros 5©, que embarcados en G…</t>
  </si>
  <si>
    <t>Gazeta de Madrid bajo el Gobierno de la Regencia n.º 9</t>
  </si>
  <si>
    <t>…brado para este fin por los americanos Mr. Gallatin, partidario francés; pero debe acompañarle Mr. Bayard, senador de Delaware, cuyos principios políticos son mas modera dos___ El príncipe Bernadotte se embarcó por fin en Calscrona el 6 de ~ mayo, y se esperaba para el 15 en el quartel general del Emperador Ale jandro. En un artículo de Viena del 27 de abril se lee que el archiduque Carlos piensa partir para la Bohemia, donde pasará revista á las tropas q…</t>
  </si>
  <si>
    <t>…, y la emulación y espíritu de patriotismo que #éina en losj prusianos les hace, dignos, de. los. mayores elogios.___Soi &amp;c. (ijf Según noticias de Gcttemhurgo dé 18 de mayo ,- el príncipe Bernadotte salió el dia 14 de Calscrona para Stralsund, y el convoi de transportes con lás tropas esperaba viento favorable, para hacerse á la vela.. Las últimas gazetas de Parts son det 16 de mayo , y las noticias que in sertan relativas al exércifó francés no pasan de…</t>
  </si>
  <si>
    <t>Bérnadotte</t>
  </si>
  <si>
    <t>Gazeta de la Regencia de las Españas n.º 78</t>
  </si>
  <si>
    <t>…urgo el 29 üés Mayo después de haber abandonado á esta ciu dad los suecos -él fin de íéünírse1 aléxércifcó^rüso, Según publ*-có su comandante. El 25 estaba todavía en Stralsund el-príncipe Bérnadotte con el duque de Gumberíand. ^ Parece que la vanguardia del exército francés avanzaba por Neamark , y se hallaba á 7 leguas de Bresláu: un cuerpo mandado pon el mariscal Oudinot se encaminaba á Berlín. El objeto de los france ses era ocupar á ún tiempo estas d…</t>
  </si>
  <si>
    <t>Gazeta de la Regencia de las Españas n.º 83</t>
  </si>
  <si>
    <t>…a consideración &amp;c. (Se continuará.} GRAN-BRETAÑA. Londres 11 de Junio. Dícese haber llegado de Riga á Stralsund un convoy de 300 bar cos con tropas rusas que estarán ai mando del príncipe Bernadotte, con arreglo al tratado. Hoy á las 11 del dia llegó á la secretaría de estado Mr. AdamstorfF, de la legión alemana, con pliegos de Suecia; se ignora su contenido: después de la conferencia que tuvo en dicha secretaría se dirigió á casa aei embaxador español.…</t>
  </si>
  <si>
    <t>…do paquete de Londres. Los periódicos hasta el ti contienen multitud de noticias. Publicaremos hoi algunas. El 30 de mayo entraron los vándalos en Hamburgo-----El 25 estaba aun él príncipe Bernadotte en Stralsund con el duque de Cumberland. Ha habido en Saxonia continuas batallas y acciones sangrientas el T9, 20, 21, 22 y 25 de inayo. Los periódicos publican detalles. Nosotros da-</t>
  </si>
  <si>
    <t>149</t>
  </si>
  <si>
    <t>…rtículo del trata do concluido hoi dia de la fecha^ se obliga i.° A observar fielmente lo estipulado en la capitulación de dicha isla en (1) N. B. Al mismo tiempo que vemos que el príncipe Bernadotte desenvai na por fin su espada para contribuir al logro de la paz general, observamos que Bonaparte no incluye á la Suecia en las potencias del congreso que pidió últimamente p3ra tratar de aquella. Igualmente notamos el silencio que guarda respecto á Portu ga…</t>
  </si>
  <si>
    <t>…bligan á considerar la adquisición de la Noruega como preliminares de la operación militar para dicha diversión , á cuyo fin promete el Emperador Alexandro poner á disposición del príncipe Bernadotte las referidas fuerzas rusas. Igualmente se obligan á indemnizar al Rei de Dinamarca con un terri torio mas inmediato á sus dominios de Alemania siempre que se una á la bue na causa; pero no" verificándose esto último, ambas partes contratantes consi derarán á…</t>
  </si>
  <si>
    <t>…Asiocbe llegaron á esta .capital las gacetas de Altona de 17 y 18 del anterior, en que se habla de una carta de Stokolmo, dirigida á varios sugetos de Noruega, manifestando que el príncipe Bernadotte no trata de hostilizar á aquellos habitantes , sino de atraerlos «on afabilidad, y que sus tropas habían marchado á la Pomeranxa son el objeto de hacer la guerra á Dinamarca' en el Hclstein, Jutlandia y Zelandia , si fuese necesario , evitando toda hostilidad…</t>
  </si>
  <si>
    <t>…gión anseática, eh rico comer ciante Hamft y el librero Perthes han sido proscriptos. Estos dos últimos se escondieron: von-Hesse llegó á Stralsund, donde fue bien recibido por el príncipe Bernadotte. Este publicó la noticia oficial de haber empezado las hostilidades entre la Rusia y la Dinamarca-----Una carta particular refiere que Bonaparte propuso la prorogacion del armisticio por seis meses, y que las seis semanas serian el plazo fixado antes para la…</t>
  </si>
  <si>
    <t>…¡a* .glosas mandadas por el general Qibbs-----Los ingleses tomaron la pequeña isla de Augusta; y han apresado en el puerto de Cavalacia. un xabeque fran cés y 20 embarcaciones. Él príncipe Bernadotte , con quien no se entiende el armisticio, .marchó sobre Hamburgo: sus fuerzas consisten actualmente en 445© hombres, cuyo número $e duplicará muienbrevevse cree que:los fran ceses no tardarán en evacuar á Hamburgo. Las cartas particulares de Londres refieren-…</t>
  </si>
  <si>
    <t>248</t>
  </si>
  <si>
    <t>…ud de los soldados. (Monitor de 27 de junio.) y PORTUGAL.' Lisboa 23 de julio. ¡ ! v • ’ 1 • . .' ’ t: f ’ ■ ' ■ i ¡ ■ • ^Siendo aun equívoca para algunas personas la conducta del príncipe Bernadotte, heredero de la corona de Suecia, no creemos fuera de razan inserrr tar aquí las notables expresiones con que el lord £astlereagh concluye el discurso que: pronunció én el parlamento en la sesión de 18 ¿de junio ,"pues son dignas de un político tan profundo.,…</t>
  </si>
  <si>
    <t>…937 i¿»i«ii^;igsajsaaaKMÍÉaB^¿gíB«a&lt;p^^ GACETA DE LA REGENCIA DE LAS ESP AÑAS DEL SABADO 4 DE SETIEMBRE DE 1813. wmttQ PRUSIA. Castillo de Trachenberg (en Silesia) n de Julio. 1E1 príncipe Bernadotte salió de Gripswalde el 6 de julio para conferenciar en esta villa con los monarcas de Rusia y Prusia : du rante su viage paró revista á varios cuerpos de los exércitos aliados, y llegó aquí el dia 9. El 10 fue recibido por los dos monarcas con el mayor aparat…</t>
  </si>
  <si>
    <t>…de Dios y con la fuerza de las armas, poner fin 4 las calamidades de la guerra , y á los males que afligen á la Europa.” Grottembvrgo-3O de-Julio. Es tal la esperanza que tiene ei príncipe Bernadotte de que se renueven las hostilidades, que á su vuelta del cuartel general de los dos monarcas, pasando por Liza, donde se hallaba el cuerpo del general ^ inzingerode, que está baxo su mando , le hizo moverse para Berlín. Todas las noticias qtse nos llegan del…</t>
  </si>
  <si>
    <t>…te quien pidió el armisticio. La noticia de este suceso habia causado gran descontento en Berlín y Petersburgo. — Los rusos , mandados por el general Tchernicheff, se han unido al príncipe Bernadotte: la legión ruso-alemana, compuesta de 15© hombres , llegó á Rugen, y debe igualmente reunirse á aquel príncipe. — Dicen que se concluirá en tratado de comercio entre la Prusia, Rusia y la Gran-Bretaúa. El príncipe Bérnadotte tiene actualmente á sus órdenes de…</t>
  </si>
  <si>
    <t>…uar tel general se ignoraba aun si se prolongada ó no el armisticio. Avisan de Gottenburgo haber salido de allí para Berlín el gene ral Moreau con el objeto de conferenciar con el príncipe Bernadotte. En el cuartel general dél emperador Alexandro se celebro con un solemne Te De tan el triunfo de Vitoria, que debe tener una grande influencia en los negocios del Norte. Acerca de estos nada se sabe de positivo: los periódicos franceses habían mucho del con g…</t>
  </si>
  <si>
    <t>…TES 7 DE SETIEMBRE DE 1813 BASO EL GOBIERNO DE LA REGENCIA DE LAS ESPADAS. GRAN BRETAÑA. ‘ / Continúan las noticias deLóndres hasta t% de agostó. Berlín ao de julio. Dícese que el príncipe Bernadotte mudará su quartel general á FehrbíUen, siete millas de esta capital, y que mandará el cuer po prusiano del general Butow y todas las tropas aliadas acantonadas en és tos puntos. El pueblo se halla animado del mejor espíritu, y se hacen gran des preparativos p…</t>
  </si>
  <si>
    <t>…parece sino que Prusia vuelve á los tiempos de Federico el Grande. GRAM-BRETASiA, Londres io de Agosta. A Segnn cartas de Stralsund, el rey de Prusia ha puesto á las or denes del príncipe Bernadotte 4c© hombres, inclusos 6© caballos? el cuerpo del general Balo*/ entra en este numero. El general en gefe de ios ejércitos rusos, Barclay deTclly, lia puesto también á las -ordenes del mismo príncipe 25© rusos; y se componen del cuerpe del genere! Winzingerode…</t>
  </si>
  <si>
    <t>Gazeta de Madrid bajo el Gobierno de la Regencia n.º 40</t>
  </si>
  <si>
    <t>403</t>
  </si>
  <si>
    <t>…enemigo de la humanidad. Han llegado las malas de Gottemburgo y HeligoSand: es constante que no se prolongará el armisticio: el general Moreau marchó á Xstadt para unir se con el príncipe Bernadotte, que se halla en Berlín. Se han recibido papeles franceses hasta el io de agosto, y nada dicen respecto al congreso. En ellos se ven copiados los partes de Souit hasta el 26 de julio, y callan su derrota en los dias 27 y siguientes. Noticias de los papeles fr…</t>
  </si>
  <si>
    <t>…conduzcan á su patria. El Príncipe Regente de Inglaterra ha prorogado nuevamente para el 4 de octubre la apertura del parlamento. Relación de las fuerzas que actualmente manda el príncipe Bernadotte. Tropas prusianas, inclusos 6® caballos y el cuerpo del general Bulow, 40© hombres: tropas rusas, en cuyo número se incluyen los cuerpos de Wínzingerode, Cernicheff, Woronzow y Tettenborn , 2&gt;®: la legión an. seática de Hamburgo y Lubeck, los hannoverianos y…</t>
  </si>
  <si>
    <t>…abastecidas con toda abundancia. No hai esperanza de que se prolongue el armisticio, y los alia dos están acordes en renovar las hostilidades. Este mismo viajante vio en Berlín ai príncipe Bernadotte. 4 Ayer llegó una embarcación de Francia; pero no trae papeles de París, sino cartas particulares. Decíase en París que Bonaparte habia resuelto dexar la Alemania para tomar el mando en persona del -exército contra lord Wellington: no creemos semejante rumor,…</t>
  </si>
  <si>
    <t>…hostilidades ha obtenido gran crédito los dias pasados, acaso por la'marcha dé nuestro Rei al quartel general, y por el continuo paso de tropas que van á reunirse al exército. El príncipe Bernadotte llegó aquí dos' días' h'á, y tomó el mando de las tropas aliadas en erbaxo Elba, incluso él cuerpo de Büíosy qué se halla en esta. Las fuerzas que manda dicho Príncipe ascienden á 130© hom bres; y ademas del ducado de Mecklemburgo y el marquesado de Brandembu…</t>
  </si>
  <si>
    <t>447</t>
  </si>
  <si>
    <t>…Stralsund , don de llegó con felicidad, y fue recibido por su antiguo amigo y camarada el príncipe'Bernadotte, que expresamente había venido de Berlín á esperarle. El exército del príncipe Bernadotte, que consta de mas de Í2o®;hombres, se dirige al Elba. Lord Aberdeen, ernbáxador ingles en la'Corte de Austria, llegó á Gottemburgo el 14 de agosto. Acaba de llegar un viagéro que dice que, el 17 de agosto se empezó á bombear la plaza de Stettin; de que debem…</t>
  </si>
  <si>
    <t>…taña...................... ... 4® Suma total. n89 Se debe contar ademas la fuerza moral de estar mandadas estas tropas por ios, dos mas hábiles generales de ía Francia moderna, el príncipe Bernadotte y et célebre general'Moreáu,'de lo cual se pue de inferir las buenas esperanzas de esta campaña. Idem 23 de Agoste. Nuestro gobierno ha comprado gran cantidad de granos, y ya han salido para Santander con destino al-exercito del lord'We-iiiagron.. También sal…</t>
  </si>
  <si>
    <t>Gazeta de la Regencia de las Españas n.º 122</t>
  </si>
  <si>
    <t>…es de estos días de que se iban á principiar las hosti lidades , tiene sin duda su origen de que va á salir el rey para el cuartel general, y el continuo paso de las’* tropas.— El príncipe Bernadotte liego aquí hace dos días , y tomó el mando de las tropas aliadas. Es imposible describir el ardor y deseo de los prusianos por la renovación de las hostilidades. En nuestros cuerpos de voluntarios prusianos se hallan muchos tiroleses , y entre ellos Andrés Hc…</t>
  </si>
  <si>
    <t>…ci plina y valor del-alto destino que os eSpéra. =sCárlos Juan, es En mi quartel ’ general de Orániemburgo 1$ dé agosto de 1813. Quartel general de Chathttémburgo 18 dé agoito. El príncipe Bernadotte dexó ayer su quartel general de Postdam, y hoi se ha trasladado aqui. Por noticiad rccibidas de varias párrcsse ha sabido que el enemigo se reunía en bastante número en Baireuth eiída dirección* á Trebbin, con el fin de lle gar i Berlín. S* A. R* concentró si…</t>
  </si>
  <si>
    <t>…, que se reducen á reconcentrar una fuerza de mas de 90® hombres entre Ber lín y Spandau. Los franceses se reunían- en Baruth, y hacia Trebin; para atacar á Berlín, por io que ei príncipe Bernadotte ha enviado un cuerpo de 829® hombres de caballería al mando del general Winzingerode con el fin de reconocer ai enemigo por su izquierda por Wittemberg y Juterbock. El gefe del estado mayor del general Ney, Mr. Joinini, se ha pasado á los aliados, y ha confir…</t>
  </si>
  <si>
    <t>…s batal'ones de Lutzow por seis dei enemigo, en cuya acción fué este rechazado. En el quinto boletín, cuya fecha es de Ruhlsdorf á 24 de Agosto, se dice lo siguiente: Informado el príncipe Bernadotte de que en ia noche del 21 reunía Bonaparte en las inmediaciones de Baruth los cuerpos de Oudinot, Víctor y Arrighi, y los de los generales Bar trand y Regnier, los cuales formaban mas de 80® hombres, .y que todo indicaba una rápida marcha de esas tropas hácia…</t>
  </si>
  <si>
    <t>…el exército sueco no se movió. Sin embargo, como ei enemigo amenazaba á Ruhlsdorf, y ade lantó sus tiradores contra la infantería ligera tueca, colocada frente ai pueblo, mandó el príncipe Bernadotte que algunos batallenes re forzasen la vanguardia: el coronel Cardill se dirigió con un batallón de rniUería volante-á temar ei flanco del enemigo. Ei resultado de la acción de Gross-Beren fue coger 26 cañones, 30 caxones y muchos equipages, y hacer prisionero…</t>
  </si>
  <si>
    <t>…e habla salido mui ufano para entrar en Berlín : á Oudinot se le obligó á retirarse al Elba con pérdida de 12© hombres, y le perseguían continua mente las entusiasmadas tropas del príncipe Bernadotte; y Blucher había hecho otro tanto en la Lusaci'a con los tres cuerpos del duque de Tarenro. Aun suponiendo que los aliados sufriesen frente de Dresde una considerable pérdida, las ventajas que lograron los otros dos exércitos, y la total derrota del cuerpo de…</t>
  </si>
  <si>
    <t>1227</t>
  </si>
  <si>
    <t>…no. Cuartel general de Toplitz js&gt; de Setiembre. El emperador Napoleón reunió el 16 mucha parte de las reliquias de los exordios que habían peleado contra el general Blucher, y el príncipe Bernadotte, á los cuerpos primero, segundo y cuarto de su exército, y se adelantó al frente de sus guardias hacia Noilendorf. Su intención parecb que era ir á Bohemia, según decían los prisione ros , y se inferia ademas per sus preparativos. El príncipe ce Schwartzember…</t>
  </si>
  <si>
    <t>683</t>
  </si>
  <si>
    <t>683 Las mismas cartas1 anuncian también la toms de Dresde por ios aliados* y que el príncipe Bernadotte, después de reunirse con el exército de Bohe mia, habia cortado todas las comunicaciones del exército francés. Anteayer llovía aun sin intermisión, lo que ha paralizado seguramente todas las operaciones de nuestros exércitos; pero va mejorando e! tiempo desde…</t>
  </si>
  <si>
    <t>…H en el mo mento de su partida. Cassel se hallaba en poder de Czernitscheíf; esta noticia parece muy probable, porque Gerónimo h&amp;bia llegado á Co lonia el i.° de Noviembre; que el príncipe Bernadotte había entrado ea Holanda; y que se confirmaba la derrota de Bonaparte en las alturas de Coessen el dia 21 de Octubre. El emperador de Rusia ha enviado el orden de S. Andrés al príncipe regente de la Gran-Bretaña. — El general Graham ha sido nombrado rector de…</t>
  </si>
  <si>
    <t>…su territorio al fíente de 60© hombres; de manera que los puntos del Adige vendrán á ser lo mismo que los del Elba; se quedarán á retaguardia, y el exército austríaco avanzará. El príncipe Bernadotte, que el 6 de Noviembre tenia su cuartel .general en Hanncver, continuó su marcha hacia el Wesser , como consta del siguiente oficio del enviado británico cerca de S. M. sue ca, Mr. Thomson, con fecha de 19 de Noviembre en Rremen; n Tengo el honor de comunicar…</t>
  </si>
  <si>
    <t>Bernadutte</t>
  </si>
  <si>
    <t>…e llaman de España, acompañando esta determinación con amenazas é invectivas. 'Extracto de los boletines cuarto y quinto del exército combinado del Norte en Alemania al mando d. l príncipe Bernadutte. En el cuarto boletín publicado en Postdam 221 de Agosto se indican las posiciones del exércúo del príncipe Rernadotte desde</t>
  </si>
  <si>
    <t>Bernal, Blas</t>
  </si>
  <si>
    <t>Blas Bernal</t>
  </si>
  <si>
    <t>87</t>
  </si>
  <si>
    <t>…erdió en el tiempo empleado para perseguir me 84 hombres y 14 prisioneros : tuve por mi parte la pérdida de un caballo, un soldado prisionero y otro herido. El 25 , el subteniente D. Blas Bernal, con solos 6 soldados apos tados en el camino de Castellón de la Plana, acometió á 4 soldados de caballería, que custodiaban unas cargas de vestuario : venian á retaguardia 200 infantes, los cuales, creyendo que habia mas gente, huyeron á la vista de los tres…</t>
  </si>
  <si>
    <t>Bernard</t>
  </si>
  <si>
    <t>…si se considera lo fuerte de las posiciones que hemos atacado, y que las tropas estuvieron empeñadas desde el amanecer hasta anochecido; pero me es sensible haber de añadir que el coronel Bernard , del regimiento 9 5 ha sido gravemente herido, aunque espero no peligrará su vida, y que he mos perdido en el teniente coronel Lloyd, del regimiento 94.0, un oficial que se había distinguido frecuentemente, y ofrecía grandes esperanzas. „ El quartelmaestre g…</t>
  </si>
  <si>
    <t>Bernardo</t>
  </si>
  <si>
    <t>Gaceta de Madrid n.º 83</t>
  </si>
  <si>
    <t>…ad estos incentivos son ron baxo las armas desde las 12 , y á la una de la poderosos : solo es lástima que todas las recompen mañana comenzaron á embarcarse con buen orden sas del coronel Bernardo sean parecidas á la de los y el mayor silencio, extendiéndose las barcas por caballos y mulos, que es necesario coger y domar la anchura del rio, y esperando tolos con la mano antes de disfrutarlos. en los remos la orden de partir. A poco tiempo se oyeron dos…</t>
  </si>
  <si>
    <t>Gazeta de la Regencia de las Españas n.º 62</t>
  </si>
  <si>
    <t>…ones ; y coa la mayor presteza se ie procuraron 3 carros cargados de eilas en aquella plaza, que salieran ímn^duUameme para el Espíritu .Santo, en donde el exército insurgente del coronel Bernardo y.Magie se hallaban cercados por las tropas real®*. Según los últimos avisos* todo el excito insurgente ha sido destrozado ó hecho prisionero; los realistas, en número de 40J hombres, se h n vuelto á apoderar de Nug ; dochf s , y loe 3 carro 3 de municiones q…</t>
  </si>
  <si>
    <t>…én pór su marcha rápida paitó hallar se en el punto déi ataque, y por la execucion de las disposiciones que tenia concertadas con él. Envió sin pérdida de tiempo ú: mi ayudante el teniente Bernardo á llevaros esta noticia, quien me há sido singularmente útil en toda? o.adones, y espero lo recomendéis á Sir Jorge Prevost * como un oficiái activo y de esperanzas &amp;c. =s Bisshopp y teniente coronel. Villa de Louth 24 de Junio de 1813* Estando en De-Corb es'…</t>
  </si>
  <si>
    <t>BernstorfF</t>
  </si>
  <si>
    <t>37</t>
  </si>
  <si>
    <t>…os de ven ganza^ y solo suspiran por gefes y medios de satisfacerlos t para ser popular una obra basta que trate de excitar el patriotismo.** Se sabe haber llegado á Heligoland el conde BernstorfF, que salió de aquí para Dinamarca, causando entre los comerciantes de Heligoland algún dis gusto el saber el mal éxito de su misión. _ De la misma isla con fecha de 8 del corriente avisan haber llegado felizmente de la de Rugen i.Hamburgo 7© suecos. Según not…</t>
  </si>
  <si>
    <t>Bernstorff</t>
  </si>
  <si>
    <t>…pués de informarse del estado en que se hallaban: las familias de aquellas desgraciadas víctimas, les envió quantiosos socorros. . Ha llegado á esta capital el enviado dinamarqués conde Bernstorff con su comitiva, y dicen que trae plenos poderes para concluir un tratado de paz con esta corte._-Las cartas de Copenhague refieren que Bonaparte había prometido la Noruega á la Suecia en caso de que se declarase contra la Rusia. Observase que habiéndose reti…</t>
  </si>
  <si>
    <t>613</t>
  </si>
  <si>
    <t>…llería en Cratau, aldea situada en la orilla derecha del Elba, á menos de una milla de distancia de la batería mas avanzada. GRAN-BRETAÑA. ; i t , . . ' Londres i£ de Mayo. • : El conde BernstorfF, embaxador de Dinamarca, llegó de Ingla terra á Heligoland, y continuó su viage á Copenhague. Los comer ciantes han sentido ía noticia que corrió en Heligoland de haberse malogrado su misión. Por noticias de Riga, que alcanzan hasta 20 del mes anterior, sabe…</t>
  </si>
  <si>
    <t>BernstoríF</t>
  </si>
  <si>
    <t>…e aquí se infiere que el haber ia Suecia abandonado á Hamburgo no fué por que no tuviese ínteres en protegerla. «Si se conviene en que Bonaparte sabia el objeto de la legación del conde BernstoríF cerca de nuestra corte, se puede racionalmente inferir que sabia también que las condiciones propuestas por aquel no eran capaces de producir un tratado de paz. La prknera propoficion que recibimos de Dinamarca en el mes de Febrero tenia por objeto una paz se…</t>
  </si>
  <si>
    <t>Bero</t>
  </si>
  <si>
    <t>…Sra. del Rosario, 10 id. D. Gregorio Lamas, 12 id. Son 379 hambres á razón de 192 ps. fs. al año por cada uno. Hacen 72768 ps. fs —D. Alberto Camino , al mes 8 ps. por ua sño, 96. D. Bero?rd no G rdíl-o, id. por 4,4S. D. Cayetano D lis y Rubio, id..por 4 48 D Domingo I*erez, id. por 10, 120. D. Femando Ma ría Gómez, id. por 8, 96. D. Francisco García Carriaga, id. por 2,</t>
  </si>
  <si>
    <t>Beroz, Félix</t>
  </si>
  <si>
    <t>Félix Beroz</t>
  </si>
  <si>
    <t>…Ibañez, D. José López, D Prudencio Dallo, D. Ce lestino Ximenez , D. Fermín Al Aúnate, D. Angel Labiano, D. ber nardo ZaTo, D. Francisco Mtmuce, D. Pedro Mancho. D. Matías Ezcay, D. Félix Beroz, D. Bernardo Sonosiain , IT Mañano Ustarroz, D. Felipe Virtus, D. Joaquín Aquerreta, D. Fermín Josué, 1), Martin Ziarriz, D, Francisco Larrodé , D. Matías Alzorr z, D. J uan Ramón Arlegui, D. Bonifacio Jaso, D; Mvouel Sancho, D. Bonifacio Martínez, D. Julián…</t>
  </si>
  <si>
    <t>Berríadotte</t>
  </si>
  <si>
    <t>…mado ¿^Barclay 'ce I-oJJy. - ■ -'I - " •.. 1:. ,'V . v !: ; L -ií Boletines, del exército* combinado, del norte de Alenté nía* V: ■ 7 ¡QuarHwtygeneral 1 defoítdiaxn. cle-agoHo^ El príncipe Berríadotte; ha Jtr^ñaie:áét^su¡ quar.tel gertéeabá estaiciudad en la- noG he pasada. Habiéndose *&amp;tót*adícPláár*ñegodaciones* de- Praga, sé. está, concentrando» todo elí exército: -íds aliados ñQ^llcarcrn el' ió-él rompiinierito del. armisticio,. por ló que mañk^fiaipue…</t>
  </si>
  <si>
    <t>Berthier</t>
  </si>
  <si>
    <t>…nas. Por D. J. S. Véndense en la librería de Alejandro Rodríguez, calle de las Carretas. Confesión de Bonaparte con el cardenal Maury, por el general Sarrazin. *„ Conversación del general Berthier con el cardenal Maury: ambos tratados traduci dos del francés. Esta obra fue publicada en Londres, y ha merecido la ap robacion general, por cuya razón se cree excusado repetir ahora el elogio que se hizo de ella en una de las gazetas del año próximo pasado.…</t>
  </si>
  <si>
    <t>Bertoletti</t>
  </si>
  <si>
    <t>Gaceta de Madrid n.º 68</t>
  </si>
  <si>
    <t>…a brigada Devaux, después de haber dexahaber hecho en el Vendrell un alto de quatro ho do ea S. Feiix ¿ la brigada Expert. ras, llegamos á Altafulia a las tres de la tarde. En „E1 general Bertoletti ha aumentado las obras de cL mismo día tuvimos comunicación con Jas.tropas la plaza, y es un oficial general excelente, que me de la guarnición de Tarragona, y supe positiva rece grandes elogios por su zelo, talento y acti mente que las de la guarnición de To…</t>
  </si>
  <si>
    <t>…a, fecha en S. Felipe (í de unos nuevos reloxes nocturnos, que al mismo 37 de diciembre de 1812. tiempo que señalan las horas alumbran las habita ciones. El dia 18 de diciembre el general Bertoletti, A Mrs. Colín de Canecy y compañía, de Pa comandante de Tarragona, después de haber ase rís , para el uso de un método nuevo para purificar gurado en el puerto una rica presa (The Vicissitu- el aceite. de, navio de 500 toneladas, cargado de géneros A Mr. Saur…</t>
  </si>
  <si>
    <t>Bertrand</t>
  </si>
  <si>
    <t>…ois. vanguardia del cuerpo de observación del Rin, y Aquella noche fueron á dormir á Fontaincbleau, se dirige á Francfort. donde no se tenia noticia de su venida. S. M. ha dado al general Bertrand el mando del Al llegar el Emperador se fue al quarto del Pa cuerpo de observación de Italia, que está reunién pa, que estaba en conversación con algunos carde dose en Verona, nales y prelados. Una vanguardia compuesta de 40© hombres de S. -\1. y el Santo Padr…</t>
  </si>
  <si>
    <t>…aqui la primera coluna del cuer pérdida mui considerable en muertos y heridos. po de exército que viene de Ita'ia á las órdenes del Nosotros no hemos tenido mas que quatro heridos general Bertrand. Todos han admirado el aire de ligeramente. Mr. Passeti se ha distinguido por un los regimientos 13.” y 23.'’, cuyas tropas están per rasgo de valor, que ha excitado las aclamaciones de fectamente equipadas. Esperamos quatro divisio todos sus compañeros. S. A…</t>
  </si>
  <si>
    <t>Gazeta de Madrid bajo el Gobierno de la Regencia n.º 3</t>
  </si>
  <si>
    <t>21</t>
  </si>
  <si>
    <t>21 derecha cón sustres di visiones. En fin, el general Bertrand, comandante del 4.0 cuerpo, estaba en marcha con dirección al desfiladero. El enemigo venia ya hacia nosotros, y pasaba el Elster por los puentes de Zwenkam, Pegan y Zeita. Con la esperanza dé anticipar el movimiento, y pensando no ser atacado hasta el dia 3…</t>
  </si>
  <si>
    <t>…se á la victoria o á la muer te, e-t iba resuelto á perecer mandando y dirigiendo sus tropas/’ Entretanto se dexaba ver ya á lo lejos el polvo y los primeros Fuegos del cuerpo del general Bertrand. Entonces entraba eívirei en la línea por la izquierda, y el duque de Tarento atacaba la reserva del enemigo, apróxinrándoe al pueblo en que apoyaba su derecha. Redoblaba este los esfuer zos contra el centro; el pueblo de Kaya fue tomado nuevamente; nuestro c…</t>
  </si>
  <si>
    <t>…erda sobre Kaya para apoyar el suceso del centro. Tuvo que sostener muchas cargas de caballería enemiga; pero en todas sufrió esta considerables pérdidas. &gt; Entré tanto el general conde Bertrand avanzaba y entraba en línea. La Caballería enemiga andaba enderreddr de los quadros con el objeto de rom perlos ; pero esta operación no fue capaz de detener la marcha del conde Bertrand. El Emperador dispuso se mudase la dirección, haciendo un movi miento ci…</t>
  </si>
  <si>
    <t>…jbicfto de bosques, y ¿poyados sus flancos en unos Í&gt;an taños.. Los puestos -avanzados se retiraron lentamente, y cubrieron el rente de la línea. En la mañana del 23 el cuerpo del general Bertrand des filó contra el geueral-Tavencien, que le rechazó é hizo algunos prisioneros.</t>
  </si>
  <si>
    <t>…ndose en su reorganización por ha ber tenido grandísimas pérdidas en lo material de él, y la disminu ción de una tercera parte en su numero. &gt; Los cuerpos del duque de Reggio, del general Bertrand y del general Regnier han logrado el 5 señaladas ventajas. ESPAÑA. Sangüesa 31 de Agosto. Partes del mariscal de campo T&gt;. Francisco Espoz y Idina, diri gidos al Exento. Sr. duque de Ciudad-Rodrigo. Primero. «Exorno. Sr.: Siguiendo las instrucciones de V. E.…</t>
  </si>
  <si>
    <t>…iglione ha ido con su cuerpo de exército á tomar una posición en las embocaduras del Saale. El príncipe Poniatowsky ha marchado con su cuerpo de excrcito sobre Penig. . El general conde Bertrand atacó el 26 al -exército enemigo de Berlín, que cubría el puente echado en Wartemburg, le forzó, hizo algunos pri sioneros,-y fue avanzando hasta el principio del puente. El enemigo abando nó la orilla izquierda, y destruyó su puente. El general Bertrand mand…</t>
  </si>
  <si>
    <t>…dua con el general Denwrousky guardada la posición y arrabales de Leipsick sobre el camino ¡de Halle* A las tres de la mañana el Emperador estaba en la aldea de Lindenau. Mandó al general Bertrand que marchase sobre Lutzen y Weisenfelds, re conociese la llanura, y se asegurase de las salidas sobre el Saale y de la comunicación con Erfurt. Las tropas ligeras del enemigo se dispersaron; y al medio dia el general Bertrand era dueño de Weisenfelds y del pu…</t>
  </si>
  <si>
    <t>721</t>
  </si>
  <si>
    <t>…erador durmió en Markranstaedt: el duque de Reggío- ha bia quedado en Lindenau. El 20 el Emperador pasó el Saale en Weissensfels. El 21 fasó el exército el Unstrut en FVeyburg: el general Bertrand to mó posición en las alturas de Coesen. Ei 22 el Emperador durmió en Ollendorf, y él 23 llegó á Erfurt* El enemigo, consternado con las batallas del ió y del 18/ por el desas tre del 19 ha recuperado su entusiasmo y el ascendiente de la victoria. El exército…</t>
  </si>
  <si>
    <t>…3 de octubre el exército enemigo de Silesia marchó hacia el Elster porKonigsbrück y Eiferswerda , echó un puente en el recodo que for ma el Elba en W artenbourg, y pasó el rio. El general Bertrand estaba si tuado sobre el istmo en una bella posición rodeada de pantanos y maleco nes. Desde las nueve de la mañana hasta las-cinco de la tarde atacó el ene migo siete veces, y en todas ellas fue rechazado, dexando en el campo de batalla 6© muertos; nuestra p…</t>
  </si>
  <si>
    <t>…da de 4 á hombres. El 15 la posición del exército era la siguiente. El quartel general del Emperador estaba en Reidnitz á media legua de Leipsick. El quarto cuerpo, mandado por el general Bertrand, estaba en el pueblo de Lindenau. El sexto cuerpo en Libenthal. El Rei de Ñapóles con el segundo, octavo y quinto cuerpo tenia su de recha en Dalitz, y su izquierda en Líber-Wolkowitz. El tercero y séptimo cuerpo estaban en marcha de Eulenbourg, para flanquea…</t>
  </si>
  <si>
    <t>…satisfacción, le nombró sobre ei campo de batalla mariscal de Francia, y ha concedido un gran número de distinciones á los regimientos de su cuerpo. Al mismo tiempo era atacado el general Bertrand en Lindenau por los generales Gmlay, Thielman y Lichtenstein. Presentáronse por una y otra parte unos 50 cañones. El combate duró seis horas, sin que el enemigo pu diese ganar una pulgada de terreno. A las cinco de la tarde el general Ber trand decidió la vic…</t>
  </si>
  <si>
    <t>…&amp; hombres; qu: Platow con sus co sacos le obbg.) á retroceder á Dres le coa perilla de 1500 prisio neros.— El general Bluche? pasó el Elba, y ganó una victoria sobre el cuerpo del general Bertrand, tomando 18 piezas de arti leríg, muchos caxones, y mas de 1600 prisioneros. EL Príncipe real ha bía también pasado el Elba , y obraba de concierto con Blucher. A la llegada de Bennigsen á Bohemia hiz® el exército grande un mo vimiento por la izquierda en el…</t>
  </si>
  <si>
    <t>Bertránd</t>
  </si>
  <si>
    <t>…po como lo hubiera executado un viagero particular. Después de pasar el Elba acometió el 3 de oc tubre,, cerca de Wartemburg, al quártocuerpo del exército enemigo, man dado por el general Bertránd, le derrotó , mató á muchos , arrojó dicho cuerpo de sus atrincheramientos; se apoderó de 16 piezas, 70 caxas, c hi zo lülpfijióneros; Él'¡teniéñtecovonel Lowenstern con un pequeño desta ca mentó de Cosacos peleó en las calles de Berneburg contra mas de 2© en…</t>
  </si>
  <si>
    <t>1278</t>
  </si>
  <si>
    <t>…ón de Wetterst¿d. = Thornton. Cuartel general de Dessau 4 de Ocfutre. Según los oficios recibidos del general Blucher, tuvo una acción con ei cuarto cuerpo francés, mandado por el general Bertrand.— Estaba este atrincherado fuertemente en una aldea entre Wartenburgo y Bledin. — El cuerpo del general D'York desalojó y derrotó al enemigo, haciéndole mas de i© prisioneros; se le cogieron ó pie zas de artillería y 7© caxones con todo lo correspondiente. Un…</t>
  </si>
  <si>
    <t>…Lutzen y Wekseufels , despejase la llanura, y asegurase las avenidas sobre el Saale y la comunicación con Erfurt. Las trepas ligeras del enemigo se dispersaron, y el medio día el general Bertrand era dueño de Wtisseufcls y del puente'del- Saale.' Teniendo el emperador aseguradas de este medo sus comunicaclones , esperó á pie firme ai er.em'go. A las 9 tuvo avho de que este marchaba en toda ia línea. A lás 10 se empeñó el cañoneo, los generaks Poniatot…</t>
  </si>
  <si>
    <t>…, no quiso ‘perseguir al enemigo ; el qual sin embargo á las tres de la /tarde, noticioso de que el exército francés había desfilado* volvió .de nuevo á cargar sobre él cuerpo del general Bertrand. s i Una división bá vara-austríaca entró el 30 en Francfort: los franceses re? cuperaron ésta ciudad , y volvieron luego á abandonarla1 el 2 de noviembre, dirigiéndose hacia el Nilda. En el mismo dia, las cinco de la mañana el Emperador entró en Maguncia. !…</t>
  </si>
  <si>
    <t>…en Francfort: el duque de Treviso, con dos divisiones de la guardia nueva y ei primer cuerpo de caballería, estaba en Giinhausen: el duque de Reggio había llegado á Franc fort: el conde Bertrand y el duque de Ragusa estaban en Hanau; y el gene ral Sebastiani junto al Nidda. Carta del duque de Vicenza al eapitan comandante de los dos regimientos de coracero s saxones empleados en el cuerpo de caballería del conde Latour-Maubourg. Mackraiistoede ip de…</t>
  </si>
  <si>
    <t>…entimiento la destrucción de 4 ó 5$ bávaros, que habría sido el resultado de esta persecución. S. M. se contentó con hacer perseguir ligera mente la retaguardia enemiga, y dexó al general Bertrand sobre el rio de Kintzig. A cosa de lastres de la tarde, enterado el enemigo que el exército ha bía desfilado, volvió á ocupar sus antiguas posiciones, esperando conseguir aiguna ventaja contra el cuerpo del general Bertrand. Las divisiones MoT.-.r.d y Guillem…</t>
  </si>
  <si>
    <t>…atigado, no quiso perseguir al enemigo; el cual sin embargo á las 3 de la tarde, noticioso de que el exército francés había desfilado, volvió de nuevo á cargar sobre el cuerpo del general Bertrand. Una división bivaro-austríaca entró el 30 en Francfort: los fran ceses recuperaron esta ciudad, y volvieron luego á abandonarla el a de Noviembre , dirigiéndose hacia el Nidda. En el mismo día , á las 5 de la mañana , el emperador entró en Maguncia. Idem del…</t>
  </si>
  <si>
    <t>…y de Boniato wsky. Tenemos derecho de concluir que el exéreito que ha traído á Maguncia está eompuesto de las reliquias de todos estos cuerpos *que ha puesto baxo las órdenes del general Bertrand. _Los vientos contrarios nos han privado hasta este momento de los oficios de los embaxadores de S. M. cercade los Soberanos aliados, y de las relaciones postétiore^ á la entrada en Leipsick * de dichos Soberanos al ¡fren te de susAexercitós' victoriosos. Est…</t>
  </si>
  <si>
    <t>…ustro-bávaros. Para que no se forme tan mal concepto de sus apuros, publica en su tercer boletín que aun queda en la derecha de i Rkin un cuerpo muy resp ta,bie á las órde nes del general Bertrand ; pero no ptede ocultar su situación, y la indica en el mismo, añadiendo que Macdonald o, ut daba en Colonia organizando un exército para defender el Bcxo-Rhin ; Marmont en Me guacia, adonde’había ido Keii.erman , y que e'i res.o del exéicuo había pasado el R…</t>
  </si>
  <si>
    <t>Bertranú</t>
  </si>
  <si>
    <t>…d a con ei general Dombrorvski guardaba la. posición y el arrabal de Liipsick sobre el camino de Halle. A las 3 de la mañana el emperador estaba en la aldea de Lindenau : mandó al general Bertranú que se dirigiére sol.re Lutzen y Wekseufels , despejase la llanura, y asegurase las avenidas sobre el Saale y la comunicación con Erfurt. Las trepas ligeras del enemigo se dispersaron, y el medio día el general Bertrand era dueño de Wtisseufcls y del puente'd…</t>
  </si>
  <si>
    <t>Bertraúd-</t>
  </si>
  <si>
    <t>…econoció las fuerzas del enemigo del coarto* sexto y séptimo cuerpos dtl exército francés, y de una gran parte de la guardia j mandados por los mariscales Maimónt y Ney , y por el general Bertraúd-» que ocupaban una línea cuya derecha estaba en íreyroda, y la izquierda en Liadenth&amp;l. Ei psis es abierto y muy favorab:e á la caballería en las..inmediaciones de estos últimos pue blos; pero el enemigo ocupaba una fuerte posición al frente de un bosque de ba…</t>
  </si>
  <si>
    <t>Beruadotte</t>
  </si>
  <si>
    <t>…erico el Grande. Nuestro Reí se detuvo aquí pocos dias, y durante su estancia pasó revista á 120 hombres de hermosas tropas. . (Jottemburgo 30 de julio. Es tal la esperanza que el príncipe Beruadotte tiene de la renovación de las hostilidades, que á su vuelta del quartel gene ral de los dos ^fonarcas, al pasar por Liza, donde se hallaba el cuerpo ruso del' general Wizengerode, que esta baxosü mando, le hizo mover para Ber lín.. Generalmente todas las noti…</t>
  </si>
  <si>
    <t>Besga, Santos</t>
  </si>
  <si>
    <t>Santos Besga</t>
  </si>
  <si>
    <t>…no Onnaeckea, D. Victoriano Iribarren , D. Juan José Tercero, D. Ignacio Lasa, I), Tomas Faudiño, 1). Gregorio .Eche» garay, D. A n Ionio Arzola, D. Jacinto O na , D José Vinegra, D. Santos Besga , D. Joaquín Ruiz, D. Ma uel Clemente, D. Ra món Marañon , D. José Albumes, D. José Luizaain , D. Francisca Ardaiz, D. José Díaz, D Antonio Abadía, D. Nicolás Soriano, D. Bernardo Moliner, D. Manuel Llera, D. José Perulan, D. Ray» mundo Marqués, D. José Gorri…</t>
  </si>
  <si>
    <t>Besrodn</t>
  </si>
  <si>
    <t>y el mayor general Besrodn ban juntado de los diferentes almacenes de la ciudad 14000 medidas de cebada, 5000 de harinas y galleta, y un número considerable de uniformes, fusiles, monturas , ves tuarios , y otros artículos de equipage,,Hicimos prisioneros7 generales, á saber: Vivier, G…</t>
  </si>
  <si>
    <t>Bessi</t>
  </si>
  <si>
    <t>…esta bataib q ie las comunicadas por Bonap&amp;rte á su esposa, debe suspenderse el jai cíe en cuanto al resultado. Lo cierto es que según esta misma relación sospechosa, murieren el mariscal Bessi^res y el general Girard, habiendo quedado heridos olios 3 generales; que el centro del exéreii o francés cedió al ímpetu de les aliados ; que en consecuen cia se desbandaron algunos batallones, aunque parece volvieron á re unirse ; que Bonaparte escaseaba muc…</t>
  </si>
  <si>
    <t>Bessieres</t>
  </si>
  <si>
    <t>…ado prodigios de valor, y haber sufrido la caballería rusa una lluvia de metralla, declaran los ene migos que su pérdida ha sido solo de 90 hombres; pero entre ellos 'se cuenta al mariscal Bessieres, duque de Istria, que habia acompa ñado á Bonaparte en todas sus campañas, y á quien mató aquel dia 1111a bala de cañón. Aparece por las relaciones francesas que los aliados fueron los que acometieron en la batalla del 2 , cuya determinación tomaron así que o…</t>
  </si>
  <si>
    <t>…esta batalla que las comunicadas por Bonaparte á su esposa, debe suspenderse el juicio en quanto al resultado. Lo cierto es que, según esta misma relación sospechosa , murieron el mariscal Bessieres y el general Girard, habiendo quedado heridos otros tres genera les ; que el centro del exército frailees cedió al ímpetu de los aliados; que en consecuencia se desbandaron algunos batallones, aunque parece volvieron á reunirse; que Bonaparte escaseaba mucho…</t>
  </si>
  <si>
    <t>BetnstorfF</t>
  </si>
  <si>
    <t>102</t>
  </si>
  <si>
    <t>…rzos del Reí para disminuir los inconvenientes á que están ex puestos sus fíeles súbditos por la interrupción de las comunicaciones entre los dos reinos han; sido infructuosos. El conde BetnstorfF, que había sido enviado á Londres con proposiciones de paz (dictadas por el ministro de Bonaparte en Copenhague Mr. Alquier), ha sido despedido y desechado del gobierno ingles sin querer oírle (hizo bien, tales disparates proponía; y viendo que no tenia cabid…</t>
  </si>
  <si>
    <t>Betratiaga, Pedro Vicente</t>
  </si>
  <si>
    <t>Pedro Vicente Betratiaga</t>
  </si>
  <si>
    <t>…ncia, los que nos dan la ¡dea de que -nuestros Fernandez de Ruidiaz. exércitps están’i la vista, y la esperanza de una Para el de Villalba de Rioja al ex-dominico próxima liberad. D. Pedro Vicente Betratiaga. En el dia hemos tenido un muerto y dos he Para la vicaría perpetua de la real capilla par ridos. roquial de la ciudad de Náxera á D. Angei Custo Noche del 2/ al 29. Hemos pasado una noche dio Carrillo, beneficiado de la villa de Ocon. mui sosegada con respec…</t>
  </si>
  <si>
    <t>Bettrand</t>
  </si>
  <si>
    <t>…, e i la margen opueata, que ganó después de una porfiada resistencia, apoderándose de 16 pieras de artillería. Se sabe que esta victoria se consiguió sobre el cuerpo al mando del general Bettrand, la que no se obtuvo sin grande pérdida, perticülcrmenter de las tropas del mando del general D’Yorfc; pero aun no se ha* recibido los detalles. — El Príncipe real recibió ayer esta noticia , y fe resolvió á mandar pasar el Elba hoy á todo su exército» los ro…</t>
  </si>
  <si>
    <t>Beu</t>
  </si>
  <si>
    <t>…brero de 3 S12 , na mandado se proceda ai por un examen mas proliv' que la irayor parte de embargo y secuestro de todos los bienes muebles y raíces, presentes y futuros, del didio señor Beu* los verses de este manuscrito se hallan en la lija</t>
  </si>
  <si>
    <t>Beurlier</t>
  </si>
  <si>
    <t>…as iglesias, obra principiada por S. M. ha expedido en el palacio del Elíseo-NaS. Luis, continuada por Luis xiv y concluida por poleon el 3 de abril el decreto siguiente: Nos ; al barón Beurlier, obispo deEvreux, decano Nuestro primo el príncipe archicanciller del de nuestros obispos, y uno de los doctores mas dis imperio queda nombrado gran dignidad de Ja or tinguidos de la Sorbona de París, sociedad que ha den de la corona de Hierro. hecho tan impo…</t>
  </si>
  <si>
    <t>Beurmann</t>
  </si>
  <si>
    <t>Gaceta de Madrid n.º 69</t>
  </si>
  <si>
    <t>IMFE RIO FRANCES. monte Ceiñe y el camino que va á Vich por Villadrau. Advertido por mí el general Beurmann, ,■ Parts 4 de enere. emprendió sin dificultad con el convoi el tramito de Trente-Pasos , inquietándole únicamente algu * ‘ Ministerio de. Guerra nos tiradores, á quienes rechazaron los destaca EXEROITO DE,, CATALUÑA. mentos de ia retaguardia, y efectuó su un…</t>
  </si>
  <si>
    <t>Beüver, Juan Bautista</t>
  </si>
  <si>
    <t>Juan Bautista Beüver</t>
  </si>
  <si>
    <t>…igió con toda su compañía el capí tan D. Vicente Alcaina, haciendo amagos con 8 escaleras de atsliar la muralla: delante de' la torre de la fuente se situó el capitán de cazadores D. Juan Bautista Beüver con el resto de su compañía, debiendo realizar el asalto, luego que abriese brecha con picos y azadones en la puer ta de Lanos, tapiada por los enemigo?. El cspi'ait D, Joaquín Ló pez, á las 11, (hora desuñada en la orden general para atacar por</t>
  </si>
  <si>
    <t>Beza, Jbsef María de</t>
  </si>
  <si>
    <t>Jbsef María de Beza</t>
  </si>
  <si>
    <t>…entrada del ‘ valle de Vera para contener las tropas enemigas que pudieran venir de los campos de Zara. „Destiné el segundo regimiento de Cataluña, al mando del teniente co» ronel D. Jbsef María de Beza, á ocupar, si era posible, la alta montaña de Larrun. . ,, Los regimientos de Galicia y Madrid , á las órdenes del coronel del primero de estos cuerpos D. Salvador Sebastian, géfe interino de la primera brigada de la segunda división , formaban la reserva. ,,…</t>
  </si>
  <si>
    <t>Beza, Josef María de</t>
  </si>
  <si>
    <t>Josef María de Beza</t>
  </si>
  <si>
    <t>…de reales Guar dias Españolas, comandante del batallón de cazadores de la coluna de. la de recha; el teniente coronel D. Fermín Mendialdua, comandante del regi miento del General; D. Josef María de Beza, teniente coronel comandante accidental del regimiento segundo de Cataluña; el sargento mayor del regi miento de Pravia D. Francisco Cabrera, comandante del batallon.de caz.ar dores de la coluna de ia izquierda, que fue gravemente herido; y lo,s ofi ciales de…</t>
  </si>
  <si>
    <t>Bfuyérej</t>
  </si>
  <si>
    <t>122</t>
  </si>
  <si>
    <t>…n das i todos 'voluntarios de Parts y sus inmediaciones; los generales Lefebvre y Colbert y sus coroneles hacen de ellos los mayores elogios. En este cb.or que de 1^'caballéría el general Bfuyérej oficial del mayor mérito, perdió una pierna por una bala de cañón.__ El general Regnier con un cuerpo de tropas saxonas ganó Jas.'alturas mas allá de Reickembach, y persiguió al , enemigo hasta la aldea .de ilotendorf. Nos cogió la noche á una legua de Gorlit…</t>
  </si>
  <si>
    <t>Bibikow</t>
  </si>
  <si>
    <t>…ral, ¿0 oficiales, y mas de 1000 soldados , tomándoles ademas 28 cañones, y un número considerable de transportes Nuestra pérdi da fuá muy corta: el coronel Howaisky y el teniente coronel Bibikow ciiedaron heridos gravemente. „Despues que me apódese de Wiína empleé todos los medios oportunos pira restablecer el orden , é informarme de todo lo ocur rido ; pero el poco tiempo que he tenido no me ha dado dirnr de presentar á V. M. I. un inventario de. to…</t>
  </si>
  <si>
    <t>Bicard</t>
  </si>
  <si>
    <t>…la acción quatro divisiones de las cinco que mandaba el príncipe de Moskwa. Se tomó repetidas veces el pueblo de Kaya. Quando quedó este por el enemigo, el conde de Lobau envió al general Bicard para recuperarle, y lo consiguió. La batalla abrazaba una línea de dos leguas, cuoierta dé fuego, humo y polvareda. A todas partes acudian el príncipe de Moskwa, el general Son rían y el general Girard, haciendo frente á qualquier punto en que era necesaría s…</t>
  </si>
  <si>
    <t>Bichen</t>
  </si>
  <si>
    <t>…edición há si do eí de haber facilitado la libertad á mas de 250 prisioneros de los 500 que hicieron; mas de 150 muertos enemigos, 10 prisioneros, y como 300 heridos , entre ellos general Bichen. Éste cálculo es el que -extienden y confirman los enemigos en su destacamento de Guadalaxira. Por nuestra parte hubo muertos los oficiales, el capitán Craser y D. Femando Morales, con el cadete de Cuenca D. Miguel del Alamo , 2 sargentos, 32 soldados y un ca…</t>
  </si>
  <si>
    <t>Bigham</t>
  </si>
  <si>
    <t>…principal posición delenemigo con el regimiento de ca zadores núm. 7.0, sostenido por el del núm. n.°, ambos portugueses, el re gimiento 4o.0 ingles , y el batallón del mando del coronel Bigham , compues to &gt;del 15:3.° y regimiento de la Reina británicos. Todas estas operaciones obli* garonal enemigo á abandonar su posición, que era una de las mas fuertes y de mas difícil acceso que jamas he visto ocupada por tropas. . ' ,,A1 retirarse el enemigó de…</t>
  </si>
  <si>
    <t>Bighan</t>
  </si>
  <si>
    <t>…e de la principal posición del enemigo con el regimiento de cazadores núm. 7, sostenido por el del núm. 11, ambos portugueses, el regimiento 40 ingles, y el batallón del mando del coronel Bighan, compuesto del 53, y regimiento de la Beyna británicos. Todas- estas operaciones' obligaron al enemigo á abando nar su posición, que era una de las mas fuertes y de mas difícil acceseque jamas he visto ocupada por tropas. „A1 retirarse el enemigo de estas-mon…</t>
  </si>
  <si>
    <t>Bildt</t>
  </si>
  <si>
    <t>…niente fe Id* mariscal Kutscher; el conde Metternich, secretario de Guerra; el barón Bmder; Mr. de Floret; lord Aberdeen, embaxador ingles; el barón HumboJdt, enviado prusiano; el barón Bildt, enviado sueco; el condeCollowrath , gran burgrave de Bohemia, y destacamentos de las guardias nobles alemana, 0hema y húngara. Há.sido nombrado gobernador de esta ciudad el rrmcipe Felipe de Hesse-Honiburgo. _ . 1 I&gt;d /a. La gazeta de S. Gall, en Suiza, anun…</t>
  </si>
  <si>
    <t>Bing</t>
  </si>
  <si>
    <t>…oult reunió el dia 24 de Julio el ala derecha é izquierda de su exército , dos divisiones del centro , y dos de caballería en S Juan de Pie de Puerto ; y el 25 atacó el puesto del general Bing en Roncesvalles con el número de 30 á 40000 hombres. El teniente general Sir Lowry Colé marchó con la cuarta división á su socorro, y unidos estos generales, pudieron conservar el puesto todo el dia. Pero habiéndolo el enemigo de bordado por !a tarde „ S¡r Lo…</t>
  </si>
  <si>
    <t>…ente general el honorable Guillermo SLwart fué nuevamente herido en esta ocasión. ,,En el ínterin que los expresados generales atacaban al enemigo , me adelanté con la brigada del general Bing, y la quarta división del mando del honorable teniente general Sir Lowry Colé por el puerto de Belate á Irurita, con el fin de envolver la posición del enemigo en Doña María. „El mariscal de campo Bing cogió en Elizondo un grande convoy que iba at enemigo, é…</t>
  </si>
  <si>
    <t>Bioomfield</t>
  </si>
  <si>
    <t>…fueron los siguientes: los mar queses de Hertfort y Headfort: los condes VVe^tmorlaud, File , L-verpoo y Bathurst: los lores Castlereash , Hampden , St. He eis y _ \ armouth : el coronel Bioomfield ; el teniente coronel Congreve; 1). Luis de los Ríos, hermano de nuestro embaxador; el brigadier Dowméjal servicio de Espa ña J ; D. Josef Alonso Ortiz, cónsul general de España, y. D. Mauricio,Ort¡z, secretario interino de la embaxada. (conciso.)</t>
  </si>
  <si>
    <t>Bissiiopp</t>
  </si>
  <si>
    <t>…, cuyo extracto es el siguiente:. Kingston y en el Cañada superior , gde Julio de i8ig. Tengo el honor de remitir á V* S. copias de las cartas del co ronel Vicente; y dei teniente coronel Bissiiopp , y los papel s que vienen adjuntos, que condenen la. agradable n íi.ia dc la pre^a he cha el 24 del mes pasa io de un cuerpo de tropa» enemigas,, com puesto de 2 oficíales superiores, 21 subalternos , 27 srrgen os y 462 sóida tes, y ademas u. a bandera y 2 p…</t>
  </si>
  <si>
    <t>Bíucher</t>
  </si>
  <si>
    <t>…a en Schadau, con objeto de envolver á Davousí. Ademas han llegado al Vístula cerca de 100000 rasos de re fuerzo. Las fuerzas prusianas están distribuidas del modo siguiente. — El general Bíucher se ha movido desde la Silesia á la Saxonia. —. El general D’Yoik está en Berlín con el grueso del exército, y ha enviado destacamentos á H&amp;rahurgo y Rostock, que están ahora ocupadas por tropas prusianas. Otro destacamento prusiano ha si tiado á Stettin , que…</t>
  </si>
  <si>
    <t>Biucher</t>
  </si>
  <si>
    <t>…clay de Td’y era acosado por tan superiores fuerzas, se dio orden al ge neral Biucher para moverse por su derecha, y atacar al enemigo por el flan co. Fueron después á sostener al general Biucher los generales Kieist y York, y entonces comenzó un combate sumamente sangriento. ,,Con estos ataques se logró rechazar al enemigo:-el del general Bluchear excede á todo elogio; y los prusianos en este memorable día, igualmente que en la batalla de Lutzen, hic…</t>
  </si>
  <si>
    <t>…s el 15 de agosto, y atrave sando el exército, de Blucher , siguió al quartel general ruso. Confirma ,1at noticia de que Napoleón pensaba atacar al exército que cubre á Berlín. El general Biucher ocupaba á-Breslau el 14 de agosto. , Bohemia $ de agosta. Mañana ó pasado mañana pasará por este reino para Egra un exército de 40® rusos y prusianos. Se han mandado aprontar 1200 carros para conducirles víveres. • , Bitlm i 6 de id. Según noticias auténticas…</t>
  </si>
  <si>
    <t>Gazeta de la Regencia de las Españas n.º 126</t>
  </si>
  <si>
    <t>1041</t>
  </si>
  <si>
    <t>…general francés de división Jcmini, gefe del estado mayor del exército que maada el príncipe de Moskwa (Ney) se pasó el 15 á los aliados, y después de transferirse al exército del general Biucher, continuaba al cuartel general ruso, y ha confirmado que efectiva mente Napoleón intenta atacar primero el exército que cubre á Berlín. El general B ucher ocupaba á Bresiau el 14. Con motivo de ser hoy el aniversario del dia en que por pri mera vez se congreg…</t>
  </si>
  <si>
    <t>…junto al valle de Tharrnd porque tenia suficiente número de tropas ; pero al medio día llegó la noticia de que Pirna estaba de nuevo ocupada por fuerzas consi derables , y que el general Biucher había tenido en 6 dias cinco acciones , dos de ellas generales; una en presencia de Bonaparte so bre el Bober, y otra en la que habiendo tomado los bsgages de Macdonald, se tuvo que retirar para Jauér. Al propio tiempo sa lieron de la ciudad gran Ies columnas…</t>
  </si>
  <si>
    <t>…ri cal JMbcdonald una posición muy fuerte en las ce'casias de Jan r en Silesia, la que había guarnecido con numerosa artillería. Sin embargo fue atacado en ta miñana del 26 por el general Biucher, y de pue« de una viva ac Jon se vio el enemigo arrojado de todos lo.» puestos de su posición , dexando en el campo 50 piezas de artillería, 39 caxones y carros ¿e -municiones con mas de ic0 prisioneros. Ul ataque se renovó el 27 y 28 c^n nnevo vigor, y con i…</t>
  </si>
  <si>
    <t>…o en Toplitz d j de Setiembre. En este oficio se recapitulan las acciones de Dresde, la destruc ción del cuerpo de Vandamme, y tratando de la derrota de Aíacdonald, refiere que el general Biucher con los generales rusos Langeron y Sachen , habiendo derrotado enteramente el cuerpo de MacJdonald , y parte de otros que le estaban unidos , retirándose so lamente cuando el enemigo le opuso fuerzas muy superiores, arrojó al enemigo de los ríos Beber , Queis…</t>
  </si>
  <si>
    <t>…en: Roslau i h^ pasado el rio esta madrugada , y ha marchado otra vez á Dessau* Sus ¡avanzadas sé extendían hasta Ragun y Jonitz, y había efec tuado su reunión con el'éxército del general Bíucher. *E1 del mariscal Ney. dexó á Déssau y Jonitz á las cinco de esta mañana/ Se ha perseguido vigo rosamente á su retaguardia , y se le han hecho algunos prisioneros. Se^nece sitan cinco ó seis dias para concluir las obras dé Roslau. Sé han trazado en un hermoso…</t>
  </si>
  <si>
    <t>…rrido suceso alguno de importancia. Las tíni cas noticias que hay son que Bonaparte llegó el ay á Hsrtha , cer ca de BischcíFswerda. Parece que meditaba alguna tentativa contra el general Biucher; pero viendo que este oficial no solo estaba dis puesto á. recibirle , sino que hacia dispodciores para atacarle, ”se re tiró , según parece, con pérd’da á Dresde , en dcnde, según las ultimas noticias , se hallaba, teda vía la guardia antigua, y varios de pó…</t>
  </si>
  <si>
    <t>…CRETARIA DE NEGOCIOS EXTRANGEROS. Por los oficios recibidos de M. Thornton con fecha de 7 y 8 del corriente en Dessan y Zebhz, se sabe que el Príncipe real se avistó el día con el general Biucher, á medio camino entre Z bitz y Da*' ben, pues el cua'ttel general del Príncipe estaba en el primer pueblo,</t>
  </si>
  <si>
    <t>…marchó de Gesnitz á. Zo;b:g, y los exércitos de Silesia y norte de Alemania se reunieron en este punto. .Habiéndose determinado pasor el Síiaie, se dieron anoche las órdenes, y el general Biucher marchó con ei exército de Sile ia pa-a pasar el rio en Wctíia, para lo que se construyeron puentes. Ei general Bulow con su cuerpo ctbia igcelnrsente pasarlo en Wetiin. El general Winzingerode coa los ruror; en Rottenburgo, y el Príncipe real con les suecos e…</t>
  </si>
  <si>
    <t>•i'iSS P. D. El general Biucher no pudo pasar el rio en Wettin por no estar acabado el puente, y tuvo qoe pasarlo per Halle; el general Buloiv no ha pasado hoy; pero el resto del exército aliado eitá sobre la oróla izquierda d.l S !a!e. = C. Stewarf. El 8 del corriente se firmó un tratado d…</t>
  </si>
  <si>
    <t>BIucher</t>
  </si>
  <si>
    <t>Gazeta de Madrid bajo el Gobierno de la Regencia n.º 94</t>
  </si>
  <si>
    <t>…s que desearse pueden las noticias de todas partes de Holanda. Ya es sabida la evacuación de Utrecht por los franceses. El 30 de noviembre llegó con 1500 hombres á dicha ciudad el general BIucher, hijo del gran Blucher, y en el discurso de la tarde entró también en la misma el general Ñaritschin con 2© rusos de infantería y caballería. En el iuismo día se recibió en el Haya la noticia cierta de haber llegado á Isiel 18© aliados , y que habían tomado p…</t>
  </si>
  <si>
    <t>Biuchr</t>
  </si>
  <si>
    <t>1297 El paso se realizó sin mucha oposición. El general Winzing rodé hizo unos 3® prisioneros en F&amp;ucha, y tomó algunos c&amp;ñones. El general Biuchr puso su exército en movimiento lluego que vió que el exército gritide e.taba muy empeñado ea las inmediaciones de las aldeas «áe Stodintz y de Probestheyda; y la infantería del exérci to del Príncipe real sua no había tenido tiempo- de hacer su movi miento de…</t>
  </si>
  <si>
    <t>Bjonstur-</t>
  </si>
  <si>
    <t>…mientos por los del exército , y están en comunicación con él. . . . , El príncipe de Eckmuhi aun continuaba en su posición junto a Schwerm el 2S de Agosto.—-S. A. R. envió hoy al coronel Bjonstur-</t>
  </si>
  <si>
    <t>Bjorns</t>
  </si>
  <si>
    <t>…us yo hombres, y después de una obstinada'fesist me i a-, tos .desb irató : h zo algunos prisioneros , todos heridos; pero el raiimo capitán Zeunert lo fue También de gravedad. El coronel Bjorns jerna, desacado con tropas.suecas ala izquier da dei Elba, marchó-el 20 á Ke&amp;iberg con intención d¿ sorprehen • d~r á unos polacos ; pero ya se habían marchado por el cami no de Leipsiek. El coronel fué luego á reconocer ia cabeza de puen te , cerca de Wittem…</t>
  </si>
  <si>
    <t>Bjornstierna</t>
  </si>
  <si>
    <t>Gazeta de Madrid bajo el Gobierno de la Regencia n.º 73</t>
  </si>
  <si>
    <t>…30 hombres ios acometió, y después de una obstinada resistencia los derrotó. Algunos heri dos quedaron prisioneros. El capitán Zeunert quedó en esta acción grave mente herido. El coronel Bjornstierna, habiendo sido destacado con tropas suecas á la orilla izquierda del Elba , marchó el 20 á Kemberg, esperando sorprehender allí una compañía de polacos; pero ya habían salido de este lugar, y tomado el camino, de Leipsick. EL coronel fue últimamente á reconoc…</t>
  </si>
  <si>
    <t>…á las obras de la cabeza del puente. El 27 entre el medio dU y las- dos de la tarde se executó asi. El enemigo no ha emprendido cosa alguna contra el general Von Schulzenheim. El coronel Bjornstierna, que estaba en Worlitz, tuvo órden de -retroceder á la orilla derecha del Elba^ Anteayer la partida que. protegía á los trabajadores en la cabeza del puente hizo un reconocimiento hasta Des* sau. Los puestos enemigos que se había# aventurado á salir de la ciu…</t>
  </si>
  <si>
    <t>…ués recibimos noticias de que el enemigo había recibido refuerzos en De ssau, y marchaba avanzando contra la cabeza del puente. El feld- maris cal conde Steding envió contra él al coronel Bjornstierna con 1® infantes, algunos caballos y dos cañones. El enemigo se retiró precipitadamente á la ciudad, y cerró las puertas. Algunos oficiales y soldados jóvenes, llevados de demasiado valor, aperar de la lluvia de balas del enemigo, de las casas y de las muralla…</t>
  </si>
  <si>
    <t>…e por esca lones á las obras de la cabrea del puente; lo q: e se txecutó el ij desde el m dro d:a á las 2 de 2a tarde. El en migo no emprendió nada tra e¡ g neral SeMjIz^núein. El coronel Bjornstierna, que est en v* orí'tz» re ir ió orden de retirare á la c riila derecha del Elba. A tes de *a^er ei des acamento que protegía i ks trabajadores eit 1* cabeza d l puen e ¡izo un reconocimiento casi hasta Dessan. Las t opas del enemigo qoe habían saudo de a ciud…</t>
  </si>
  <si>
    <t>Bjornsúerna</t>
  </si>
  <si>
    <t>…artillería , y marchó nuevamente contra el enemigo ; pero este se metió en la ciudad , y cerró los puertas. Nuestra pérdida consisúó en 2 oficiales muertos y unos 40.'heridos. El coronel Bjornsúerna tuvo 3 caballos muertos ó heridos bexo de sí. Por la tarde salió el enemigo de la ciudad y se d‘r*g;ó al puente sobre el Muida, qu.2 estaba defendido por un batallo i á las órde nes dé i:'.coronel Adlercreutz. Este valiente oficial p só el puente, ata có si e…</t>
  </si>
  <si>
    <t>Bjorstiern</t>
  </si>
  <si>
    <t>…e Setiembre. Eí dia 23, de madrugada, vinieron dos oficíales saxones á los puertos avanzados suecos en freme de Worlitz, y anunciaron que su batallón quería pasarse i nosotros. El coronel Bjorstiern s , acompa ñado de algunos húsares &gt; fué á recibir al b tri’on. Su coimod .nie el mayor Bunau declaró, en nombre de toda su tropi, que queda com • batir bcxo las banderas de S. A. R. por la lib2rt:.d de Alemania. Este batallón es el primero del regimiento del…</t>
  </si>
  <si>
    <t>Bjorustierna</t>
  </si>
  <si>
    <t>Gazeta de Madrid bajo el Gobierno de la Regencia n.º 77</t>
  </si>
  <si>
    <t>…setiembre. El dia 23 á la madrugada vinieron dos oficiales saxones á los puestos avanzados suecos frente de Worlitz, y anunciaron que su batallón quería pasarse á los aliados. El coronel Bjorustierna, acompañado de algunos húsares, fue á encontrarse con el ba-</t>
  </si>
  <si>
    <t>Bkieher</t>
  </si>
  <si>
    <t>…de la bandera austríaca , y á presentarse en el campo de batalla á favor de sn antiguo monarca. PRUSIA. J Berlín Ji de Agosto. Acabamos de recibir del cuartel general de S. E. el general Bkieher la siguiente relación de la batalla de Katzbac'i: Brechtolsh&amp;f fió" de Agoste. La acción de la brigada del príncide Mecklenburgo el 23 de Agosto cerca de Golb:rg fué una deÍ&gt;e as mas sangrientas de la campaña. La superioridad del fuego enemigo híbia logrado d…</t>
  </si>
  <si>
    <t>Blacher</t>
  </si>
  <si>
    <t>«94 . . bre Leipsick: por'Hñ lado tenían abiertas la comunicaciones con el general Blacher , y por otro debían estos cnerpes enviar destacamen tos sobre sa derecha para facilitar el ataque del cuerpo del general Mcerfdd, y de las divisiones de Bianchi y dé Weissenwolr sobre Zwackau y’Connevvitz, apoderándose del puente del Pleisse en este ültimo pu…</t>
  </si>
  <si>
    <t>…rando hacer el cuadro de los acontecimientos principales, y envián dolos sin un momento de demora, reservando para otra ccasion re=laciones mas circum tan ciadas. La victoria del general Blacher. el 16, ha sido seguida el 18 por otra victoria conseguida por todas las fuerzas combinadas contra él exército de Bonaparte en las cercanías de Leipsick. La pérdida total de mas de 100 piezas de artillería, 6o® hom bres, un inmenso número de prisioneros, la d…</t>
  </si>
  <si>
    <t>Blaiuo, Jo-é</t>
  </si>
  <si>
    <t>Jo-é Blaiuo</t>
  </si>
  <si>
    <t>1266</t>
  </si>
  <si>
    <t>…la vi la dt: Campanario, en la provincia de Extremadura, noticioso de las necesidades que pade cen ios soldados del cuál ro exéreito ha contribuido voíun-ariamente, tar en Badaj z D. Jo-é Blaiuo; y de que dicho general ha d do parte á la Regencia dei reyno. S. A., corvdderando el alto aprecio que se merecen estos ra gos dr generoso patriotismo, se ha cerrida mandar que se den gracias fal ay ü. tami nto, y s: publique en la ga ceta del Gob'ern# para n…</t>
  </si>
  <si>
    <t>Blake, Joaquín</t>
  </si>
  <si>
    <t>Joaquín Blake</t>
  </si>
  <si>
    <t>Gazeta de la Regencia de las Españas n.º 25</t>
  </si>
  <si>
    <t>203</t>
  </si>
  <si>
    <t>…e le guar den , hagan guardar, cumplir y executar en todas sus partes. Tendreislo entendido ; y dispondréis lo necesario ¿ su cumplimiento. — Gabriel Ciscar, presidente. — Ausente D. Joaquín Blake, con permis o de las Cortes. — Pedro de Agar. — En Cádiz á 22 de Setiem bre de 1811. —A D. Ignacio de la Pezuela. Continúa la lista de los vales de duplicada renovación. Clases y números con que Sugetos á quienes estasa N.° de vales. van señalados. renovados.…</t>
  </si>
  <si>
    <t>Blanchard</t>
  </si>
  <si>
    <t>…, y la sorpvehendió en aquel pueblo en la no ,,Los dos primeros se rescataron por dinero; che del 15 at tú del corriente. La guarnición ha pero los ingleses hicieron decapitar ai Sr. Blanchard, derrotado completamente la partida , haciéndole varón de insigne valor, y digno de vivir eterna- trio hombres prisioneros, y cogiéndole 200 caba llos: el número de muettos ha sido uonsiderabie. Q) Españoles, ved y acabad de conocer el preten Después de esta…</t>
  </si>
  <si>
    <t>Blanckley</t>
  </si>
  <si>
    <t>…s oficiales encargados en la provisión del exér cito ha sido tal que en él no se carece de nada. Tiene también mui pocos .en fermos. Del % 7 de agosto. Llegó el martes anterior el capitán Blanckley,’ del 23.0 de línea, y trae para el Príncipe Regente la espada de Josef Bonaparte, que abandonó tn su fuga de Vitoria. Podemos asegurar que hai en Londres cartas de co merciantes franceses avecindados en las ciudades de Francia, que aguardan ver á los aliados…</t>
  </si>
  <si>
    <t>Blanco, Bernardo</t>
  </si>
  <si>
    <t>Bernardo Blanco</t>
  </si>
  <si>
    <t>591</t>
  </si>
  <si>
    <t>…e la batalla de Busaco, S. E. dio una comida de )O cuJb¡erto$ á sus generales y ayudantes dé campo. El alcalde constitucional de la villa de Énche, en la provincia de Guadalaxara, D. Bernardo Blanco, dirigió en el ines pasado á sus convecinos una proclama llena de lós mas tiernos sentimientos de honor y generosidad. Su objeto es no perder momentos en la enseñanza de primeras letras, ínte rin se establece el plan general de educación; y para dar pruebas d…</t>
  </si>
  <si>
    <t>Blanco, Francisco</t>
  </si>
  <si>
    <t>Francisco Blanco</t>
  </si>
  <si>
    <t>…lomé Cano de Molina, substituto se D. Angel Sahagun, alcalde. D. Vicente Esper, substituto primero.gundo. Barrio de las Niñas de la Paz. D. Arias Gonzalo de Mendoza, substituto se D. Francisco Blanco, alcalde. gundo. D- Tomas Ximenez, substituto primero. Barrio de las Mercenarias. D. Carlos A riña, substituto segundo. D. Domingo Rcinoso, alcalde. Barrio de la Loma.ire. D. Josef Aronso , substituto primero. D. Francisco Gorvea , alcalde. D. Miguel de Moya,…</t>
  </si>
  <si>
    <t>Blanco, Gregorio</t>
  </si>
  <si>
    <t>Gregorio Blanco</t>
  </si>
  <si>
    <t>…, tomándoles mas de 70 c bailes. 3Ó. En la misma fecha, el capitán D. Juen José Psdilla con una partida de tropas de Sonora , reunidas á las de otra de Nueva-Viz caya al cargo del capitán D. Gregorio Blanco, atacó en lis cercanías del Real de Cópala un grueso pelotón de enemigos, dando muerteá 9 de ellos, y dispersando el retío-por los cerros..</t>
  </si>
  <si>
    <t>Blanes</t>
  </si>
  <si>
    <t>…er para con la de S. Juan de Dios. Otra del Sr. Aparici, para que el gobierno informe periódicamente acer ca del estado de subsistencias de los exércitos, y su reemplazo. Otra del Sr. Blanes, para que asimismo informe el gobierno las provi dencias que haya dado para socorrer las necesidades del exército en la cer canía del invierno. Vióse el dictámen de la comisión de Guerra sobre la nueva planta dada por el gobierno, á Ja infantería en diciembre…</t>
  </si>
  <si>
    <t>Blesa, Antonio</t>
  </si>
  <si>
    <t>Antonio Blesa</t>
  </si>
  <si>
    <t>…iz, D. Francisco Ruiz , D. Cristóbal Pereti, D. Mariano Raqpedano, D. Mariano Amorós, D. Manuel Rodrigo, D. Gregorio Lagarda, D. José García, D. Antonio Ortíz, D. An gel Martínez, D. Antonio Blesa, D Fermín Fabiano, D. Pedro Garrea, D. Pablo Franca, D. Antonio Santos, D. Manuel Uría^ D. Bernardo Uriz, D. Geferino Galindo y D. Seraíin Ockoa. CADIZ ; EN LA IMPRENTA NACIONAL.</t>
  </si>
  <si>
    <t>Bloomiield</t>
  </si>
  <si>
    <t>Gaceta de Madrid n.º 3</t>
  </si>
  <si>
    <t>…zar ál mayoi rencia con los lores deí almirantazgo. Sackrider que manda una parte 02 los regimientos Entre las diferentes conjeuir.ts que se hacen so 7. y 8.a en estos paríges. El general Bloomiield^ bre dos negocios de América, y las relaciones de</t>
  </si>
  <si>
    <t>Bloye</t>
  </si>
  <si>
    <t>…e Mendizabal.” P. D. El comodoro Collier, comandante general de la escua dra de S. M. B., con destino á la costa de Cantabria, envié opor tunamente cuatro bergantines al mando del capitán Bloye, que man daba el Lira, para la defensa de esta plaza, que han obrado con la bizarría que caracteriza á esta heroica aliada nación, tanto durante el sitio, como en el embarco de la guarnición, habiéndose distingui do en la brecha el teniente coronel D. Manuel…</t>
  </si>
  <si>
    <t>…al, que dirigid y execnto la ardua empresa de sabir lo s cañones por la escarpada costa-de la isla á una batería, qae fue servida por marineros á sus órdenes con gran ventaja. «Ei capitán Bloye, de la Lira , desde el principio ha estado em pleado constantemente en tierra, y me condeso muy obligado á sus servicios. «Ademas de los oficiales dé artillería citólos , y quadiaa conti nuado sirviendo tan distinguidamente, no debo callar los nombres de los…</t>
  </si>
  <si>
    <t>Blticher</t>
  </si>
  <si>
    <t>182</t>
  </si>
  <si>
    <t>…general Barclay de Tolly ha sido nombrado para exercer el mismo cargo. Con este motivo se ha necho una nueva desmembra ción; á saber, el conde Wittgenstein mandará los rusos, y el general Blticher los prusianos. El general Miliaradowitch ha cedido el mando al conde Pahiin por indisposición. ,, Tengo la satisfacción de comunicar á V. E. que ía caballería del cuer po que manda el general Blucher tuvo una acción gloriosa con la división del general Maison…</t>
  </si>
  <si>
    <t>Bltícher</t>
  </si>
  <si>
    <t>Gazeta de Madrid bajo el Gobierno de la Regencia n.º 59</t>
  </si>
  <si>
    <t>…uncia al público para su satisfacción que por iin baque, de guerra ingles , que ha llegado de la esquadra del Mediterráneo , se saben del Adriá tico J^^Tnoticías srguienjtes. , El general Bltícher, que mandaba el exército austro-prusiano que estaba reunido en Breslau (en Silesia) ,-ha batido completamente á los cuerpos de los mariscales Ney y Marmont, que se hallaban en Leignitz, y formaban una fuerza, de 8p® hombres , de los quales se dice que no .se…</t>
  </si>
  <si>
    <t>Blttcher, Yon</t>
  </si>
  <si>
    <t>Yon Blttcher</t>
  </si>
  <si>
    <t>…marca ha mandado ya que todos los suecos que se cojan á bordo d« qualquier buque sean tratados como prisioneros de guerra. PRUSIA. Berlín 5 de setiembre. Orden del día dada por el general Yon Blttcher, comandante en ge/* del ejército de Silesia. JEn el campo entre Hamburgo y Gorlitz al pie de la aldea de Kielnigs'walde d % de setiembre. La Silesia está libre del enemigo. A vuestro valor, valientes soldados del cxército ruso y prusiano de mi mando; á vuestr…</t>
  </si>
  <si>
    <t>Blu-</t>
  </si>
  <si>
    <t>…on ha informado piscamente á V. S. de las inte esa mes notíc as militares hasta la época presente. Ahora deba participaros que d^tpuei del brillante psso del E;ba en Eister per el general Blu- * ch„ r, en ei cual mostró tanta resol ución como inteligencia, y tam bién del pa o subsecuente del mismo rio por el ejército del Prín cipe real de Suecia en Rosslau y Acken, pensó S. A. R. que un movimiento de todas lss fuerzas aliabas hacia k orJIa izquierd…</t>
  </si>
  <si>
    <t>Blucber</t>
  </si>
  <si>
    <t>…o. = Cathcart. OFICIO TERCERO. Toplitz j.° de Setiembre. Milord: tengo grande satisfacción en' participaros que á la salida del correo Ficher para Inglaterra , llegó un oficio del general Blucber de 30 de Agosto, desde Holstein en la Silesia, en que participa á S. M. P. que acometió' de nuevo el ene migo en una posición detras del rio Bober y le batió completamen te , haciendo prisionero al general Puttow y la mayor parte del es tado mayor de Macdonal…</t>
  </si>
  <si>
    <t>…. S. conoce tan bien el distingu do mérito, y los eminentes s rvicios del geueral Gneis¡.:au, y as* es in útil volver á hablar de ellos ahora. Yo había agregado el general Lowe al general Blucber en el ramo de batalla; y habiéndome ido á la eutrada feí cíia al ¿ado del ríncipe real , debo á este oficial la justicia de hacer saber a V. S.f que sus informes me han servido de mucho socorro. Mi ayudante de carneo el capítan During. o-cial de méri:o, me te…</t>
  </si>
  <si>
    <t>Bluch</t>
  </si>
  <si>
    <t>…ipal d.I'cxérclto aliado debe t-mar tiles p: sxiones que pueda embarazar iodos los movimientos por el lado de ? or^au. Se sabe q .e Bonaparte to mó el mando dei exército contra el general Bluch r , ei cual se mo vió ya de Laubau para Goriitz, y creyendo que Bonsp^rte quisiese</t>
  </si>
  <si>
    <t>Bluch-r</t>
  </si>
  <si>
    <t>Gazeta de la Regencia de las Españas n.º 138</t>
  </si>
  <si>
    <t>…s de Silesia á Losada amenazando al enemigo por el frente. El gene ral Blucher debía evitar toda acción general, especialmente contra fuerzas superiores. En consecuencia avanzó el general Bluch-r en 3 columnas, el día 20, desde Liegnitz, Goldbergy Jauer sobre Buntzlau y Lowenbürgo : el cuerpo de Sachen se movió por la derecha sobre Banízüau; el del general York por el centro, y el del general Lsngeron por la izquierda. El enemigo abandonó á Buntzlsu,…</t>
  </si>
  <si>
    <t>Bluche</t>
  </si>
  <si>
    <t>…ó de Dresde el de Setiembre con el rey de Saxonia, y una escolta de 2©&amp; hombres; qu: Platow con sus co sacos le obbg.) á retroceder á Dres le coa perilla de 1500 prisio neros.— El general Bluche? pasó el Elba, y ganó una victoria sobre el cuerpo del general Bertrand, tomando 18 piezas de arti leríg, muchos caxones, y mas de 1600 prisioneros. EL Príncipe real ha bía también pasado el Elba , y obraba de concierto con Blucher. A la llegada de Bennigsen…</t>
  </si>
  <si>
    <t>Bluchear</t>
  </si>
  <si>
    <t>…ron después á sostener al general Biucher los generales Kieist y York, y entonces comenzó un combate sumamente sangriento. ,,Con estos ataques se logró rechazar al enemigo:-el del general Bluchear excede á todo elogio; y los prusianos en este memorable día, igualmente que en la batalla de Lutzen, hicieron ver de nuevo lo que son capaces de executar sus tropas, acaudilladas por un Reí á quien tanto aman, y cómo pe lean por su patria, por su libertad é i…</t>
  </si>
  <si>
    <t>Bluchef</t>
  </si>
  <si>
    <t>…o ál valle de Tharaiid, se opuso un número suficiente de tropas austríacas; pero al medio día llegó la noticia de que Pirita estaba ocupada de nuevo por grandes fuerza^,‘ y que el general Bluchef en 6 dias habia-tenido cinco acciones, dos de ;dla$' generales, ia; una con Bona parte en persona sobre el Bober;* yía Otra, ed'</t>
  </si>
  <si>
    <t>Blucher</t>
  </si>
  <si>
    <t>Gazeta de la Regencia de las Españas n.º 60</t>
  </si>
  <si>
    <t>…marchará este á Alemania. — Se gún t ira carta de Dresde ds ¿9 de Marzo las tropas prusianas y ru sas fueron recibidas en aquella ciudad con el mayor entusiasmo, y la proclama del general Blucher ha producido los mejores efec tos. Las comunicaciones del Elba se hallan enteramente vestable-j cidas. Los rusos entraron en Lespsick el día 5 del corriente, según confiesan les franceses en sus periódicos. El extiangero que 11 gó k Deal, desde donde se ha co…</t>
  </si>
  <si>
    <t>…e se han reunido á los rusos y ¿ los prusianos. El conde VV ittgenstein ha pasado el Elba á la cabeza de un cuerpo con-» siderable. ,•• £1 exército prusiano , baxo las órdenes del general Blucher, se avanza so bre Erfurt. Las tropas saxonas se han separado de los franceses, y se han retirado á Torgau. No hai siquiera un saxon que esté á Livor de los francés ses. Se espera la próxima rendición de Wittemberg. , Es positivo ya que el Emperador de Rusia h…</t>
  </si>
  <si>
    <t>…también los que han hecho los cosacos detrás de Bemburg, y se sabe que los franceses han evacuado enteramente la baxa Saxonia. Diferentes partidas de tropas ligeras del cuerpo del general Blucher se avanzaron á Jena, Erfurt (antiguos teatros de las ponderadas glorias de Bonaparte) y á Weimar, sin encontrar ni siquiera un francés. El general francés Davoust, cuyo cuerpo no es mas que de 8® hombres, se replega sobre Salzwedel. Los suecos se avanzan á ma…</t>
  </si>
  <si>
    <t>…videncia liberto en medio de un diluvio de balas; sin embargo el príncipe de Hesse fué muerto; el general Hunerbein perdió un brazo; también salió herido en el bra zo izquierdo el general Blucher; mas á pesar de esto volvió á mon tar á caballo después de hecha la primera cura; últimamente quedó herido el general Scharnhorts. Nuestra caballería no pudo atacar las líneas enemigas porque estaban cubiertas de artillería^ pero no obs tante, nuestra infante…</t>
  </si>
  <si>
    <t>…tropas que los franceses nabian adelantado por la mañana para reconocer á Leipsick se hallaba cortado, y tendria precisamente que rendirse; y que fi nalmente el dia i.° de Mayo el general Blucher se adelanto desde Griinma, acometió el flanco derecho del exército francés, y Je obli- . gó á retroceder 3 leguas; que la batalla se dio entre Lutzen y Weissenfelds, y al mismo tiempo que confiesan que el general Kleist se habia visto obligado á evacuar á Hal…</t>
  </si>
  <si>
    <t>…la batalla por el ataque ae esta aldea, cuya posición deseaba mantener el enemigo, porque conocía su importancia; pero no obstante fue tomada por el flanco derecho del cuerpo del general Blucher, mientras que el ala izquierda, avanzando por el fren te , acometió sin detenerse á Ja aldea de Kleingorschen. Desde este momen to todos los cuerpos entraron sucesivamente en acción, la qual se hizo ge neral. La aldea de Grossgorschen fue disputada con una ob…</t>
  </si>
  <si>
    <t>…y Lutzen. EL enemigo no intentó impedir nuestra marcha, ni anticipar.nos en la llanura; pero se posesionó en, las aldeasáentte Gross-Gorschen y Starstedel. Cerca del medio aia el general Blucher, comandante de la vanguar dia del exército, sostenido por una parte de artillería rusa, recibip orden de principiar el combate* La primera posición que se atacó fue la aldea de Gross-Gorschen: el enemigo la defendió con obstinación ; pero fue tomada por asalt…</t>
  </si>
  <si>
    <t>…tener sus ataques. «Estas disposiciones denotaron el esfuerzo que trataba hacer con dirección á aquel punto , y en consecuencia se resolvió que fue se á su encuentra el cuerpo del general Blucher con la principal ca ballería ; pero el fuego de fusilería y artillería, aumentado mas y mas por nuestra derecha, no nos dexó ya duda acerca del punto adonde se dirigía su principal ataque. Para este tiempo estaban ya en movimiento desde la izquierda del enemi…</t>
  </si>
  <si>
    <t>…general im perial , y cuyo movimiento correspondía igualmente al designio prin cipal. Cuando se vdó que Barclay de Tolly era acosado por tara su periores fuerzas, se dio orden al general Blucher para moverse por su derecha» y atacar al enemigo por el flanco. Fueron después á sostener al general Blucher los generales Kleist y York; y entonces comenzó un combate sumamente sangriento. «Con estos ataques se logro rechazar al enemigo: el del general Bluch…</t>
  </si>
  <si>
    <t>Gazeta de la Regencia de las Españas n.º 84</t>
  </si>
  <si>
    <t>…eneral Barclay de Tolly lia sido nombrado para exercer el mismo cargo. Con este moávo se Ira hecho una nueva desmembración; á saber, el conde Wítiger..-tcm mandará los rusos, y el general Blucher los prudanos. Ti gemral Milaradowitch lia cedido el mando al conde Pahlin por indisposición.</t>
  </si>
  <si>
    <t>«Tengo la satisfacción de comunicar á E. que lacsballería del v. cuerpo que man Ja el general Blucher, tuvo, ura acción gloikea con la división del general Maison al salir esta de Hsynau. Según el parte circunstanciado que he recibido de esta acción debe jusismente ce lebrarse como uno de los ataques mas distinguidos de\caballería con tra cuadros sólidos de i…</t>
  </si>
  <si>
    <t>…u plan de ataque. ,, Estas disposiciones denotaron el esfuerzo que trataba hacer con direc ción á aquel punto, y en consecuencia se resolvió que fuese á su encuentro el cuerpo del general Blucher con la principal caballería; pero el fuego de fusilería y artillería , aumentado mas y mas por nuestra derecha, no nos dexó ya duda acerca del punto adonde se dirigía su principal ataque. Para este tiempo estaban ya en movimiento desde.la izquierda del enemig…</t>
  </si>
  <si>
    <t>…prusianos. El general Miliaradowitch ha cedido el mando al conde Pahiin por indisposición. ,, Tengo la satisfacción de comunicar á V. E. que ía caballería del cuer po que manda el general Blucher tuvo una acción gloriosa con la división del general Maison al salir esta de Haynau. Según el parte circunstanciado que he recibido de esta acción debe justamente celebrarse como uno de ios ataques mas distinguidos de caballería contra quadros sólidos de infa…</t>
  </si>
  <si>
    <t>…pa que los exércitos ruso y prusiano obrarán separadamente en adelante; y tenemos gran satisfacción en saber que el valeroso Wittgenstein debe continuar mandando á ios rusos, y el general Blucher á los prusianos, exerciendo Barclay de Tolly las funcio nes de comandante-en gefe de los exércitos aliados. El general Millaradowitch, en razón de estar enfermo, ha entregado por ahora su mando al conde de Pahiin. .1 El vizconde Castlereagh, secretario de Est…</t>
  </si>
  <si>
    <t>…s exércitos beligerantes. S. M. I. y el rey de Prusia han esta blecido su cuartel general en unas casas de campo inmediatas á ésta ciudad. El cuerpo del general Wittgenstein y del general Blucher permanecen reunidos en Schweidnitz y sus inmediaciones El gene ral Barclay de Toily tiene en esta su cuartel general. Parece que el enemigo, poco después de firmado el armisticio, destacó un cuerpo contra Boistch y Bulow , empeñando una reñida acción con el p…</t>
  </si>
  <si>
    <t>…brique de guerra Víxen, procedente de Stralsund, se ha recibido la noticia de la victoria ganada por el Príncipe Bernadotte en los días 21, 22 y 23 de agosto; y por un oficio del general Blucher, fecha del 18 en Jauer, se sabia que los franceses habían evacuado toda la Silesia, y que él habla puesto su quartel general entre Libnitz y Golberg. El general Benigsen tenia sus avanzadas en Lissa, y habia algunos regimientos de cosacos en Crossen. Todas la…</t>
  </si>
  <si>
    <t>…ue vino en su socorro, fue igualmente deshecha. Quando el correo salió se hablan tomado ya 50 piezas de artillería; pero los prisione ros eran pocos, porque no se daba quartel. El general Blucher persigue al enemigo, y esperamos por momentos los pormenores de esta acción. Del 10. Ha habido un motín en Leipsick por haber llevado presos muchos ofi ciales que brindaron á la salud de Moreau. — El mayor prusiano Hellwig ha destruido enteramente un regimien…</t>
  </si>
  <si>
    <t>…endo. El emperador Na poleón llego allí el 25 con su guardia: el exército francés que esta ba baxo sus órdenes inmediatas abandonó la Lusacia y la Silesia, y se acercó ai Elba. El general Blucher se puso en marcha desde Jauer el 25 por la mañana, seguido de todas sus fuerzas. El general príncipe Kouraschof, que fué enviado expresamente el campo de batalla inmediato á Dresde por el príncipe Schvvarzenberg á S, A. el príncipe real, llegó á las S de esta…</t>
  </si>
  <si>
    <t>…nas hai quien los lea, quando por el contrario se buscan con ansia los de Bernadotte. También se aseguraba en Francia que él general Beningsen' se había' reunido en Silesia con el general Blucher, y que juntas estas fuerzas habian obligado al gene ral francés Macdonald á replegarse sobre Dresde; Sé decía que este movi miento retrógrado no seria el último que hiciesen; y aun se añadía , que ya estaban evacuadas las plazas de Dresde y Leipsick, y que el…</t>
  </si>
  <si>
    <t>577</t>
  </si>
  <si>
    <t>…o en muertos y prisio neros debe haber sido inmensa. Puede calcularse en 16® hombres, mas de 50 cañones y 400 carros. La mitad de la guardia de Ney ha sido pasada á cuchillo____El general Blucher batió completamente al enemigo junto al Bober: cogió prisioneros al general Puttow y á la mayor parte del estado mayor de Macdonald , le tomó dos águilas y 22 cañones. — Finalmente, por las noticias recibidas de Altona en Londres se sabe que Bonaparte en pers…</t>
  </si>
  <si>
    <t>…al del excrcito aliado debe tomar tales posiciones que pueda estorbar todos los movimientos por la parte de Torgau. Se sabe que Bonaparteha tomado el mando deí exér. ito contra el general Blucher., quien sp ha movido ya de Laubau hácia Gorliiz; y siendo posible que Bonaparte quiera obrar de acuerdo con la guarnición de Torgau contra este exército, ha-sidó ptepisO; dar la^ c^isposdeione5 á este respecto. . El quartel general permanecerá? aquí hasta mañ…</t>
  </si>
  <si>
    <t>…te, luciendo prisioneros al general Putowy la mayor parte del estado mayor de Macdonaid, y que igualmente cogió dos águilas y 22 cánones. Desde el dia 26 basta el 29 el cuerpo del general Blucher ha hecho prisioneros y tomado too piezas de artillería. A la salida del oficial portador de los pliegos del general Blucher habia llegado á su quartel general la noticia de haber entrado aquel dia en Beautzbú el general Horn____Se han cogido 22 cañones, adema…</t>
  </si>
  <si>
    <t>…ue meditaba contra el exército del ojén eral BfucHéí-, que se había retirado de las fuerzas superiores del primero, y le ha bla obligado á volver hacia el Elba. En consecuencia el general Blucher ha bía vuelto á-continuar..sus anteriores movimientos, y se ocupaba en perse guir la retaguardia del enemigo en su retirada. Según las noticias que dan las avanzadas y los destacamentos de este exército los franceses retirán su artillería gruesa al otro lado…</t>
  </si>
  <si>
    <t>…ompletamen te , haciendo prisionero al general Puttow y la mayor parte del es tado mayor de Macdonald; tomó ademas 2 guias y 22 piezas. Des de el dia 26 hasta el 29, el cuerpo del general Blucher ha hecho 15© prisioneros, y ha tomado 100 piezas de artillería. A la partida del oficial portador de los oficios del general Blucher había llegado la no ticia á su cuartel general de haber entrado el mismo dia en Bcntzlau ei general Horn. — Se tomaron mas de…</t>
  </si>
  <si>
    <t>…stein fué acometido el dia 30 al otro lado de Altemberg y rechazó al enemigo. Los franceses han abandonado hoy las montañas. La derrota del enemigo hecha por el Príncipe real y el general Blucher, cuyos partes llegaron ayer noche, influirá pro bablemente en las operaciones de todos los exércitos* Finalmente, las</t>
  </si>
  <si>
    <t>1131</t>
  </si>
  <si>
    <t>1131 Se asegura que Bonaparte mismo mandaba la acción , y que presento contra el general Blucher 110© hombres. Las tropas aliadas sostu vieron su puesto con mucho valor; pero como el general Blucher tenia &lt;5rden de evitar un encuentro general, se retiró en el mejor orden á. Haynau, Piígremtdorf, Hirsdsberg y detras del Katzbacb; donde se hallaban las tro…</t>
  </si>
  <si>
    <t>…o prusiano del general Kíeisc y e! exército austríaco debían obrar ofensivamente desde Bohemia, i las órdenes del general enVefc príncipe Schwartzenberg. El cuerpo de exército del general Blucher, compuesto de la di visión de prusianos ai mando del teniente general D’York, y de las divisiones Tusas de lo* generales Sachen y Langtron, se moverían des de Silesia á Losada amenazando al enemigo por el frente. El gene ral Blucher debía evitar toda acción g…</t>
  </si>
  <si>
    <t>…las operaciones. Las fuerzas enemigas no se han dismiímido por la parte de, Lusacía hasta el 23, á pesar de sus esfuerzos en el Elba , pues en aquel dia atacaron en gran número al general Blucher que se retiró á Jauer. Sin embargo, el 24 avanzó, y el enemigo se retiró , lo que indica que trae mas fuerzas á Bohemia. El cuerpo austríaco del general "Neuberg ha .avanzado también con dirección á Zittau. — C. Steivart. Toplitz go de Agosto de 18 ig. Milord…</t>
  </si>
  <si>
    <t>…te nían intención de tomar nuevamente ia ofensiva. — Este movimien to parece haber conseguido ya el objeto de distraer é Bonapar— te del ataque que meditaba contra el exéreito del general Blucher, que se había retirado enfrente de las tropas sup rieres enemigas, obli gando á Bonaparte á retirarse hacia eL Elba. En consecuencia el ge neral Blucher habia repetido sus primeros movímieptos, y estaba ya empeñado en perseguir la retaguardia d J enemigo en s…</t>
  </si>
  <si>
    <t>…Este cuerpo, que constaba de 2í® hombres, tenia orden de marchar sobre Be rlin, y unirse con dicho príncipe; pero se envió un fuerte'destacamento sobre el ti a neo, derecho 'del “general Blucher para obligarle á retirarse. El du que de Ragusa llegó á Hoyeswerd en la mañana, del 8; pero habiendo sa'bido la batalla de Denewitz, se retiró dos horas despuestde su llegada ^di rigiéndose con precipitación hacia Dresde por el caminó dé,*Konigsbru;ck, donde…</t>
  </si>
  <si>
    <t>…chó con parte de sus fuerzas á Domitz con el objeto de espiar los movimientos dei enemigo, y de obrar ofensivamente contra él si se ofrecía ocasión. Las avanzadas del exército del general Blucher estaban el -13 en Baut zen , y continuaron su movimiento sobre Dresde ,• persiguiendo.á las tropas francesas en su retirada. Por los avisos que comunicó ayer el generalW.obeser, que está en Falkemberg, delante de Herzberg, donde tiene su quarteí general el ge…</t>
  </si>
  <si>
    <t>…prisionero en el camino. Cuartel general de Toplitz js&gt; de Setiembre. El emperador Napoleón reunió el 16 mucha parte de las reliquias de los exordios que habían peleado contra el general Blucher, y el príncipe Bernadotte, á los cuerpos primero, segundo y cuarto de su exército, y se adelantó al frente de sus guardias hacia Noilendorf. Su intención parecb que era ir á Bohemia, según decían los prisione ros , y se inferia ademas per sus preparativos. El…</t>
  </si>
  <si>
    <t>…po de exército, á las órdenes del general Vandamme, feneció ya. Ahora están manifiestas Ies ventajas de nuestros primero* ensa yos de obrar ofensivamente. El 26 de Ago to atacó el general Blucher á los cuerpos de Mscdonald, Ney, JLauriston y Sebastian! en Jauer, y ios derrotó detpaes de la mas obstinada resistencia. El ene migo se halla en el myor desó-den: según las últimas noticias ya se habían tomedo 80 piezas y 6$ prisioaero'?. El número de estos…</t>
  </si>
  <si>
    <t>…el conde Zícby tomó esta última plaza por asalto, é hizo allí gran número de prisioneros. Parece que el Emperador Napoleón ha dirigido por algunos dias todas sus fuerzas contra el general Blucher. Pero este no aceptó la batalla que se le presentó, y marchó contra el Neisse, mientras que sus tropas, destaca das en cooperación con las austríacas del general Babna, maniobraron mui felizmente á la retaguardia del exercito. El mayor Falkenhausen y el capit…</t>
  </si>
  <si>
    <t>…tados por un batallón saxen. El coronel Von Menzdorff ha interceptado correos cuyos pliegos mani fiestan el estado de miseria y abatimiento en que se halla el exército francés. El general Blucher tiene su quartel general en Bautzen: por su ala de recha combina sus operaciones con las del exército unido del norte de Ale mania ; y por su izquierda se comunica con el exército de Bohemia. Habiendo tenido noticia de que el sexto cuerpo del exército enemigo…</t>
  </si>
  <si>
    <t>…nte á aquella coiuque principió la libertad de la España. Los gefes de los distritos no esperan mas que la señal para juntar sus fuerzas; y este momento no está distante: : 7 ' El,general Blucher hizo avanzar á Ivónigsbruck un grande destacamen to. El conde Von Tauenzien ha tomado, posesión de Líevenwerd y Elsfer-r werd i.yi deila línea del lado de acá del. Elster. En la noche del 19 al 20 el ^nemigo levantó su campo He Stubzenkagen, inmediato á Elsfe…</t>
  </si>
  <si>
    <t>…podemos calcular la pérdida total de los exércitos que se oponen al del norte de Alemania en-menos de 45® hombres desde el 17 de agosto. Los prisioneros hechos por el exército del general Blucher y por el exército grande de Bohemia ascienden á 40© hombres. Podemos por tanto com putar sin exageración la pérdida del enemigo desde el principio de las hosti lidades en mas de 100® hombres y 250 piezas de artillería. Si, como todo nos induce á creerlo, la B…</t>
  </si>
  <si>
    <t>…direc ciones. Esto retardará ea algún modo la marcha de los aliados, y aun dificultará mas cualquier movimiento lateral 6 de flanco. Se han recibido notici as de haber entrado el general Blucher en Bautzen el 10 del corriente; pero aun no he recibido boletin algu no oficial del cuartel general prusiano. El coronel ruso príncipe Modattofif, de las guardias de Álexandro, dió un golpe brillante el dia 9 entre Bautzen y Dresde, pues voló 200 carros de mu…</t>
  </si>
  <si>
    <t>…a. Se dirigió, pues, con parte de sus tuerzas á Domiiz á observar los movimien tos del enemigo, y si se le presenta ocasión obrar ofensivamente con tra él. La guardia avanzada del general Blucher estaba el 13 en Bautzen, y continuaba sus movimientos sobre Dr. sdeper i ulendo las tropas francesas en su retirada. Ayer se recibieron noticias del gene ral Wobeser, que se halla en Falkenbtrg , delante de Herzberg,. donde el general Tauenzicn tiene su cuart…</t>
  </si>
  <si>
    <t>…-ttro , al mando de ios generales Blucher-y Be* ningsen» van acercándose á Dresde. El capitán sueco Platea, de los húsares de Morner, que fué enviado para hacer la reunión, coa el general Blucher, lo ha ex. cutádo ea las cercanía de Bautzea.. El ardiente deseo de Napoleón de aniquilar e; exército combina do dei norte de Alemania, Je ha ocasionado ya la pérdida de mu cho tiempo , y gente en m rchas y contrama chas, A iin de auxi liar íes operaciones,;d…</t>
  </si>
  <si>
    <t>…unido del norte de Alemania , y por su izquierda está en contacto con el exército de Bohemia, ¿ia‘‘Endo recibido noticia que el sexto cuerpo enemigo marchaba tobre Grosseuhayn, ei general Blucher hizo adelantar á Camenz el cuerpo ¿leí f, e"eral Sacken. La vanguardia de este cuer po incomodó a) enemigo todo el día *5 y 16. El ssxío ccerpo se retiró á Dresde , y el primer cuerpo de cbaliería se puso en uaovímiento para seguir á la tropa de su arma. El g…</t>
  </si>
  <si>
    <t>…ra nacional semejante á la que dio principio* á'lá libertad de España. Los gefes de distritos aguardan, solo la señal de reunir sus fberzas; y no está ya !ei?no este momento. El - general Blucher ha enviado un fuerte destacamento sobre Komgsbruck. El conde de Tauenzien- se ha apoderado de Licbenwerda y EUter-wcrda, y de la línea detrás dei Elsíer. El enemigo levan tó su-campo de StoJzenfecgén, cerca de •Eisterw.erda , en la n»c he del j*9' í:b2o , el…</t>
  </si>
  <si>
    <t>…demos regular la pérdida toial dei exéreito enenvgo, opues to al del norte de Alemania, lo menos en 4^ hombres , desde el 17 de Agosto, Los prisioneros cogidos por el exéreito del-general Blucher y el exéreito grande de Bohemia, ascienden á 40©.. Podemos, pues , sin exageración valuar la pérdida d i enemigo desde el principio de las hostilidades á mas de 100© hombres y 250 piezas de artillería. Si, como se espera, la Baviera y Wurtemberg se unen á la…</t>
  </si>
  <si>
    <t>…los aliados, y se esperaba que hiciesen lo mismo los saxones y wirtemburgueses. Los franceses tienen en los hospitales de Leipsick 14$ enfermos, y duplicado numero en Dresde___ El general Blucher tenia el 2 5 de setiembre su quartel general en Bautzen, y la última tentativa de Bonapart.e contra él le habia costado 2© hombres. El virei de Italia no solo se halla cortado de Fiume, sino de toda la Istria» por la importante ocupación de los puestos de Pol…</t>
  </si>
  <si>
    <t>…imiento del exército grande el i.° de este mes ty se calculaba que ayer 3,debía haberse adelantado hasta Chem nitz. — Aun no sé con toda indiv dualidad; la relación del ataque del general Blucher pero el barón de Wetter¿tedt me ha hecho que detenga ak correo hasta que esta, tarde reciba un oficio suyo por M. Rehausen , y me prometo, porque fué hoy á Dessauque me enviará al mismo tiempo la relación. si la tuviese. Conservo abierto este oficio para incl…</t>
  </si>
  <si>
    <t>…ligada á abandonar á Dessau , y á retirarse al pie de la cabeza del puen e de Rosslau, y á la orilla derecha del rio. — En cstüs circunstancias recibió el Príncipe real avisos del general Blucher del i.° de es:e mes, en los cuales le in formaba de que aquel día había de hacer un movimiento sobre ia derecha Mcic Hertzberg con todo su exército ; que ai dia sigaiente estaría en Jessen , el 3 en ELter , y al dia siguiente (hoy) efectuaría el paso del Elba…</t>
  </si>
  <si>
    <t>…onen al príncipe dé Schwartzenberg no baxan de 5c9^hombres; y generalmente se asegura que=Bonapar te en persona se movió rápidamente - con sus fuerzas principales para acometer al general Blucher ,-ántes que este realizase su anión con el príncipe de Suecia- Sea como fueren no es probable que se mejore la situación de Bonaparte aun cuando consiga alguna ventaja particu lar ,ni que haga dudar de los ulteriores felices sucesos de los aliados. Sus comuni…</t>
  </si>
  <si>
    <t>…y Souhatn. Estaba para dexar á Leipsick el portador de estos pliegos quando liego la noticia de haberse cogido en la re tirada 3 5© prisioneros. ,,Et 16 consiguió otra victoria el general Blucher, perdiendo el enemigo 40 cañones y 12© hombres.” - , Escriben de'Cataluña que los enemigos han desarmadoá los alemanes que habia en da guarnición de Puigcerdá; y añaden que hai una notable deserción en el.exército de Suchet. ' Cada dia tenemos nuevos motivos…</t>
  </si>
  <si>
    <t>…ía pasado el rio, atacó la aldea de Schonfeld, donde experi mentó tanta resistencia, que por el pronto n© pudo tomarla: se apo deró sin embargo de eha; pero fue echado de allí. El general Blucher dio las órdenes mas positivas de volver á tomarla á la bayoneta; lo que se hizo antes de anochecer. Algunos batallones prusianos del cuerpo del genersl Bulovr se empeñaron vivamente en Pannsdorf; y el enemigo se retiraba cuando el Príncipe Real dio orden á la…</t>
  </si>
  <si>
    <t>…asa á nosotros durante la acción* Los exércitos permanecieron toda la noche en el terreno que taa bizarramente habían conquistado. El Príncipe real tenia su vivac en Paansdoif: el general Blucher conservó el sayo en Witteritz, y el emperador y el rey vivaquearon en Rotha. Cerca del anochecer se supo que el enemigo se retiraba por Weissenfels y Naamburgo. El general Blucher recibió la orden del rey de Prusia de enviar destacamentos á aquella dirección.…</t>
  </si>
  <si>
    <t>…aba el Príncipe tea 1 ea Gothen, y el ger era B ucher en Halle. El primero ocupaba con sus grandes avanzadas la orilla izquierda del Muida, y el último á Mers-burg y Schanditz. El general Blucher tram.firió su coarte! general el 14 á ; Gros$ Kutgel, avanzando su vanguardia al camino real que va á L ipsick, y ocupando Ls pnúb'os ds l^s inmediaciones en ambos Udcs. El ene migo se halíaba con muchas íúerzws á su frente, conservando áDe-</t>
  </si>
  <si>
    <t>…y. $n izquierda cerca de Petersbe¿g. El general Buiow ocu paba el centro de su línea entre Petcrsberg y Oppin, y el cuerpo de Winziegerode estaba ¿obre su izquierda en Zoro g. El general Blucher reconoció las fuerzas del enemigo del coarto* sexto y séptimo cuerpos dtl exército francés, y de una gran parte de la guardia j mandados por los mariscales Maimónt y Ney , y por el general Bertraúd-» que ocupaban una línea cuya derecha estaba en íreyroda, y l…</t>
  </si>
  <si>
    <t>…. • Voy ahora á hacer conocer á V. i., e s cuanto me sea posible, los movimientos militares del exército grande h, sta el 16 como han sido enviad s al príncipe real de Suecia y al general Blucher por el ríixc ipe dt Schwartzenberg, con las .disposiciones para el ataque que a d bido ve'vfi:ar e hoy. Los cuerpo-, cel general Giu'aí &gt; del prin E cipe Maor.c o Li h en lein. de T&gt; ielmnnn y de B ato v, et.han re unidos en las inmediaciones ce Maikr^staut,…</t>
  </si>
  <si>
    <t>…iones gene7ales y combinadas dispues tas por el exército grande, y después describiré lo que ha pasado, siendo yo testigo ocular: es decir, los movimientos dei Príncipe real y del general Blucher. En mis oficios hasta el 17 hice conocer las posiciones de los exér citos hasta aquella época. Habiendo.hecho saber el principe Schyrartzeraberg que siendo la intención de SS. MM. los soberanos aliados,</t>
  </si>
  <si>
    <t>…e-kéíciío grande combinado , la reunión del exército de Blucher con el del Príncipe Real, todo manifiesta á Bonaparte la'necesi dad ;de úna pronta ¡retirada. ELPríncipe-Réal y el general Blucher pasaron el Elba al mismo tiempo, y se Hallan en línea al frente de Leipsick , prontos p.ara Bat batalla y acometer á! enemigo. La Rusia-,’ Austria y Prusia se aseguran mutuamente sus estados en el misino pie en q;ue se: hallaban en el año de 1805: deben auxil…</t>
  </si>
  <si>
    <t>Gazeta de la Regencia de las Españas n.º 157</t>
  </si>
  <si>
    <t>…general de la Europa.” Idem jo. Se sabe per conducto del mayor c ddito que la gaceta extraor dinaria de Berlín del 24 y 25 de Octubre anuncia una nueva victo ria conseguida por el general Blucher el día 21 cc-rca de Cosen, y en la que cogió si enemigo 5 4. piezas de ai tille ría. En la misma se hace mención,, como de un hecho positivo , que el rey de Vv urrcniberg ha accedido á la causa alemana; y que 15© vvimembergueses Se han apoderado de Francfort…</t>
  </si>
  <si>
    <t>…cipales por no perder momentos: haré lo que pueda en desempeño de este objeto, dexando narraciones mas circunstanciadas para otra ocasión. A la victoria que el dia 16 consiguió el general Blucher siguió el 18 otra de todas las fuerzas combinadas contra el exército de Bonaparte en las in mediaciones de Leipsick. La pérdida reunida de too piezas de artillería, 6o® hombres, un inmen so número de prisioneros, la deserción de todo el exército saxon y de la…</t>
  </si>
  <si>
    <t>…ión de las operaciones generales y combinadas determinadas por el exército grande, y después describiré lo que yo mismo presencié, esto es, las operaciones del Príncipe Real y del general Blucher. En mis oficios hasta el 17 he dado cuenta de la posición de los exércitos aliados basta aquella fecha. Como el príncipe de Schwartzémberg hábia ma nifestado que la intención de SS. MM., los Soberanos aliados, era renovar el ataque el 18, y los exércitos del…</t>
  </si>
  <si>
    <t>…los dos exércitos, todos debian sostenerse mutuamente, y concer tar sus movimientos ulteriores. Las tropas que el enemigo hace algún tiempo mantenía opuestas al Príncipe Real y al general Blucher habían tomado una excelente posición en la orilla izquierda del Partha, apoyando su derecha en Faucha, y su izquierda hacia Leipsick. La primera operación del Príncipe Real fue forzar la derecha del enemigo, y tomar posesión de las alturas de Faucha. El cuerp…</t>
  </si>
  <si>
    <t>…s y banderas deserta ron en masa durante la acción. Las tropas pasaron la noche en los puntos que tan gloriosamente habían conquistado. El Príncipe Real vivaqueó en PaunsdorfF, el general Blucher en Witteritz, y el Emperador de Rusia y el Rei de Priasia en Rotha. Al concluir el dia se supo que el enemigo se retiraba por Weisseufels y Naumbourg, y el Rei de Prusía dio orden al general Blucher para que en viase há^ia aquellos puntos algunos destacamento…</t>
  </si>
  <si>
    <t>…aballe ría ligera en alcance del enemigo; y se destinaron destacamentos na • merosos á la orilla izquierda del Elba. Este general de infantería se Unid oportunamente al cuerpo del general Blucher, y el cuartel general de este se transfirió el dia 28 á .Elsterwerdn. E! general Bentiigsen está en Zittau desde el 25. La actividad combinada de estos tres cuerpos da esperanza de que el enemigo se ha de ver obli gado á volver en breve á los territorios entr…</t>
  </si>
  <si>
    <t>…echado un puente da bar cas en Roslau, pasó el Elba esta mañana, y marchó otra vez á Dessau. Llegó con sus‘avanzadas hasta Ragun y Jonitz, y verificó su unión con el exército del general Blucher. Las tropas del general Ney dexaron á Dessau y Jonitz á las 5 de la mañana. Su retaguar dia fué vigorosamente perseguida , y se le Hici§ron_algunes prisio*^-</t>
  </si>
  <si>
    <t>820</t>
  </si>
  <si>
    <t>…la situación del exército francés. El 16 de octubre el exército del norte de Alemania, en lu gar de marchar ai Saale, se movió hácia la izquierda en lá dirección de Landsberg. El general Blucher, que ya habia marchado á Schkenditz, se movió há cia Freyrod y Radefeld , adonde en el mismo dia atacó ai enemigo; y des pués de un obstinado combate, le obligó á retirarse mas allá del Partha. En esta ocasión hicimos 2® piiíioneros, y tomamos un águila y 30…</t>
  </si>
  <si>
    <t>…de las ori llas de aquel rio; pero fuertes por la unión y valor de los soldados, hablan formado la resolución de no repasar el rio sin dar ó aceptar batalla. El Príncipe Real y el general Blucher, deseando salir prontamente de esta precaria situación, se unieron el 7 de octubre con el Príncipe Guiller mo de Prusia en Muhlbeck, en el Muida, y determinaron marchar sobre Leipsick. El Emperador Napoleón, deseando anticiparse, formó el proyecto de ata car…</t>
  </si>
  <si>
    <t>…su posición de Landsberg, y llego ai amanecer á las alturas de Breitenfeld, donde se acampó. Se pasó el dia en quietud: á la mañana siguiente el Príncipe Guillermo de Prusia y el general Blucher se unieron al Príncipe Real. S. A R. supo que el exército de Bo hemia atacaba al enemigo aquel dia, y resolvió tomar una parte vigorosa en el ataque. Convino con el general Blucher en que el exército del norte de Alemania marchase á Taucha para unirse por la…</t>
  </si>
  <si>
    <t>…del enemigo an tes de su llegada. Refiere que Bonaparte fue de Eisenach á Vach, y que tenia intención de dirigirse hacia el Wesser; pero que la marcha del Princi pé Real y la del general Blucher se lo impidieron, y presume que vaya ha cia Wetzlar: añade que su exército está1 reducido á 50® hombres armados y en cuerpo: que infinitos enemigos tratan de salvarse por tedas partes, y sin armas: esta retirada se parece en extremo á la de.Rusia.__ Un.destac…</t>
  </si>
  <si>
    <t>…l y ei conde Walmoden obrarán á la orilla derecha contra la po sición de Davoust en Stecknitz. Los generales Winzingerode y Bulow no detendrán su marcha á Holanda. Las marchas del mariscal Blucher son las siguientes: el 10 á Freyburg, el 11 á Vegerbash, el 12 á Freeburg, y el 13 á Muhlheim cerca de Colonia. En postdata dice que se acaba de recibir en aquel momento la noticia de . que una parte de la guarnición francesa de Magdeburg ha sido enteramente…</t>
  </si>
  <si>
    <t>Gazeta de Madrid bajo el Gobierno de la Regencia n.º 89</t>
  </si>
  <si>
    <t>…ugada los cuerpos de exército de Iqg generales Lange ron y Sacken estaban en las cercanías de Weissenfels. El enemigo quemó in mediatamente los puentes, y se retiró á Freyburg. El general Blucher echó al momento un puente sobre el Saale, yambos cuerpos pasaron el rio. Entre tanto el general.York habia marchado á Querfurth con el objeto de impedir que. el enemigo extendiese su ala izquierda, y marchase en varias colunas; lo que se consiguió. Este gener…</t>
  </si>
  <si>
    <t>…sus oficie les manifestaron en esta ecasioh talentos militares superiores á los de otras. Se reúne aquí el exércíto principal para dirigirse á operaciones ulteriores. Ei dei feld mariscal Blucher se mueve h cia e-, Rhín per Ehrí.'nbreitsiein. Su cuar tel general estaba hoy en Litnburgo. Ei rey de Prusia fué á Berlín y Breslau, pero se le espera- pronto. Otro del mismo el 10 de Noviembre desde Francfort. Milord : el enemigo conservaba uno poste ion en…</t>
  </si>
  <si>
    <t>Blucher, Von</t>
  </si>
  <si>
    <t>Von Blucher</t>
  </si>
  <si>
    <t>Gazeta de Madrid bajo el Gobierno de la Regencia n.º 11</t>
  </si>
  <si>
    <t>…de Kreekurtz se debilitaron, y el enemigo se aprovechó de este momento para atacar dicho cuerpo con mu cha superioridad antes que pudiese recibir íiingnn refuerzo. Por lo tanto el general Von Blucher se vio precisado á retirarse, y reunirse con el general de Yorck , que formaba su reserva. Entre tanto para compensar este contratiempo nuestra ala izquierda avanzó considerablemente, y tomó al enemigo algunos cañones, haciéndole varios prisioneros, consiguie…</t>
  </si>
  <si>
    <t>…oche del 19 del corriente en Skenditz, y el del general York en Halle. El dia 20 el general Wastetschicow, que había pasado el Elster, avanzó á Lutzen, é hizo 2100 prisioneros. El general Von Blucher mandó que el dicho cuerpo de exército marchase de Skenditz á Lutzen, por no estar aun prontos los puentes en Leipsick. A este tiempo había marchado de Halle á Mucheln el general York, é hizo que la caballería y artillería de á caballo persiguiese ai enemigo,…</t>
  </si>
  <si>
    <t>Blucher-----Las</t>
  </si>
  <si>
    <t>…ÑA. Londres 22 de Setiembre. Por un correo austríaco llegado á Deal ayer 21 se recibió ía no ticia de haberse estregado Dresde á los aliados, é igualmente se su po la victoria del general Blucher-----Las cartas de Hemburgo de 15 de Setiembre dicen que el general austriaco Nugent ocupó a Fió me el 25 de Agosto. Id. %$, Se han recibido cartas de Altona de 14, 16, 17 y de este mes de Setiembre, anunciando que Bonaparte (conforme á lo que decía M. Thorneton), hab…</t>
  </si>
  <si>
    <t>Blucher.en, Von</t>
  </si>
  <si>
    <t>Von Blucher.en</t>
  </si>
  <si>
    <t>…rdia del enemigo con un fuego mui vivo de fusilería, causándoles gran perdida, y obligándoles á retirarse; pero por haber destacado estas brigadas, las posiciones que man tenía el general Von Blucher.en las alturas de Kreekurtz se debilitaron, y el enemigo se aprovechó de este momento para atacar dicho cuerpo con mu cha superioridad antes que pudiese recibir íiingnn refuerzo. Por lo tanto el general Von Blucher se vio precisado á retirarse, y reunirse con el…</t>
  </si>
  <si>
    <t>Bluchet</t>
  </si>
  <si>
    <t>…llería y artillería del general Winzingerode heñía marchado por la noche, y estaba' cerca de Faucha. Como no se oían tiros hacia la parte del.exército grande (aunque el cuerpo d:l general Bluchet estaba sobre las armas); que se sabia ademas, que el general Bennigsen no podía arribará Grimma hasta hoy, y que una parte del exército real estaba aun á ,1a espalda, sé tuvo petr conveniente esperar hasta después de.'mañana para-renovar el ataque general. El…</t>
  </si>
  <si>
    <t>Blüéher</t>
  </si>
  <si>
    <t>…ky. El ene migo fue-rechazado^nf"gran desorden á la Bohemia, haciendo sU retirada don tanta vdtícidád, que ápenas 'pudimos hacerle algunos prisioneros j eiitr¿ lbs que se halla el general Blüéher, hijo del general en gefe prusiano, del misino nombre, que mandaba la vanguardia.___Nuestra pérdida fue insig nificante-^). El Emperador durmió en Pétterswalde él dia 16, y el 17 yoV* í •• ■ ■ , ■-i •* •’ ' " ... ; j ’.'.' •. , . ■ - ■‘ ■ ,,r • ü1 | ‘ ‘ í-,;'…</t>
  </si>
  <si>
    <t>Blueher</t>
  </si>
  <si>
    <t>Norte debía atacar las alturas de Faucha, entre tanto que el general Blueher debía conservar su posición delante de Leipsick, y hacer los mayores es fuerzos para apoderarse de esta plaza. En el caso de que todas las fuerzas enemigas se dirigiesen contra qualquiera de los dos exércitos, todos debian sostenerse mutuamente, y concer tar…</t>
  </si>
  <si>
    <t>Berlín del 24 y 25 de octubre anuncia «na nuevá victoria conseguida por el general Blueher el diá 21 cerca de Cosen , y en Ja que,cogióla! ,enemigo 54 piezas de artillería. En la misma se hace mención, como de irn hecho:po* sitivo , que el Rei de WurterabérgJaa &gt; accedido k la 1 causa ale nía ná;, y que ■í¿5@j wurtembergueses: se han apoderado de É…</t>
  </si>
  <si>
    <t>…abitantes del país están de acuerdo en que su pérdida no baxa de 1500 hombrea. Se han enterrado aquí de 700 á Sao. El general Sandels con tres batallones le causó esta pérdida. El general Blueher, haciendo una de las marchas de que la his toria nos ofrece rarísimos excmplos, y que solo le podía sugerir el entusiasmo de la libertad de su patria , fué con el grueso de su exér cito desde las inmediaciones de Bautzeh á Eister, y aunque llevaba consigo los…</t>
  </si>
  <si>
    <t>Bmder</t>
  </si>
  <si>
    <t>…onde de Urbna; el caballerizo mayor., conde Traumansdorf; el general de artillería, barón Duka; el teniente fe Id* mariscal Kutscher; el conde Metternich, secretario de Guerra; el barón Bmder; Mr. de Floret; lord Aberdeen, embaxador ingles; el barón HumboJdt, enviado prusiano; el barón Bildt, enviado sueco; el condeCollowrath , gran burgrave de Bohemia, y destacamentos de las guardias nobles alemana, 0hema y húngara. Há.sido nombrado gobernador de…</t>
  </si>
  <si>
    <t>BnIo</t>
  </si>
  <si>
    <t>…ados de una guerra sin fin, y que llaman la guerra del café y del azúcar.' El general Cze.nicheff pardo con 3© cabellos á una expedición secreta.. El mayor Helhvjg, del cuerpo del general BnIo«r, se abrió en la orilla izquierda del Elba una comunicados con la vanguardia del general ¿chulzenheim en Des¿au. El fdd. -mariscal conde Stedii gk hace construir obres considera bas cerca de Roslau, y entre el Elba y el Muida. El general ba rón Wiazingerode…</t>
  </si>
  <si>
    <t>Bobe</t>
  </si>
  <si>
    <t>…io; una brigada de caballería al mando del coronel Grant; una brigada de artillería portuguesa mandada por el teniente coronel Tulioh, y tres caño nes de montaña á las órdenes del teniente Bobe; estas tropas ata caron la posición del enemigo situado á la espalda de Ainhoue. ,„E1 mariscal Sir Guillermo Beresford dirigió los movimientos de la derecha del centro , que se componía de la tercera divi sión de), mando del mariscal de campo el honorable Gar…</t>
  </si>
  <si>
    <t>Boccheiampe</t>
  </si>
  <si>
    <t>…lpable conveniente. de complicidad con el ex-general Malet, unánime Encargo al señor juez relator que leyese la pre mente ; sente sentencia á los condenados y á los absuelto.-, Al señor Boccheiampe, prisionero de estado, y que la hiciese executar en todas sus partes den culpable de complicidad con el ex-general Aldler, tro del termino de 24 horas. por la mayoría de cinco votos contra dos. Ultimamente, previno que se remitiese copia ñ Recogidos de nuevo…</t>
  </si>
  <si>
    <t>Bocuiig</t>
  </si>
  <si>
    <t>…general B;ucher le sigue, y hay probibílidid que 'e cau se mucha v érdida. El exéreito unido d l norte d’ Alem nia, está por lo t?nto ea comunicidon con el exéreito de Silesia. El general Bocuiig . n sigue to dos estos movinie.-tos. Un convoy sueco que pa:aba por el Sun.! el 2 de este m s fue ataca/o por las c fio rieras dinamarquesas. No causaros pérdida, y fueron iu,:go rechazidus. Han he ho redamado» los diuunarqrieses para que ios barcos me cantes…</t>
  </si>
  <si>
    <t>Bodoni</t>
  </si>
  <si>
    <t>Gaceta de Madrid n.º 45</t>
  </si>
  <si>
    <t>1781</t>
  </si>
  <si>
    <t>…tela para las soberbias ,,¿ Necesitamos nosotros de 2a guerra para en ediciones de los clásicos franceses, que está prepa grandecernos? ¿Somos acaso nosotros un pueblo de rando el caballero Bodoni: son unos modelos inimi foragidcs, como los romanos, para tratar de enri tables, de gasto, y de perfección, que sólo su autor quecernos por medio de la guerra, qgn fc* despojos podía, presenta^ al público.. Estas eran las cosa» mas de los otros pueblos? ¿Habi…</t>
  </si>
  <si>
    <t>Boerstler</t>
  </si>
  <si>
    <t>12 6# Después de idas y venidas con muchas proposiciones entre el te niente coronel Boerstler para mí, en nombre del teniente coronel Harén , convino el teniente coronel Boerstler en rendirse en los tér minos de la capitulación. Al tiempo que yo volvía hacia mi tropa para enviar un oficial que vigilase sobre el cumplimiento de las con diciones de la e…</t>
  </si>
  <si>
    <t>Bogue</t>
  </si>
  <si>
    <t>…ianos del cuerpo del genersl Bulovr se empeñaron vivamente en Pannsdorf; y el enemigo se retiraba cuando el Príncipe Real dio orden á la bri gada de cí hete ros, á las órdenes del capitán Bogue, de formarse so bre la izquierda de una batería prusiana, y de hacer fuego sobre las columnas que se retiraban La formidable arma de Congreve apenas habla acabado de paralizar un cuadro de infantería cuando á los pri meros cohetes que arrearon, se entregó com…</t>
  </si>
  <si>
    <t>…del general Bulow sostuvieron una viva acción en Paunsdorff, el enemigo se retiraba ya de aquel punto, quando el Príncipe Real dispuso que la brigada de coheteros, que mandaba el capitán Bogue, se for mase sobre la izquierda de la batería prusiana, y rompiese el fuego sobre las colunas que se retiraban: la formidable arma de Congreve no bien habia concluido de deshacer un grueso de infantería, que se-rindió, como poseído de un terror pánico, á la p…</t>
  </si>
  <si>
    <t>…e inspiran acaba con el poder que le origina. El coronel Diederichs, comandante de la artillería rusa unida al cuerpo del general Bulow, hizo grandes servicios en esta ocasión. El capitán Bogue, comandante de la compañía inglesa de coheteros, se distinguió igualmente. Este valiente oficial murió, y también ha sido llorada su pérdida. Los cohe tes produxeron el mas decidido efecto. Entre tanto el enemigo hizo desfilar por su izquierda desde Leipsick…</t>
  </si>
  <si>
    <t>Boira, FideL</t>
  </si>
  <si>
    <t>FideL Boira</t>
  </si>
  <si>
    <t>…Esandí, D. Antonio QroD. Joaquín í duate,-D. Vicente Soravilla, IX José ítútria, IX Pedro Mayó , U. Ambrosio Seguin , D. R ímon Artica, IX Agus-* ílu Góngora , D -Félix Miranda ,' D. FideL Boira , D. Ramón Elorrio, Jó. Joaquín Ferrér, D. Sebastian Ansa, I). Sebastian Goñi, D Fausto-* Lantler, D. Miguel Asíiz, D. José Apellaniz, D. José Antonio Escu dero. . ! (Se continuará.) id €M)ÍZk *EN LA IMPRENTA NACIONAL.</t>
  </si>
  <si>
    <t>Boira, Francisco</t>
  </si>
  <si>
    <t>Francisco Boira</t>
  </si>
  <si>
    <t>…mas, D. Ildefonso Mayo, D» JVLguql Ormachea, D Joaquín Sánchez, D José Migueltorena D Diego Gayarre, D. Fermín San Martin,*O. José Arozarena, D. Angel Esca lada, D. Víctor Pastor, D. Francisco Boira , D. Nicolás Uroz, D. Francisco Sarbide, P. Manuel'Inda, D Juan Ignacio Peña, D Diego OteruimDi Gabriel Alegría , D. Félix Sarasa $ D. José Labiano , D. Francisco Morillo , D, Juan Jaurrieta, D. Bartolomé Guiberalde, D- Antonio Ugarte, D. Ignacio "Echeverría,…</t>
  </si>
  <si>
    <t>Bolacos, Antonio</t>
  </si>
  <si>
    <t>Antonio Bolacos</t>
  </si>
  <si>
    <t>…, que dó prisionero: igual suerte tuvo el valeroso alférez D Pablo Navar ro , después de haber sido herido, habiéndose sacrificado gloriosa mente , y muerto en el campo el alférez D. Antonio Bolacos y uii distinguido , cuyo nombre se igncra. Esta corta fuerza logró abrirse paso después de haber dexado el enemigo 10 muertos en el campo de batalla. El pueblo de Ibi fué .saqueado; Castalia y Onil sufrieron la misma suerte, y todos fueron amenazados con nuev…</t>
  </si>
  <si>
    <t>Bolonia, Marcheselii de</t>
  </si>
  <si>
    <t>Marcheselii de Bolonia</t>
  </si>
  <si>
    <t>288</t>
  </si>
  <si>
    <t>…un caso muí extraordinario, neficio del estado, y las otras dos para los pobres y abandonando al mismo tiempo el uso del fuego. de cada pueblo.” Teniendo noticia de este método el señor Marcheselii de Bolonia, sugeto conocido ya por otros via- TLsckxllens 24 de diciembre. ges aéreos , se dice que va á probarlo en el primero Nuestros viejos no hacen memoria de haber vis que está disponiendo. to en este distrito tomar á las aguas la elevación • Del IO. que en e! dia…</t>
  </si>
  <si>
    <t>Bolow</t>
  </si>
  <si>
    <t>…de 6o á 6^ hanibres. Ei día 5 tenia" eh emperador su engírter gehe.'al :¿n Francfort: Los enemigos, que estabari en Bremen ’y Muirnér, se retiraron'hác¡3 Wesel y Dusseldorf?. — El general Bolow cree poder levantar en las provincias antigua mente prusianas un cuerpo de 15 á 20® hom bres. -— fía Hannover debe levantarse" na cuerno de' Lsfndwéhr dé 20 á 2 5® hombres.— Dentro de pocos, dias saldrá para comenzar á obrar costra Davoinf. —• Está aquí el du…</t>
  </si>
  <si>
    <t>Boluter, Juan Bautista</t>
  </si>
  <si>
    <t>Juan Bautista Boluter</t>
  </si>
  <si>
    <t>…horas, basta Raíz , presbítero ex-regular. ron para llenar la oferta del consejo municipal. Para el de Muría, vacante por promoción de La ciudad de Amsterdan ofrece á S. M. un es- D. Juan Bautista Boluter á la parroquial de Bolaquadron de cazadores de á caballo, montados y lia, á D. Domingo Ausias, patrimonista , presbítero. equipados; Utrech 20 soldados de á caballo; Aix- Para el de Arañuel, vacante por ascenso de la-Chapellc 20; Colonia 40; Borcete cinco. D.…</t>
  </si>
  <si>
    <t>Bon, Francisco</t>
  </si>
  <si>
    <t>Francisco Bon</t>
  </si>
  <si>
    <t>…31 412272 &gt; D. José Lacroust. 994 408328 398893 407816 407955 &gt; rp 6. . 412046 S TeS0 rero n*?01- 401290 900 61 de 600 pesos. De SOO ps. de Mayo de 1808. 3. . 442942 458476 47754S D. Francisco Bon&amp;font. 2. . 487330 487707 .... D. Juan Dges. - f423479 447888 4-53819") 424185 448183 456572 425312 448888 458793 426545 890 459981 430957 449272 461269 33. .&lt; 431709 331 463252 y A dicho. 436488 451933 467618 439061 452589 619 440457 875 620 441445 880 470157…</t>
  </si>
  <si>
    <t>Bonafont, Francisco</t>
  </si>
  <si>
    <t>Francisco Bonafont</t>
  </si>
  <si>
    <t>…3 151080 176551 206283 797 177096 311 35. 889 178697 207812 152204 179818 208071 159987 183717 544 163410 186433 211539 953 189784 675 I 215619 216030 J 8. • 192129 199779 • « • « D. Francisco Bonafont. 171 de 150 pesos. De 600 ps. de Entro de 1809. 1. • • 367064 D. Joan Dges¡ ........ T365641 372707 373696''} { 651 373412 960 | 14. , .&lt; 792 468 375424 &gt;D. Angel María Apeite| 367973 532 732 ( guia. L368046 688 J 15 de 600 peso*. De 300 ps. de Enero de 1809.…</t>
  </si>
  <si>
    <t>Bonaparte</t>
  </si>
  <si>
    <t>…O DE 1813. FRANCIA. Parts 16 de Abril• Napoleón «alió ayer de St. Cloud á media noche, y va á tornea el maneto de sus exércitos (1). Mete 17 de Abril. Ayer pesó por esta ciudad el emperador Bonaparte , á las 27 be* ras de su salida de Parle, GRAN-BRETAÑA. Londres 20 de Abril^ No se lia confirmado hasta ahora la noticia de haberse unido á los rusos el Austria con 80000 hombres; pero con todo parece que no reyna la mejor armonía entre esta potencia y la Fra…</t>
  </si>
  <si>
    <t>Bonaparte, José</t>
  </si>
  <si>
    <t>José Bonaparte</t>
  </si>
  <si>
    <t>…moria de la gloriosa victoria que el exército aliado, al mando del duque de Ciudad - Rodrigo, ha con seguido el dia 21 de Junio último sobre el enemigo acaudillado por. el intruso rey José Bonaparte en los campos de Vitoria, han de cretado lo siguiente: i.° Que cuando las circunstancias lo permitan se levante á expensas del erario público en el parage mas á propó-* sito de los campos de Vitoria , en el modo y forma que el Gobier no estime nv-s oportuno ,…</t>
  </si>
  <si>
    <t>Bonavia</t>
  </si>
  <si>
    <t>…lotón de rebeldes en la barranca de las Norias, los batió matando 2 5 de ellos, y dispersó el resto por los montes. 4. Real de Sta. Teresa Marzo 30 de 1812. En el mismo oficio ¿el mariscal Bonavia consta igualmente la gloriosa acción que con esta fecha sostuvo el referido comandante contra Cecilio González, que con su gavilla de 600 bandidos y cosa de 70 armas de fuego • tuvo el atrevimieuto de atacarle en el real de Sta. Teresa. El combate duró desde…</t>
  </si>
  <si>
    <t>Bonavia, Bernardo</t>
  </si>
  <si>
    <t>Bernardo Bonavia</t>
  </si>
  <si>
    <t>…ble re curso que tomó Saturnino de incendiar los pastos que había al rede dor del camino. 3. Norias , provincia de Nayarit, 2S de Marzo de j 812 . Por oficio del mariscal de campo D. Bernardo Bonavia, fecha en Durango á 6 de Abril, consta que el capitán comandante D. Miguel Ochoa, que salió de Sta. Teresa en persecución'de la gavilla de Cecilio Gon zález, después de haber recorrido varios puntos de la sierra sin en contrar al enemigo , y castigado al pueb…</t>
  </si>
  <si>
    <t>Bondell</t>
  </si>
  <si>
    <t>164</t>
  </si>
  <si>
    <t>…a ha cer de ellas. En les últimos movimientos no ha habido ninguna pérdida de cañones, carruages ni bagages de los aliados. ,, El cuerpo del penerai Bulow, al que se reunió el del general Bondell en las inmediaciones de Relitz y Trebbin, viendo que el cuerpo de Víctor se había retirado de aquel sitio con objeto de cooperar con ei exérciro gran de, tomó la ofensiva, y persiguió las patrullas enemigas hasta Baruth y ha cia Wittemberg. ,,E1 enemigo no av…</t>
  </si>
  <si>
    <t>Bonet, Leonardo</t>
  </si>
  <si>
    <t>Leonardo Bonet</t>
  </si>
  <si>
    <t>…erto quanto se ha puesto á su cuidado. « Mi secretario de campaña el teniente coronel D. Felipe Prados, mi ayudante de campo el teniente coronel D. Joaquín Montufar, los capitanes D. Leonardo Bonet y D. Domingo Manso , y el teniente D. José Ramón Ferradas, han llenado plenamente mis deseos. «El comandante general de ingenieros mariscal de campo D. Ma nuel Zappiño, el brigadier comandante general de artillería D. Agus tín García Carrasquedo , el coronel mayor general de la…</t>
  </si>
  <si>
    <t>Boni</t>
  </si>
  <si>
    <t>…da, 1 id. D. Alonso Candamo, 1 id. D Benito Cristi, 1 id. T). José de San Martin y Blanco , l id D~ Martin Cortiguera, 1 id. D. Manuel López Díaz, 1 id. D. D amingo Ximenez, i id. D. Boni facio Vivanco, 1-id. D. José Sarria, 1 id. D. Mariano Sarria, 1 id. D. Juan Antonio Aramburu, 1 id. D. José Francisco de Isasi, 1 id. D. Ramón Eurivano, 1 id. D. Ramón de Azcarate, 1 id. D. Fran cisco Abasólo, l id. D. Juan Panero, 1 id. D. Juan Mella, 1 id.…</t>
  </si>
  <si>
    <t>Bonnet</t>
  </si>
  <si>
    <t>…e caballería: el conde_Latónr-Maubourg.— El conde Grouchy. — El conde Nansouty. — El conde Valence. — El conde S. Germán. De infantería: el conde Labor de. — El conde Loison. — El conde Bonnet. — El conde Molitor. — El conde Friant. — El conde Legrand. Los polacos, reducidos á 15$, están en Pirna, mandados por el príncipe Poniatowsky, y la caballería por el general Dombrousky.. ESPAÑA. Vinar o z 16 de Setiembre. El 13 por la noche atacó Sucliet con…</t>
  </si>
  <si>
    <t>…e 1 7 hacia Pirna._El 8 ai medio día el Emperador fue hacia Dahma, mandó al mariscal St. Cyr que acometiese lá vanguardia enemiga, que fue arrojada de las alturas de Dahraa por el general Bonnet. Durante la noche los franceses quedaron en el campo de Pirna (1)------El día 9 el exército francés marchó hacia Borna y Fumenwalde. El Emperador tenia su quartel general en Liebstadt.___En el día 10 le mariscal St. Cyr salió de la aldea de Furstenwalde para…</t>
  </si>
  <si>
    <t>Bonos</t>
  </si>
  <si>
    <t>Gaceta de Madrid n.º 100</t>
  </si>
  <si>
    <t>…rdinario. El amor á la patria y el apego al Mo Los señores generales Saunier, Gusehlen, Punarca, siendo los sentimientos innatos de los prusia chelois y Daru han llegado aquí•, el general Bonos, y que siempre han resplandecido en los mo yeldieu ha partido para' Leipsick, y el intendente mentos de peligro, tantos jóvenes valerosos como general conde Dumas para Francfort sobre el Oder.</t>
  </si>
  <si>
    <t>Bonversé</t>
  </si>
  <si>
    <t>…a su conducta. „Ei teniente general Sir Tomas Graham recomienda muy particu larmente la conducta y servicios del coronel Delancey, cuartel maes tre general en segundo, al teniente coronel Bonversé, ayudante ge neral del cuerpo de su mando, y áTos oficiales de su estado mayor; igualmente que al honorable teniente coronel Upton , ayudante cuar tel maestre general, y ai mayor Ilope, ayudante del ayudante ge neral ; y el mariscal de campo Osibalt recomiend…</t>
  </si>
  <si>
    <t>Bonvérsé</t>
  </si>
  <si>
    <t>…su conducta. ,,Et teniente general sir Tomas Graham recomienda mui particularmente la conducta y servicios del coronel Delancei, quartel maeste general en se-’ gundo, al teniente coronel Bonvérsé , ayudante general del cuerpo de su man do, y á los oliciales de su estado mayor , igualmente que al honorable teniente coronel Upton, ayudante quartel maestre general , y al mayor Hope, ayu dante del ayudante general; y el mariscal de campo Osibald recomiend…</t>
  </si>
  <si>
    <t>Boobiigqcion, Vicente</t>
  </si>
  <si>
    <t>Vicente Boobiigqcion</t>
  </si>
  <si>
    <t>iguales grados dp patriotismo, y todas compiten en Para el de Cartet de Murvíedro, vacante por actividad sobre quien podrá antes llenar la sagrada muerte de D. Manuel Cuevas, á D. Vicente Boobiigqcion que ha contraído con so promesa espon ¡xadors &gt; presbítero. tánea. £1 piismp, entusiasma cuentan todos ios de Para el de Montanejos, vacante por fallecimien parta tnentos- Lps diversos distritos del departamen to de D. Juan Domingo Belinchon, á D. Antonio tos…</t>
  </si>
  <si>
    <t>Bor</t>
  </si>
  <si>
    <t>.„El general Bor&amp;telL había avanzado con su cuerpo hasta.Walhstz coa «I ohjeto de bloquear á 'Magdéburgo por !a~brilla derecha del Elba ; pero1 ha biendo sido atacado el 2 de abril por fuerzas superiores, se retiró á Nedlitz, segundas instrucciones quetenia , cubriendo los co…</t>
  </si>
  <si>
    <t>Borbo'n.tenemos, Carlota Joaquina de</t>
  </si>
  <si>
    <t>Carlota Joaquina de Borbo'n.tenemos</t>
  </si>
  <si>
    <t>…de un español honradaportugueses, y , luego con nosotros mismos, hasta á la Sernta. Sra. Iofanta de España , Priitfesaque todos pensásemos :dei ‘ mismo modo. ¡Pues ya de Portugal^ Doña Carlota Joaquina de Borbo'n.tenemos obra para dias! ¿Y luego ,3r. D. Nicodeímis, iremos á París ¿i lolocar sobre las márgenes ,, Serenísima Señora: los buenos españoles re del A: Ha nu-stros triunfantes pabellones (r) ? . sidentes en Cádiz han oído y visto con indecible No" falta quien lo diga.…</t>
  </si>
  <si>
    <t>Borbon, Luis de</t>
  </si>
  <si>
    <t>Luis de Borbon</t>
  </si>
  <si>
    <t>…guiente : ,,Las Cr rtes generales y extraordinarias decretan: l.u La Re gencia actual de las Espadas, compuesta del M. R. cardenal de San* ta María de Scala, arzobispo de Toledo , D. Luis de Borbon, D. Pe dro Agar y D. Gabriel Ciscar , nombrada provisionalmente por de creto de 8 del corriente, dexa de ser provisional desde el día de hoy; y exercerá todas las facultades que le competen con arreglo á la constitución y decretos de las Cortes. 2.* El expres…</t>
  </si>
  <si>
    <t>Bordett</t>
  </si>
  <si>
    <t>…0 del corriente contiene un oficio del capitán Lumky , comandante del Narciso, en que dice htber api*, ísado al corfário americano Shephefd, con 4. cañones y 18 hombres. O tro del capitán Bordett, comandante del Maidsíone, da cruenta de haber apresado ai cortario americano Cora de 258 tonelada*. 6 ca ñones y 40 hombres;• y otro de M. Morgan, comandanta úeí. cúter Viper, dice haber cogido ti corsario francés Luisa, coa 22 hombres</t>
  </si>
  <si>
    <t>Borgo, Pozzo del</t>
  </si>
  <si>
    <t>Pozzo del Borgo</t>
  </si>
  <si>
    <t>…Praga un refuerzo de 7© hombres del cuerpo prusiano del general Kleist. Tengo ei honor &amp;c, =r &amp;.rStzwárt+ , Xerbst4 de Octubre ' Milord: tengo la honra de iaformar á V. S. que el general Pozzo del Borgo recibió noticias del cuartel general de Bohemia con fe cha de 24 del pasado, de que habiéndose reunido el general Ben-*rúgsen al exército grande , tomaron los monarcas aliados \a resoiucion de hacer un movimiento por la izquierda el i.° de e: te ines para sal…</t>
  </si>
  <si>
    <t>Borne-Desfourneaux</t>
  </si>
  <si>
    <t>Gaceta de Madrid n.º 85</t>
  </si>
  <si>
    <t>…-presidentes. Después de do el triunfo de sus débiles fuerzas, mientras sub dos escrutínos los votos se han reunido en favor del sistan reunidas las cortes generales y extraordina caballero Borne-Desfourneaux y de los señores rias de la nación española, se felicitan en secreto Gourlay, Babouz y Ritfard de S. Martin; v cñ su de su próxima cesación; desacreditan entre el pue consecuencia han sido proclamados vice-presidentes. blo á quantos hombres gozan ó han gozado…</t>
  </si>
  <si>
    <t>Borsteil</t>
  </si>
  <si>
    <t>…á Y. E. la gloriosa acción del 5 de este mes, emprendida con el objeto de disipar el terror dedos habitantes de B«rlio que temían volviese el enemigo á ocupar aquella ciudad. .&lt;Ei general Borsteil había avanzado con su cuerpo hasta W&amp;Ihetz con el objeto de bloquear á Magdeburgo por la orilla dtrecha del Elba; paro hablando sido atacado el 2 de Abril por fuerzas su periores , se retiró á Nedlitz , según las instrucciones que tenia , cu briendo los cosac…</t>
  </si>
  <si>
    <t>…t guardia. El ge neral Borstril le persiguió h^sta Thiesen. El enemigo prin.ipiS un vivo cañoneo de artillaría y fusilaría pa-ra cubrir su posición; pero los cuerpos avanzados dei general Borsteil se sostuvieron delante de las gargantas- de Koppiug, á 200 pasos de Thusen. La división del coronel KrafF subió a Jas alturas de K.rcpstad para sostener al ge neral Bo:stelí. Ai mismo tiempo el general Dobschutz se hiza señor de las sltnres de Ja ciudad cíe Z…</t>
  </si>
  <si>
    <t>Borstel</t>
  </si>
  <si>
    <t>…general Rutlitz recibió una fuerte contusión en el hombro, y manifestó mu cho valor y talento. A todas horas se hacen prisioneros, y las tropas persiguen vivamente al enemigo. El general Borstel ocupa á Zinna y Juterbock, y ha dado en to das las ocasiones pruebas de su celo y pericia militar. El enemigo dio muestras ayer de quererse reconcentrar en Eckmansdoidf y Kattemborn, entre Witemberg y Trauenbritzen. Las no ticias recibidas hoy de los generale…</t>
  </si>
  <si>
    <t>Borsteli</t>
  </si>
  <si>
    <t>…iores, se retiró á Nedlitz, segundas instrucciones quetenia , cubriendo los cosacos los caminos .que-. con. duceir á Burg ^ Gommern. - - " „E1 5 del corriente obligó el enemigo al general Borsteli á retroceder á Gedena (camino de (^ortzke)jfy rechazó á ios,cosacos mas allá de Lurzkau y hacia Burg. , . *„ Noticioso yo de que ,el virei de Italia mandaba en persona esta .ex;pe.T díóion con un“cuerpo de"22 'á 23© hombres, entre ellos 3© caballos, y que suj…</t>
  </si>
  <si>
    <t>Borstell</t>
  </si>
  <si>
    <t>…ovisiones, hizo ^prisioneros seis oficiales y 120 soldados de la escolta , y mató ó dispersó los restantes. -El quartel general del general Bulow estaba el día 2*7 en Elshoiz ; el general Borstell en las inmediaciones de Lakenwalde, y él general Taveneien en Bareuth, y sus tropas situadas sobre aquella ciudad* Golzen'y Lukau. Este general ha manifestado grande pericia en reunir su reserva, .y arroja* al enemigo fuera dé los bosques* El Príncipe Real ha…</t>
  </si>
  <si>
    <t>…tado su entera satisfacción á vista del valor, y destreza que mostró este bizarro oficial en ocasión tan señalada. El general Bulow tenia el 27 su cuartel general en Elsholtz ; el general Borstell estaba en las inmediaciones de Luckeiiwalde; y el general Tauenzien estaba el 27 en Baruth con su cuartel general, te niendo apostado su cuerpo entre aquella ciudad, y los puebíes de Golzen y Luckau; el primero dio pruebas de su gran destre2a reuniendo pronta…</t>
  </si>
  <si>
    <t>…arrabales de Leipsick, mandó el Príncipe Real a! ge neral Bulow que tomase la ciudad. Este determinó que el Príncipe de HesseHomburg diese el ataque, y se destinó la división del general Borstell para protegerle. La puerta estaba defendida por una empalizada, y las murallas bien guarnecidas; pero á pesar de esto nuestras tropas abrieron camino para Jas calles, y entonces fue herido de un balazo el Príncipe de Hesse-Homburg. Como el enemigo ocupaba tod…</t>
  </si>
  <si>
    <t>Bosano, Francisco</t>
  </si>
  <si>
    <t>Francisco Bosano</t>
  </si>
  <si>
    <t>…l Garbea y Bulillo, 2 id. D. Ma nuel de Aramburu, í id. D. Miguel de Ezcurra, 1 id. D. Ramo* Martínez de Bartolomé, 1 id. D. Santiago Cachonfajro, 1 id. D. Tir so Estevanez, 1 id. D. Francisco Bosano , 2 id. D. José Gambini, 1 id. D. Juan de Perlica, 8 id. D. Dimaso de Arias, 6 id. D. Jacinto Xiraeno, 6 id. D. Manuel Ortiz de Villate, 4 id. D. José Rodolfo, 4 id. D. Antonio León, 4 id. D Paulino Domínguez, 3 id. D. Martin de Aramburu, 3 id. D. Francisco V…</t>
  </si>
  <si>
    <t>Botta</t>
  </si>
  <si>
    <t>Gaceta de Madrid n.º 20</t>
  </si>
  <si>
    <t>…bsurdos y ridiculeces que hasta aqui se ob nueve volúmenes: el quarto y quinto que anuncia servaban cu esta clase de inscripciones, y qu.e ex—, mos ahora son, según ¡a opinión del señor Botta, citaban la mofa de los nacionales y extrangeros. una de las producciones mas importantes que han salido de las prensas:francesas durante el año 1S12. GRAN BRETAÑA. La imparcialidad, la solidez, y el fino gusto que ha manifestado el señor Botta en la crítica…</t>
  </si>
  <si>
    <t>Bottamini</t>
  </si>
  <si>
    <t>…ué se ha. propuestoel autor, del discurso que va el añil del paste!. Atraxo también la atención una mos á extractar, como sé echa de ver en los pasa)ieza de paño, fabricada por el señor Bottamini con ges siguientes. Íana de gan^do^mcrino^ introducido po&lt;;© bá en es- , ^Después de haber probado que la situación po lítica del pueblo, judió le precisad» á estar en con te departamento. 'ci \ í i • ’ Por lo que hace'á Tas ártes'se veiári varios qua- tinua…</t>
  </si>
  <si>
    <t>Bou-</t>
  </si>
  <si>
    <t>…emos útil el que sean individuos del senado presentamos como candidatos para la plaza de se Jos grandes oficiales de nuestra corona, y nos es nador , vacante por fallecimiento del conde Bou- muí agradable el darlos esta prueba de nuestra sa gainville, al barón Lacue'e, primer presidente de la tisfacción. Dado en nuestro palacio del Elúeo-Nacorte imperial de Agen , presentado por el colegio poleon el 5 de abril de 1813.=. Firmado = Na electoral de…</t>
  </si>
  <si>
    <t>Bouhin</t>
  </si>
  <si>
    <t>…del señor Renouit, médico ins conde Molúy Quinñete, Bégouen, d Uautetive, pector de las cárceles de estado, con fecha d^l 23. Corsini, «1 duque de Dalberg. 7.0 Una declaración del señor Bouhin, gefe ae división en el departamento del Sena, con fecha del 28 de noviembre’último. SOMBRO XI. Se repartió un exémplar de estos muevos docu Sección de Hacienda. mentos á cada uño de los miembros, y se leyó. Terminada esta lectura, se pidió que se princi Acta…</t>
  </si>
  <si>
    <t>Bouilay</t>
  </si>
  <si>
    <t>…introducidos S. E. Prusia una parte de su deuda, y en retirar las tro el conde Defermont, ministro y consejero de Esta pas francesas de su territorio antes de que hubiese do, y el conde Bouilay, consejero de Estado. efectuado los pagos. S. E. el señor duque de Bassano, ministro de Re ,,La alianza de la Francia con la Prusia pare laciones exteriores, comunicó el siguiente informe: cía que debia afianzar la fidelidad de la Prusia, y V. M. lo creyó asi…</t>
  </si>
  <si>
    <t>Bourcíer</t>
  </si>
  <si>
    <t>…cudir de cosacos de poco momento. á pagar su deuda á la patria y al Soberano. Toda la caballería desmontada ha* llegado ya al En un país donde se hacen frecuentes compras Oder. El general Bourcíer, que está en Berlín, es de caballos para el exército, y donde los venden cribe que hai ya comprados 503&gt; caballos, de los luego que llegan á quatro años , se hallan mui po quales se han entregado ya 20$, y se hallan en los cos caballos hechos de venta; pero n…</t>
  </si>
  <si>
    <t>Bourlier</t>
  </si>
  <si>
    <t>conde de Montesquiou, Verhuet, Ríqoet de Cara- en hacer estas útiles compras: asi las necesidades Se man, general Aubigny y barón Bourlier, hemos nuestras fabricas, de nuestra agricultura y de. nues nombrado y nombramos ai señor conde Je Montes- tros exércitos están cada vez nías aseguradas. • quiou presidente del cuerpo legislativo durante la Este grado de prosperidad se debe'á fes leyes actual…</t>
  </si>
  <si>
    <t>Boutelou, Claudio</t>
  </si>
  <si>
    <t>Claudio Boutelou</t>
  </si>
  <si>
    <t>Gaceta de Madrid n.º 21</t>
  </si>
  <si>
    <t>…ctor de la el mismo Emperador, las piadosas exhortaciones de real sociedad económica de esta corte que ha hecho los ministros de la religión, la voz de los primeros este cuerpo en D. Claudio Boutelou, individuo de magistrados, los consejos de los hacendados princi inédito.</t>
  </si>
  <si>
    <t>Gaceta de Madrid n.º 132</t>
  </si>
  <si>
    <t>…n y armonía entre las dos autoridades executiva y legislativa, como tam El director y primer profesor del real jardín bo bién entre los mismos secretarios, para que las pro tánico D. Claudio Boutelou dará principio á las videncias del gobierno no fuesen aisladas, sino que lecciones públicas de botánica el viernes 14 del cor hubiese un plan uniforme y constante en todas sus riente á tas diez y media de la mañana, y las con operaciones. Observó, recorriendo…</t>
  </si>
  <si>
    <t>…tura, ó sea la explicación del significado deTas varias voces técnicas ó propias de jardinería usadas en este trata do. Segunda edición-corregida y considerablemente aumentada por D. Claudio Boutelou, director interino , y primer profesor de agricultura y de botánica del jardín botánico de Madrid: un tomo en 4.0 Se hallará en las librerías de Castillo, frente á las gradas de S. Felipe, y en la de Tieso, calle de las Carretas, á 20 rs. en rústica y 2401 pa…</t>
  </si>
  <si>
    <t>Boutelou, Claudiu</t>
  </si>
  <si>
    <t>Claudiu Boutelou</t>
  </si>
  <si>
    <t>…aign.ac: que ei gene- D. Jaime Culi, substituto segundo. riiv.Rapp ocupa lo extern: r de la plaza á diez le Barrio de Santa Cruz. ' guas en contorno; y que hai fondos en el tesoro D. Claudiu Boutelou, alcalde. : para pagar el sueldo durante un año. D. Lorenzo Rives, substituto primero. - ” Las noticias deThorn eran igualmente satisfac D. Gregorio- Martínez-de-Mollinedó1» substituto torias. Las comunicaciones de esta ciudad con el segundo. cuartel general…</t>
  </si>
  <si>
    <t>Boutelou, Estéban</t>
  </si>
  <si>
    <t>Estéban Boutelou</t>
  </si>
  <si>
    <t>…ico dad, la Inglaterra digo: no pudiendó esta nación las lecciones públicas de agricultura y economía ru elevar el coloso de su grandeza precaria sino sobre, ral, que explicará el profesor D. Estéban Boutelou;. las ruinas de (as demas, su política (mejor diría su continuándose esta enseñanza á la misma hora todos maquiavelismo} no es otra que armar unos contra • los lunes, miércoles y viernes de cada semana. otros todos ios pueblos, incitarlos á despedazarse, ofre…</t>
  </si>
  <si>
    <t>Boutesalida</t>
  </si>
  <si>
    <t>Gaceta de Madrid n.º 19</t>
  </si>
  <si>
    <t>…amos que todos ellos pidan á la regen habían venido á sacar contribuciones. El general encia de la provincia qpe^al^kan un- per-*nisc*-para su .-sajó inmediataqMpta dpntra«líos al teniente Boutesalida. 4 , vílle co| un destacamento de artilleros de á caballo, ,, Qualquíera que emigrare sin cumplir con di—'" atgimos drago'ñCs, y tinos pocos'cazadores francos chas formalidades incurrirá, sea de la clase, que de Zamora. Los bergantes, viéndose sorprehendidos,…</t>
  </si>
  <si>
    <t>Bouverie</t>
  </si>
  <si>
    <t>…omandante en ge£3 de las referidas tropas; y por los señores el coronel Delancey, diputado cuartel-maestre-gene ral, el coronel Dicksoa, comandante da la artillería, y el teniente coronel Bouverie por parte del señor teniente general Tomas Qraham ; los cuales, de-pues de haber cangeado sus poderes, han con venido en lo siguiente: Art. I. Las tropas imperiales y reates francesas que forman la guarnición del castillo de la Mota de S. Seb isiian.seCentreg…</t>
  </si>
  <si>
    <t>Bouvesi</t>
  </si>
  <si>
    <t>1002</t>
  </si>
  <si>
    <t>…es de que la quinta división forma parte de ia izquierda del exército. j* Me tomo la libertad de asegurar á V. S. que el coronel Delancoy., cuartel -maestre general, y el teniente coronel Bouvesi, adicto á la columna de la izquierda, han continuado á mis ordenes dándome los auxilios mas estimables, y que el celo del capitán Cal/veret del 29 regimiento, y mi primer ayudante de campo, así como el de los demas oficiales de mi estado mayor los hace acreed…</t>
  </si>
  <si>
    <t>Boux</t>
  </si>
  <si>
    <t>…avia síntomas de enfer Del 14• medad contagiosa. La prudencia ha dictado lá re El corsario de Marsella la Babiola , mandado solución del gobierno ae no modificar en cosa al por el capitán Boux , apresó el dia 7 de este mes en guna la saludable institución de la quarentena. fas aguas de Berbería la embarcación inglesa el Por otro- lado se sabe que se ha manifestado una Sisters, de 4^6 toneladas, y de 30 hombres de tri enfermedad epidémica en la ciud…</t>
  </si>
  <si>
    <t>Bowes</t>
  </si>
  <si>
    <t>…° Vitoria. Se hablaba también de una expedición marítima contra Bayona y Burdeos al mando del almirante Coliier, que conoce bien la costa. Se iba á erigir en Londres monumentos al general Bowes, muerto en el sitio del castillo de Salamanca; al general Brock, muerto últimamente en América; al coronel W. Myers, muerto en la batalla de la Albuera, y al coronel Cadogan, muerto, en la de Vitoria. Los periódicos de Londres han publicado y desmentido el ru…</t>
  </si>
  <si>
    <t>Boxadors, D José de Salas</t>
  </si>
  <si>
    <t>D José de Salas Boxadors</t>
  </si>
  <si>
    <t>192</t>
  </si>
  <si>
    <t>…renovación de su presidente , vice-preaidente y uno de sus secretarios ; salieron electos, para presidente el £r. D. Joaquín Maniau, diputado por Veracruz; para vice-presidente el Sr. D José de Salas Boxadors, diputado por Mallorca; y para secretario el Sr. D. Domingo Rus, diputado por Maracajbo. La Regencia del reyno se ha servido expedir el decreto siguiente• D. Fernando vii, por la gracia de Dios y por la constitución de la monarquía española, rey de las España…</t>
  </si>
  <si>
    <t>Boye</t>
  </si>
  <si>
    <t>…do las tropas. Están muy enconados e?.tre sí realistas é imperiales. El dia 28 llegaron de Cueílar 400 hombres de la guardia real, y salieron para Rioseco unos 80 para conducir al general Boye*, á fin de que dé sus descargos al intruso sobre las tropelías que ha co metido en tierra de Campos. El general Reilie tiene aquí su cuartel general. Se dice , de resultas de les correos del 26 , que queda suprimido el exército de Portugal; que pasarán á Fran…</t>
  </si>
  <si>
    <t>Boyer</t>
  </si>
  <si>
    <t>Gazeta de la Regencia de las Españas n.º 50</t>
  </si>
  <si>
    <t>412</t>
  </si>
  <si>
    <t>…, ha sido reemplazada por el 118 que se hallaba en Medina. En Tudela habrá 800 hombres de guar nición del 27 y del 50. En Oigales 160 del 59, y en ks hospitales 850 enfermos. — El general Boyer liego aquí ai mismo tiempo que (I) A consecuencia de esta respuesta se enviaron otra vez los para* portes á M. de Cab .e, y no le acompañó d oficial de policía Canee• fUósyle también permanecer tres dias en Stockoltño, de donde salió el 27 de Diciembre.</t>
  </si>
  <si>
    <t>Brace</t>
  </si>
  <si>
    <t>…GENCIA DE LAS ESPAUAS DEL JUEVES 19 DE AGOSTO DE 1813. GRAN-BRETAKA. Londres 20 de Julio. 0 La secretaría del Almirantazgo ha publicado los partes siguientes Primero. m Oficio del capitán Brace, del Berwick, al vice-almirante Sir . E. Pellejo, comandante en gefe en el Mediterráneo , abordo del Berwick , delante de Cavalacio, á i&amp; de Mayo. »Mi comandante : me tomo la libertad de poner en noticia de VT que por las disposiciones juiciosas del capitán N…</t>
  </si>
  <si>
    <t>Brachenburg</t>
  </si>
  <si>
    <t>…que manda Ios- cazador es , y al ma yor C. Stewart Cajnpbclí, que manda el tercer regimiento en au sencia del coronel Me. Raí, y al mayor Fitz Gerald, y a sú ayu dante de campo él capitán Brachenburg del 61. El mayor-general Hay habla con gran elógio dé los servicios del coronel el honorable Carlos Grewille del 38 de infantería en el mando de la segunda bri gada, y dé la distinguida bizarría del teniente coronel Barnes en el afortunado asalto dé la cortin…</t>
  </si>
  <si>
    <t>Bradfor</t>
  </si>
  <si>
    <t>…rables posiciones muy fuertes á ia derecha de dicho camino, y del rio Oria, al frente de la aldea Oiiberria, cosa o á milla y media al frente de Villafronca. La brigada del. mayor general Bradfor marchó por Olaberri, y se ®cupó en desalojar* al enemigo por ia derecha, mientras las demas tropas adelantaban por la Calzada, de-</t>
  </si>
  <si>
    <t>Bradford</t>
  </si>
  <si>
    <t>…ndo avanzado á la carga el batallón de tropas ligeras, tomó sobre el puente tres cañones y un obús. Este ataque fue sostenido por la brigada de infantería portuguesa del mando del general Bradford ,, Durante las operaciones de Avechuco hizo el enemigo los mayores es fuerzos para apoderarse nuevamente de Gomarra mayor, los que fueron re chazados bizarramente por la quinta división al mando del mariscal de cam po Osibald. Sin embargo, teniendo el enemigo…</t>
  </si>
  <si>
    <t>…do por la calzada: dos. batallones españoles y uno portugués , que formaban una columna se parada por da izquierda del camino, pasaron prontamente la izquier da de la ciudad. &gt;»E1 general Bradford y los batallones de línea alemanes cayeron Sobre el enemigo por ss frente por el camino de Pamplona, y el co ronel Longa pot la parte de la montana mas á ia derecha envolvió y desalojó de muy fuertes^posiciones á todos los cuerpos enemigos si tuados á la dere…</t>
  </si>
  <si>
    <t>…ncelos del quarto de cazadores, se distinguió en esta ocasión. Este ultimo per dió un ojo por una bata de fusil. « [Lía altura fue ocupada inmediatamente por la brigada del ma yor general Bradford , sostenida por los tres batallones de la guardia neal. . „Lo restante del dia principalmente se pasó en escaramucear córt los tiradores enemigos para dar tiempo á que llegase á su destino el cuerpo e-pañol. «Empezó un ataque general entre las 6 y 7 de la tar…</t>
  </si>
  <si>
    <t>…siderables posiciones mui fuertes á la derecha de dicho camino y del rio Oria, al fren te-de la aldea Oliberria, como á milla y media al frente de ViUafranca. La brigada del mayor general Bradford marchó por Olaberri , y se ocupó en desalojar al enemigo por la derecha, mientras las demas tropas adelantaban por la calzada, defendida desde las alturas por los tiradores enemigos, y por un fuerte cuerpo situado én la aldea Beasvin. „Como el enemigo reforza…</t>
  </si>
  <si>
    <t>…reserva de tres compañías de reales escoceses, mandados por el capitán Auguimbean, se formó en la derecha para atacar el reducto, baxo la dirección del mayor general Hay. El mayor general Bradford man. daba la coluna izquierda, compuesta de 200 hombres del regimiento 13.® portugués, al mando del mayor Snodgrass, de igual número, mandados por , el teniente corone) Mac Neandel 5.0 de cazadores, y sostenida por el 9.0 re gimiento, al mando del teniente co…</t>
  </si>
  <si>
    <t>…ue otra oferta semejante me fué he cha por el primer regimiento portugués de la brigada del brigadier general Wiáson *• del mando del teniente coronel Ee&amp;ro^ , y que así el. mayor general Bradford , como ei brigadier general W'iísony des de el principio habían pedido ansiosamente el empico de sus respec tivas brigadas en,él asalto, ya que habían tenido tanta jarte én los trabajos y fatigas del ataque de la derecha., «Observando entonces el efecto del a…</t>
  </si>
  <si>
    <t>Bradfordde</t>
  </si>
  <si>
    <t>…ras tropas, que estaban en la brecha, y fue seguido con una precisión de práctica superior á todo elogio. En tanto acepté la oferta de uea parle de la brigada portuguesa del mayor general Bradfordde vadear el rio por cerca de su boca. El primer batallón del regimiento 13 portugués, mandado por el mayor Snodgrajó,, se adelantó por la playa rasa, y airares© el rio, sostenido por un destacamento del regimiento 24 á las órde nes del teniente coronel M. Bean,…</t>
  </si>
  <si>
    <t>Bradíord</t>
  </si>
  <si>
    <t>215</t>
  </si>
  <si>
    <t>…ando por la calzada: dos batallones españoles y uno.portugués, que formaban una coluna separada por la izquierda del camino, pasaron prontamente la iz quierda de la ciudad. , „ El general Bradíord y los batallones de línea alemanes cayeron sobre el enemigo por su frente por el camino de Pamplona, y eí coronel Longa por la parte de la montaña mas á la derecha envolvió y desalojó de mui fuertes posiciones á todos los- cuerpos enemigos situados á la derec…</t>
  </si>
  <si>
    <t>Braeho, Rafael</t>
  </si>
  <si>
    <t>Rafael Braeho</t>
  </si>
  <si>
    <t>…saron unos por un lado y otros por otro, dexaron abandonados 9 tercios de algodón que habían robado á unos indios de Ixtlahuaca, á quienes se devolvieron. 59. El coronel de Zamora D. Rafael Braeho ha comunica do al señor virey desde Xalapa, con fecha de 6 del propio mes, cjue había desembarcado en Veracruz el 25 de Agosto la terce ra expedición remitida de España , compuesta del regimiento de su mando, de una compartía de artillería volante de 102 plaz…</t>
  </si>
  <si>
    <t>Brahe</t>
  </si>
  <si>
    <t>…nd. S. A. R. llevaba en sp comitiva al feld 'mariscal conde Steáinck, ai teniente gobernador príncipe Putbos, al canciller de la corte barón Wetterstedt, al chambelán del gabinete conde Brahe , al teniente coronel Camps, y á los barones Stiercona &gt; Essen Scc. £1 general barón Adlercreutz ha tomado el mando en ge fe del exército sueco durante la ausencia del Príncipe real. £1 general ruso barón de Suchtelen y el ministro ingles Thoratoa han acompañ…</t>
  </si>
  <si>
    <t>Brainbridge</t>
  </si>
  <si>
    <t>…eva-Yorck hasta á este puerto, donde desembarqué todos los prisio el principio de marzo. Entre otras cosas contienen neros para que se%fuesen á Inglaterra, donde esta el parte del capitán Brainbridge sobre el combate rán hasta ser cangeados. que tuvo cdn la Java , y anuncian una nueva ba Tengo el honor de ser &amp;c. talla entre las fuerzas inglesas y el exército ameri Extracto de una carta de Richmond con feehacano á las órdenes del general Harrison cerca de…</t>
  </si>
  <si>
    <t>Brake</t>
  </si>
  <si>
    <t>Gazeta de la Regencia de las Españas n.º 14</t>
  </si>
  <si>
    <t>112</t>
  </si>
  <si>
    <t>…13 de Setiembre apresaron las lanchas del navio Garland, apostado en Jamayca, al corsario americano el Poor Sailor, que te nia un cañón de á 6 y 50 hombres: mandaba las lanchas el teniente Brake. El vice-almirante Sterling, comandante de! apostadero de Ja mayca , ha remitido dos cartas de Mr. Boss, capitán de la chalupa de S. M. el Rodiano , con fecha de 13 y 1€ de Setiembre, dando cuenta de haber apresado dos corsarios americanos, nombrados el uno e…</t>
  </si>
  <si>
    <t>Brandy</t>
  </si>
  <si>
    <t>Gaceta de Madrid n.º 90</t>
  </si>
  <si>
    <t>…e como especial tributó suyo, dos soldados mas de cipitado de ella con desorden hasta Arrigorriaga. caballería montados y equipados á costa de ella Conducía esta pequeña coluna el capitán Brandy comandante de los‘granaderos del regimiento 118.0,misma. ^Dignaos, Señor, de aceptar benignamente militar viejo , lleno de valor , cuya conducta é inte ésta corta prueba del verdadero amor nuestro, con ligencia- elogia macho ef general Rouget. Los te siderand…</t>
  </si>
  <si>
    <t>Brema, Morativi Je</t>
  </si>
  <si>
    <t>Morativi Je Brema</t>
  </si>
  <si>
    <t>…emonia del cuerpo di tada y arrojada al rio el 28 por el general Montplomático, de las autoridades y de ia nobleza de brun , se dirigió á Luneburgo. esta capital. ■ El 26 safio el general Morativi Je Brema con</t>
  </si>
  <si>
    <t>Bremer</t>
  </si>
  <si>
    <t>Gaceta de Madrid n.º 11</t>
  </si>
  <si>
    <t>groa de Honor - y ciropno-máyor def 4- regimien^ ' . Los señores Bremer y-Lávoúiíse inocularon' é? to de coraceros , y .1'Mr. el doctor Bremer, con 14 de junio con las costras recogidas de lás vácai sejero de corte y médico del instituto de vacuna de Malchow; y los tres con quienes se hizo la-ex ción de Berlín; ■ • ' ' ; : periencia tuvieron la verdadera ’yácúiiá. Igual éxí£l; 14 de mayd de 1812, di…</t>
  </si>
  <si>
    <t>Bremond</t>
  </si>
  <si>
    <t>53</t>
  </si>
  <si>
    <t>…eses vacunas y granos que habían robado, el pan , aguardiente, tocino y otros víveres que tenían» „No solo hemos conseguido esto , sino también la muerte del ge neral Fromant, deí coronel Bremond, y de otros muchos oficiales; y la libertad de 60 vecinos honrados destinados para ser conducidos á Burgos, donde deberían permanecer hasta que el valle hiciese efectiva la contribución» „Este es el brillante resultado de la acción que han dado los bi zarros…</t>
  </si>
  <si>
    <t>Bret, Kduardo</t>
  </si>
  <si>
    <t>Kduardo Bret</t>
  </si>
  <si>
    <t>…na injuria atroz el que esta partícula del So ñando testimonio de un atropellainienro escandalo berana quiera compararse con un teniente de guar-; so que había sufrido de parte de D. Kduardo Bret,' dia'. ¡Pueblos, la teoría estéril de la soberanía na-f teniente del segundo batallón de guardias Walonas, cional no os ha de libertar de las violencias del maá y D. Eduardo Silva, ayudante segundo del mismo fuerte ni de los horrores de la anarquía ! Un go c…</t>
  </si>
  <si>
    <t>Breudel</t>
  </si>
  <si>
    <t>…tallones de Yagers y de 4 piezas de artillería, man dadas por el ayudante general bsro.i O^destroa, esta junto con ia vanguardia rusa; las tropas l'geras del general Czernicheif y coronel Breudel, acosan constan emente ai enemigo. Los generales Tauenziea y Herschfeldt dirigen sus movimientos por los del exército , y están en comunicación con él. . . . , El príncipe de Eckmuhi aun continuaba en su posición junto a Schwerm el 2S de Agosto.—-S. A. R. env…</t>
  </si>
  <si>
    <t>Bringas, Francisco</t>
  </si>
  <si>
    <t>Francisco Bringas</t>
  </si>
  <si>
    <t>Gazeta de la Regencia de las Españas n.º 29</t>
  </si>
  <si>
    <t>528</t>
  </si>
  <si>
    <t>…o, y dexarnos enteramente arruina dos. Badajoz 19 de Febrero. De Madrid escriben lo siguiente: Han sido presas aqu algunas personas por no pagar las contri buciones, y entre ellas D. Francisco Bringas, á quien repartieron 10000 duros. ■— Han pedido á esta provincia 67000 fanegas de trigo y 48000 de cebada con 11 millones en metálico. Venden el trigo luego que va llegando. —- El intruso no sale de la casa del Campo, y dicen está de malísimo humor. — Salió u…</t>
  </si>
  <si>
    <t>Brizuela</t>
  </si>
  <si>
    <t>…los de gravedad al ca becilla Arroyo, é hizo porción considerable de prisioneros. Entre los patriotas que se distinguieron en tan reñida acción, se recomienda al señor Negrete, al teniente Brizuela, al párroco de dicho pueblo I). Pedro José Borja, al subdelegado D. Francisco Suarez y otros. Por nuestra parte no hubo ni un herido. 33. Según oficio del gobernador de Durango al teniente coro nel D. Mariano Urrea ; comandante de una división de Sonora, ei 4…</t>
  </si>
  <si>
    <t>…a nacional deí rebelde £uar-ez en Uruapan , llego al pueblo de Tingumdin , en la sierra, y en sus inmediaciones sorprehendió la gu, rriila de dicha di-visión» que iba al mando del teniente Brizuela, una avanzada de trein ta y tantos insurgentes, de ios que mato ó hizo prisioneros 13, en tre ellos el nombrado coronel Bucio, cogiéndoles ademas 20 y tan tos caballos. AI siguiente día, después de una marcha penosa de 8 le guas, que en po as horas, á pesar d…</t>
  </si>
  <si>
    <t>Brizuela, Agustín</t>
  </si>
  <si>
    <t>Agustín Brizuela</t>
  </si>
  <si>
    <t>…Cervantes. r :4®. En la misma "fecha, el comandante interino de patriotas de Goliina D. Manuel de Basavilvaso, destacó una partida de soldados de aquella villa, ¿ las órdenes del teniente D. Agustín Brizuela, con tra los restos de la gavilla de Antonio Btjar, la que habiéndose ia§^do en términos de no poderse averiguar su paradero, se dirigió rizuela contra 2©o rebeldes, acaudillados en Coahuayana por Ma nuel Renegado, Andrés Morillo y Claro Ayala. Para evitar el…</t>
  </si>
  <si>
    <t>…ia ha marchado á Veroaa. ESPAÑA. México jo de Febrero. Continúa, el extracto de los partes de Nueva-España. 50. En 15 de Agosto, el teniente de caballería de la división de Colima D. Agustín Brizuela, con ía partida de su mando y 70 pa triotas de Tuscacuesco, á las órdenes de sus comandantes Ortega y Soiis, después de una marcha penosa de 4 dias de lluvia, atacó y derrotó completamente al rebelde cabecilla Bejar, que con mas de 400 insurgentes se habia fo…</t>
  </si>
  <si>
    <t>Brizuela, Anastasio</t>
  </si>
  <si>
    <t>Anastasio Brizuela</t>
  </si>
  <si>
    <t>…Torres, hijo del viejo ahorcado en esta capital, y Arroyo, quienes se envalentonaron hasta penetrar en las primeras casas de aquel pueblo, é incendiar parte de ellas, intimando al teniente D. Anastasio Brizuela, que se hallaba allí con una parti da de infantería de la primera división de este exército, destacada por el coronel D. Pedro Celestino Negrete, que rindiese las armas, iií valiente y sereno Brizuela dispuso lue^o su tropa en el mejor or den, como también á…</t>
  </si>
  <si>
    <t>Brochero, Gregorio</t>
  </si>
  <si>
    <t>Gregorio Brochero</t>
  </si>
  <si>
    <t>…premios qué estaban des tinados á aquél individuo de cada cíase que los examinadores habían1 considerado mas acreedor, y distribuyó por su mano del ntodo si guiente: á los cadetes D. Gregorio Brochero, D. Nicolás Campo,* D. Diego María Calatrava, D. José Valdemoros , D. Pascual de la Puente, D. Juan de Morales, D. Agustín Gamboa, D. José Rayo y Cortés, D. Antonio González y D. Pedro Abello, un exemplar á cada uno de un tratado de trigonometría y geometría…</t>
  </si>
  <si>
    <t>Brochero, Josef Bautista</t>
  </si>
  <si>
    <t>Josef Bautista Brochero</t>
  </si>
  <si>
    <t>…Agapito García, cura de Mesegar. D. Juan Manuel Bazan, vecino de Arévalo. D. Lorenzo Rodríguez, vecino de Viüaraayor. Suplentes. D. Santiago Perez, abogado, vecino de Can deleda. D. Josef Bautista Brochero, labrador, vecino de Avila. D. Bernardino Jaén, vecino de Navamorqíiende. Madrid i.° de setiembre. Por el último correo de la mala hemos sabido que los aliados se han apo derado ya de todo el casco de la ciudad de S. Sebastian, reduciendo á los franceses á so…</t>
  </si>
  <si>
    <t>Brock</t>
  </si>
  <si>
    <t>11</t>
  </si>
  <si>
    <t>…pérdida del enemigo en -muertos y heridos debe de haber sido considerable. Creo que la nues tra ha sido comparativamente pequeña : no ha habido rúas oficiales muertos que el mayor general Brock y el teniente coronel Macdonell, ayudante provincial, que por su valor y mérito era estimado de su gefe. ,,Los capitanes Dennis y Williams , comandantes de las compa ñías de.cazadores del 49*, que estaban apostados en Queenstown, han sido lloridos , combatien…</t>
  </si>
  <si>
    <t>Gaceta de Madrid n.º 32</t>
  </si>
  <si>
    <t>…De este ataqüé salió gravemente herido el coronel Van Rensselaer, por lo que fue preciso trasladarle ministerial de nuestros periódicos, el Cotirrier puá la otra parte del rio. El general Brock y .su ede ., biiea un artículo que contiene a!gunas noticia* cán , y el coronel Macdonald, del exércitó ingles, curiosas sobre‘el ^estJÜo de los partidos en Ingla terra. La fuente de donde dimana este artículo, fueron muertos en el mismo combare. Pasó entonce…</t>
  </si>
  <si>
    <t>…Bayona y Burdeos al mando del almirante Coliier, que conoce bien la costa. Se iba á erigir en Londres monumentos al general Bowes, muerto en el sitio del castillo de Salamanca; al general Brock, muerto últimamente en América; al coronel W. Myers, muerto en la batalla de la Albuera, y al coronel Cadogan, muerto, en la de Vitoria. Los periódicos de Londres han publicado y desmentido el rumor de la muerte del Emperador Francisco envenenado. _ En Portsm…</t>
  </si>
  <si>
    <t>Brogues, Pedro</t>
  </si>
  <si>
    <t>Pedro Brogues</t>
  </si>
  <si>
    <t>…narista , presbítero. ÍI consejo municipal de Rotterdam arma y equi Para el de Golledeta de Chiva, vacante por fa pa á 50 soldados de caballería} Verdua á 10 ; JLi- llecimiento de D. Pedro Brogues, á D. Vicente moges á ocho ; Grenoble á ocho; Niort á seis. Bell ver, presbítero. Leyéndose el boletin 29.“ en V-een, distrito de Para el de Benexama , vacanre por fallecimien Cleves, entre una concurrencia mui numerosa de to de D. Joaquin Perales, á D. Pedro…</t>
  </si>
  <si>
    <t>Broke</t>
  </si>
  <si>
    <t>…orbeta americana Wasp de 20 cañones, mandada por el capitán Jones, y represado el bergantín de S. M. el Frolic, que la corbeta había tomado después de un combate de ¿0 minutos. El capitán Broke, comandante del navio Shannon , da cuenta de haber apresado el 31 de Octubre del año último el Thorn, corsario americano , de 18 cañones de á 9 y 140 hombres de tripulación : es un buque nuevo qué había salido por primera vez al mar desde Marbleheud. El 13 de…</t>
  </si>
  <si>
    <t>…á el título de duque de Vitoria. Por noticia telegráfica se ha sabido en el almirantazgo el spre— aamícnt» de la Chesapeake , fragata americana, por la bhannon, de 3$ cañones-&gt; su capitán Broke*</t>
  </si>
  <si>
    <t>Brsdford</t>
  </si>
  <si>
    <t>…sta de la brigada portuguesa del mayor general Spry, y de la primera brigada del mando del ma yor general Hay, como también el quinto batallón de cazadores de la brigada del mayor general Brsdford á las órdenes del ma yor Hill: todas estas fuerzas esti ban bsxo la dirección del teniente general Sir James Leith, comandante de la quinta división. «Habiéndolo arreglado todo con, Sir James Xeith , atravesé el Urumea hacia las baterías del ataque de la dere…</t>
  </si>
  <si>
    <t>Bru</t>
  </si>
  <si>
    <t>Gaceta de Madrid n.º 88</t>
  </si>
  <si>
    <t>…ar la línea de nuestras movimiento imprevisto protegida de la niebla, fue avanzadas; mas sostuvo todo su ímpetu con gran perseguida, alcanzada y cargada, experimentando firmeza el teniente Bru¿ •lli; y acudiendo al ins Ja pérdida de siete lanceros y ocho Caballos muer tante con algunas fuerzas el gefe de batallón Stan- tos, mucho mayor número de heridos, y conside r zani y el coronel Térrico , fue el enemigo rechazado rable porción de armas y malet…</t>
  </si>
  <si>
    <t>Brugada, Pedro</t>
  </si>
  <si>
    <t>Pedro Brugada</t>
  </si>
  <si>
    <t>…Ortiz , substituto segundo. D. Vicente Zally, alcalde. Barrio de S. Isidro. D. Antonio Andatuce, substituto primero. D. Tomas Perez , alcalde. D. Manuel Pardo, substituto segundo. D. Pedro Brugada, substituto primero. Nuestros ministros de la Policía general, de la D. Lázaro Soto, substituto segundo. Justicia y de lo Interior quedan encargados de la execucion del presente decreto. = Firmado = YO QUARTEL DE AFLIGIDOS. EL REI. = Por S. M., el ministro se…</t>
  </si>
  <si>
    <t>Brull, Pedro</t>
  </si>
  <si>
    <t>Pedro Brull</t>
  </si>
  <si>
    <t>…n Anant, D. Juan Monton ,D. Ramón Díaz de Itarraza, D. Ambrosio Dorregaray, D. José Mari a Larcano j Joaquín Mezquiriz, D. Santiago Arizavala, Dj Ildefonso Zizur, D.José Pinilla y D. Pedro Brull .* á tenientes de granaderos y. cazadores á D. Isidoro IrachMta, D. Martin de Yoldi, D. Martin Gastón, D. Vicente Pe- rez, D; Pedro Osta, D. PrudencLoBujandayD- José Orduna,D. An gel El vial de. D- Marianos Jlundain , D. Federico G billón , D. Luis Ganuza, Fa…</t>
  </si>
  <si>
    <t>Bruñe</t>
  </si>
  <si>
    <t>…bersdorf fué forzada, é inmed afamen e entraron en !a ciudad á galope algunas partidas de caba llería, y después de una corta resistencia, hicieron prisionera á la guar nición. El general Bruñe, 20 oficiales del estado mayor, y de gradua ción, 400 húsares montados y 22© infantes, cayeron en nue.tro po-</t>
  </si>
  <si>
    <t>Bruno</t>
  </si>
  <si>
    <t>…acas que formaban la vanguardia del cuerpo del general Klenau, baxo del inmediato mando del general Scheiter, entraron en Freyberg* donde cogieron á .400 soldados ene migos con su general Bruno. Es muy singular que los dos escuadro nes restantes de los húsares w estfaiianos que no se habían pasado á nosotros , hacen parte de los prisioneros temados en dicha ciudad. También avanzó un cuerpo austríaco hasta Chemnitz. — El día 19 estaba el enemigo en p…</t>
  </si>
  <si>
    <t>…as que se hicieren siendo arregladas. En virtud de exhorto librado por el Sr. I}. Tádep Rico, juez primero y mas antiguo de primera instancia de la ciudad de Murcia, refrendado de‘D. Bruno ítfa" iíuél de VeWa , escribano de la misma, y -por auto de cumplimiento del Sr. Don Francisco Assin, juez .letrado de primera instancia en esta corte, por ante D. Ra&gt;</t>
  </si>
  <si>
    <t>Brur.y</t>
  </si>
  <si>
    <t>…ne y el mantiene en la plaza de Dantzick con una guarni de ingenieros Dode, y defendida por 60 hombres. ción que pasa de 30© hombres, provisiones de pan Spandan, á las órdenes del general Brur.y, tie para 810 dias, de carne y de otros artículos para ne una guarnición de 3© hombres. mas de un año. En los dias últimos del mes de Todas estas plazas tienen provisiones de toda enero te acercó á Dantzick el exército ruto, y di especie, la que menos para oc…</t>
  </si>
  <si>
    <t>Bruyng</t>
  </si>
  <si>
    <t>…o. Según cartas de Londres de 3 del corriente aun continuaba el armisticio sin haber nada de paz. El t.° se posesiono de S. Juan de Pie de Puerto (Francia) la división inglesa del general Bruyng, desalojando de aquel punto á los enemigos.— El 2 se formalizó el sitio de S. Sebastian.-—A Pamplona no se le pone si tio, sino que se Ja bloquea por el exército de reserva con noticias que hai de hallarse escasa de víveres : se han construido ya cinco reduct…</t>
  </si>
  <si>
    <t>Bsíew</t>
  </si>
  <si>
    <t>El Príncipe real vió desfilar ayer por esta ciudad el tercer ccerpo de exército pnisiatio á las ordenes del general Bsíew, y hoy tolo el cuarto cuerpo , mandado por el general conde Tauenziejt. S. A. R. volvió á ver segunda vez con placer estas valientes tropas, y quedó muy satisfecho de ellas. FRANCIA. Parts 7 cis Novism ure. El 25 de Octubre el emperador salió de Brfuri : su e…</t>
  </si>
  <si>
    <t>Bsrnstorff</t>
  </si>
  <si>
    <t>…spues da informarse del estado en que se hallaban ice fornidas de aquellas des* graciadas victimas, ies envió cuantiosos socorros. Ha llegado á esta capital el enviado dinamarqués conde Bsrnstorff con su comitiva, y ideen que trae plenos poderes para con cluir un tratado de pss coa esta corte. — Las cartas de Copenhague refieren q-ie Bonaparte había prometido la Noruega á la Su*cía ea caso da que se declarase contra la Rusia. Obsérvase que habiéndose r…</t>
  </si>
  <si>
    <t>Bssia</t>
  </si>
  <si>
    <t>…a artillería mandé se colocase en una casa que había en ut a colina de suave declive s«bre mi derecha ; pero esta no tuvo lugar de obrar. «Empezada ya la acción, mandé ai teniente coronel Bssia que con Ja compañía de granaderos y primera de fu ilerts flí:nc¡uef.se al enemigo per su derecha , pues trataba esie de defender cb-uñada mente su posición. Ei ímpetu con que atacó el mayor Caí.vero y el rápido movimiento del teniente coronel Bassa , llevaron…</t>
  </si>
  <si>
    <t>Bu</t>
  </si>
  <si>
    <t>…todos los pu entes en su retirada á Magdeburgo. ,, Ahora estoi ocupado en dar disposiciones para que se hagan atrinche ramientos en Clus Konegsborn y otros puntos, á fin de que el general Bu lou pueda con mayor seguridad bloquear á Magdeburgo por esta parte. F. D. Aubrai , gefe del estado mayor , en nombre del conde VVittgenstein.Y Parte que el comandante general de la, caballería del tercer excrcito Don J05ef Rich dirigió al Exano. Sr. duque del…</t>
  </si>
  <si>
    <t>Buba</t>
  </si>
  <si>
    <t>…la de los generales Wittgenstein, Kleist y Klenau, sobre Altemberg y P¿nig. El exército del general Bennigsen debía adelantar desde Colárit* sobre Grimma y Wurtzen. El cuerpo del general Buba* había sido reemplazado delante de DresJe por eí general Tolstoy. Durante teda la • jornada del ?6, el exército grande sostuvo un fii ego co: siderabie. Ei venera i Blacher recibió por ia noche un parte diciénáole que Bonnparte en persona había atacado toda l…</t>
  </si>
  <si>
    <t>Bubna</t>
  </si>
  <si>
    <t>…o aceptó la batalla f i no que se marceó hacia el Nie.se, mientras que varios cuerpos su-* yos destacados á retaguardia dei enem go y en comunicación con las tropas austríacas del general Bubna., maniobraban con buen éxito. El mayor Falkenhausen y el capitán Sclrwannenfeld se encon traron el r ía t.° , entre Gorlltz y Bautzen, con una compañía de artillería francesa , un escuadrón dé cazadores y una compañía de infantería. Los dispersaron completame…</t>
  </si>
  <si>
    <t>…s al cacenes de heno y de avena , que vallan mas de 70$ rixdallers. — Todos informa^;uninmieínehte que en^general las tropas que pasaron el Elba están en un estado deplorable.— El conde Bubna atacó á las tropas del enemigó etica de Sto pen , de dcnde este se había retirado después de haber hecho volar el cas illo; los austría cos tuvieron alguna pérdida. H.¡biendo llega :o- ayer el general Bennigsen , esta el ejército aliado á punto de por erse en…</t>
  </si>
  <si>
    <t>…ero las diferentes colunas que, según detallé en jni último oficio, sostenian á aquellos puntos, lograron por fin arrollarle por todas partes. El general Bennigsen, acompañado del general Bubna (á quien el general Tolstoy reemplazó en el bloqueo de Dresde), tomó las aldeas que Jvai á la derecha del Keutschove. El general Giulay con 25® austríacos ma niobró en la orilla izquierda del Elster. Las tropas que mandan los generales Thielman, y el príncipe…</t>
  </si>
  <si>
    <t>…hizo prisioneros. La caballería avanzó entonces, y efectuó su reunión con la guardia avanzada del general Neipperg, que hace parte de una división austriaea mandada por el general conde Bubna, perte neciente al exército del general Bennigsen. El general hetmán Platow llegó al mismo tiempo con sus cosacos, y poco después S. A. 1. el gran duque Constantino. flf enemigo, después de haber abandonado la aldea de Paunsdorw, vol vió á atacarla vigorosame…</t>
  </si>
  <si>
    <t>Buccesa</t>
  </si>
  <si>
    <t>Gaceta de Madrid n.º 81</t>
  </si>
  <si>
    <t>…ros pertenecientes al exército de Italia. sentir que los intereses de la India sean el objeto Hoi ha llegado una gruesa coluna de tropa fran de un ensayo insensato de comercio. El lord Buccesa é italiana , que continuará mañana en marcha. Ainghamshire dice en esta carta que debe adver Cada día será mayor el tránsito de tropas por esta tir á la compañía que no queriendo acceder á lo ciudad, pues la mayor parte de los refuerzos que que la propone, la…</t>
  </si>
  <si>
    <t>Bucio</t>
  </si>
  <si>
    <t>…, rriila de dicha di-visión» que iba al mando del teniente Brizuela, una avanzada de trein ta y tantos insurgentes, de ios que mato ó hizo prisioneros 13, en tre ellos el nombrado coronel Bucio, cogiéndoles ademas 20 y tan tos caballos. AI siguiente día, después de una marcha penosa de 8 le guas, que en po as horas, á pesar de la extraordinaria lluvia , hiz* la división en busca de la canalla, que instruida por un prófugo de la* avanzada sorprehendi…</t>
  </si>
  <si>
    <t>Bucking</t>
  </si>
  <si>
    <t>Gaceta de Madrid n.º 78</t>
  </si>
  <si>
    <t>…los sentimientos de los directores acer ira'deliberar sobre el asunto de la comunicación su ca de la proposición que se ha hecho-para admitié sodicha , antes de pasar á visitar al lord Bucking en los puertos exteriores de los Reinos-Unidos las hamshire d mi'mo dia á las dos de la tarde. importaciones de la India. ,,En su consecuencia recomienda al congreso Carta He los señores presidente y vice-presidente que por las razones consignadas en los escr…</t>
  </si>
  <si>
    <t>Buckinghams-</t>
  </si>
  <si>
    <t>Gaceta de Madrid n.º 102</t>
  </si>
  <si>
    <t>4</t>
  </si>
  <si>
    <t>…La discusión se embaraza por una equivocación sejo general, que está obligado á mirar por los in ya rectificada en parte por el respetable alderman tereses de la ciudad misma. El lord Buckinghams- que acaba de hablar, y que sin embargo no la ha hire ha sentado en su carta el principio de que los evitado él mismo. Se ha examinado la cuestión en negociantes de este país tienen derecho a tedo el el caso de que se tratase de aniquilar de un solo</t>
  </si>
  <si>
    <t>Buckinghamshire</t>
  </si>
  <si>
    <t>…s directo su nombre , é indignada la asamblea de los pueblos res. Que consideraba lo que el presidente del con de la Jonia , prohibió que se pronunciase. No obs sejo del registro (lord Buckinghamshire) habla-de tante esta lei, por ningún medio se puede impedir clarado sobre que los ministros no tenían ánimo.de ue la historia transmita á Ja posteridad la noticia proponer mudanza alguna en la administración del 3 e casos semejantes, y asi vive en ella el nom…</t>
  </si>
  <si>
    <t>…e los que comprehende ac ayer tuvieron una sesión varios ministros de S. M¡ tualmente el acta sobre almacenages. con la comisión de correspondencia sobre el nego-l Sin embargo, el lord Buckinghamshire ha mani ció de la renovación de los privilegios exclusivos da festado deseo de que tenga una conferencia sobre la compañía, y se decidió en ella que para discu este asunto con lord Liverpool y con él mismo la tir el asunto con mayor libertad no se escribiese…</t>
  </si>
  <si>
    <t>Gaceta de Madrid n.º 80</t>
  </si>
  <si>
    <t>…a que gozan ya de su merecida celebridad. tono de la carta leida últimamente; tono que no corresponde ¿ ministro alguno , según el espíritu Je Del rtfi la constitución* Quaudo el. lord Buckinghamshire, El señor genqral Jbaron de Waltersdorf, minjs£-. informam|o » un cuerpo tan respetable cómo el ga tro de Dinamarca en la corte de Francia, ha pasa-” binete de los directores, se dexa decir que no en do por esta ciudad para París en compañía efe un trará á di…</t>
  </si>
  <si>
    <t>…dema» miembros del congreso, había participado de de Saxoniu quedará absolutamente completo y per la sorpresa causada por la carta que se acababa de fectamente equipado. leer del lord Buckinghamshire, en la qual, aunque se ve que el ministerio quiere hablar claro, y mani BAVIERA. festar sin rebozo sus opiniones, á la compañía, no arece que tenga igual ánimo de comunicarla las Inspruck ij de enero. uenas razones en que las funda. La cuestión que Un batalló…</t>
  </si>
  <si>
    <t>Gaceta de Madrid n.º 101</t>
  </si>
  <si>
    <t>…e la India. al pod?r legislativo, y el derecho de soberanía en las Para probar este aserto Mr. Gvant leyó el extracto posesiones que habían adquirido en cree país. de una carta de lord Buckinghamshire de 3 de ene Quando.Mr. Fox presentó su bilí de la coppa- ro último, en que dic? que si el gobierno de la In ñía de las Indias con aquella firmeza varonil qúe le dia no puede salir de las manos de la compañía sin caracterizaba, nadie pretendió que esta compañí…</t>
  </si>
  <si>
    <t>BuekingSesión</t>
  </si>
  <si>
    <t>…n comunicar que le es relativa. por escrito su opinión sobre todos los puntos los También ha añadido el presidente que el vice ministros de S. M. residente y él en su respuesta al lord BuekingSesión secreta de los directores del viernes 18 de amshire se habían abstenido por entonces de hacer diciembre de 18x2.observación alguna, y que solamente le manifesta ban su intención de comunicar la substancia de las Formándose el gabinete en comisión compue[ra in…</t>
  </si>
  <si>
    <t>Buesa, José</t>
  </si>
  <si>
    <t>José Buesa</t>
  </si>
  <si>
    <t>…scal de campo D. Francisco Éspox y Mina. A tenientes de fusileros á D. Francisco Retana, D. Agustín Men* dioroz, D. Juan Francisco Guelbenzu , D. Joaquín Diez, D. Do mingo Zaídna, D. José Buesa, D. Antonio Gastón, D. Tomas Otochoreua , D. Antonio Alvarez , D. Manuel Sesé , D Martin Martínez, D. Antonio Laso y D. José Moriones: á subtenientes de granade ros y cazadores á D. Fermín Izu , D Sebastian Echarte , D. Mariano Oliver, D Dionisio Antoñana, D.…</t>
  </si>
  <si>
    <t>Buiiock</t>
  </si>
  <si>
    <t>…rigía , cuyo fuego lia contribuido esencialmente ai feliz resultado de la acción. . „ ,|E1 capitán Derenzi, del 41 ,conduxo el refuerzo de este cuerpo desde el Fuerte Jorge , y el capitán Buiiock el del mismo regimien to que partió, de Chipawa; baxo cuyo mando se han conducido estos destacamentos con igual reputación que la que se ha adquiri do en otras ocasiones el regimiento 41 en las inmediaciones del Estrecho, ^ „ Luego que el mayor general Brock…</t>
  </si>
  <si>
    <t>Buiow</t>
  </si>
  <si>
    <t>…nd hasta 10 del corriente: las primeras dicen que hasta aquella facha n® habían cometido exceso los franceses. Según noticias de Berlín, el mariscal Oudinot tuvo una acción con el conde Buiow, en que el primero fué muy mal tratado, ha biéndosele cerrado el paso á Berlín. Ha habido cerca de Lubeck un encuentro entre suecos y dina marqueses sostenidos por los franceses, en el cual han quedado los primeros completamente victoriosos. Id. jj de Junio.…</t>
  </si>
  <si>
    <t>…el general de York inspiró una desconfianza demasiado .randada. La oonducta equívoca de vuestra corte en tan críticas circunstancias, la partida del rey á Breslau, la trayeion del general Buiow, que abrió ai enemigo el paso dei Oder inferior , las órdenes publicadas llamando á las anuas á una juventud turbulenta y facciosa, la re unión en Breslau de hombres señalados como gefes de sectas per turbadoras, y como los principales instigadores de la guer…</t>
  </si>
  <si>
    <t>íqox Lisia de las fuerzas pie actualmente manda el jorut cipe Bcrnadotte. Trapas prusianas, iaclusos 6$ caballos y el cuerpo pertene ciente al general Buiow. ................................................... . 4 ©3 Tropas rosas * inclusos los cuerpos de Winzingerorle • Gzerni. . .. . eívcff, Woronzow y Tettenbora. , . . ... . Xa legión anseática de Hambargó y Xubeck, ios hannoverlanos y meckiemburgueses á las Ó…</t>
  </si>
  <si>
    <t>…nzow está en Ack.cn &gt; en la izquierda del Eiba: la sueca , al mando del general Schulzenheioi, se halla en Dessau. El príncipe de la Corona ha encargado el sitio de Witteñberg al .general Buiow.</t>
  </si>
  <si>
    <t>…el 14; pero mientras qae sus tropas estaban en camino, sen tó sus reales en Sy lbitz* y colocó el exé/eito sueco con su derecha en Wh tin , y. $n izquierda cerca de Petersbe¿g. El general Buiow ocu paba el centro de su línea entre Petcrsberg y Oppin, y el cuerpo de Winziegerode estaba ¿obre su izquierda en Zoro g. El general Blucher reconoció las fuerzas del enemigo del coarto* sexto y séptimo cuerpos dtl exército francés, y de una gran parte de la…</t>
  </si>
  <si>
    <t>Buitrón, Alexandro</t>
  </si>
  <si>
    <t>Alexandro Buitrón</t>
  </si>
  <si>
    <t>…uín Junoy , D. José Otero , D. Benito Canales , D. Tomas Cortés, D. Francisco Melero, D. Tomas Bao darán, D. Epifanio Esteban, D. Temas Terreiro, D. Manuel Ubiña, D. Juan Jaldon , D. Alexandro Buitrón , D. Gabriel Lobo , D. Femando Castro, D. Juan Areliano y D. Antonio Matamoros. También han sido examinados por la referida brigada, y promovidos á subtenientes del propio cuerpo, D. J03Ó Roldan, guardia del real cuerpo de guardias de CoTps, y D. Mariano Geia…</t>
  </si>
  <si>
    <t>Bulen</t>
  </si>
  <si>
    <t>Gaceta de Madrid n.º 144</t>
  </si>
  <si>
    <t>…$ S. M. el Reí de Ñapóles. F. Hermano y señor mío: V. M. habrá visto por Copia de un informe justificativo de la connivencia -mi última carta las inquietudes que me causaba el del general Bulen». -cuerpo de exército del general de Yorck; pero es taba entonces mui distante de imaginar lo que ha El infrascrito, despachado del quartel general -sucedido, y que vereis en el parte adjunto de di cerca del señor general prusiano Bulow, dice: que cho oficial…</t>
  </si>
  <si>
    <t>Bulillo, Manuel Garbea y</t>
  </si>
  <si>
    <t>Manuel Garbea y Bulillo</t>
  </si>
  <si>
    <t>…1 id D. Julián García Mon_terroso, 1 id. D. Julián Perez, 2 id. D. Lorenzo de Arguiano, 1 id. D. Matías de Larreta, 3 id D. Manuel délos H¿ros, 2 id. D. Ma nuel déla Torre, 1 id. D. Manuel Garbea y Bulillo, 2 id. D. Ma nuel de Aramburu, í id. D. Miguel de Ezcurra, 1 id. D. Ramo* Martínez de Bartolomé, 1 id. D. Santiago Cachonfajro, 1 id. D. Tir so Estevanez, 1 id. D. Francisco Bosano , 2 id. D. José Gambini, 1 id. D. Juan de Perlica, 8 id. D. Dimaso de Arias, 6…</t>
  </si>
  <si>
    <t>Buliow</t>
  </si>
  <si>
    <t>…troceder tres leguas. Confiesan que el general Kleist evacuó el punto de Halle; pero dicen en. seguida que habiendo recibido re fuerzo , fue repuesto en su antigua posición por el general Buliow. Los franceses se han apoderado de Cuxhaven, y han hecho tentativas contra Hamburgo; pero el general Tettemborn y la legión anseática, que se ha adelantado' hasta Haarbúrgo, los han rechazado bizarramente. Se confirma de oficio la muerte del general Kutu.sow,…</t>
  </si>
  <si>
    <t>Bulla</t>
  </si>
  <si>
    <t>…ó su posición. cio Bagnara, que caía á la plaza chica del Merca Los gendarmas se portaron bien en este lance, do : por fortuna no ha perecido nadie. Inmediata y particularmente el teniente Bulla, militar distin mente se han dado todas las disposiciones para evi guido y recomendable antes por sus antiguos ser tar nuevas ruinas. vicios , que ha salido herido en las dos piernas de Después de algunos dias de un frió seco los un tiro. vientos de mediodía…</t>
  </si>
  <si>
    <t>Bullow</t>
  </si>
  <si>
    <t>…Weissenfelds, y al mismo tiempo que confiesan que el general Kleist se habia visto obligado á evacuar á Halle nos aseguran que el dia 2, hallándose ya reforzado con las tropas del general Bullow, volvería á ocupar su antigua posición. Por cartas de Gottemburge, que se han recibido hoy, sabemos que el príncipe real de Suecia había salido ya para Alemania acom pañado del ministro ingles Mr. Thornton, y que su dirección era al cuartel general de los rus…</t>
  </si>
  <si>
    <t>…ería dé los enemigos, un cuerpo de 6co franceses que pretendía entrar en Leipsick fue cortado,-y se rindió. En el mismo diá fue destrozado el virei de Italia cerca de Halle por el general Bullow, con, pérdida de tres piezas de artillería , gran cantidad de carros de municiones, 1500 muertos y 600 prisioneros. Las gazetas deTíamburgo contienen relaciones de Berlín con fecha del 6 de mayo: todás ellas reclaman la victoria en favor de los prusianos, no…</t>
  </si>
  <si>
    <t>Bulo</t>
  </si>
  <si>
    <t>......................... , .. continuado, avanzando, y se han mandado reunir 6© suecos al cuerpo dlel general Bulo w para que esten á $.«$ ordenes. Tengo el honor &amp;c.=E. Thornton. LOÍ ALIADOS. Jfut éfbocft* # ¿fe thiSnbrh TI 4 de este mes1 trasladó-el Principé Real su quartel general á Rabenstein. Quando S. A. R. empezaba á moverse con el exército ruso y sueep hácia¡ Rosl…</t>
  </si>
  <si>
    <t>Bulo'w</t>
  </si>
  <si>
    <t>Gazeta de la Regencia de las Españas n.º 85</t>
  </si>
  <si>
    <t>…odos los documen tos justificativos que han venido del exército sobre este incidente para que se pueda1 juzgar de él con todo acierto. NUM. XXIII. Informe sabré la connivencia del general Bulo'w. EÍ infrascrito , despachado del cuartel general á conferenciar con el general prusiano íiuiow, llego á Neustettin el 10 de Febrero por la noche. El misino dia pasando á Tempeibourg vio 10 ó 12 cosa cos que venían de preparar alojamiento para otros 500. En el…</t>
  </si>
  <si>
    <t>Bulo.w-está.en</t>
  </si>
  <si>
    <t>…n Winzingerode está en marcha para Bremen , y ha de extender sus tropas por ;tod&lt;o el país de Oldemburgo y las fronteras de Holanda, adonde ha enviado ya afl coroneLNaríschkín. El general Bulo.w-está.en 3íind.e5t,iínYÍaráru.ñ,cuerpo á Munster , y su ca ballería está pronta á reunirse en las.grillas deljRJíin á la del general Czerm'cheff. E! general conde de Woronzow está en marcha para Luneburgo. Una división del ejército sueco, mandada por el barón de Sande…</t>
  </si>
  <si>
    <t>Buloiv</t>
  </si>
  <si>
    <t>•i'iSS P. D. El general Biucher no pudo pasar el rio en Wettin por no estar acabado el puente, y tuvo qoe pasarlo per Halle; el general Buloiv no ha pasado hoy; pero el resto del exército aliado eitá sobre la oróla izquierda d.l S !a!e. = C. Stewarf. El 8 del corriente se firmó un tratado de alianza entre el Aus tria y la Baviera por sus respectivos penipotenchrios, el príncipe de Reuss y el general…</t>
  </si>
  <si>
    <t>Bulotv</t>
  </si>
  <si>
    <t>…de su deserción á replegarse hacia el Oder al exército El convenio ajustado en cumplimiento de este ar francés? ticulo contiene I45, siguientes disposiciones-S. M* quimil mandó al general Bulotv favorecer a! enequgo para que pasara ¿t Oder, poniendo al exér Copia del convenio firmado en Koenigsberg cito francés en el'casó de retirarse al Elba? á 12 de julio de i8op. ¡EsS. Si. quien aconsejó af Reí de Prusia que dexara una residencia de„fendi,(ia por…</t>
  </si>
  <si>
    <t>Bulou</t>
  </si>
  <si>
    <t>…anzo á Leitzkeu el cuerpo del teniente general dé York, y el dei teniente general Berg á Ludeburgo.' y,El teniente general Borsteli se había adelantado hácia Makun, y el te niente general Bulou hasta Hohenzias. A las dos de la tarde se vio obligado eigeñeral de York á enviar su vanguardia hácia Gommern, y lo mismo hi zo el teniente general Berg. La primera de la^ dos vanguardias dio con eí enemigó.cerca aé Danegkou , y después de un vivo cañoneo, le…</t>
  </si>
  <si>
    <t>Bulovr</t>
  </si>
  <si>
    <t>…e Pahlen á la cabeza de los húsares de Izum , y de los regimientos de drago nes de Riga y Fiakn.iia, dio una carga bridante entre la izquierda del general Rorstel y la derecha del general Bulovr: tomó 8 piezas de artillería al enemigo. Todos los prisioneros dicen que la artillería sueca y rusa produce mas efecto, y cansa isas perdida si enemigo por lo a ertado de sus tiros, y por la osadía de su ataque. Ei general barón Winzlngerode elogia mucho el c…</t>
  </si>
  <si>
    <t>…eneral en Lcndsberg y su exército detras de esta ciudad, se puso en marcha á las dos de la msñana, y llegó á Britterfeld al medid día con el cuerpo del gene ral Winzingerode y del general Bulovr sobre la izquierda del ge neral Biucber. La caballería y artillería del general Winzingerode heñía marchado por la noche, y estaba' cerca de Faucha. Como no se oían tiros hacia la parte del.exército grande (aunque el cuerpo d:l general Bluchet estaba sobre la…</t>
  </si>
  <si>
    <t>Bulovtf</t>
  </si>
  <si>
    <t>…r antes las baterías de tierra. Es grande el júbilo que reina en Holanda con motivo del restablecimiento de su antiguo gobierno. El rio Meu&lt;e está libre de franceses. Dicen que el general Bulovtf ha llegado á Amersfort. Ei mariscal St. Cyr y el conde Lobau, que mandaban la guarnición francesa en Dresde, compuesta de 16® hombres, se han entregado á discre ción prisioneros de guerra, porque el genera! Kíenau no quiso admitirles ca pitulación. La toma po…</t>
  </si>
  <si>
    <t>Bulovv</t>
  </si>
  <si>
    <t>…adama Moreau con una pensión de ioo© rublos anuales. El quartel general del Príncipe de la Corona estaba el 16 en Zerbst t y la mayor parte de su exército había pasado el Elba. El general Bulovv está sitiando á YVÍttemberg.. El 15 del corriente derroto el general Walmoden en Danneberg un cuerpo de 6© franceses; quedaron prisioneros 1200 soldados , un general y tres coroneles, y se cogieron ocho piezas de artillería. Boletines del exército aliado del…</t>
  </si>
  <si>
    <t>…e sitan cinco ó seis dias para concluir las obras dé Roslau. Sé han trazado en un hermoso plano , y hacen mucho honor al general Sparré. El tercer cuer po prusiano, mandado por el general Bulovv, debe pasar mañana el Elba, como, también el general Tauenzien con. el suyo. El general Thumen que dará al frente de Wittemberg. Este general debe continuar el sitio de aque lla plaza con el mismo vigor que mostró en Spandau. En el caso de caer Wittemberg en…</t>
  </si>
  <si>
    <t>T A de su antiguo, gobierno. Eí no Meuse está libre de franceses. Dícese haber llegado á Amersford el general Bulovv.. El emperador ele Austria debe partir para Italia á mandar en gefe su exérrito: en bit ve oiremos hablar de su entrada triunfante en Milán. Entre ios diferentes pliegos recibidos del continente se halla o» oficio del lord Abvuieen ie d, Le'psick el 22 d-, Oc…</t>
  </si>
  <si>
    <t>Bulow</t>
  </si>
  <si>
    <t>…con grande encomio del celo y talento militar de Riedei en el .periódico que se pública en Ber’in baxo su dirección. Este nuevo cuerpo ha sido incorporado al exército que manda el general Bulow, y ya se ha distinguido en tres ocasiones con tanta bizarría que ha merecido los mayores elo gios del general prusiano. Extracto de una carta de Ilambu^go de del mes pasado. ••Como apenas se había hecho pagamento alguno de la exorbi tante contribución, cuyo p…</t>
  </si>
  <si>
    <t>…no á quedar anulada. Posteriormente se atropellaron ios incontestables derechos del rey con respecto al cuerpo de trepas prusianas que se hallaba en la Pomerania btxo el mando del general Bulow, poniéndole á las órde nes del general conde de Belíuno sin consentimiento de S. M.; co mo también prohibiendo que se hiciesen reclutas en los estados pru sianos ocupados por las tropas francesas, orden que mando publi car el virey de Italia sin dar cuenta ¿…</t>
  </si>
  <si>
    <t>…cipe Hatzreld en París. dican que va cayendo el fatal velo que hasta aquí «El extracto de un informe sobre la conniven ha tenido en tinieblas á aquellos alucinados españo cia del general Bulow con el enemigo. les; y esperamos que el natural orgullo y altanería «Los tres edictos para las levas extraordinarias. de ios ingleses, exáltado coa la baxa idea que tie «El edicto del Rei, por el que absuelve y pre nen del gobierno de la insurrección y de sus…</t>
  </si>
  <si>
    <t>…cuer del 24 de febrero, y los convenios que le acompaña po de tropas prusianas que estaba formándose en la ron, movido de la esperanza de proporcionar á la Pomerania al mando del general Bulow, llamándo Prusia un apoyo sólido, y en caso necesario el efi le á incorporarse con la división del dnque de Becaz socorro de que tan necesitada se encontró des Ilune, y ponerse á las órdenes de este mariscal sin pués de tantos desastres, y que el gobierno fra…</t>
  </si>
  <si>
    <t>…sadamente de Potzdam, y abandonó una residencia, en la que estaba cubierto por el Oder para ir á una ciu dad abierta y mas cerca del enemigo. f «Apenas había llegado á Breslau, el general Bulow, que manda ba algunos millares de hombres en el Baxo-Oder, imitando la traycion del general de Yorck., abrió sus acantonamientos á las tropas ligeras rusas, y les facilitó el paso del Oder, y aun los nuevos re clutas prusianos sirvieron de guia'á estas tropas…</t>
  </si>
  <si>
    <t>…a Pru sia con motivo de la deserción del general Yorck. «Las piezas concernientes á la misión deí príncipe Hartzfeld en Paris. « El extracto de un informe sobre la connivencia del general Bulow con el enemigo. «Los tres edictos para las levas extraordinarias. fcEl edicto del rey, por el que absuelve y premia al general Yorck. « Finalmente, las notas por las cuales ha comunicado el gobierno prusiano á los ministros de V. M. que rompe la alianza y dec…</t>
  </si>
  <si>
    <t>…do, y habrá de rendirse, un destacamento de 600 hombres que enrió el enemigo á Leipsik antes de la acción con objeto de hacer un reconocimiento. El mismo día 2 derrotó el teniente general Bulow al virey de Italia en Halle, habiendo perdido este tres piezas de artillería, un gran número de carros de municiones , 16©o muertos y 600 pri sioneros. Nuestro rey quedaba tomando disposiciones para atacar al ene migo al dia siguiente. GRAN-BRETAÑA. Londres 1…</t>
  </si>
  <si>
    <t>…el 2$. Quarenta mil hombres, que componen la reserva del exército ruso en el estado mas brillante j atraviesan la Pfusia. En Postdam hai de 6 á 7® hom bres. El quartel general del general Bulow, según los avisos mas recientes»/ estaba en Hertzberg, sobre el camino de Torgau. Aqui se da por mui cierto que mañana 26 de'mayo se hará pública la ac cesión del Austria á la liga. El conde Stadion, que hace algunos dias llegó al quartél general del exército…</t>
  </si>
  <si>
    <t>…mentado en cuantas empresas ha acometido sin lograr su intento. » El exército esti concentrado en una posición excelente, forta lecida por la naturaleza y el arte. »»E1 cuerpo del general Bulow y algunos otros meneres están á</t>
  </si>
  <si>
    <t>…nio, y que el príncipe Schwartzemberg debia mandar el exército austríaco de Bohemia, y el archiduque Carlos el de Italia. En f la m'srna carta se anuncia la reunión del cuerpo del general Bulow al exer cito sueco. (Mercurio Lusitano 2 de julio.) m. (1) Provincia de Granada, partido de Baza*</t>
  </si>
  <si>
    <t>…lería y varios carros: igualmente condesa que el general Poínsot á su regreso de Brunswick cayó prisionero con 200 caballos; concluyendo con decir que Oudinot fue acometido por el general Bulow con 18© prusianos en Hoyerswerda. (1) Lis dos siguientes observaciones darán á conocer nuestro modo de pensar respecto á este armisticio. r,a Las alteraciones del cambio mercantil son casi siembre el verdadero baró metro de las relaciones políticas; y quando…</t>
  </si>
  <si>
    <t>…mentado en quantas empresas ha acometido, sin lograr su intento. „E1 exército está concentrado en una posición excelente, fortalecida por la naturaleza y el arte. ,, El cuerpo del general Bulow y algunos otros menores están á reta guardia del enemigo, y en la línea de su comunicación, haciéndole diaria mente considerable daño. „ Con la llegada de un cuerpo y de varios batallones, el exercito ruso está mas fuerte que en el dia 21 del pasado. „ Tengo…</t>
  </si>
  <si>
    <t>219</t>
  </si>
  <si>
    <t>…Firmado a=J. Maddisson. = Washington 2 j de mayo de i8iy. { Mercurio Lusitano.) r ' ' 0 PRUSIA. Berlín 6 de junio. El vivo Interes que justamente toma el pueblo por el cuerpo del general Bulow, destinado á defender esta ciudad,nos obliga á publicar las siguien tes circunstancias del éxito de la batalla que hubo anteayer junto á Luckau</t>
  </si>
  <si>
    <t>…menos, que estaba detras de Schwartz^ElSter al mando del duque de Reggio, se habla adelantado hasta Sonnenwaíde, y anteayer al amanecer atacó los puestos avanzados del cuerpo del general Bulow, que se habia retirado rápidamente de Cortbuzen á Luclcau antes de unirse á las brigadas de Von-Bostel y Ven-Boyen. Ei teniente general Von-Bulow tomó posición sobre unas al turas ventajosamente situadas, dexandó Luckau á. su frente. £1 enemigo ata có la ciud…</t>
  </si>
  <si>
    <t>…ras de Saxonia 21 de junio. El quartel general del Reí de Prusia se trasladó pocos días hace á Langenbielan, y el del Emperador Alexandro al castillo de Petersdorff. El cuerpo del general Bulow se há acantonado en Berlin y sus cercanías. El armisticio se ha executado rigorosamente en todas sus partes en Silesia y Lausacia. Escriben de Breslau que los franceses: habían evacuado aquella ciudad, en donde observaron la mas rigorosa disci plina. Frontera…</t>
  </si>
  <si>
    <t>…mente para el 4 de octubre la apertura del parlamento. Relación de las fuerzas que actualmente manda el príncipe Bernadotte. Tropas prusianas, inclusos 6® caballos y el cuerpo del general Bulow, 40© hombres: tropas rusas, en cuyo número se incluyen los cuerpos de Wínzingerode, Cernicheff, Woronzow y Tettenborn , 2&gt;®: la legión an. seática de Hamburgo y Lubeck, los hannoverianos y mecklemburgeses, á las órdenes del conde de Walmoden, 12®: el exército…</t>
  </si>
  <si>
    <t>…cuerpo francés y una gruesa reserva. El cuerpo del duque de Reggio marchó á Ahrendorff. El enemigo con la ocupación de Gross-Beren se hallaba á i® toésas del centro del campo. El general Bulow recibió orden pará acometerle y y lo éxecutó con el tino y valor de un hábil general. Las tropas marcharon con la presencia de ánimo que tanto distinguieron á los soldados del Gran Federico'enfla guerra de siete años. El cañoneo duró con calor algunas horas.…</t>
  </si>
  <si>
    <t>…te coluna enemiga se apóderó de 70 carros' de provisiones, hizo ^prisioneros seis oficiales y 120 soldados de la escolta , y mató ó dispersó los restantes. -El quartel general del general Bulow estaba el día 2*7 en Elshoiz ; el general Borstell en las inmediaciones de Lakenwalde, y él general Taveneien en Bareuth, y sus tropas situadas sobre aquella ciudad* Golzen'y Lukau. Este general ha manifestado grande pericia en reunir su reserva, .y arroja* a…</t>
  </si>
  <si>
    <t>…ertos y dispersados ios restantes. El Príncipe real ha manifestado su entera satisfacción á vista del valor, y destreza que mostró este bizarro oficial en ocasión tan señalada. El general Bulow tenia el 27 su cuartel general en Elsholtz ; el general Borstell estaba en las inmediaciones de Luckeiiwalde; y el general Tauenzien estaba el 27 en Baruth con su cuartel general, te niendo apostado su cuerpo entre aquella ciudad, y los puebíes de Golzen y Lu…</t>
  </si>
  <si>
    <t>…la cabe za del regimiento de húsares de Izan y de los regimientos, de dragones de Riga y Finlandia, dio una brillante carga entre la izquierda deUgeneral Borstcl y la derecha del general Bulow, y tomó al enemigo* ocho-cañones. To dos los prisioneros convienen, en que el fuego de la. artillería sueca y rusa produxo ei mayor efecto por la certeza de su puntería, y por la osadía de su ataque,, causando mucha pérdida al enemigo. ; Rl general barón Winz…</t>
  </si>
  <si>
    <t>…e menester dar disposiciones sobre el particular. »El cuartel general permanecerá aquí mañana; pero las tropas continúan avanzando, y 6® suecos se han mandado reunir al cuerpo del general Bulow para que esten á sus órdenes. Tengo la honra 8cc.=s E. Thorneton BOLETIN. Juterbock 8 de Setiembre. »El Príncipe real transfirió su cuar tel general á Rabenstein el 4 de este ñus. Cuando S. A. R. princi piaba á moverse con el exército ruso y sueco para Roslau…</t>
  </si>
  <si>
    <t>…-El 3 de setiembre el príncipe de Mosfcow tomó el mando del exército, y se dirigió á Insterburg. El 5 acometió y destrozó al general Tavenzlen ; pero el dia 6 fue acometido por el general Bulow. Algunas cargas de caballería desorde naron en su'retaguárdia Ene'Obligado á retirarse hacia Torgau. Perdió 8© hombres muertos, heridos ó prisioneros, y 12 piezas de artille ría. La pérdida del enemigo fue igualmente agrande (3). Relación del principe de Mosk…</t>
  </si>
  <si>
    <t>…,,cuya ala izquierda forma. E¡ quartel general de las tropas suecas está en Roslau. La vanguardia es tá va en la orilla izquierda de! Elba, y sus avanzadas llegan hasta Dessau. El general Bulow tiene su quartel general delante de. V\ ittembergcuyo sitio empezará inmediatamente. La guarnición de esta plaza ha-sido ¿©forzada. DUODECIMO ECT.F.TIN FRANCES.' ■ ( Varis i.° de octubre, S. M. la Emperatriz Reina y Regente ha recibi do las siguientes noticia…</t>
  </si>
  <si>
    <t>…y otros quedaron heridos. Para distraer la atención de la guarnición de Wittemberg del lado en que se abría la trinchera, y disminuir por este medio la pérdida, recibió or den el general Bulow de bombardear la plaza por el lado opuesto. El 24 á las dos de la tarde hizo atacar los arrabales. El ataque tuvo un éxito com pleto por las acertadas disposiciones del general Herchfelt: se tomaron los arrabales, y el enemigo fue rechazado en todos los punto…</t>
  </si>
  <si>
    <t>…ísimo capitán ingles Bogue. La guarnición ha correspondido á nues tros ataques con su artillería-; pero sin efecto alguno ; los sitiados pueden acaso intentar una salida; .pero el general Bulow está delante de la plaza icón 30© hombres, y eA. caso necesario puede ser; reforzado con 10© mas. ,a Las necesidades de Magdeburgo. han llegado al mayor extremo. Mas de j-oo© familias, que estaban absolutamente sin subsistencias, han salido de esta.ciudad. Gr…</t>
  </si>
  <si>
    <t>BuloW</t>
  </si>
  <si>
    <t>…elm^Pj 5*&gt; S. del coronel Mdñt-zsdorf ayudó i perseguirlos, El Príncipe de lá/Cprooa-vjp desfilar ayer por esta , ciudad el tercer cuerpo deí éxército prusiano , ¿ las órdenes del general BuloW ^y hoi todo eí quarto cuerpo, mandado por el general conde Tauenzien. S. A. R. volvió i ver con-placer estas yaliisntes :t-rópds, y quedó mui satisfecho de su buen esCa4o .y aire militar. , . - . ' 1 ''Extracto de los papeles,franceses. _ Fronteras de Saxonia…</t>
  </si>
  <si>
    <t>…resas y otros quedaren herido?. Para distraer la atención de la guarnición de Witremberg del lado en que se abfia la trinchera, y disminuir por tanto la pérdida, reci bió órdea el general Bulow de bombear la plaza por el lado opues-</t>
  </si>
  <si>
    <t>…erminado pasor el Síiaie, se dieron anoche las órdenes, y el general Biucher marchó con ei exército de Sile ia pa-a pasar el rio en Wctíia, para lo que se construyeron puentes. Ei general Bulow con su cuerpo ctbia igcelnrsente pasarlo en Wetiin. El general Winzingerode coa los ruror; en Rottenburgo, y el Príncipe real con les suecos en Alsitben y Be-nburgo. Toda h fuerza aliada se debía ordenar en batalla, con la izquier da sobre ti Saaíe, esperando…</t>
  </si>
  <si>
    <t>…l gene ral Blucher le envió las órdenes mas terminantes para que la recobrase i la bayoneta; lo qual verificó antes de ponerse el sol. Algunos batallones pru sianos del cuerpo del general Bulow sostuvieron una viva acción en Paunsdorff, el enemigo se retiraba ya de aquel punto, quando el Príncipe Real dispuso que la brigada de coheteros, que mandaba el capitán Bogue, se for mase sobre la izquierda de la batería prusiana, y rompiese el fuego sobre la…</t>
  </si>
  <si>
    <t>…do las acertadas direcciones del capitán ingles Bogue. La guarnición corresponde á nuestros ataques coa su artillaría, pero rin efecto alguno: tal vez intentan una salida, pero el general Bulow ésta á la vista de aquella fortaleza coa 30® hombres, y puede ser reforzado en caso de necesidad con 4$$ &lt;5 mas. En Magdeburgo ha llegado la penuria al extremo. Han salido dé la ciudad mas de ico familias, que no tenían absolutamente me dios para subsistir. U…</t>
  </si>
  <si>
    <t>…ecesarios 5 ó 6 días para completar las obras de Rosiau. Fueron delineadas por en excelente plano, y hacen mucho honor al general Sparre. El tercer cuerpo prusiano, mandado por el general Bulow, debe atravesar el Elba mañana, como igualmente el general Tauenzien con su cuerpo. El general Thumen se quedará en frente de Wirttemberg. Este general debe continuar el sitio de aquella plaza con el mismo vigor que mostró en Spandau. Si los aliados se apoder…</t>
  </si>
  <si>
    <t>…nes de S. A. R. Pocos momentos después se oyó algún fuego de artillería por el lado del exército de Bohemia, y las tropas marcharon con el objeto de pasar el Partha. El cuerpo del general Bulow y la caballería del general Winzingerode, que formaban el extremo de la izquierda, marcharon á Taucha. El exército ruso, cuya guardia avan zada mandaba el teniente general conde Woronzow, pasó el vado al pie de Grasdorff. El exército sueco pasó entre aquel lu…</t>
  </si>
  <si>
    <t>…parecía que eran suficientes, y fue preciso reforzarlas. El Príncipe de Hesse-Homburg tuvo orden de marchar alli; lo que verificó con la precisión y regula ridad de una parada. El general Bulow atacó y se apoderó de las aldeas de Stuntz y Seilershausen , que fueron ocupadas con fuerza suficiente, y pro tegidas por artillería. La resistencia fue obstinada. Las tropas prusianas, á pesar de los repetidos esfuerzos del enemigo, se mantuvieron allí toda…</t>
  </si>
  <si>
    <t>…El movimiento del Príncipe Real en colimas se executa en la forma si guiente : los rusos avanzan de Cassel por Paderhorn sobre Oldemburg y Bremeñ: los prusianos, á las órdenes del general Bulow, sobre Minden; y Jos suecos sobre Hannóver. Es inexplicable ei entusiasmo y lealtad de los bannoverianos, sobre lo que se extiende el general Steivart: felicita á S. M. Británica por la entrada de Jas tropas aliadas eii los estados electorales*, observa que á…</t>
  </si>
  <si>
    <t>862</t>
  </si>
  <si>
    <t>…2 ccen subir de 6o á 6&gt;© hombres. El día 5 tenia el Emperador su quarte! ge neral en Francfort. Los enemigos que estaban en Bremen y Munster se re tiran á Wessel y Dusseldorf^— El general Bulow cree que en las provin cias que antiguamente pertenecían á la Prusia puede levantar un cuerpo de 15 a 20© hombres.En ffanncver se levantará también un cuerpo de landwehr de 20 á 25-® hombres-----Dentro de pocos dias partirá para eni-:í pezar á obrar ofensivam…</t>
  </si>
  <si>
    <t>…\ v ^ .rFrancfort. El Príncipe de Suecia con 40^ rusos y prusianos ha salido de Bremen para Holanda. El cuerpo del general Winzingerode se Halla actual mente en el mismo país. El general Bulow está entre Munster y Arnheim en Gelderlaind. El cuerpo del general Bennigsen, el general Vvalmodeii con los hannoverianos, y el general Adlercrantz con los suecos marchan ^contra Davoust y los dinamarqueses. Según las últimas noticias el general Wrede, que sa…</t>
  </si>
  <si>
    <t>…ndo del general \Vi zingerode , ha tomado pose.1 ion de Groninga, extendien do sus av.inz das hasta ^ Lsel, donde ocupan áZwoll, Zuphten, y otros pueblos inmediatos á Deventer. El general Bulow marcha sobre Aniheim, y con tanta precipitación que se ha visto precisado</t>
  </si>
  <si>
    <t>…, y el 9 estará ya sobre el Mein. — Este es el orden con que marchan las tropas del Príncipe real: los rusos se dirigen hácia Bremen y O'demburgo; los pru: Bnos, á las órdenes del general Bulow, hácia el Minden¿ y los suecos al Hacnorer.—Tengo la mayor satisfacción en poder anunciar á Vh S. que el día i.° de este mes entraron ya las tropas aliad s en los dominios electorales de S. M. en medio de las aclama ciones shas éxtraerdinams, y de un regocijo…</t>
  </si>
  <si>
    <t>Burdeos, Palom-</t>
  </si>
  <si>
    <t>Palom- Burdeos</t>
  </si>
  <si>
    <t>…a que había salido de esta ciudad hacia la par excelentísimo señor ministro de lo Interior. te de Brihuega, y al efecto había reunido toda su quadrilla. Noticioso de ello el señor general Palom- Burdeos 2 1 de noviembre. bini se puso en marcha con parte de las tropas de El excelentísimo señor ministro de lo Interio? la división de su mando; pero el Empecinado, lue ha remitido el 4 de este mes al prefecto de este de go que supo esta salida, huyó precipitadame…</t>
  </si>
  <si>
    <t>Burgbersh</t>
  </si>
  <si>
    <t>…resiau, de donde fue ron arrojados con pérdida de 12 cañones. Todos ios dias se esperan acciones; y se cree que dentro deanui poco tieínpo habrá una gran batalla en la Lusacia. El lord Burgbersh debe marchar á la posible brevedad al quartel gene ral austríaco, donde tendrá la misma ocupación que lord Cathcart en el quartel general del Emperador de Rusia; sin embargo sus poderes se limita rán simplemente á una correspondencia militar, y nada mas. Por…</t>
  </si>
  <si>
    <t>Burghers</t>
  </si>
  <si>
    <t>…s un canon y 5©* ginetes. — Todo el btgage de este cuerpo cayó en manos del general Hirschfeldt, quien no tenia consigo sino regimientos de milicias. El 17 del corriente marchó el lord Burghers: va at cuartel ge neral austríaco. Estaban para hacerse á la vela con dirección á Pasagcs (en España) seis barcos cargados de artillería gruesa. Se prepara en las Dunas un armamento formidable, y le cree va dirigido contra Copenhague. El correo de Heligoland…</t>
  </si>
  <si>
    <t>Burgos, Castillo de</t>
  </si>
  <si>
    <t>Castillo de Burgos</t>
  </si>
  <si>
    <t>…biendo muerto de Para el de Berceo al ex-franciscano D. Segun estos últimos en las acciones ó de resultas de sus do Serrano. heridas 304. Para el de Medrano al ex-agustino calzado Don Castillo de Burgos 23 de octubre de 1812.= Cecilio Samaniego. Firmado =el general comandante Dubreton. Para el de Baños de Riotobia al ex-franciscano D.F rancisco Sauz. Para el de Hornillos al ex-franciscano D. Ma ESPAÑA. nuel Robles. Para el de Zihuri al ex-premostratense D. J…</t>
  </si>
  <si>
    <t>Burguersh</t>
  </si>
  <si>
    <t>…ecibir las proposiciones de paz de la América por la mediación de la Rusia. El príncipe d’Orange tuvo una larga conferencia en el almirantazgo coa el lord Melville. Se dice que el lord Burguersh marchará mui pronto al continente á desempeñar una comisión de nuestro gobierno. Se embarcan para España 800 hombres sacados de los tres regimientos de guardias dé infantería. Del jo. Han salido de Limerick 40® barriles de cebada para la caballería del exércí…</t>
  </si>
  <si>
    <t>Burihi</t>
  </si>
  <si>
    <t>…5 oficiales y 290 soldados.— Ei cuartel general está hoy en UrofF. Ei ayudante general conde Orioff DenizoíF envió dos generales de la división del general Almiras y al brigadier general Burihi; y participa que tomó 20 piezas de artillería junto á la ciudad de Kras noy. . s, . ' . ESPAÑA. Cádiz 11 efe E ero de 1813. En el courier de 23 de Diciembre viene inserto el boletín fran cés 29 y dirigido desde Mollodetslino con fecha de 3 del mismo , en, el…</t>
  </si>
  <si>
    <t>Burkc, Coronel</t>
  </si>
  <si>
    <t>Coronel Burkc</t>
  </si>
  <si>
    <t>348</t>
  </si>
  <si>
    <t>…en fuerza sobre el enemigo cerca de Concantayna, avancé á las 3 de la madrugada de ayer con la mayor parte de la fuerza de mi división. „ Luego que recibí dicha orden , previne al teniente Coronel Burkc, comandante dei primer regimiento italiano , situado en la Sarga, ocupase á Alcoy al amanecer con su batallón. A los regi mientos segundo de Murcia, primero de Córdoba y segundo de Bur gos, con dos piezas de á 4 y un obús, los coloqué en posición me dia legua…</t>
  </si>
  <si>
    <t>Busching</t>
  </si>
  <si>
    <t>Gaceta de Madrid n.º 47</t>
  </si>
  <si>
    <t>…hasta ahora en bene cir que en Viftna hai actualmente 156 fabricas de ficio de este establecimiento se encuentra en una todo género de telas de seda, quando en 1786 solo obra del doctor Busching, que acaba de publicar se contabau 5 5. con este título: Fragmentos He un viage parla Silesia hechojen'los años de i8to, l8II y 181 s. - ¿AVIERA. Se va á hacer un grande y hermoso jardin bo tánico en el terreno que ocupaba una parte de la Augtburgo 30 de novi…</t>
  </si>
  <si>
    <t>Buscliing</t>
  </si>
  <si>
    <t>…del morador del Norte el amor y la fidelidad á la universidad , y están ya colocados en un vasto y tus Soberanos, estoi seguro de que vosotros, pene hermoso edificio. Habiendo el doctor Buscliing , de trados de estos sentimientos, nunca olvidareis el Berlin, conducido la visita que se le habia manda paternal cuidado y constante desvelo de este Mo do hacer por la provincia con este objeto, ha dis narca á favor de *us noruegos. ¡Ah! ¡Los favores de pues…</t>
  </si>
  <si>
    <t>Busquet, Felipe Sola y</t>
  </si>
  <si>
    <t>Felipe Sola y Busquet</t>
  </si>
  <si>
    <t>1190</t>
  </si>
  <si>
    <t>…924, 27140 y 29755. — Y uno de 150 con el número 149507: todos de la creación de 1.® de Setiembre de 1809, endosados en Cádiz el 12 de Julio de 1813 Por Antonio Paredes á favor de D. Felipe Sola y Busquet, valor de D. Claudio Romero : quien sepa su paradero podrá avi ar en Cádiz á dicho Romero, y en ViUanueva á D. Francisco Fon tañe Has. CADIZ : IMPRENTA NACIONAL 1 1813.</t>
  </si>
  <si>
    <t>Bustamante, Francisco</t>
  </si>
  <si>
    <t>Francisco Bustamante</t>
  </si>
  <si>
    <t>…director subinspector al bri gadier y coronel del expresado cuerpo D Fernando de Gabriel; á coroneles á los tenientes coroneles D. Ramón Ignacio Plana, D. Jo sé Prieto Brigadier y D. Francisco Bustamante, graduado de coro nel; á tenientes coroneles á los sargentos mayores de brigada D, Ví sente Sánchez, D. Miguel Santillana y D Ignaeio Ordovas, gradua do de teniente coronel, D. Juan Bautista Pousich y D, Felipe de Arco Agüero, este graduado de teniente corone…</t>
  </si>
  <si>
    <t>Bustamante, Joaquín de CastiMo y</t>
  </si>
  <si>
    <t>Joaquín de CastiMo y Bustamante</t>
  </si>
  <si>
    <t>…14 fusiles, muchas lanzas, 200 caballos y 2 hatos de muías cargadas de maíz. De los nuestros solo hubo un he rido de gravedad, 3 levemente,, yvun caballo muerto. 5f. Notf lioso el coronel D. Joaquín de CastiMo y Bustamante de que estaba inundado de rebeldes el distrito de las haciendas de la Gavia, Ayaía y Cerro Colorado, el 2 de Setiembre desde Toluca destaco 68 lanceros al mando de D. Antonio Padilla, quien al lle gar al pueblo de Aimoloya, supo que ei cabecilla Montes de Oca…</t>
  </si>
  <si>
    <t>Bustamante, Joaquín del Castillo y</t>
  </si>
  <si>
    <t>Joaquín del Castillo y Bustamante</t>
  </si>
  <si>
    <t>…ella re unión el hijo del general Osorno con los cabecillas Ortiz, Cabeza' da Vaca, Montano, Serrano, Roxano y Bocardo. 58. Con fecha de 5 del mismo mes ha remitido al señor virey D. Joaquín del Castillo y Bustamante dos partes que le había dirigido el comandante de la sección de Temascaitepec, de la acción que el 31 de Agosto sostuvo en el real de Sultepec el teniente co ronel D. Santiago Mora, comandante de aqael panto, y el ataque que el 29 del mismo dio el bizarro ten…</t>
  </si>
  <si>
    <t>Bustamante, Manuel Qeevedo</t>
  </si>
  <si>
    <t>Manuel Qeevedo Bustamante</t>
  </si>
  <si>
    <t>…de 13 años, llamado Ignacio Díaz de la Rasilla, y no habiendo desde entonces sabido de éi; se suplica á quien tenga noticia de su paradero haga el íavor de comunicarlo en Cádiz á D. Manuel Qeevedo Bustamante, agente del número de las Españas, calle del Molino, número 48, para avisarlo á sus padres que están con el mayor cuidado. CADIZ : IMPRENTA NACIONAL: 1813.</t>
  </si>
  <si>
    <t>Bustos, Ventura de</t>
  </si>
  <si>
    <t>Ventura de Bustos</t>
  </si>
  <si>
    <t>Gazeta de Madrid bajo el Gobierno de la Regencia n.º 57</t>
  </si>
  <si>
    <t>…is de conservar por sí mismo esta parió' preciosa sana , firme y blanca, y libertar se de sus dolencias, con otros avisos interesantes á la vida y salud: tercera edición: su autor D. Ventura de Bustos, cirujano dentista que ha sido en esta corre. Se ha llará á 4 rs* casa la viuda del autor, calle de las Carretas, esquina á la 'de Majadaritos i nímv. /io, quarto segundó. . ' r i : . i \/ Poligrafía , ó arte de rescribir, .en ¡cifra de varios modos diferente…</t>
  </si>
  <si>
    <t>Butow</t>
  </si>
  <si>
    <t>…asta t% de agostó. Berlín ao de julio. Dícese que el príncipe Bernadotte mudará su quartel general á FehrbíUen, siete millas de esta capital, y que mandará el cuer po prusiano del general Butow y todas las tropas aliadas acantonadas en és tos puntos. El pueblo se halla animado del mejor espíritu, y se hacen gran des preparativos para la renovación de las hostilidades. La Prusia parece que se aproxima en la actualidad áte que era en tiempo de Federic…</t>
  </si>
  <si>
    <t>Byng, Ingles</t>
  </si>
  <si>
    <t>Ingles Byng</t>
  </si>
  <si>
    <t>…descansaban al píe de Casteí Piñón, en numero de mas de 2e© hombres. Conociendo yo la superioridad del enemigo, y que tra taba de envolvernos por ambos flancos, lo avisé al raáyor general Ingles Byng, que mandaba por esta parte; el cual, después de dos horas de un fuego horroroso, dispuso la retirada hácia Altovisca, la que se hiza con el mayor orden, sostenida por el valor y entusiasmo del regimiento de la Victoria y compañía de cazadores de Doyle, Union…</t>
  </si>
  <si>
    <t>C, Francisco Amellen</t>
  </si>
  <si>
    <t>Francisco Amellen C</t>
  </si>
  <si>
    <t>…ovados. N? de vales. De 600 peses. Sugetes ú quienes están renovados. 1 7803 AD J uan Antonio Martínez Salazar, 1 157715 A D. Tomas de Uriutia. 1 2700 A D. Ignacio Casal. 1 2626 A D. Francisco Amellen C 2281 |AD. Manuel Cáscales. 2 l 2403 i 2303 126/7 ^ gre8&lt; Chavam y PosadiUo. 3 i 2545</t>
  </si>
  <si>
    <t>C, R</t>
  </si>
  <si>
    <t>R C</t>
  </si>
  <si>
    <t>…ar .1 su favor implorándolo? El noble lord ha versar rodos los principios-de la ciencia política. observado que podían haberse presentado los conse Con ocasión de la propuesta del Sr. R C. no jeros leales de S. A. Hubo un tiempo, dixo Mr. podemos menos de hacer una observación, que por Whitbread, en que no la faltaban consejeros leales, ser común no dexa de ser importante. ¿En qué quando Mr. Perceval, lord Eldon y otros llenaban consiste el que…</t>
  </si>
  <si>
    <t>C-ton, Manuel</t>
  </si>
  <si>
    <t>Manuel C-ton</t>
  </si>
  <si>
    <t>…informar á V. E. del número total de muertos , heridos y prisioneros; ni tampoco detallar la ac ción por lo mismo , y no corresconderme; solo sé por noticia del te niente de na^ío D. Manuel C-ton , que mandaba la compañía de ma rina , hab T tenido en ella 2 sargentos, 2 cabos y 7 soldados muer tos, y heridos un cabo y 3 soldados. El alférez de navio D. Sebas tian Butler herido gravemente , y el de fragata D. Juan Montaña le vemente. El valor y bizarrí…</t>
  </si>
  <si>
    <t>Ca</t>
  </si>
  <si>
    <t>…s. anterior^ y volvería al ele ¡guerra con todas sus pre ,, En el acto mismo de la declaración de guerra tensiones. dio el presidente una señalada prueba de la pro „ Parece que el lord Ca^tlereagh en, su nota á pensión de lós'JEstados-Unidos á la paz. Al ultimar Mr. Russ^ísupuio que- aceptando el gobierno inencargado de negocios de estos mismos en Londres les las proposiciones que1 sede-habian-Hecho, hu se le habían dado las instrucciones nece…</t>
  </si>
  <si>
    <t>…ncipios: los ha proclamado constantemen te, los abriga en su corazón heroico, y su alma elevada es incapaz de des mentir tan dignos sentimientos: no apruebo pues la indicación del señor Ca paz, hija» de su espíritu exaltado* contra el alevoso atropellamiento executado en la recomendable persona del señor Antilion; y pido al Congreso que se apruebe en todo el dictamen de !a comisión___El señor García Page ma nifestó que, prevenidas sus ideas por…</t>
  </si>
  <si>
    <t>Ca, Antoaio</t>
  </si>
  <si>
    <t>Antoaio Ca</t>
  </si>
  <si>
    <t>Gazeta de la Regencia de las Españas n.º 145</t>
  </si>
  <si>
    <t>1202</t>
  </si>
  <si>
    <t>…se im prima , publique y circule. =2X. de Barben, cardenal de Seala, ar zobispo de Toledo , presidente. == Pedro de Agar. = Gabriel Ciécar.—En .Cádiz á 8 de Setiembre de 1813.= A D. Antoaio Ca no Manuel. Segundo. D. Ferkjuídq vii, por la gracia de Dios y por la Constitucien de la m.onnrqoia española, rey de las Españss, y en su ausencia y cautividad la Regencia-del reyno nombrada por ks Córtes generales y extraordinarias, á todos los que las presen…</t>
  </si>
  <si>
    <t>Ca, Antonio</t>
  </si>
  <si>
    <t>Antonio Ca</t>
  </si>
  <si>
    <t>…m prima, publique y circule. = X. de Barbón y cardenal de Scala, ar zobispo de Toledo, presidente, zz Pedro de Agar. •=. Gabriel Cis car. ~ E11 Cádiz á 4 !de Setiembre de xSxy.zsA D. Antonio Ca no Manuel.</t>
  </si>
  <si>
    <t>Ca, Federico</t>
  </si>
  <si>
    <t>Federico Ca</t>
  </si>
  <si>
    <t>…al dé la§ tropas del centro, el mariscal de campo P. Francircp Xavier Lo’sadf*; él biigadier segundo gefe de Estado-mayor del cuarto exército Di Antonio Roselló; el de igual clase D. Federico Ca tañen, gefe de la piimera brigada de la cuarta 'divisióny el subteniente D. Mariano García, ¡ayudante d^ ordenes del gefe,de E^tádo-mayor; el ayudante gene-rafdei mismp D. Luis Jbsvina, ágefe del de las^tVopás del centro fué contuso dos? veces. r. . . Nutn. 3…</t>
  </si>
  <si>
    <t>Ca, Félix María</t>
  </si>
  <si>
    <t>Félix María Ca</t>
  </si>
  <si>
    <t>…arlo, y en el momento es muy difícil suceda acaecimiento alguno desgranado. Dios guarde á V. E. muchos años. Celaya 21 de Abr¡l de 1813.* Excmo. Sr. = Cristóbal Oráoñaz. = Exento. Sr. D. Félix María Ca— He ja. Con efecto, el señor brigad'er D. Ignarío García Rebollo ha re mitido á esta superioridad el pliego del teniente coronel Iturvide coa el siguiente, oficio: Excmo. Sr.: En mi carta del t8 del que rige tuve la satisfac ción de anticipar á V. E. la plaus…</t>
  </si>
  <si>
    <t>Ca, Francisco</t>
  </si>
  <si>
    <t>Francisco Ca</t>
  </si>
  <si>
    <t>…nio Latorre, al brigadier D. José Aymerich , al coronel D. Alexandro Hore, al capitán de reales guardias Españolas D. Ramón Figueroa , y al sargento mayor del regimiento de Pravia D. Francisco Ca brera. , /i «Adjunto tengo el honor de incluir á V- E. el estado (rfim. $.°) de nuestra pérdida que no ha dexado de ser de alguna consideración por las dificultades que se han tenido que vencer. «No puedo decir á punto fixo la que el enemigo habrá sufrido, pe</t>
  </si>
  <si>
    <t>Ca, Manuel de</t>
  </si>
  <si>
    <t>Manuel de Ca</t>
  </si>
  <si>
    <t>…ión ; recomendando en fin á la secretaria del Despacho de Gracia y Justicia al capelian D. Antonio Contreras para una prebenda ecle siástica, y á la de Marina al teniente de navio D. Manuel de Ca ñas , segundo gefe de Correa, que lo proponía para la graduado» inmediata. En el cuerpo de ingenieros de los exército* nacionales se ha ser vido la Regencia del reyno promover, á director subinspector al bri gadier y coronel del expresado cuerpo D Fernando de…</t>
  </si>
  <si>
    <t>Ca, Ramón</t>
  </si>
  <si>
    <t>Ramón Ca</t>
  </si>
  <si>
    <t>…rea (el Médico), están sobre el Ebro entre Tu déla y Córella; y dicho coronel en Tolosa es perando las órdenes def Lord. ' La Junta provincial de censura, compuesta de los señores D. Ramón Ca brera presidente y D. -Eugenio de ia Peña , vice-presidente; IX Antonio Si les, D. Antonio Posada y £&gt;. 3ernabé García , propietarios; de D. Eugenio de Arrieta, í&gt;. Benito Gil y Di Josef Moor de Fuentes, suplentes; des pués de prestado el juramento prescrito…</t>
  </si>
  <si>
    <t>Cá, Von Essen y M.</t>
  </si>
  <si>
    <t>Von Essen y M. Cá</t>
  </si>
  <si>
    <t>…ecaudadores territoriales, que se nombrarán para este fin. 3. ° „Qtie se arreglarán las diferencias relativas á la extensión ¿@ territorios, conforme al convenio de 1810, entre el conde Von Essen y M. Cá knd. 4. a „Que si contra toda esperanza, los franceses hubieren enagenjftdo alguno ó algunos bienes de la corona, el rey mi amo no tie ne por válidas semejantes enagenasicnes; antes declara que se apo derará de dichos bienes, donde quiera que se hallen; oyend…</t>
  </si>
  <si>
    <t>Ca.ihcart</t>
  </si>
  <si>
    <t>62S mentó de negocios extrangeros, lia recibido ’el siguiente oficio del vizconde Ca.ihcart, embaxador. extraordinario de S. M. en ia corte de Rusta. Dresde 6 de Mayo de iSiy. "Milord: En mis últimos oficios no ticié á V. E. la llegada de Napoleón , y la reunión de sus fuerzas en Jas inmediaciones de Erfurth y del Saale, como también la del exército…</t>
  </si>
  <si>
    <t>Ca.tkreagh</t>
  </si>
  <si>
    <t>…bertad de loa individuos de los Estados Unidos ya reclutados; y respecto al bloqueo en lo futuro, que se confirme la revocación de las órdenes del consejo ” Según la respuesta del vizconde Ca.tkreagh á Mr. Russel, fué desechada esta proposición, como que difería solo en la for ma y ro en la- sustancia , de la hecha en £4 de Agosto , que también fué desechada, y por dirigirse al mismo fin, aunque de un modo mas oculto , y por consiguiente menos admisible;…</t>
  </si>
  <si>
    <t>Caandia, Manuel</t>
  </si>
  <si>
    <t>Manuel Caandia</t>
  </si>
  <si>
    <t>…r 10, |20. D Manuel Ibañez, id. par 10, 120. D Domingo Dertiaco., id. por 8,90 D. Cosme Ximenea, id. por 8, 95. D. José Híílme, id. por 8 , 90. D. AguAin Rodrigues, id. por 8, 90. D. Manuel Caandia, id. por 8, 96. 1). Jo ;é Corrales, id. por 8, 9.5. D. Maaus’- Domínguez, ii. por 0,72. 1). Miguel Rodríguez, id. por 25; 300. D. Juan Bautista Garata , por una vez , 200. D. Juan G-.rc a de Ponte, id., 100. D. Mariano Vázquez de la Riva, id., 100. I). Manuel…</t>
  </si>
  <si>
    <t>Caba, Andrés</t>
  </si>
  <si>
    <t>Andrés Caba</t>
  </si>
  <si>
    <t>…de navegación, el navio de guerra de 64 cañones San Pedro Alcántara t con su comandante D. Fernando Bastidos, y la fragata de guerra la Diana, al mando del capitán de igual clase D. Andrés Caba llero. El primero registró 2.392918 pesos fuertes, y 394 sobornales de añil, 512 caxas de azúcar, 900 sacos de calé , y algunos inarcos de plata para particulares. La segunda registró 700® pesos fuertes, 79 sacos de añil y grana para particulares, algunos sac…</t>
  </si>
  <si>
    <t>Caballero, Alexandra</t>
  </si>
  <si>
    <t>Alexandra Caballero</t>
  </si>
  <si>
    <t>…ia en esta villa, y por la escribanía del número de D. Josef Antonio Canosa, se ha llan radicados ios autos de testamentaría formados por fallecimiento de D. Domin go de la Peña y Doña Alexandra Caballero, legítimos consortes, vecinos que fue ron de esta corte, natural el primero de la parroquia de Sta. María de Chabin, en el obispado de Mondoñedo, y la segunda de esta corte, verificado baxo el testa mento que en unión formalizaron en ella en 6 de junio de 181…</t>
  </si>
  <si>
    <t>Caballero, Mariano</t>
  </si>
  <si>
    <t>Mariano Caballero</t>
  </si>
  <si>
    <t>…Grego bien poca importancia en comparación del empeño rio Alonso de Prado , prior de la misma santa igle grande, glorioso y dominante de dar á Europa su sia ; y los terceros al de D. Mariano Caballero, se independencia nacional, y de asegurar de este mo cretario de la junta, coh encargo primero dé ente da á nuestra posteridad los inapreciables beneficios rarse detenidamente, de todos los establecimientos de nuestra libre.constitución.” análogos al.de cada…</t>
  </si>
  <si>
    <t>Cabañas, Doñ Bonifacio</t>
  </si>
  <si>
    <t>Doñ Bonifacio Cabañas</t>
  </si>
  <si>
    <t>…l, donde celebjará todas sus juntas» Asimismo eb ayuntamiento constitucional de esta villa há nombrado, en liso de sus facultades y á fin de qué exerza las funciones de fiscal, al Sr. Doñ Bonifacio Cabañas , quien habiendo prestado el mismo. Juramento, ha tomada posesión de su destino. En su consecuencia los editores deberán pasarle un exemplar de quantos papeles se impriman en. la provincia inmediatamente que se publiquen, con arreglo ál articuló 13 del decret…</t>
  </si>
  <si>
    <t>Cabañas, Francisco Ramón</t>
  </si>
  <si>
    <t>Francisco Ramón Cabañas</t>
  </si>
  <si>
    <t>700</t>
  </si>
  <si>
    <t>…_ A D. Domingo Madras, del Inmemorial del Rei, 800 botines y 800 pantalones.__Al comandante y á D. Josef Villanueva, del de Infiesto, 1© botines, 1® camisas y 1® pan talones.----A D. Francisco Ramón Cabañas, del de Cangas de Tineo , 245 camisas-----A D. Felipe Díaz, del segundo esqaadron de Madrid , 11 cami sas y n pantalones.__A quatro oficiales 8 camisas y 8 pantalones.___A dos sargentos del estado mayor 2 botines, 2 camisas y 2 pantalones.-._To tal de piezas:…</t>
  </si>
  <si>
    <t>Cabanes</t>
  </si>
  <si>
    <t>…istinguida. *— Por ausencia del general de brigada barón dei imperio gefe de esta do mayor deL exército. El ayudante comandante segundo gefe. =s Firmado =5 Vihier. = Sr. ajrudsrne general Cabanes, gefe del estad® mayor del primer exército español. Todo lo que ha querido el señor general en gefe de este exercito D. Francisco de Copons y Navia que se haga publico, y que se comunique á quien corresponda. Cuartel general de Vich i.° de Agosto de 1813. = E…</t>
  </si>
  <si>
    <t>Cabello, José Ventura</t>
  </si>
  <si>
    <t>José Ventura Cabello</t>
  </si>
  <si>
    <t>…han decretado lo siguiente: «Las Cdrt-.s generales y extraordinarias, á consecuencia de lo que les ha expuesto D. José Oís zarra á nombre del reverendo obiípo. elec to de Guayona D. José Ventura Cabello, acerca de los mal- s que así en. lo mori-1 como en lo político afligen á aquella proviri ia, con mo tivo de que las reducciones de indios encargadas á las Misiones en que se emplean los rdigioios capuchinos y descalzos, no se cn’r gan al ©rdin ; io ecksiás i…</t>
  </si>
  <si>
    <t>Cabezas, Juan</t>
  </si>
  <si>
    <t>Juan Cabezas</t>
  </si>
  <si>
    <t>12</t>
  </si>
  <si>
    <t>…e hiriese con la pistola , acción nada decorosa á unas tropas que equivocadamente se glorian de hacer la guerra con generosidad;, pero ios valientes tenientes EL Jjosef Infantes y D. Juan Cabezas les ense ñaron con escarmiento á medir su sable cotí fuerzas duplas. Seria injusto si omitiese expresar á V- S. los servicios nunca bien ponderados de los cápitqt»es de infantería P. Juan Pineiro y P_ Vicente Sánchez, quienes con sus d^os subalternos D. Josef…</t>
  </si>
  <si>
    <t>Cabezón, Domingo</t>
  </si>
  <si>
    <t>Domingo Cabezón</t>
  </si>
  <si>
    <t>…e Monttrri. D. Francisco Monteagudo, substituto segundo. D. Agustín Tavira, alcaide. D. Alfonso Luceño, substituto primero. Barrio de la pinza de S. Juan. D. Ramón Lancha alcalde. D. Domingo Cabezón, substituto segundo. Barrio de Monserrat, D. Juan .Adan, substituto primero. D. Félix Montexo, substituto segundo. D. Miguel Parte-arroyo, alcalde. Barrio del Hospital General. D. F rancisco Oliva, substituto primero. D. Josef Martínez , substituto segundo. D…</t>
  </si>
  <si>
    <t>Cabe’lo, Miguel</t>
  </si>
  <si>
    <t>Miguel Cabe’lo</t>
  </si>
  <si>
    <t>…D Matine? Partido, 200. D. Martin Axamburu, 200. D. M afras I are a, 200. D. Toribio Acebal, secretario de gobier no, 200. D. José lio dirifo, 200. D. Miguel Fermín Escurra, 200. D. Miguel Cabe’lo, £00. D. Miguel Antonio Ar óla, 200. D. Fran cisco Maíz , 100 D. P&lt; dro M:guel I jibareen, 100. D. Femín Co ya, 100Í £1 conde Villa* do Fuente, 100. D. Luis A¿elmo L&amp;n*</t>
  </si>
  <si>
    <t>Cabia, Alfonso de</t>
  </si>
  <si>
    <t>Alfonso de Cabia</t>
  </si>
  <si>
    <t>…tonio de Ibarra« caba llero pensionado de la real y distinguida orden española de Garlos m , co ronel y comandante del arma, del licenciado D. Manuel Martin Eugercios, asesor, del doctor D. Alfonso de Cabia, abogado fiscal, y de D. Manuel Rubio de Villegas, escribano; se hace saber , de‘acuerdo con el señor co mandante- general interino de la provincia, y gobernador militar de esta pla za, á todos los que tengan que promover ó continuar alguna instancia lo hagan…</t>
  </si>
  <si>
    <t>Cabrera, Francisco</t>
  </si>
  <si>
    <t>Francisco Cabrera</t>
  </si>
  <si>
    <t>…reunido de cada una, que eu ia de la derecha mandaba el capitán de reales guardias Españolas D. Ramón F¡gueroa* y en la de la izquierda el sargento mayor de¿ regimiento de jpravia D. Francisco Cabrera. r» Los enemigos favorecidos del escabroso terreno que ocupabas hubieran podido resistir muy largo tiempo* si el arrojo y orden con que se hicieron les ataques no hubieran superado tedos los obstá culos* y así las columnas no tardaron mas tiempo en echadlos d…</t>
  </si>
  <si>
    <t>…mandante del regimiento de* Generé; E&gt;. Jo sé María de Beza, teniente coro&amp;el comandante accidestal del regi miento segundo de Cata uña; el sargento mayor del regimiento de Bravia D. Francisco Cabrera, comandante del batallón de cazadores, de la columna de la izquierda, que fué gravemente herido, y los •ficis! es de estaco mayor los tenientes soroneies 15. Jscrbo Escaño* D. José María Paniagua, y los capitanes D. Manuel Qbregoso y D. José Renden. » El 8 en…</t>
  </si>
  <si>
    <t>…la buena conducta y desempeño de sus funciones del ayudante primero de E. M. D. Jacobo Escario, que me acompañó todo el día, y la del mayor del regimiento de infantería de Pravia D. Francisco Cabrera, quien salió gra vemente herido, habiendo tenido ya igual desgracia en.otra acción, en que se distinguió estando á mis órdenes. No puedo concluir este parte sin hacer presente á V. S. la noble generosidad con que el brigadier coronel del se gundo de Sevilla m…</t>
  </si>
  <si>
    <t>…unido de cada una, que en la de la derecha mandaba el ca pitán de reáles Guardias Españolas D. fainos Figueroa, y en la de la izqüiérda. él sargentoanayor dél regimiento de PraVia D. Francisco Cabrera: ’^^Los entitrigctéy fai^éékiós^del eseabroso terreno que ocupaban, hubie ran podido resistir mui largo tiempo, si el arrojo y orden con que se hicie ron los ataques no hubieran superado todos los.obstáculos; y asi las colunas no tardaron mas .tiempo en echar…</t>
  </si>
  <si>
    <t>…andante del regi miento del General; D. Josef María de Beza, teniente coronel comandante accidental del regimiento segundo de Cataluña; el sargento mayor del regi miento de Pravia D. Francisco Cabrera, comandante del batallon.de caz.ar dores de la coluna de ia izquierda, que fue gravemente herido; y lo,s ofi ciales de estado mayor los tenientes coroneles D. Jacobo Escario, D. Josef María Paniagua, y los capitanes D. Manuel Qbregoso y D. Josef Rendoq. ,,E1…</t>
  </si>
  <si>
    <t>…Latorre, al briga dier D. Josef Aymerich, al coronel D. Aiexandro Hore, al capitán de reales Guardias Españolas D. Ramón Figueroa , .y al sargento mayor del regimien to de Pravia D. Francisco Cabrera. - „ Adjunto, tengo?‘el: hqqor de ínciuir á V*. jE&gt;- el estado (num. 5.0) de nuestra pérdida,:que no ha dexado de ser de alguna consideración por las dificultades que se han tenido que vencer. ,,No puedo decida punto fixo la que el enemigo habrá sufrido; pero…</t>
  </si>
  <si>
    <t>Cacho, José</t>
  </si>
  <si>
    <t>José Cacho</t>
  </si>
  <si>
    <t>…nte numero, lo hizo con singular denuedo, y recibió un balazo de consecuencia en esta empresa. ,, Llenaron su deber á completa satisfacción mía los capitanes Don Manuel dei Pozo y D. José Cacho, el teniente D. Tomas Domín guez, y el alférez D. Manuel Jácome, mis ayudantes de campo, desempeñando con valor conocido cuantos encargos puse á su cui dado: también se hallaron á mi inmediación durante toda la batalla los subtenientes D. Roque Jacinto Valle…</t>
  </si>
  <si>
    <t>PDF p. 15</t>
  </si>
  <si>
    <t>…os pasos y de moler los parapetos enemigos. «N da me han dex’do que apetecer en su buen comportamiento mis fí\ud ntes de campo los capitanes £&gt;. Manuel Pozo &gt; D. Antero Henriquez, D. José Cacho y l&gt;. Tomas Domínguez', y el alférez D. Manuel Jácome, llevando con prontitud, inteligencia y resolución lvs órdenes neces. ri s a ios "gefes de l s respectivas columnas de eti que y demas que les'fueron confiadas, como igualmente Jos oficiales em pleados á m…</t>
  </si>
  <si>
    <t>Cacho, Josef</t>
  </si>
  <si>
    <t>Josef Cacho</t>
  </si>
  <si>
    <t>…parapetos enemigos......... ■ ~ &lt; '-{ Nada me handexadoque apetecer en su-buen comportamiento mis ayu dantes de campo los capitanes D. Manuel del Pe^^^?cL».£LA.iit£ro-Hei::riquez, D. Josef Cacho y í). Tomas Domínguez ,.y el alférez D Manuel Jáconie, llevando con prontitud, inteligencia y resolución las órdenes necesarias á -los gefes de, las respectivas colpnas de apague y. demás,que les fuer* n-confiadas: corno, igualmente los oficiales empleados,&gt;á…</t>
  </si>
  <si>
    <t>Cachonfajro, Santiago</t>
  </si>
  <si>
    <t>Santiago Cachonfajro</t>
  </si>
  <si>
    <t>…l délos H¿ros, 2 id. D. Ma nuel déla Torre, 1 id. D. Manuel Garbea y Bulillo, 2 id. D. Ma nuel de Aramburu, í id. D. Miguel de Ezcurra, 1 id. D. Ramo* Martínez de Bartolomé, 1 id. D. Santiago Cachonfajro, 1 id. D. Tir so Estevanez, 1 id. D. Francisco Bosano , 2 id. D. José Gambini, 1 id. D. Juan de Perlica, 8 id. D. Dimaso de Arias, 6 id. D. Jacinto Xiraeno, 6 id. D. Manuel Ortiz de Villate, 4 id. D. José Rodolfo, 4 id. D. Antonio León, 4 id. D Paulino Domíng…</t>
  </si>
  <si>
    <t>Cadogan</t>
  </si>
  <si>
    <t>inmediatamente á aquel punto el regimiento 71 y el batallón de in fantería ligera de la brigada del general Waiker, á las ordenes del teniente coronel Cadogan, y sucesivamente otras tropas; y los alia dos no solo ganaron dichas importantes alturas, sino que á pesar de todos los esfuerzos que hicieron los enemigos para retomarla^, con servaron posesión de ellas durante todas nuestras operaciones. ,,La acción sin emb…</t>
  </si>
  <si>
    <t>…vio en la necesidad de destacar inmedia tamente á aquel punto el regimiento 71.0 y el batallón-’ de infantería ligera de la brigada del general Walker , á las órdenes del teniente coronel Cadogan, y sucesivamente otras tropas; y los aliados no solo ganaron dichas im portantes alturas, sino que á pesar de todos los esfuerzos que hicieron los enemigos para retomarlas, conservaron posesión de ellas durante todas nues tras operaciones, „ La acción sin emb…</t>
  </si>
  <si>
    <t>884</t>
  </si>
  <si>
    <t>…os , llevando ¿ su bordo de pasageros al general de artillería Corda*, y á su estado mayor. Octavo y noveno., »E1 mismo vice-almirante ha dirigido otros dos oficios deí hono rable capitán Cadogan del navio de S. M. Habana, ai contra almirante Freemantie, dando cuenta de la destrucción de un con voy francés de 2 5 velas, 4 de las cuales eran cañoneras, cuyo apre samiento acaeció el 7 de Febrero eií ia costa de Manfredonia. Al mismo tiempo fue destruida…</t>
  </si>
  <si>
    <t>…ntos al general Bowes, muerto en el sitio del castillo de Salamanca; al general Brock, muerto últimamente en América; al coronel W. Myers, muerto en la batalla de la Albuera, y al coronel Cadogan, muerto, en la de Vitoria. Los periódicos de Londres han publicado y desmentido el rumor de la muerte del Emperador Francisco envenenado. _ En Portsmouth se habían estado preparando con la mayor actividad to dos los transportes disponibles para traer refuerzo…</t>
  </si>
  <si>
    <t>Caffarelli</t>
  </si>
  <si>
    <t>…DE LA GUERRA. Del 14 de octubre. Exército del norte de España. El Príncipe Regente ha expedido una orden* anunciando que se expedirán patentes de corso con Copia de una carta del conde Caffarelli, general tra losamerieanos. Se ha colegido de esta orden que en gefe del exército del norte, al excelentísi el gobierno ha recibido ya una respuesta del presi mo señor ministro de la Guerra. dente de los Estados-Unidos á la nota, en virtud ' Burgos 6 de novie…</t>
  </si>
  <si>
    <t>Caffarellí</t>
  </si>
  <si>
    <t>325</t>
  </si>
  <si>
    <t>…arro^ Se ha interceptado la siguiente carta, por la que se ve lo esca sos que están de noticias y de dinero, así el rey intruso como el go bernador de Burgos. ,,A S. E. el general conde Caffarellí, comandante en gefe del exército del norte en Vitoria.— Triplicada. — Burgos 15 de Enero de 1813. — Mi general: Acabo de recibir una esquela de S. M. en que me pide noticias del norte de Francia y de Rusia: espero que habrá recibido las que tuve el honor de d…</t>
  </si>
  <si>
    <t>Caffattlii</t>
  </si>
  <si>
    <t>…; sistema á la verdad sugerido, por de Guerra. Jos ingleses, y todo el día estói recibiendo.lamen tos y quejas de los infelices moradores, por desgra Copiade una carta del general conde Caffattlii, cia harto fundadas. comandante d i exército del norte de España, ,, Losúngieses habian principiado á,construir en di Excmo. Sr. ministro de Guerra. Colindres varias almadías, que.no han podido con cluir, y al tiempo de marcharse las ocultaron en ■ Santoña 7…</t>
  </si>
  <si>
    <t>Cafflereagh</t>
  </si>
  <si>
    <t>…entro en la ciudad el 2 ó. Se creía em París que la intención de Bonaparte era hacer todos los esfuerzos para sos tenerse en las orillas del Mein. Oficio de sir Carlos Stewart al vizconde Cafflereagh. Quartel general de Leipsick i$ de octubre. Milord: ya no puede tar dar la libertad de la Europa, y la Inglaterra triunfante puede congratularse, juntamente con los aliados, de adquirir la gloria á que la dan tan pistos de rechos sus esfuerzos constantes y si…</t>
  </si>
  <si>
    <t>Cagiiud</t>
  </si>
  <si>
    <t>…xacales. (ó&gt; continuarán.) ■ * Puerto-Cabello 24 de-Junio. : .El general'Monte ver de llegó á Caracas el 10 del corriente, habien do dexado el mando del exérci-.o de barlovento al Sr. Cagiiud, quien ha batido posteriormente á los rebeldes en Maturí, haciéndoles con siderable daño; y se cree con bastante fundamento que á esta fecha los habrá desalojado de su posición y derrotado completamente. Taragoza 16 de Julio.. Continúan los partes del marisca…</t>
  </si>
  <si>
    <t>Cáifa-</t>
  </si>
  <si>
    <t>…heridos, Exércko del norte de España. tuvo que ceder. Ya hemos manifestado las circunstancias de la El teniente Combassire «n el hospital, no teexpedición dirigida por el general conde Cáifa- rtíendo consigo mas que algunos enfermos sin fuer relu para librar á lá plaza dé Santoña, que mucho zas , los animó con su propio valor, y resistió al tiempo tuvieron bloqueada los ingleses y los insur enemigo hasta que recibió una contusión en el hom-&gt; gente…</t>
  </si>
  <si>
    <t>Caífarelli</t>
  </si>
  <si>
    <t>…r encuentros con las de los insurgentes en las inme duda de su última resolución. Estando ya ias cosas diaciones de Llodio y de Arciniega, y en. uno de en tanto apuro, resolvió el general Caífarelli librar ellos quedó herido en un brazo un edecán del ge á Santoña, y á fin de diciembre pasó á esta plaza neral Dubrerou. Les hemos, cogido algunos- hom con la esperanza de encontrar reunidas las partidas, bres y bigages y cinco muías, cargadas de cartu y forz…</t>
  </si>
  <si>
    <t>Caihcart</t>
  </si>
  <si>
    <t>Gazeta de la Regencia de las Españas n.º 18</t>
  </si>
  <si>
    <t>…stanciada luego que lle gue á la ciudad. — K.xtMow.n Por el último correo de Gottemburgo se ha recibido el siguiente boletín oficial que acaba de publicarse „Ha li gado oficio del lord Caihcart, su fecha en Peíersburgoá 25 de D iciembre. „Los condes Wittgenstein y Platow han pasado por Krwno en-, caminándose á Tüsit: fos franceses han sido arrojados de K.w;¡o con pérdida de 21 cañones y 6000 prisioneros, y se ha dispersado el resto de este cu rpo. „…</t>
  </si>
  <si>
    <t>Cal</t>
  </si>
  <si>
    <t>…, cuartel -maestre general, y el teniente coronel Bouvesi, adicto á la columna de la izquierda, han continuado á mis ordenes dándome los auxilios mas estimables, y que el celo del capitán Cal/veret del 29 regimiento, y mi primer ayudante de campo, así como el de los demas oficiales de mi estado mayor los hace acreedores á mi mas viva y perfecta aprobación. »V. S. con una atención que me es muy satisfactoria, me ha permitido nombrar el oficial que…</t>
  </si>
  <si>
    <t>Cala.dividual</t>
  </si>
  <si>
    <t>Gaceta de Madrid n.º 116</t>
  </si>
  <si>
    <t>…tivo se quejó el señor Calarrava de la indolen cia escandalosa con que el gobierno toleraba estos La garría de la Salud contiene la relación in excesos. El señor González apoyó al señor Cala.dividual de dos casos mui extraordinarios. trava, culpando de todos estos males la demasiada El primero es la historia de un embarazo ex moderación del congreso. El señor Ximenez Hoy* trauterino. Habrá muchas personas que no alcan confirmó el estado de opresión en que…</t>
  </si>
  <si>
    <t>Calarrava</t>
  </si>
  <si>
    <t>…entados y tropelías quilidad mas completa. de este general, y del estado de opresión y abati miento en que tenia aquella provincia. Con este París i $ de marzo. motivo se quejó el señor Calarrava de la indolen cia escandalosa con que el gobierno toleraba estos La garría de la Salud contiene la relación in excesos. El señor González apoyó al señor Cala.dividual de dos casos mui extraordinarios. trava, culpando de todos estos males la demasiada El prime…</t>
  </si>
  <si>
    <t>Calatra, José Marta</t>
  </si>
  <si>
    <t>José Marta Calatra</t>
  </si>
  <si>
    <t>…vice-presidente y uno de sus secretarios ; salieron electos, para presidente el Sr. D. Miguel Amonio Zumalacámgui, diputado por la provincia de Guipúzcoa; para vice-presklente el Sr. D. José Marta Calatra\a, diputado por Extremadura; y para secretario el Sr. D. Agustin Rodríguez Bahamonde, diputado por Galicia. JLa Regencia del reyno se h a servido expedir el decreto siguiente, D. Fernando tii, por la gracia de Dios y por la constitución dé la monarquía españo…</t>
  </si>
  <si>
    <t>Calatrava</t>
  </si>
  <si>
    <t>…jantes atentados, se aprobó el «icLámen de la comisión y teníamos otra idea de la palabra público, como de las de nación, pueblo y otras colectivas; pero ya, dos proposiciones del señor Calatrava; la una re merced á los nuevos gramáticos de Cádiz, público ducida á que siendo cierto hallarse el canónigo en el calabozo subterráneo, la regencia le mandase po puede ser...... un periodista; y nación.... media do ner en otro arresto - conforme á la constitu…</t>
  </si>
  <si>
    <t>…una providencia ; pues ya estaba armada de dos cañones de á seis, y llevando ió visto que el gobierno no se cuidaba de hacerlo. El hombres de tripulación yquatro pasageros. Pasaba señor Calatrava indicó que la ordenanza prescribía de Tenerife á Londres con un cargamento de vino los límites d« la autoridad militar: dixo que el ha de la Madera y coral; y ayer ha entrado esta presa ber dexado impunes muchos de estos delitos, con en el puerto del Conquet.…</t>
  </si>
  <si>
    <t>Calatrava, Diego María</t>
  </si>
  <si>
    <t>Diego María Calatrava</t>
  </si>
  <si>
    <t>…ndividuo de cada cíase que los examinadores habían1 considerado mas acreedor, y distribuyó por su mano del ntodo si guiente: á los cadetes D. Gregorio Brochero, D. Nicolás Campo,* D. Diego María Calatrava, D. José Valdemoros , D. Pascual de la Puente, D. Juan de Morales, D. Agustín Gamboa, D. José Rayo y Cortés, D. Antonio González y D. Pedro Abello, un exemplar á cada uno de un tratado de trigonometría y geometría práctica poj* su aprovechamiento en aritmétic…</t>
  </si>
  <si>
    <t>Caldera, Juan</t>
  </si>
  <si>
    <t>Juan Caldera</t>
  </si>
  <si>
    <t>…sobre el pun 5. a Se sacaran, según lo exijan las circunstan to de diezmos, con motivo de cierta apuesta hecha cias, de estos destacamentos de cazadores los su- entre el cayónigo D. Juan Caldera y D. Andrés getos necesarios para llenar las plazas de oficiales y Alvaiez Guerra, coronel que fue de Zafra, sobre sargentos de los batallones y regimientos, con tal si en el tiempo que habían prelixado se quitaría á que deseen proseguir la carrera militar, sean pro los…</t>
  </si>
  <si>
    <t>…estaban deseos de efectos tendrá esta nueva lucha en la insurrección? que nuestro gobierno se penetrase de semejantes Nos contentamos con indicar ligeramente estas pensamientos; y D. Juan Caldera, contrario de preguntas, que suministran un abundante campo á I). Andrés Alvarez en la disputa, manifestó que su la reflexión. oposición no nada de sentimientos contrarios, sino de que creía que no se verificaria en los tres meses que había prefixado Alvarez;…</t>
  </si>
  <si>
    <t>Calderón, Francisco</t>
  </si>
  <si>
    <t>Francisco Calderón</t>
  </si>
  <si>
    <t>…as, 6 pis tolas , 4 caxas de guerra, y una bandera encamada con aspa blan ca; y que el dragón Andrés Santander aprehendió al piineipal cau dillo corone) comándente de los enemigos D. Francisco Calderón. X quien se formó sumario, y pasó per las armas el dia 3. «Hace Samano particular elogio de los oficiales y tropa* de su mando, á quienes recomienda; y yo luego que reciba noticia de les que mas se han distinguido, los recomendaré á S. M., para el premio</t>
  </si>
  <si>
    <t>Caledou</t>
  </si>
  <si>
    <t>Gaceta de Madrid n.º 123</t>
  </si>
  <si>
    <t>…rá sola Í3 Inglaterra la en 1812. que dé impunemente el escándalo de violar sin re La expedición que envió en setiembre de 1808 bozo este principio de pudor y de decencia públi ti lord Caledou, baxo la conducta dei capitán Do- ca? ; La iamilia real de Brunswick, elevada sobre novan y del doctor Cowen para encontrar camino las ruinas de la de Stuard, se olvidará que ia dinas por tierra á Mozambique, es mui probable que ha tía á quien reemplaza debió…</t>
  </si>
  <si>
    <t>Callaihan, O</t>
  </si>
  <si>
    <t>O Callaihan</t>
  </si>
  <si>
    <t>…neral el honorable. Guilíelmo Heibart, la del conde de Amarante, quien mandó las divisioiies de infantería puestas baxo su dirección; También recomienda la¡ conducta del honorable coronel O Callaihan, quien defendió el lugarde Suvijana de Alava contra los esfuerzos que hizo el enemigo para; retomarle, la del coronel Rooke del departamento del ayudante, gene ral, y la del teniente coronel el honorable A. Abercombi deb depar tamento del cuartel maestre gene…</t>
  </si>
  <si>
    <t>Calle, Francisco Al Tares</t>
  </si>
  <si>
    <t>Francisco Al Tares Calle</t>
  </si>
  <si>
    <t>…riano Car ranza , id. por 8,96. D. Nicolás Git.ierres, id. p; r 8, 96*. D. Juan Santos Fiáríaní, i i. por 4, 48. ü. Aa'ouío Mora, id. por 4, 48. D. Faustino López, id. por 12, 144 D. Francisco Al Tares Calle* .ron, id. por 8, 9#. D. Ambrosio A!bajar, id. p rS, 96 D. Francia©o Antonia Iharbia, id. pnr'S , §S. D. Juan M-io.uel Campo blanca, id. por 8,96. D. Mateo Gona z, id. por 8, 96, O. Rain .ai Qrtiz , id. por 8,96 D. Francisco Nnñez G tgo , id. p ,r 8, 96. D. M…</t>
  </si>
  <si>
    <t>Calleja, Fdix María</t>
  </si>
  <si>
    <t>Fdix María Calleja</t>
  </si>
  <si>
    <t>…án bien custodiados hasta la determinación de V. E =D^os guarde i V. E. muchos unos. Campamento de Camarones 13 de Junio de 1813.= Excmo. Sr. = Rafael Casasola, = Excmo. Sr. virey D. Fdix María Calleja” Vich 24 de Octubre, El sparsto con que Suchet ha emprendido el movimiento, y los efectos, carros, coches &amp;c. que dicen hm pasado por la marina, es grande. Se cne que el cuerpo de exércho que amanéelo en Gn:nojíers no ha tenido otro objeto que sostener una Op…</t>
  </si>
  <si>
    <t>Calleja, Félix María</t>
  </si>
  <si>
    <t>Félix María Calleja</t>
  </si>
  <si>
    <t>…para, atacar d convoy. — Dios guarde a V. E. muchos años. Sala manca 20 de Abril de 1813 , á las 11 de la noche. = Exemo. Sr. = Agustín de Iturvide y Aramburu. = Excmo. Sr. virey D. Félix María Calleja. (ó&gt; continuara.) Madrid 12 de Octubre. Eq la mañana del dia 7 avanzaron ios exércitos aliados por tres direcciones: diferentes batallones ingleses y portugueses vadearon el Bidasoa por el punto de Fuenterrabia, de donde pasaron á Andaya. Entonces las avanzad…</t>
  </si>
  <si>
    <t>Calleja.’, Félix María</t>
  </si>
  <si>
    <t>Félix María Calleja.’</t>
  </si>
  <si>
    <t>127t años. Zimapan y Junio 5 de 1813. = Excmo. SrCristóbal Ord0— ues. = Excmo. Sr. virey D. Félix María Calleja.’* Segundo. «Excmo. Sr.: En prosecución de los felices resultados que han producido y producen cada día las gloriosas victorias de la ceja de Algives y puerto de S. Juan, acompaño á V. E. el parte original y estado de armes y municionas con que se ha presentado…</t>
  </si>
  <si>
    <t>Callejo, José Antonio del</t>
  </si>
  <si>
    <t>José Antonio del Callejo</t>
  </si>
  <si>
    <t>…lapa no tuvo novedad la expedición. 60. JE1 teniente coronel y comandante de Tulaneingo D. Fran cisco de las Piedras, con fecha de 28 de Julio, remitió el par te que le habia dado D. José Antonio del Callejo, espitan gra duado de milicias de México, en que dice que el 24 del mismo mes había salido con 10 infantes mentados , 15 dragones y otros tantos patriotas de caballería, con el objeto de coger á los cabeci llas que estaban en la venta de Apuíco. A medio camin…</t>
  </si>
  <si>
    <t>Callimacbi</t>
  </si>
  <si>
    <t>…DE *813. ESTADOS-UNIDOS DE AMERICA. La peste sigue haciendo estragos en Constanti nopla: en estos últimos días un tártaro, enviado de Nueva-Yorck 2 8 de noviembre. esta capital al príncipe Callimacbi, que se hallaba en Bucnarest, murió en el camino.Cojtia del Lixínton Repórter del 18 de noviembre. Hemos recibido noticias del territorio illinés, AUSTRIA. por las que sabemos que el corpnel Russel, dei re Viena xj de diciembre.gimiento j.° de los Estados-Uni…</t>
  </si>
  <si>
    <t>Calva, Pedro</t>
  </si>
  <si>
    <t>Pedro Calva</t>
  </si>
  <si>
    <t>708</t>
  </si>
  <si>
    <t>…en el pueblo y torre indicada con objeto de res tablecer aquel punto de comunicación, y no dudó un momento en fiar la empresa de impedirlo al sargento mayor del-mismo regimien to D. Pedro Calva. Este oficial, á la cabeza de un destacamento de cazadores de Palma, Barcelona y Mataró, desempeñó completamen te su encargo, encerrando á ios enemigos en el fuerte, y rmdiéndo-</t>
  </si>
  <si>
    <t>Calvan</t>
  </si>
  <si>
    <t>…formación de causa contra la diputación provincial de Extrema dura, en virtud de queja del alcalde de Calamonte, por haberse mezclado en las atribuciones del poder judicíario. El Sr. Calvan observó que era ia segunda declaración de esta especie que se hacia respecto á aquella diputa ción; por lo que propuso en forma se preguntase al gobierno el resultado de la primera. Del /(T. Se discutieron quatro proposiciones, á que lo reduxo. su informe la…</t>
  </si>
  <si>
    <t>Calvete, Patricio</t>
  </si>
  <si>
    <t>Patricio Calvete</t>
  </si>
  <si>
    <t>…rancisco Ilundáin, D. Florencio Olabé ,&lt;D. Francisco Antonio Asuran D. Tomás Zubiri, D. Pedro Miguel Salvador , Don Prudencio Cortazar , D. Celedonio Gómez , D. Juan Braulio Diaz, D. Patricio Calvete, D. Serafín Zaráquiegui, D. Miguel Senosiain, D. José Echeverría;y D^ Clemente Diez de Tejada: á tenientes de fusileros á . D, VictorianoMangiron, D; Joaquín Mendiando , Don Pedro Oses* D José María Subirán , D. Miguel Tartas , D. Manuel Baztan ¿ D. Agustín O…</t>
  </si>
  <si>
    <t>Calvo, Francisco de Paula</t>
  </si>
  <si>
    <t>Francisco de Paula Calvo</t>
  </si>
  <si>
    <t>…ez de Usieda, 2 id. D. José Correa, 2 id. D. Juan Bautista Zaracondegui, 2 id. D. Francisco Antonio Goitesolo, 2 id. D. Miguel Fernando Ruiz, 2 id. D. Andrés Sánchez Quiros, 2 id. D. Francisco de Paula Calvo, 2 id. D. Pedro Juan de Olasagarri, 2 id. D. Juan Ignaoio de Mndizabal, 2 id. D. Manuel Garrido, 2 id. D. Esteban Cardona, 2 id. D. Nicolás Cameruaga, 2 id. D. Francisco Fernandez Ziesa, 1 id. D. Manuel Barreda, 1 id. D. Alonso Candamo, 1 id. D Benito Cristi,…</t>
  </si>
  <si>
    <t>Calvo, Pedro</t>
  </si>
  <si>
    <t>Pedro Calvo</t>
  </si>
  <si>
    <t>…nido la brigada del primer exército en e ta acción , consiste en un gefe y 4 sol ados muertos, y 8 heridos. El gefe lo era el sargento mayor del regimien to de infantería de Palma D. Pedro Calvo , oficial de crédito en el exército y sensible ru pérdida, según expresa su general. La ele los enemigos consistió en 8 muertos, 10 heridos y 23 prisioneros , in cluso un físico.” El señor duque de Ciudad Rodrigo ha dirigido al señor secretario del despacho d…</t>
  </si>
  <si>
    <t>Calvo, Pedro Vicente</t>
  </si>
  <si>
    <t>Pedro Vicente Calvo</t>
  </si>
  <si>
    <t>…o, Pastor. = Licenciado 1&gt;. Tadeo Ignacio Gil, abogado. = Licenciado, I). Francisco Antonio.AguJló. = $r. D. Josef Miralles, canónigo.-sSr. D. Ramón Cubells. - . ' t Suplentes.A * Sr. D. Pedro Vicente Calvo % presbítero, es El coronel D. Agustín Colomina. = Sr. D. Juan Roca Togores y Juan.sSr. D. Valentín Seoane.</t>
  </si>
  <si>
    <t>Calvo, Rafael</t>
  </si>
  <si>
    <t>Rafael Calvo</t>
  </si>
  <si>
    <t>…fusil; á mis ayudantes de campo el teniente de una de las compañías del regimiento de infantería provincial de Pue bla D. Ramón Poace de León, y el de la misma cíase de ía Corona D. Rafael Calvo, que con el mayor honor, y haciendo un militar desprecio de las bslas comunicaban siempre mis órdín;.s con pronti tud y tino, y se hallaron en el paso dei puente, al siempre intrépi do teniente de Frontera D. José María Novoa, y al valieme alfé rez de la comp…</t>
  </si>
  <si>
    <t>Calzada, Bernardo María de</t>
  </si>
  <si>
    <t>Bernardo María de Calzada</t>
  </si>
  <si>
    <t>…quina á la de las Fuentes, quarto principal, núm. 9, en casa de Domingo Duque. Hermán de Unna: rasgo historial de Alemania, trasladado s la lengua española por el teniente corone! D. Bernardo María de Calzada, individuo de varias sociedndes: dos tomos en 8.° marquida. Se hallarán en el despacho de la imprenta na cional á 32 rs- én. pasta. Qué es Constitución, fin de fiesta que se representó con motivo de la publica ción de ia Constitución en Cartagena el ip de jul…</t>
  </si>
  <si>
    <t>Cam, Juan Llano y</t>
  </si>
  <si>
    <t>Juan Llano y Cam</t>
  </si>
  <si>
    <t>m drall, 2 id. D. Faustino del Campo, 2 id. D. Juan Llano y Cam pos, i id. D. Manuel Antonio del Portillo, 6 id. D. Santiago Rodrí guez, 2 id. D. Francisco Medina, 1 id. D. Martin de Almerza, 5 id. D. José de Aristnendi, 10 id. D. Gerónimo de Urriza, L id. D. To mas Gallegos, 6 id. IL Agustín Caldas, 1 id. D. Blas Camino,…</t>
  </si>
  <si>
    <t>Camac</t>
  </si>
  <si>
    <t>668</t>
  </si>
  <si>
    <t>…dantes generales D. Pasqual Henrile y D. Domingo Martínez y demas oficiales del cuerpo de estado mayor, el coronel B. Raynraldo Maedonali, agregado á mi plana mayor, y el teniente coronel Camac , que piiíe á las órdenes del señor general Latorre , han desempeñado con la mayor actividad y acierto quanto se ha puesto i su cuidado. ,, Mí secretario de campaña el teniente coronel D. Felipe Prados, mi ayudante de-campo el teniente coronel D. Joaquín Mont…</t>
  </si>
  <si>
    <t>Camargo, Juan</t>
  </si>
  <si>
    <t>Juan Camargo</t>
  </si>
  <si>
    <t>…acionales de la di visión de ultramar, se ha servido la Regencia del reyno promover á brigadier y director subinspector al coronel D. José del Pozo y jarqui; á coronel al teniente coronel D. Juan Camargo.; á teniente coronel al sargento mayor de brigada D. Juan Manuel de la Cruz; y á este empleo al capitán D. Manuel de Hita. Por providencia del tribunal del consulado de esta plaza de 27 del corriente, se manda citar y emplazar á los acreedores que se es timen…</t>
  </si>
  <si>
    <t>Cambaceres</t>
  </si>
  <si>
    <t>…donativo considerable en caballos y se junta con frecuencia para deliberar este negocio? dinero para su compra. Mui justo y propio es suponer que las decisiones S. Etna, el señor cardenal Cambaceres, arzobisde ios miembros del consejo no serán movidas por de Rúan, quiso reunir su ofrenda á la de sus Í&gt;ootros motivos que la justicia pública é individual. éligreses y conciudadanos, y envió á Ja secretaría {The Star.) municipal de aquella ciudad la cantidad…</t>
  </si>
  <si>
    <t>Cambiaso, Miguel Angel</t>
  </si>
  <si>
    <t>Miguel Angel Cambiaso</t>
  </si>
  <si>
    <t>Gaceta de Madrid n.º 122</t>
  </si>
  <si>
    <t>436</t>
  </si>
  <si>
    <t>…d. esta se aumenta quando por combinaciones sociales ó políticas recientes nacen ideas nuevas y se admi Genova 1$ de marzo. ten otras reglas; al paso qiíe dan ocasión para re . El Sr. Miguel Angel Cambiaso, antiguo dux de' producir las antiguas. Entonces es quando se hace' Qéuova, miembro del senado conservador, conde indispensable la genuina explicación de la lei para del imperio, comandante de la legión de Honor, no viciarla con interpretaciones falsas, y fix…</t>
  </si>
  <si>
    <t>Cambra, Salvador</t>
  </si>
  <si>
    <t>Salvador Cambra</t>
  </si>
  <si>
    <t>…dias, contados desde el ai Para el de Genoves , vacante por muerte de del corriente, unas casas sitas en la calle de las Hileras, número 12, manzana 390, que tienen de sitio 4748£D. Salvador Cambra, á D. Josef Miguel, presbítero. pies quadrados superficiales, con diferentes habitacio Para el de Sella, vacante por fallecimiento de nes, tasadas en 210311 rs. vn. Quien quisiere hacerD. Josef Martínez, á D. Tirso Gil, cura de Novele. postura acuda ante S. S…</t>
  </si>
  <si>
    <t>Camden</t>
  </si>
  <si>
    <t>222</t>
  </si>
  <si>
    <t>…or pre mio de sus servicios en Lutzen. Al mismo tiempo recibieron las condecora ciones de la orden de Sta. Ana el capitán James, ayudante de campo de sir C. Stewart, y sobrino del lord Camden, el barón ruso Brinken, y el capitán de artillería Carlos, ayudante de campo de sir Roberto Wilson. Ha sido apresado en la costa de Francia un navio, por el qual sabe. mos, asi como por otros conductos, que los pueblos de Boloña, Calais y Dunquerque están tan…</t>
  </si>
  <si>
    <t>Cameron</t>
  </si>
  <si>
    <t>…ortugués, al mando del mayor Snodgrass, de igual número, mandados por , el teniente corone) Mac Neandel 5.0 de cazadores, y sostenida por el 9.0 re gimiento, al mando del teniente coronel Cameron. El total de tropas em pleadas en este servicio estaban baxo el mando del mayor general Oswald. A las 10 de la mañana empezó la coluna izquierda el ataque sobre el convento, mientras que la derecha pasaba por cerca del rio. Se dieron dos ataques con tal vigor…</t>
  </si>
  <si>
    <t>…istinguida bizarría del teniente coronel Barnes en el afortunado asalto dé la cortina con el valiente batallón de Reales es coceses, y también de la conducta exemplar del teniente coronel Cameron del 3 ri3. de infantería, y el teniente coronel Miles del 38 de infantería y y de todos los oficiales y soldados empleados, y se confiesa particularmente obligado al celo, inteligencia é intrepidez del mayor de brigada Tailor y del capitán Stewart de reales e…</t>
  </si>
  <si>
    <t>…ombres de los capitanes Morrión, Po ver y Parker, que han estado cons tantemente'en ks baterías de brecha y mandando compañías. -«Permítame V. S repetir mis anteriores elogios dei capitán Cameron , del noveno de infantería, que voluntariamente se encargó del mando det ataque de la isla, y que se conduxo con tanto acier to en esta ocasión , y mientras que obtuvo aquel mando.” Convenio propuesto para la capitulación dei castillo de la Mota de S. Sebasti…</t>
  </si>
  <si>
    <t>Cameron, H.</t>
  </si>
  <si>
    <t>H. Cameron</t>
  </si>
  <si>
    <t>…na , y que sobre ella hiciese nuestra tropa un estable demiento,lo que sé efectuó en Id noche del 26 , quedando prisionero de guerra $1 destacamento enemigo que allí había. u »»El capitán H. Cameron , dél regimiento ' 9, mandó el. destaca mento que tomó la expresada isla; y ei teniente general Sir Tomás Graham aplaude particularmente su conducta, y la del capitán del real cuerpo dé ingenieros Henderson. ‘ ** El honorable teniente de 1.a marina real James…</t>
  </si>
  <si>
    <t>Cameruaga, Nicolás</t>
  </si>
  <si>
    <t>Nicolás Cameruaga</t>
  </si>
  <si>
    <t>…Sánchez Quiros, 2 id. D. Francisco de Paula Calvo, 2 id. D. Pedro Juan de Olasagarri, 2 id. D. Juan Ignaoio de Mndizabal, 2 id. D. Manuel Garrido, 2 id. D. Esteban Cardona, 2 id. D. Nicolás Cameruaga, 2 id. D. Francisco Fernandez Ziesa, 1 id. D. Manuel Barreda, 1 id. D. Alonso Candamo, 1 id. D Benito Cristi, 1 id. T). José de San Martin y Blanco , l id D~ Martin Cortiguera, 1 id. D. Manuel López Díaz, 1 id. D. D amingo Ximenez, i id. D. Boni facio Vivanco…</t>
  </si>
  <si>
    <t>Camilo, Manuel</t>
  </si>
  <si>
    <t>Manuel Camilo</t>
  </si>
  <si>
    <t>230</t>
  </si>
  <si>
    <t>…licitaciones d d ayuntamiento de Toro y del cabildo eclesiástico de Granada. — El 23 se presen taron los testimonios de híiber jurado los dos oficiales de la secreta ría de Córtes D. Manuel Camilo y D. Baltasar Santos Maldonado, y se leyó la felicitación de la universidad de Granada. —El 24 se dió cuenta de las felicite clones del ayuntamiento constitucional de Andujar, y de los vecinos do G-jon D. José Atvaroz Jove , mayor y menor, quienes, al publicar la constitución en aquella "v…</t>
  </si>
  <si>
    <t>Camiña, Juan</t>
  </si>
  <si>
    <t>Juan Camiña</t>
  </si>
  <si>
    <t>…s auditor general de guerra D. Manuel Santurio, el secretario de S. E., los individuos del ílutre ayuntamiento constitucional D. An gel de la Riba y D. Julián Suarez , y el médico D. Juan Camiña; recorrió detenidamente todas las piezas de tan inmunda zahúrda, re cogiendo los memoriales que le presentaron ios infelices presos, dán doles las mas seguras esperanzas de alivio en cuanto sea compatible con la ju ticia de sus causas, cue ofreció elevar á S.…</t>
  </si>
  <si>
    <t>Camino, Alberto</t>
  </si>
  <si>
    <t>Alberto Camino</t>
  </si>
  <si>
    <t>…rancisco Ambrosi, 1 id¿ La archicofradíade Ntra, Sra. del Rosario, 10 id. D. Gregorio Lamas, 12 id. Son 379 hambres á razón de 192 ps. fs. al año por cada uno. Hacen 72768 ps. fs —D. Alberto Camino , al mes 8 ps. por ua sño, 96. D. Bero?rd no G rdíl-o, id. por 4,4S. D. Cayetano D lis y Rubio, id..por 4 48 D Domingo I*erez, id. por 10, 120. D. Femando Ma ría Gómez, id. por 8, 96. D. Francisco García Carriaga, id. por 2,</t>
  </si>
  <si>
    <t>Camino, Blas</t>
  </si>
  <si>
    <t>Blas Camino</t>
  </si>
  <si>
    <t>…rí guez, 2 id. D. Francisco Medina, 1 id. D. Martin de Almerza, 5 id. D. José de Aristnendi, 10 id. D. Gerónimo de Urriza, L id. D. To mas Gallegos, 6 id. IL Agustín Caldas, 1 id. D. Blas Camino, 1 id. D. Domingo Urquijo, 1 id. D. Francisco Falconi, I id. D. Francis co de Sagastaveitía„ id. D Francisco Valles, 2 id D. Francisco Ba llesteros, 1 id. D. Gregorio Fernandez* 1 id D. Julián García Mon_terroso, 1 id. D. Julián Perez, 2 id. D. Lorenzo de Arg…</t>
  </si>
  <si>
    <t>Camón, Manuel</t>
  </si>
  <si>
    <t>Manuel Camón</t>
  </si>
  <si>
    <t>510</t>
  </si>
  <si>
    <t>…fianza, ha hecho servicios muy importantes en la acción Ny reti rada, habiendo sido agregado igualmente á mi ayudante de órde nes. JEi tesorero áe la real casa de moneda de Potosí D. Manuel Camón faé mi compañero en la acción, corriendo todos los ries gos , y su actividad, talento y decisión me ha sido de mucho alivio en el viage, igualmente que la del comisario de guerra D. Tomas de Candan o , que cada ¿ia se hace mas recomendable por su acti vidad y…</t>
  </si>
  <si>
    <t>Camp, Fítz Roy Semerset y</t>
  </si>
  <si>
    <t>Fítz Roy Semerset y Camp</t>
  </si>
  <si>
    <t>…estoi obligado al ay udante general en segundo lord Aylerm , y á los clicl'.let de su departamento y los del quartel maestre gene ra! , c&lt; ino a imismo á los tenientes core neles lord Fítz Roy Semerset y Camp bell y demas clicdales adictos á mi persona, y al teniente coronel sir Ricar do Fie her, y los oficiales del real cuerpo de ingenieros de su cai go. A. í&gt;. el con nel príncipe heredero de Granee ha estado en Ja hataha en la clase de edecán rnio, y se ha ccrdu…</t>
  </si>
  <si>
    <t>Campa, Mantel.Suanez</t>
  </si>
  <si>
    <t>Mantel.Suanez Campa</t>
  </si>
  <si>
    <t>…D. Mateo Torralba, D.. Tomas Caneja-y.D. Antonio; Fernandez^ capitanes los dos primeros, y tenientes los segundos del.propio cuerpo ; Dou Andrés González, teniente del de Oviedo; D. Mantel.Suanez Campa, ca pitán de-la compañía de obreros; D.. Ramón L.Qza6b,; D. Juan:Ruvi, Don Josef íOronqz , capitanes, D. .Felipeí»Riá&gt;alcabai,5iftefiiente * y Di Leonardo Gtícefu ,. subveniente delipriníeío-CiánÜbro,? y/Dt’ Joaquín capira-n dé tiradores de Cantabria. .«&gt;h: .…</t>
  </si>
  <si>
    <t>Campa, Manuel Suarez</t>
  </si>
  <si>
    <t>Manuel Suarez Campa</t>
  </si>
  <si>
    <t>…ne, D. Mateo Torraiba, D. Tomas Caneja y D. Antonio Fernandez, capitanes los dos primeros , y tenientes los segundos del propio cuerpo; D. Andrés González, teniente del de Oviedo; Don Manuel Suarez Campa , capitán de la compañía de obreros; D. Ra món Lozano, D. Juan Ruvi, D. José Oronoz , capitanes, D. Felipe Ruvalcab3, teniente, y D. Leonardo Cotera, subteniente del prime ro cántabro, y D. Joaquín Díaz, capitán de tiradores de Cantabria. Los heridos son: D.…</t>
  </si>
  <si>
    <t>Campbed</t>
  </si>
  <si>
    <t>467</t>
  </si>
  <si>
    <t>…al sab r la muerte de este valiente oficial, herido de un balazo al avanzar conmigo des de la playa después de desembarcadas las tropas. En la acción se ha distinguido también el teniente Campbed; pero sobre todo se hizo digna de admiración la conducta dei teniente liante, estimu lando con su exemplo á los marineros y soldados. „E1 coronel Robinson dirigió el desembarco con suma actividad. Se han distinguido también los oficialas Mnallo , Imbcrt, Pate…</t>
  </si>
  <si>
    <t>Campbeíl</t>
  </si>
  <si>
    <t>…d^ " las aitúras á, su izquierda, y por otra part&lt;j fuegos de |as alturas de su derecha que ocupaban; las tropas de la izcjmqrd^ ide ia quarta división y la brigada portuguesa del general Campbeíl, recha-</t>
  </si>
  <si>
    <t>Campbell</t>
  </si>
  <si>
    <t>344</t>
  </si>
  <si>
    <t>…como 600 infantes y 150 cabillos. Mandé entonces á Monet se retirase lentamente sobre Concentayna, con la esperanza de sacar al enemigo de su posición : despuea hice adelantar al coronel Campbell con las cinco compañías de su regimiento en columna cerrada, y una de las plecas de artillería de montaña al mando del capit&amp;n Arabin. Los cazadores de Olivencia con alguna infantería ligera marcharon por el flanco derecho sigaien • do el camino dé Maro, y oc…</t>
  </si>
  <si>
    <t>Gaceta de Madrid n.º 135</t>
  </si>
  <si>
    <t>…trozo de la primera división, escalaba las alturas; se descubrió el plan sin que sospechasen nada. De- los regimientos 114.°, i2t."y 3." ligero hicieron vol bian pasar revista del general Campbell, y en me ver la espalda al enemigo por todas partes en esta dio de ella acudieron apresuradamente-al campo del jornada, y su artillería quedó en vuestro poder. exercicio dos esquadrones del 2o.0 Se mandó á En Castalia, reunido todo el exéreito . rtemiyo 105 i…</t>
  </si>
  <si>
    <t>…s alturas ocupadas por la cuarta división , siéndonos favora ble en todas partes, excepto en el punto en que estaba un batallón del re gimiento portugués núm. 10 de la brigada del general Campbell : no pu* diendo este batallón resistir la superioridad de fuerzas con que fué ata cado , se vió en la necesidad de ceder; lo que dio lugar á que el ene migo se estableciese en nuestra línea inmediatamente sobre la derecha de la brigada del general Ross , que…</t>
  </si>
  <si>
    <t>…n el resto de la segunda división británica y la portuguesa del man do del conde de Amarante , de la cual se hallaba destacada en los Alduides, territorio francés , la brigada del general Campbell. La división ligera y séptima inglesas ocupaban las alturas de Santa Bárbara, la villa de Vera y el puerto de Erhalar, conservando la comunicación con el valle de Bastan. La sexta división formaba la reserva de estas tropas en S. Esteban. El general Longa con…</t>
  </si>
  <si>
    <t>…y se extendía hasta las alturas déla parte de allá de Gonaiz ; la izquierda que consistía ds la cuarta división , de la brigada del mariscal de campo Wing y de la portugue sa deí brigadier Campbell, en las alturas en frente de Villaba , apoyando su izquierda á una capilla que está á la espalda de Sorauren, por cuyo pue blo pa?a el camino real de Ostiz á Pamplona; y su derecha en otra altura, que defendía el camino real de Zuviri y üoncesvalles. La divis…</t>
  </si>
  <si>
    <t>…general Sir Lowry Colé por lo bien que dirigió las operaciones de esta división; lo estoy igualmente al mariscal de campo Ros ; á los de igual clase Anson y Bing , y al brigadier general Campbell al servicio portugués : todos los gefes y oficiales de los regimien tos se distinguieron por su bizarría; pero noté particularmente la del te niente earonel O-Tóole, del regimiento mím. 7 de cazadores en la carga a' la bayoneta sobre nuestra izquierda el dia…</t>
  </si>
  <si>
    <t>…Murray , y el de la mismaclase y ayudante general Pakenhan , como también los oficiales de ,spg respectivos departamentos,. igualmente que el lord Fitz Roy Somerset, el' teniente coronel Campbell y los oficiales adictos á mi persona. ,, Remito á V E. este pliego por el coronel ayudante de estado mayor D. Gaspar de Goycoechea , y recomiendo 4 este oficial á da protección de V. E. — Dios guaide á V. E. muchos años. San Estéban l.° de Agosto de 1*313. Wt…</t>
  </si>
  <si>
    <t>340</t>
  </si>
  <si>
    <t>…s alturas ocupadas por la quarta división, siéndonos favorable en todas partes, excepto en el punto en que estaba un batallón del regimiento portugués numero io.°de la brigada del general Campbell: no pudiendo este batallón resistir la superioridad de fuerzas con que fue atacado, se vio en la necesidad de ceder; lo que.dió lugar á que el enemigo sfe estableciese ea nuestra línea inmediatamente sobre la derecha de la brigada del general Ross, que se vio…</t>
  </si>
  <si>
    <t>…general sir Lowry Colé por lo bien quéjdirigió las operaciones de esta división; lo estoi igualmente al mariscal de caqopo Ross ; á los de igual clase Anson y Wing, y al brigadier general Campbell al servicio portugués: todos los gefes y oficiales de Tos regimien tos se distinguieron por su bizarría; pero noté particularmente la del tenien* te coronel O-Toole, del regimiento núm. 7.* de cazadores, en la carga á la bayoneta sobre nuestra izquierda el di…</t>
  </si>
  <si>
    <t>…Miirray, y él dé la misma clase y ayudante general Pákénham¿ como tam bién los oficiales de sus respectivos departamentos', igualmente qué el lord1 Ehz Roy Spmerset j el teniente coronel Campbell y los oficiales adictos á’; &lt; /i*-:::» (mi persona. • ;í ; ,, Remito á V\ E. este pliego por el coronel ayudante !de estado mayor D. Gaspar dé Goicoecheá ,r y recomiendo á este oficial á íá protección de V. E.rsDios guarde á V. E. muchos años. San Estéban i.°…</t>
  </si>
  <si>
    <t>…y se extendía hasta las alturas de la parte de allá de Gojiaiz; la izquierda, que consistía de ia quarta división, de la brigada del mariscal de campo Wing y de la portuguesa del brigadier Campbell , en las al turas enfrente de Villaba, apoyando su izquierda en una capilla que está;a la espalda de Sorauren, por cuyo pueblo pasa el camino real de Ostiz á Pamplona ; y su derecha en otra altura qpe defendía el camino.real de Zu~ viri y Róncesvalles. La div…</t>
  </si>
  <si>
    <t>…os regimientos del Príncipe y el de mi cargo , cuya dirección se lia servido V. E. confiarme, han llenado su deber en la po sición que ocuparon los dias 27 y 28 de orden del señor general Campbell del exército aliado, sosteniéndola ámbos cuerpos contra</t>
  </si>
  <si>
    <t>…s y tropa de los mismos , y en particular la del capitán de granaderos del regimiento de Pravia, que con su compañía, la de cazadores y dos portuguesas fué desti nado por el mismo señor Campbell en diferentes posiciones. Dios guarde á V. E. machos años. Alturas de Arri 29 de Julio de 1813 = Exento. Sr* ~ Francisco Moreda. = Excmo. Sr. conde de laBisbal.’* Tercero. «A las 8 de la mañana salieron de la plaza 400 infantes enemi gos y 30 caballos; la imp…</t>
  </si>
  <si>
    <t>*14^ cuando fui á Roncesvalles el i.° de este mes, previne al brigadier Campbell que procurase tomar los piquetes que el enemigo tenia á su frente, los que atacó aquella noche con las tropas portuguesas de su mando, haciendo prisionero á una de 70 hombres, y tomando por asalto un puesto fortificado sobre la montaña de Ardía, cuya guarnici…</t>
  </si>
  <si>
    <t>…les y oficiales de estado mayor á sus ordeñes. -¡ s i : ,, Omití en mi oficio de 4 del corriente dar á V. E. parte cíe qüe.quan*do fui á Roncesvalles el i.° de este mes previne al brigadier Campbell que procurase tomar los piquetes que el enemigo tenia á su frente, los que ata-?có aquella noche con las tropas portuguesas de su mando, haciendo prisio nero á uno de 70 hombres, y tomando por asalto un puesto fortificado so</t>
  </si>
  <si>
    <t>Campbell, C.</t>
  </si>
  <si>
    <t>C. Campbell</t>
  </si>
  <si>
    <t>3iS tonio Vicente de Quirós al servicio de Portugal (gravemente heridos), y al teniente coronel C. Campbell det 9.0 de infantería. No puedo concluir est;a relación sin expresar mí completa satisfacción respecto á todos los oficiales y soldados de la artillería real, de las quatro piezas de batir que se emplearon por tres días contra el convento y en la margen opues…</t>
  </si>
  <si>
    <t>Campbell, Fitz Roy Somerset y</t>
  </si>
  <si>
    <t>Fitz Roy Somerset y Campbell</t>
  </si>
  <si>
    <t>…m bién estoy obligado al ayudqnte general en segundo lord Aylerm, y á los oficiales de su departamento, y los del cuartel maestre gene ral, como asimismo á los tenientes coroneles lord Fitz Roy Somerset y Campbell, y demás oficiales adictos á mi persona, y al tenien te coronel Sir Ricardo Elcher, y los oficiales del real cuerpo de in genieros de su cargo. „S. A. S. el coronel , príncipe heredero de Orange , ha esrado en la batalla en la clase de edecán mió, y se ha con…</t>
  </si>
  <si>
    <t>Campillo, Juan López</t>
  </si>
  <si>
    <t>Juan López Campillo</t>
  </si>
  <si>
    <t>147</t>
  </si>
  <si>
    <t>…rde á Y. S. muchos años. Exea de los Caballeros 11 de Noviembre de 1812.— Manuel Garrea, — Sr. D. Francisco Espoz y Mina.” (Se continuará.J f Coruña 16 de Enero de 1813. Parte del coronel D. Juan López Campillo, comandante del segundo batallón de tiradores de Cantabria , dirigido al general en gefe del séptimo exército. ,,Excmo Sr.: Di ayer parte á Y. E. de que los enemigos habían salido á reconocer la antigua posición que mi compañía ocupaba en el arenal , cuando e…</t>
  </si>
  <si>
    <t>Campo, Faustino del</t>
  </si>
  <si>
    <t>Faustino del Campo</t>
  </si>
  <si>
    <t>m drall, 2 id. D. Faustino del Campo, 2 id. D. Juan Llano y Cam pos, i id. D. Manuel Antonio del Portillo, 6 id. D. Santiago Rodrí guez, 2 id. D. Francisco Medina, 1 id. D. Martin de Almerza, 5 id. D. José de Aristnendi, 10 id. D. Gerónimo de Urriza, L id. D. To mas Gallegos, 6 id. IL Agustín Ca…</t>
  </si>
  <si>
    <t>Campo, Juan Antonio</t>
  </si>
  <si>
    <t>Juan Antonio Campo</t>
  </si>
  <si>
    <t>…ficial y 59 soldados muertos./Un gefe, 11 oficiales y 336 soldados heridosí 2.2 ídem contusos. Total*un ¿efe ,‘12 oficiales’, 417 soldados. El oficial .muerto lo es el subteniente D. Juan Antonio Campo?, del se gundó" de Sevilla: lo«í heridos lo son, gravemente el sargento mayor de Pravia.D. Francisco Cabrera; el segundo teniente D. Juan Ignacio Alava, y los alféreces .D. Lorenzo Somera y D. Josef de las Cuevas, del segundo bata llón de,guardias Españolas;…</t>
  </si>
  <si>
    <t>Campo, Juan M-io.uel</t>
  </si>
  <si>
    <t>Juan M-io.uel Campo</t>
  </si>
  <si>
    <t>…id. por 4, 48. D. Faustino López, id. por 12, 144 D. Francisco Al Tares Calle* .ron, id. por 8, 9#. D. Ambrosio A!bajar, id. p rS, 96 D. Francia©o Antonia Iharbia, id. pnr'S , §S. D. Juan M-io.uel Campo blanca, id. por 8,96. D. Mateo Gona z, id. por 8, 96, O. Rain .ai Qrtiz , id. por 8,96 D. Francisco Nnñez G tgo , id. p ,r 8, 96. D. Manuel Pri mo,.id. p#r 8, 96. D. Juan José Rabio, id. por 4, 48. D Jaan Bau tista Visa», id. por 4,48. O. J.: ss Ganó, id. por…</t>
  </si>
  <si>
    <t>Campo, Nicolás</t>
  </si>
  <si>
    <t>Nicolás Campo</t>
  </si>
  <si>
    <t>…s tinados á aquél individuo de cada cíase que los examinadores habían1 considerado mas acreedor, y distribuyó por su mano del ntodo si guiente: á los cadetes D. Gregorio Brochero, D. Nicolás Campo,* D. Diego María Calatrava, D. José Valdemoros , D. Pascual de la Puente, D. Juan de Morales, D. Agustín Gamboa, D. José Rayo y Cortés, D. Antonio González y D. Pedro Abello, un exemplar á cada uno de un tratado de trigonometría y geometría práctica poj* su a…</t>
  </si>
  <si>
    <t>Campomanes, Domingo Fernandez</t>
  </si>
  <si>
    <t>Domingo Fernandez Campomanes</t>
  </si>
  <si>
    <t>…zan y D. Juan Josef de Ojanguren; por la de S. Lorenzo D. Miguel de* Áxpe y D. Vicente Montene gro; por la de S. Miguel y S. Justo L&gt;. Manuel Segundo Martínez; per la de S. Andrés D. Domingo Fernandez Campomanes y D. Fermín Rodrí guez; por la de S. Pedro D? Josef Teodoro Santos; por la de S. Josef D. Santiago Gutiérrez de Arinterof y marques de Castrefíuerte; por la de S. Míllan D. León de Ja , Cámara Cano, D: Antonio Marte 1 y D. Josef Martínez Moscoso; por lá de S. Salvador D:/Juan'…</t>
  </si>
  <si>
    <t>Campos, Andrés</t>
  </si>
  <si>
    <t>Andrés Campos</t>
  </si>
  <si>
    <t>…s fundones de la sala de alcaldes y junta te, y es la postrera felicidad que gozamos en el criminal de esta corte á D. Miguel Tenorio, Don postrer instan re.” Pablo Pérez Seoanes, D. Andrés Campos v Don „¡ Infortunado! ¡Oxalá que esta tierna verdad, Francisco Fernandez; y de conferir por ahor.; el revestida de los encantos de tu estilo, haya substi encargo del juzgado de primera instancia de Segotuido quando espiraste Jas ideas siniestras de tu ais via…</t>
  </si>
  <si>
    <t>Campredon</t>
  </si>
  <si>
    <t>…Dufresse y al de órdenes á ios generales de división Hcudelet y ingenieros Chamberlhac. Grandjean, al general de caballería Cavaignac, al Cusiría, guarnecida con 3©'hombres, y man general Campredon, comandante de ingenieros, y dada por el general Fornier de Alba. al general Lepiu, comandante de la artillería, se G/ogau, mandada por el general Laplane y el mantiene en la plaza de Dantzick con una guarni de ingenieros Dode, y defendida por 60 hombres. ció…</t>
  </si>
  <si>
    <t>Camps</t>
  </si>
  <si>
    <t>…comitiva al feld 'mariscal conde Steáinck, ai teniente gobernador príncipe Putbos, al canciller de la corte barón Wetterstedt, al chambelán del gabinete conde Brahe , al teniente coronel Camps, y á los barones Stiercona &gt; Essen Scc. £1 general barón Adlercreutz ha tomado el mando en ge fe del exército sueco durante la ausencia del Príncipe real. £1 general ruso barón de Suchtelen y el ministro ingles Thoratoa han acompañado también á S. A. R. Gotte…</t>
  </si>
  <si>
    <t>Can</t>
  </si>
  <si>
    <t>…ca Ardaiz, D. José Díaz, D Antonio Abadía, D. Nicolás Soriano, D. Bernardo Moliner, D. Manuel Llera, D. José Perulan, D. Ray» mundo Marqués, D. José Gorriz, D. Dionisio Fonolitas, D. Can» dido Zunzarren * D. M:guel Quartero , D. Juan Urzaniqui, D. Ruerto Rajum, D. Manuel López, D. Agustín Munarriz, D. Juan Sliutista fnd'.iusti, D. Pedio López de Baylo, D. José García, D. Andrés Diaz y D. Félix Quitarte. Igualmente se ha servido S. A. promover…</t>
  </si>
  <si>
    <t>Can, Antoiqa</t>
  </si>
  <si>
    <t>Antoiqa Can</t>
  </si>
  <si>
    <t>….VTllafra^ca a ia. ori-11a dei.Nive,. y la izquierda sobre el A dour. £1 duquede Ciudad-Rodrigo, &gt; « • ■ * # 1 ■ ■ Ü ' . 1 f . (j) La c9ltma.de caradores, mandada por, el coronel. D. Antoiqa Can©, y..la jsrirqepi brigada., mandada .jipr„,el brigadier Cebrian, de já división Aíprplo, ee »i&gt; .jejaróú decididamente al agua, sín que el fuego'de los enemigos fas-,petturhase un momento en la.marcha acelerada con que pasabánel rio, ni pudiese 'desordenar su…</t>
  </si>
  <si>
    <t>Can, José de</t>
  </si>
  <si>
    <t>José de Can</t>
  </si>
  <si>
    <t>13* de Roo, al subteniente de las expresadas milicias D. José de Can* gas, sargento primero veterano D. Pedro Lalinde, y cadetes D Jo sé Pirele y D, Francisco Farias; y compañ a y tenencia de milicia* disciplinadas al capitán y teniente de caballería de paisanos D Juan Roxas y D. Antonio Moro; gracia de sargentos primeros de m…</t>
  </si>
  <si>
    <t>Can, Miguel</t>
  </si>
  <si>
    <t>Miguel Can</t>
  </si>
  <si>
    <t>98</t>
  </si>
  <si>
    <t>98 el brigadier Ramírez dispersó tin cuerpo de 400 cabillos en su situa ción, y el coronel D. Mariano Peralta y el c&amp;piian de mi guardia D. Miguel Can zas pusieron eu fuga á cuantos se presentaron á mi izquierda. ,,Hasta aquí obró el valor y pericia, á que siguió el furor de la venganza: como torrentes entraron las divisiones enfurecidas en la despoblada ciudad, que la noche ántes había sido saqueada por la…</t>
  </si>
  <si>
    <t>Caña, Jdsef</t>
  </si>
  <si>
    <t>Jdsef Caña</t>
  </si>
  <si>
    <t>…l Mana Saliquet, ídem del de cazadores ; D..Pedro S.olis y D. Juan Martínez, subtenientes de granaderos,; D. Josef Heros» ídem,de ca zadores; D. Esteban Islafoyo, D. Josef Tejada, D. Jdsef Caña y.D. Fran cisco Vargas, subteniente del segundo de Asturias; I&gt;. Josef Rico, capi tán, y D. Juan de Odoqui, teniente del de Guadalaxara; D. Juan Loarte* coronel; D. Antonio Villegas y D. Antonio Martínez, tenientes; D. Luis •Alcalá, subteniente del de la Cons…</t>
  </si>
  <si>
    <t>Canales, Benito</t>
  </si>
  <si>
    <t>Benito Canales</t>
  </si>
  <si>
    <t>…ros nombrada al efecto, se ha servido promover á subtenientes de dicho cuerpo de ingenieros de los exércitos nacionales, plazas y fronteras ,á f), Joa quín Junoy , D. José Otero , D. Benito Canales , D. Tomas Cortés, D. Francisco Melero, D. Tomas Bao darán, D. Epifanio Esteban, D. Temas Terreiro, D. Manuel Ubiña, D. Juan Jaldon , D. Alexandro Buitrón , D. Gabriel Lobo , D. Femando Castro, D. Juan Areliano y D. Antonio Matamoros. También han sido examina…</t>
  </si>
  <si>
    <t>Cancio, Pedro</t>
  </si>
  <si>
    <t>Pedro Cancio</t>
  </si>
  <si>
    <t>…o primero. D. Felipe Guelves, substituto segundo. D. Josef Domínguez, alcalde. D. Manuel de Cereceda , substituto primero. Barrio de Afligidos. D. Josef Vidal, substituto segundo. D. Pedro Cancio, a!calde. Barrio del Ave María. D. Andrés Aros, sub-tituto primero. D. Antonio Arnesto, alcalde. D. Santos Antolin , substituto stgundo. D. Josef Rodas, substituto primero. Barrio de S. Marcos. D. Ventura González , substituto iegundo. D. Francisco Tellez, al…</t>
  </si>
  <si>
    <t>Candamo, Alonso</t>
  </si>
  <si>
    <t>Alonso Candamo</t>
  </si>
  <si>
    <t>…id. D. Juan Ignaoio de Mndizabal, 2 id. D. Manuel Garrido, 2 id. D. Esteban Cardona, 2 id. D. Nicolás Cameruaga, 2 id. D. Francisco Fernandez Ziesa, 1 id. D. Manuel Barreda, 1 id. D. Alonso Candamo, 1 id. D Benito Cristi, 1 id. T). José de San Martin y Blanco , l id D~ Martin Cortiguera, 1 id. D. Manuel López Díaz, 1 id. D. D amingo Ximenez, i id. D. Boni facio Vivanco, 1-id. D. José Sarria, 1 id. D. Mariano Sarria, 1 id. D. Juan Antonio Aramburu, 1 id.…</t>
  </si>
  <si>
    <t>Candan, Tomas de</t>
  </si>
  <si>
    <t>Tomas de Candan</t>
  </si>
  <si>
    <t>…faé mi compañero en la acción, corriendo todos los ries gos , y su actividad, talento y decisión me ha sido de mucho alivio en el viage, igualmente que la del comisario de guerra D. Tomas de Candan o , que cada ¿ia se hace mas recomendable por su acti vidad y constancia. ?,La columna de vanguardia no pudo en la acción demostrar su mérito ; pero así á la ida , como en nuestra penosa retirada, se ha hecho acreedora á la mayor consideración. El coronel D.…</t>
  </si>
  <si>
    <t>Cañedo, Josef</t>
  </si>
  <si>
    <t>Josef Cañedo</t>
  </si>
  <si>
    <t>…ito Rodríguez,, substituto primero. D. ManueL Casado, substituto segundo. D. Manuel de Castro, substituto segundo. Barrio de Doña María de Aragón. Barrio de las Descalzas Re ates. D. Josef Cañedo, alcalde. D. Fr..neÍsco de 1 ruegas, alcalde. D. Félix Bener, substituto primero. D. Francbco L..yin , 'substituto primero. D. Manuel Urbina , substituto segundo. D. Juan Torre , substituto segundo. Barrio de ¡a Encarnación. Barra de les ring. íes D. Ramón Ga…</t>
  </si>
  <si>
    <t>Caneja, Tomas</t>
  </si>
  <si>
    <t>Tomas Caneja</t>
  </si>
  <si>
    <t>…, capitán del de la Constitución; D Manuel Pardo, subteniente del de la Corona; D . Fernando Miranda, coronel del de voluntarios de Asturias; D. Pedro Albuerne, D. Mateo Torraiba, D. Tomas Caneja y D. Antonio Fernandez, capitanes los dos primeros , y tenientes los segundos del propio cuerpo; D. Andrés González, teniente del de Oviedo; Don Manuel Suarez Campa , capitán de la compañía de obreros; D. Ra món Lozano, D. Juan Ruvi, D. José Oronoz , capitanes, D. Felipe Ruvalcab3,…</t>
  </si>
  <si>
    <t>Cañete, Pedro Vicente</t>
  </si>
  <si>
    <t>Pedro Vicente Cañete</t>
  </si>
  <si>
    <t>…tiago y Con Pedro Barreda son dignos de elogio ; el diputado en Corees de la Plata D. Mariano Rodríguez Olmedo, prebendado de aquella igle sia, mi auditor conde de Valle-hermoso y D. Pedro Vicente Cañete, fueron inseparables de mi lado , y en medio de los tiros de la artille ría enemiga se mantuvieron con mucha serenidad: y sin excepción del último tambor del exército son acreedores á los premios que ea relación separada pediré a V. E. hasta la j usía confirm…</t>
  </si>
  <si>
    <t>Cangas, Lorenzo de</t>
  </si>
  <si>
    <t>Lorenzo de Cangas</t>
  </si>
  <si>
    <t>131</t>
  </si>
  <si>
    <t>…erpo de artillería nacional, agregación de teniente en el mismo. Igual agregación de tenientes en el batallón veterano de Maracaybo á sus subter^ ' tes de granade ros y fusileros, D. Lorenzo de Cangas y D. Miguel Delgado , y al te niente del cuerpo de milicias disciplinadas de infamen a de blancas D. Redro Urdaneta: de subtenientes á las sargentos, primeros del propio cuerpo veterano D. José Villamil y D. José Ensebio More no, y ú los cadetes D. Domingo Velarde, D. Juan Orteg…</t>
  </si>
  <si>
    <t>Canningy</t>
  </si>
  <si>
    <t>Gaceta de Madrid n.º 127</t>
  </si>
  <si>
    <t>…el duque de Port- Estado de V. AL" land, el conde de Chatam , el conde de Bathurst, el vizconde Castlereagh , lord Mulgravc , el señor Información sobre ía conducta de la princesa secretario Canningy lord Ilawkesbury, de Gales.* „ Los ministros de V. M. en cumplimiento de Declaración de Carlota lady Douglas. vuestras reales órdenes han examinado coa suma atención las acusaciones, el informe primitivo, las „AIe parece que en el año de i8ot adquirí el decla…</t>
  </si>
  <si>
    <t>Cano</t>
  </si>
  <si>
    <t>553</t>
  </si>
  <si>
    <t>…para rechazar los tiradores enemigos, que ja atacaban nuestras posiciones» y pjgo mas de una hora para que les siguiese el total de sus fuerzas. nfíl coronel Cohibí y el teniente coronel Cano, que mandaban dos porciones de nuestra tropa, maniobraron con acierto, j persi* guúrnn as enemigo hasta que se encerró en Mallen. „ Estos dos ge fes merecen mi recomencíaeien*, como igualmente mis ayudantes González y Al vistor; y no estoy menos obligado al c…</t>
  </si>
  <si>
    <t>Cano, Antonio</t>
  </si>
  <si>
    <t>Antonio Cano</t>
  </si>
  <si>
    <t>…l duque del Ii&gt; Fantado, .residente. = Joaquín de Mosquera y Figueroa. = Juan Vihavicenció. Ignacio Rodríguez de Rivas. = Juan Perez Villamil.— En Cádiz a 14 de octubre de 1812.—A D. Antonio Cano ^lanuei. A la administración general de Rentas y de Bienes nacionales de*miie&amp;go se ha dado aviso de que varias personas con el título de apoderados de conventos suprimidos han solicitado ia posesión de las fincas que antes dis frutaron , y exigido de los arr…</t>
  </si>
  <si>
    <t>Gazeta de la Regencia de las Españas n.º 133</t>
  </si>
  <si>
    <t>…pañas, y en su ausencia y cautividad la Regencia del reyno nombrada por las Cortes generales y extraordinarias : * Atendiendo á que el secretario del despacho de Gracia y Justicia D. Antonio Cano .Manuel queda por ahora suspen so del exercicio de este encargo á consecuencia de la orden de las Cortes de fecha de ayer, he venido en nombrar á D. Manuel Gar cía Herreros para que se encargue interinamente del despacho de la propia secretaría en consideraci…</t>
  </si>
  <si>
    <t>1249</t>
  </si>
  <si>
    <t>…se im prima, publique y circule. zzL. de Sorban, cardenal de Scala, ar zobispo de Toledo, presidente. = Pedro de Agar.zz Gabriel Ciscar. sz En Cádiz á 13 de Setiembre de 1813. = A D. Antonio Cano .ManutL</t>
  </si>
  <si>
    <t>14x8 hallaban en ocas alteras dominantes, basta posesionarse de ellas. La columna cíe cazadores, mandada por el coronel D. Antonio Cano, y la primera brigada, mandada por el brigadier Cebrian, se arroja ron decididamente si agua , sin que el fuego de los enemigos las per turbase un momento en la marcha acelerada con que pasaban el rio, ni pudiese desordenar su formación en columna, á pesar de…</t>
  </si>
  <si>
    <t>Cano, Francisco</t>
  </si>
  <si>
    <t>Francisco Cano</t>
  </si>
  <si>
    <t>…lar satisfacción en manifestar á V. E. que los cuerpos de ia sección han llenado completamente sus deberes, y con particularidad el regimiento de Cariñena, mandad® por su teniente coronel D. Francisco Cano. Este acreditado gefe merece ua concep to distinguido de cuantos kan presenciada su manejo durante la ac ción , y será justo qne fixe la atención de V. E. sobre la conducta de tan benemérito oficial para su satisfacción y conocimiento de la superioridad. ,?De…</t>
  </si>
  <si>
    <t>Cano, Toribio</t>
  </si>
  <si>
    <t>Toribio Cano</t>
  </si>
  <si>
    <t>113</t>
  </si>
  <si>
    <t>113 mente y con. amplitud podrán significarle el Dr. D. Mariano Cente no , el R. P. guardián de S. Francisco Fr. Manuel Cienfuegos y D. Toribio Cano , á quienes diputamos ante V. S. I., y que podrán aer el órgano de nuestra gratitud y sumisión : entre tanto, la. des venturada , la infeliz ciudad de Cochabamba y su provincia recla man con las mas vivas y tiernas emociones toda la piedad y bene ficencia gen…</t>
  </si>
  <si>
    <t>Canoras, José</t>
  </si>
  <si>
    <t>José Canoras</t>
  </si>
  <si>
    <t>…. Matías Alzorr z, D. J uan Ramón Arlegui, D. Bonifacio Jaso, D; Mvouel Sancho, D. Bonifacio Martínez, D. Julián Gofr , D. Justo Taiazona, D. José María Munuce, D. Antonio Longis, D. José Canoras, D Cele Io nio Lerruz, D. Juan Macáya, D, Luis A lamo, D Francisco íturralde, D. Miguel Ube’za , D. Xavier Mariotegni, D Fermín Adrián, D. Francisco Miranda, D. laucas Zubkta, D. Vicente Larraga, D. M ¿mano Onnaeckea, D. Victoriano Iribarren , D. Juan José Te…</t>
  </si>
  <si>
    <t>Canosa, Josef Antonio</t>
  </si>
  <si>
    <t>Josef Antonio Canosa</t>
  </si>
  <si>
    <t>…n de junio de 1813. = Tomas Josef Gon zález Carvajal. Por la audiencia del Sr. D. Francisco de Asín, juez letrado de primera instan cia en Madrid, y por la escribanía de número de D. Josef Antonio Canosa pen den autos por el fallecimiento abintestato de D, Antonio Saenz de Zaldua, de es tado soltero, vecino que fue de esta corte, y natural de la villa de Balgañon, ar- ' zóbispado de Búrgos, hijo legítimo de D. Santiago y Doña Antonia Serrano Ayala, difuntos,…</t>
  </si>
  <si>
    <t>…n el despacho de la misma imprenta desde el núm. 1.® Por la audiencia del Sr. D. Francisco Asín, juez Letrado de primera instancia en esta villa, y por la escribanía del número de D. Josef Antonio Canosa, se ha llan radicados ios autos de testamentaría formados por fallecimiento de D. Domin go de la Peña y Doña Alexandra Caballero, legítimos consortes, vecinos que fue ron de esta corte, natural el primero de la parroquia de Sta. María de Chabin, en el obispad…</t>
  </si>
  <si>
    <t>Canova</t>
  </si>
  <si>
    <t>…. Nosotros, que nos hallarnos en don Ndpolet marzo.de podemos verlo todo mejor, ño consideramos es ide to mas que de un modo, y es que la gran mayoría Ha llegado á esta capital el caballero Canova, de los habitantes de los Estados-Unidos es contra quien acaba de dar-la última mano á una estatua ria á la Inglaterra, y que aunque parezca esto in eqiiestre de S. M. el Emperador de los franceses. creíble á los que no conozcan perfectamente el es Se dice qu…</t>
  </si>
  <si>
    <t>Cantero, Marías</t>
  </si>
  <si>
    <t>Marías Cantero</t>
  </si>
  <si>
    <t>«Llegué á Mouistíol de Noya, distante solo tm tiro largo de fu sil de las avanzadas enemigas , y dispuse que D. Marías Cantero, sargento mayor del regimiento de Barcelona, atacase con ía compa ñía tle cazadores de su cuerpo, y la del de cazadores de Cataluña, una posición muy ventajosa que ocupaba el enemigo sobre la dere cha de su campamento. El teniente coronel D. Pedro Nolasco Bar…</t>
  </si>
  <si>
    <t>Cantero, Matías</t>
  </si>
  <si>
    <t>Matías Cantero</t>
  </si>
  <si>
    <t>…z que tan justamente tienen acreditada, creo de justicia recomendar á WS. particularmente al coronel D. Jo sé Costa ; al teniente coronel D. Pedro No'asco Ba sa; al sargento mayor D. Matías Cantero, que executaron cada uno escrupulosam.n:e las operaciones que les mandé: á los capitanes D. Juan Pa bia Prast, D. Gaspar Estalella y D. Francisco Maserts; al teniente D. Manuel Herrando y D. José Loscos: los subtenientes D. Alexo Valls y D, Juan Buenaventura…</t>
  </si>
  <si>
    <t>…po han subido hasta tiro de Martorell mas de 2® enemi gos , que no se han resuelto á entrar alli, en vista del fuego que les há hecho el sargento mayor del regimiento de Barcelona D. Matías Cantero con las tres compañías que tenia apostadas en las horcas de Mártorell. . Otra porción de enemigos que estaban en Sta. Coioma ha huido tan precipita4amente, viéndose acometida por mi tropa, que me acaban de*asegu rar se han ahogado muchos al pasar el Llobregat…</t>
  </si>
  <si>
    <t>…iempo han subido hasta tiro de Martorell mas de 2© enemigos, que no se han resuelto entrar allí, envista, del fuego que les ha h¿cJio el sargento mayor del regimiento de Barcelona D. Matías Cantero , coa las, tres compañías que tenia apostadas en. las horcas de Maitorell. »Otra porción de enemigos, qne estaban en Sta. Coloma, ha huido tan, precipitadamente viéndose acometida pt&gt;r mi tropa, que me acaban de asegurar se han ahogado muchos al pasar el Llob…</t>
  </si>
  <si>
    <t>…ueblo , y considerando se .extenderla al- niisrno “ tiempo- por ios del Liobregát a 'exigir "sus enor mes impuestos de granos , mánde ai sargento mayor del regimiento de Barcelona D. Matías Cantero, que con unos 500 hombres* de dicho regimiento de Barcelona-, y del de cazadores de Cataluña , se sitúa*e en la altará llamada las Horcas para disputar él ■ paro á 'ios que intentasen ir á M'aítorell. Al mismo lempo di-puse que el espi tan D. Carlos Vicente ,…</t>
  </si>
  <si>
    <t>…izquierda; que las compañías de cavadoras y granaderos del regimiento de Barcelona se colocasen inmediatas al pueblo por la ' parte opuesta al rio, mandadas por su sargento may*or D. Matías Cantero, para proteger lus compañías que atacaban; y que el sar gento mayor de Fernando Val D. Lázaro Vallejo con su compa ñía de cazadores y la primera de cazadores de Cataluña, se aposta se en la torre Roija para flanquear el pueblo por ia derecha y do-</t>
  </si>
  <si>
    <t>Capaz</t>
  </si>
  <si>
    <t>636 . Adición del Sr. Vilíanueva: que el prelado infractor sea destinado, por seis años á servir en el hospital de un presidio. Aprobada. Ei Sr. Capaz: que sea de Africa. Aprobada. La comisión de Legislación dio su dictamen en apoyo de la proposición hecha por el Sr. Martínez de la Rosa, en la sesión de 2 del corriente, con motivo de la conducta del R. obispo de Astorga, refugiado á Portugal, y diputado ele…</t>
  </si>
  <si>
    <t>…ra la práctica de las mas exquisitas diligencias, y que die se cuenta diaria de lo que adelantase___ Que se conteste, reencargando el mayor zelo en el desempeño de este asunto. £1 señor Capaz: ,,Nadie mas amante que yo de una Constitución que venero, y defenderé con mi espada y con mi sangre; pero el hecho, Señor, es atroz: la soberanía nacional ha sido atropellada en uno de sus mas dignos representantes: amenaza un riesgo á b patria, y Ja Constit…</t>
  </si>
  <si>
    <t>Capmani</t>
  </si>
  <si>
    <t>…la prudencia no permitía se trasladase por ahora el Gobierno á Ma drid, sin perjuicio de declarar que se verificaría al punto que circunstancias favorables lo permitiesen, hizo el señor Capmani una reclamación contra el papel titulado el defensor acérrimo de los derechos, del pueblo, el qual en un párrafo de pocas líneas atentaba (según su señoría) á la libertad de las opiniones de los diputados: hizo con este motivo proposición para que se icmities…</t>
  </si>
  <si>
    <t>Captara</t>
  </si>
  <si>
    <t>…e Estado, cpndv Jenaroli ; el po de excrcito d§í duque de Taranto y las tropas gran chambelán, duque de Litt.a'; el gran escudero, ¡ se le han iqcprpojjúio ocupan todavía las ori- conde Captara el gran juez ministro de la Jus &lt;jei Prcgel. ticia, conde Lnóri i el ministro .de lo Interior, GAVIERA. conde Vaccari ; -el ministro de Hacienda, conde Trina; el ministro de Guerra , conde Fonranelii; el Hurembrrg ty de enera. ministro del Tesoro, conde Barag…</t>
  </si>
  <si>
    <t>Car</t>
  </si>
  <si>
    <t>…ya á luz \ Entre tanto comienza por literaria de Italia por Mr. Ginguené, insertamos presentarnos un qnadro fiel de ¡a epopeya, la qual el juicio que sobre ellos había formado el señor Car debe ocupar el primer lugar entre las producciones</t>
  </si>
  <si>
    <t>…neral en gefe de los exércitos nacionales para reforzar á los generales Colé y Picton unidos, con la mitad de la infantería de este exército, debiéndolo yo ser con la división del general D. Car los España, la cual debía pasar á situarse en Zubiri; y en efecto*, dispuse marchase la segunda y cuarta brigada de infamería, á las ordenes del brigadier Clark, quien lo veriñeó inmediatamente. Ha lló al general Picton unido al general Colé en, Zubiri, y le comu nicó l…</t>
  </si>
  <si>
    <t>Car, Agustín García</t>
  </si>
  <si>
    <t>Agustín García Car</t>
  </si>
  <si>
    <t>…. Josef Ramón Ferradas han llenado‘plenamente mis deseos. ,,'El comandante general de ingenieros mariscal de campo D. Manuel ZappiñQ, el brigadier comandante general de artillería D. Agustín García Car— rasquedo, el coronel mayor general de la misma arma D. Matías Férrea, y</t>
  </si>
  <si>
    <t>Car, Juan del Castillo</t>
  </si>
  <si>
    <t>Juan del Castillo Car</t>
  </si>
  <si>
    <t>…l articulo siguiente: »Rio-Janeyro 25 de Agosto. — Ayer 24 del corrien tes ei príncipe regente nuestro tenor se sirvió admitir á la una de la tarde en primera audiencia publica al Sr. D. Juan del Castillo Car ros que acaba de llegar á esta corte, para residir, cerca de la persona de S. A. R. con ei mismo carácter que tuvo el marques de Casa-Irujo de enviado extraordinario, y ministro plenipotenciario de S. M. C., y en ella presentoen la forma acostumbrada sus cred…</t>
  </si>
  <si>
    <t>Car, Tomas José González</t>
  </si>
  <si>
    <t>Tomas José González Car</t>
  </si>
  <si>
    <t>.prima , publique y circule- zzL. de Barbón, cardeñal de Scala, ar zobispo de Toledo, presidentes Pedro de Agar.zzGabriel Ciscar.zz :£n Cádiz á 15 de Junio de 1813 .^= A D. Tomas José González Car vajal. _ .. . , .... : .V.t .■ Circulares $el ministerio, de Hacienda. Primera. , . Enterada la Regencia de las contestaciones que se han suscitaido entre algunos intendentes de provincia y los de los exércitos de ^operaciones con motivo del conocimiento abso…</t>
  </si>
  <si>
    <t>Cár-</t>
  </si>
  <si>
    <t>…cumplimiento del real art. xiii. Los administradores, contadores y decreto de 20 de julio de 1810. tesoreros principales de Rentas ob errarán en la 12. Los mandados veader por el Sr. D. Cár- administración de este ramo en la correspondencia los iv, nuestro predecesor, pertenecientes á obras- y formación de cuentas las mismas formalidades pías, cofradías, capellanías, memorias ó aniver prescritas para las demas rentas del estado. sarios. art. xiv.…</t>
  </si>
  <si>
    <t>Caracciolo</t>
  </si>
  <si>
    <t>…e Ñapóles (Murat) entrará hoi aqui para continuar su viage hácia el grande exército. Idem del ti. S. M. el Rei de Ñapóles se ha apeado hoi en casa de su embaxador en esta corte el conde Caracciolo. Leipsick 8 de agosto. Se habla mucho de diferentes mutaciones en las respectivas posiciones de ios cuerpos del exército. Idem del /o. El paso de tropas de las oriilas del Rin á Lusacia y Sile sia es mas numeroso que nunca. Los cuerpos de caballería son magní…</t>
  </si>
  <si>
    <t>Carceller, Vicente</t>
  </si>
  <si>
    <t>Vicente Carceller</t>
  </si>
  <si>
    <t>…e Benavites, vacante por promoción Madrid 24 de febrero. de D. Silverio Ramón de Huerta al canonicato de Hecha la oposición á los curatos vacantes en el la catedral de Valencia, á D. Vicente Carceller, arzobispado de Valencia en el concurso celebrado cura de Cotes. en el año pasado de 1812, se ha dignado ei REI nombrar para el curato de la parroquial de Almu- AVISO. safes, vacante por muerte de D. Miguel Martínez, Por providencia del Sr. D. Domingo de Jáur…</t>
  </si>
  <si>
    <t>Cárde, Antonio María</t>
  </si>
  <si>
    <t>Antonio María Cárde</t>
  </si>
  <si>
    <t>…1237741 15 de 300 pesos. De 150 jm. de Enero de 1808. 3. ¿ 273756 277696 280880 D. Juan Dges.. 2. . 290656 293331 .... D. José Lacroust. 2. . 255003 298765 .... D. Matías Bayo. S D. Antonio María Cárde1. . 295988 . . . . • • • • s4 ñas.</t>
  </si>
  <si>
    <t>Cárde-, Antonio María</t>
  </si>
  <si>
    <t>Antonio María Cárde-</t>
  </si>
  <si>
    <t>…con que Sugetos á quienes estasa N.° de vales. van señalados. renovados. De 600 ps. de Setiembre de 1808. r 246 2626 41841 411 2700 4583 494 2737 4643 555 2983 4821 801 2996 4873 D. Antonio María Cárde- 29. . 1969 2997 4874 ñas. 2244 2998 5691 2281 3228 6053 2403 3299 7229 W 884 8263 4 vales i 3761 6116 8340 &gt; Tesorero mayor. dinero.j 12246 1 • m * 6004 A dicho. {: 1312 3127 5296] 7. . ► 1697 4299 5588!*D. José Rodas. 6157 93 de 600 pesos. De 300 ps. de Seti…</t>
  </si>
  <si>
    <t>Cardell</t>
  </si>
  <si>
    <t>…loca das al frente de aquella aldea, el Príncipe Bernadotte envió algunos bata llones auxiliados de artillería á reforzar los puestos avanzados, disponiendo al mismo tiempo que el coronel Cardell avanzase con un batallón de artille ría volante, y atacase al enemigo por el flanco?. Hasta ahora los resoltados de la batalla deGross-Beren son 26 piezas de artillería, 30 caxones de'municio nes, muchos equipages, 1500 prisioneros, inclusos 40 oficiales, el…</t>
  </si>
  <si>
    <t>Cardill</t>
  </si>
  <si>
    <t>…uhlsdorf, y ade lantó sus tiradores contra la infantería ligera tueca, colocada frente ai pueblo, mandó el príncipe Bernadotte que algunos batallenes re forzasen la vanguardia: el coronel Cardill se dirigió con un batallón de rniUería volante-á temar ei flanco del enemigo. Ei resultado de la acción de Gross-Beren fue coger 26 cañones, 30 caxones y muchos equipages, y hacer prisioneros á 1500 hom bres , entre ellos 40 oficiales, al coronel de huíanos d…</t>
  </si>
  <si>
    <t>Cardón</t>
  </si>
  <si>
    <t>…damente á la canalla: Liaño, por la izquierda derrotó una colum na de caballería persiguiéndola por .mas^de 2 leguas, mató 6 rebei-rdes, hirió no pocos, hizo prisionero al llamado coronel Cardón de la gavilla de Oropesa, y recegió porción de gente honrada que lleva ban consigo los malvados. El cura Alvarez, dirigiéndose por ia de recha contra un cuadro de i2&gt; infantes, cuyos costados estaban flan queados de alguna caballería, lo arrolló completamente…</t>
  </si>
  <si>
    <t>Cardona, Esteban</t>
  </si>
  <si>
    <t>Esteban Cardona</t>
  </si>
  <si>
    <t>…ando Ruiz, 2 id. D. Andrés Sánchez Quiros, 2 id. D. Francisco de Paula Calvo, 2 id. D. Pedro Juan de Olasagarri, 2 id. D. Juan Ignaoio de Mndizabal, 2 id. D. Manuel Garrido, 2 id. D. Esteban Cardona, 2 id. D. Nicolás Cameruaga, 2 id. D. Francisco Fernandez Ziesa, 1 id. D. Manuel Barreda, 1 id. D. Alonso Candamo, 1 id. D Benito Cristi, 1 id. T). José de San Martin y Blanco , l id D~ Martin Cortiguera, 1 id. D. Manuel López Díaz, 1 id. D. D amingo Ximenez,…</t>
  </si>
  <si>
    <t>Cardona, Josef</t>
  </si>
  <si>
    <t>Josef Cardona</t>
  </si>
  <si>
    <t>…mismo muslo á la parle de afuera otra cicatriz, que, según él se explica, es una mordedura de perro. Si alguna persona supiere la pertenencia de dicho niño,-se servirá avisarlo á Don Josef Cardona, reino de Valencia, partido de Álcira, en el lugar de Llauri; y si fuese alguna persona extraña la que diese alguna noticia, será gratificada. Marco real de fanegas de tierra, ó Manual de labradores y agrimensores: cuen tas ajustadas para que los labradores y…</t>
  </si>
  <si>
    <t>Caries</t>
  </si>
  <si>
    <t>…riente, la que se sostuvo mucha parte del dia contra un número muy superior del enemigo en su retirada. „ Habiéndosenos unido la división del cuarto exército del mariscal de campo D. Caries España , le he encargado del bloqueo de Pamplona, unido á un destacamento del exército de reserva de Andalucía. El conde de la Bisbal con el resto de aquel exército se ha incorporado con el aliado de mi inmediato mando. „ En Aragón no ha ocurrido cosa particular des…</t>
  </si>
  <si>
    <t>Caries, José</t>
  </si>
  <si>
    <t>José Caries</t>
  </si>
  <si>
    <t>…de Mayo. = Los franceses no es carmentados con la rendición del fuerte del Perchó á las tropas españo las , trataban de fortificarlo nuevamente. El coronel del regimiento de Palma D. José Caries, comandante accidental de la primera brigada de la segunda división, supo el 23 del corriente que un destacamento enemigo se hallaba en el pueblo y torre indicada con objeto de res tablecer aquel punto de comunicación, y no dudó un momento en fiar la empresa…</t>
  </si>
  <si>
    <t>Caries, José Ramón de</t>
  </si>
  <si>
    <t>José Ramón de Caries</t>
  </si>
  <si>
    <t>…y ha mandado que en su nombre las dé z todos los señores gefes, oficiales y tropa que concurrieron á esta ac ción; y particularmente á los señores coroneles de Palma y cora ceros D. José Ramón de Caries y D. Juan González Aniso. «Igualmente ha dispuesto que a la tropa se le gratifique con 3® reales»y que á los señores oficiales se les haga entender que les ten drá presentes á su debido tiempo para recompensar su mérito. «Lo que de orden del señor general en gefe se hace saber…</t>
  </si>
  <si>
    <t>Caries, Josef Ramón de</t>
  </si>
  <si>
    <t>Josef Ramón de Caries</t>
  </si>
  <si>
    <t>…y ha mandadoque en suñpmbíre. las:éiéi á todos los señores gefes, oficiales y. tropa que concurrieron á'esta acción ,y'particularmente á los señores coroneles de Palma y coraceros D. Josef Ramón de Caries }r Don Juan González Anlep. Igualmente ha dispuesto que á la tropa se la gratifique con 3© rs., y que á los señores oficiales se.Jes haga entender que les tendrá presentes á su de bido tiempo para recompensar su mérito. Lo que de orden del señor general én ge…</t>
  </si>
  <si>
    <t>Cario</t>
  </si>
  <si>
    <t>Gaceta de Madrid n.º 60</t>
  </si>
  <si>
    <t>…mentaron el arzobispo de Toledo y el doctor Lgi— Artículo comunicado. dio, la muerte del doctor Cazalia, la cuestión de tormento del obispo Constantino Ponce, y el trá gico lindel príncipe D. Cario:? IITERATORA. Para que se juzgue con acierto del estado de opresión de los ingenios españoles al empezar el reiHistoria de la literatura española, escrita en nado de Felipe m, oigamos á Cipriano de Valera alemán por Air. Bouter'wek, catedrático de la en el pr…</t>
  </si>
  <si>
    <t>…península é islas adyacentes, «capitalizabas, capitalizados é industriales: medios para restablecer el crédito .público, y sati ficer -la deuda nacional. Extendida por los ;Sres. -D. Cario* Beramendi , D. Josef Mauricio Chone dcL Acha yD. Ramón Viton, individuo» de la junta de medio*. :Se hallaráen Ja librería de Hurtado, calle de las Carretas. EN LA IMPRENTA NACIONAL.</t>
  </si>
  <si>
    <t>Cárlo</t>
  </si>
  <si>
    <t>…s dispense las gracias que tenga por convenien te.— En ios dias 27 y 28 hicieron los enemigos varias salidas de la. plazacontra las tropas que en la derecha del bloqueo mandaba el general D. Cárlo3 de España, y en la izquierda el brigadier Aymerich, y en todas fueron rechazados con particular bizarría, habien do tenido mas ocasión de distinguirse la ©iiciaiidad y tropa comprehendida en los partes de dichos gefes, que incluso con la-noticia, de la pérdi…</t>
  </si>
  <si>
    <t>Carlos</t>
  </si>
  <si>
    <t>Gaceta de Madrid n.º 42</t>
  </si>
  <si>
    <t>166</t>
  </si>
  <si>
    <t>…spañoles, corno ros hacen á nuestra literatura, teniéndola en poco, y sentidamente se explica Luis de León en su epitafio al negándola el menor influxo en la civilización europea; príncipe D. Carlos, mas después de establecer por principio que la litera* Miedo en el corazón , llanto en los ojos. tura española fue madre, ó quando menor nodriza de A no ser asi ¡ quinto no hubieran estimulado á nues la francesa, se contenta con citar la primera tragedia tro…</t>
  </si>
  <si>
    <t>…e caballería y arti ques de Baxamar1, y con la gran cruz de la Real llería enemiga y alguna poca infantería. Orden dé Carlos ni„La vanguardia del cuerpo de exército llegó S. M. el Sr. D. Carlos iv tuvo á bien exónerarel dia 26 delante de Picktiiponen, donde encontró le en 1792 dél ministerio que exercia, v nombrar en posición al general Laíkow; el general Kutu- le gobernador del supremo consejo de Indias, car suw la liabia tomado también en Tilsit s…</t>
  </si>
  <si>
    <t>…dió un Pór deCréto de S. M. la disposición del art. 20 gentío inmenso al sitio de la reunión. A la una det tratado concluido en Berlín el dia 28 de abril SS. MM. , acompañados del duque Carlos y de un de 1811, «?n qué se declara que los vasallos prusia séquito brillante y numeroso, llegaron al pabellón nos tienen derecho á sus pensiones sin que se les que estaba preparado para -recibirlos. Treinta y !eis precise á residir en Westfalia, es aplicable…</t>
  </si>
  <si>
    <t>…0 General del tercer exército* ••«•••.......... 56 Idem del cuarto.............. 50 D. José Martin de S. Martin*..........* *. • • 6 Gefe político de Salamanca.................. 6 D. Carlos España* • • * *.............................. 10 D. Pedro Agustín Girón*. . ....................... 20 Diferentes comisionados. * *.................. 68 Por la dirección gener&amp;l de Correos •*•••* 22 Total.............1339 CADIZ s EN LA IMPRENTA NACIONAL.</t>
  </si>
  <si>
    <t>Gazeta de la Regencia de las Españas n.º 75</t>
  </si>
  <si>
    <t>622</t>
  </si>
  <si>
    <t>…urales todos los obsequios y regalos posibles. Salen á los caminos á convidarlas con víveres, y con cebada para la caballería, como lo hicieron la campaña pasada. — La división d¿ D. Carlos España guarnece en él dia á esta plaza, á Zamora, Sala manca y Toro. — En solos tres dias se han cargado aquí, de galleta y otros artículos, 1500 carros y una infinidad de acémilas. — Los franceses al evacuar á Zamora volaron el famoso puente de aquella ciudad, que…</t>
  </si>
  <si>
    <t>…Se dice que Soult ha reunid© en las inmediaciones de Bayona unos 50© hombres, entre ellos bastantes paisanos. Se ha incorporado ai exército de reserva de Andalucía la división de D. Carlos España, con cuyo auxilio se estrechará mas el sitio de Pamplona. El 13 del corriente se apresó un bergantín francés en Foenterabía, adonde llegó creyendo que estaba ocupado por los franceses: se han hallado en este buque 12© arrobas de arroz, 13© de bacsiaot y 9© de…</t>
  </si>
  <si>
    <t>…te, la que se sostuvo mucha parte del dia contra un número mui superior del enemigo en su retirada. ,, Habiéndosenos. finido la diyision del quarto exército del mariscal de; campo D. Carlos, España, le he encargado del bloqueo de Pamplona, uni do á un destacamento;&gt;del exército de reserva. de Andalucía. EL conde del Ábisbal, con el resto dé aquel exército, se ha incorporado con el aliado de mi inmediato mando. ,, En Aragón no ha ocurrido cosa pa…</t>
  </si>
  <si>
    <t>3</t>
  </si>
  <si>
    <t>…. Si no temiéramos ofender su modestia!, haríamos el elogio que se merecen las virtudes y religión de este tan pacifico y humilde prelado. Del jy. :! Noticias del quartel general. D. Carlos de España sitia á Pamplona, y á este le relevará el general Mina, con quien toda esta tierra está entusiasmada. El exército de reserva de Andalucía que sitiaba á Pamplona está pori esta parte en Vera, dentro de Francia una legua, habiendo tomada las posiciones quetenia…</t>
  </si>
  <si>
    <t>…u mando, desde el 26 de Julio ultimo hasta el 30 del mismo , como igualmente las executadas por las que «ostentan e! bloqueo de la plaza de Pamplona al mando del mariscal de campo D. Carlos España, y pérdida que sufrieron, se gún el estado que igualmente acompaña. También remito los partes dados por los generales Girón, Morillo y brigadier Loriga : el pri mero de la toma y obstinada defensa del puente de Yaaci por la primera brigada de la cuarta divisi…</t>
  </si>
  <si>
    <t>…s de mi mando para combatirle. Ai amanecer del ala 27 recibí la orden del Excmo.. Sr. general en geie de los exércitos nacionales para que se 'encargase del bloqueo d« Pamplona e! general D. Carlos de España, reforzado con zQ) hom bres de la infantería de este exército, toda su caballería y artille ría, y que con ío restante de la infantería marchase á tomar posición, en Zubiri para reforzar las divilíones aliadas, y dar tiempo á que llegasen los refuerzos que ha…</t>
  </si>
  <si>
    <t>Cárlos</t>
  </si>
  <si>
    <t>…se eran saldados del exército deí mediodía. s= Dios guarde á V. S. muchos eñc?s. Campamento'de Mendígorri y Julio 30 de 1813.= José Aymerkh. = Señor general comandante del bloqueo D. Cárlos España.” (Se continuaran.)</t>
  </si>
  <si>
    <t>…ntenéf ahora la impetuosidad del ejército'aliadto. • r r,' Eí siguiente oficio és’una confirmaciofqde lo que dexamds dicho. • . Cón fecha i.° dePcorrieriíé désdé Pfimplona dice el general D. Carlos España al señor- gefe político *de esta provincia lo que sigue: b ‘ V ‘ ? . „Excnio.í Sri V^efigo' Íaisatisfa&lt;cioa' dé informar á' V. E. •qué iesta.- tarde á las cinco las tropas nacionales, que baxode* mamando formaban el bloquep de esta plaza de Pamplon^.d^n entr^…</t>
  </si>
  <si>
    <t>Gazeta de la Regencia de las Españas n.º 148 (extraordinaria)</t>
  </si>
  <si>
    <t>…, „Excmo. Sr. : Nada de importancia ha ocurrido en la línea desde mi íiltinia de 25 de Octubre anterior. La guar nición enemiga de Pamplona hizo el 26 del pasado pro posiciones al general D. Carlos España para rendir la pla za. La primera condición que pidieron fué que se les per mitiese marchar á Francia con 6 piezas de artillería. La segunda fué que se les permitiese marchar á Francia, obli gándose á no servir contra los aliados por un año y un di.t. Pero el…</t>
  </si>
  <si>
    <t>…gton, duque de Ciu dad Rodrigo. — Excmo. Sr. O. Juan O-Donojü.” Segundo. „Excmo. Sr. : Después que escribí á V. E. esta ma ñana, he recibido el adjunto parte del mariscal de campo D. Carlos España , en que anuncia haberse rendido por capitulación la plaza de Pamplona, quedando la guarni ción prisionera de guerra , por cuyo feliz suceso ruego á V. E. me permita le felicite. „No puedo aplaudir suficientemente la conducta de D. Carlos España , y la de las…</t>
  </si>
  <si>
    <t>12 )0 El señor duque de Ciudad-Rodrigo ha remitido al señor secreta rio del despacho de la Guerra los partes que le ha dirigido el ma riscal de campo D. Carlos España, comandante general del bloqueo de ia plaza de Pamplona* con motivo de la sóida que hicieron los enemigos, atacando los puestos avanzados del mr-tno, el día io del me; próximo pasado, y cavo extracto es el siguiente: ** Entre 8 y 9 de aquella mañana se presen…</t>
  </si>
  <si>
    <t>727</t>
  </si>
  <si>
    <t>…ran sus consejos la humanidad habría sufrido menos males. ESPAÑA. &lt;■ - ; t Madrid jp de noviembre. Copia de la capitulación de "Pamplona concedida d su guarnición por el ge~ neral D. Carlos de España &amp;c. El general de brigada Casan, barón del Imperio, oficial de la legión de Honor, gobernador de la plaza y ciudadela de Pamplona por S. M. 1. y R. .Napoleón, y el mariscal de campo de los exércitos nacionales de España D. Carlos de España, caballero de la or…</t>
  </si>
  <si>
    <t>…itaresíy empleado? del exército francés. • ... . qrm uS ■ cd ^ ns‘ ' .¿i- vi- &gt;.«.• RespuestaJ Se referí raiste artículo por el eomandantegeneraldei. blo queo el mariscal de campo D. Carlos de España aLExciho. Sna generé en gefe‘ duque. descordad-Rodrigo; c$n.ípsútícúlhx interesaa -1 . n \ . m a art. xi. Los españoles y los fnmceses.d©miidliadosu£GÍ España antériqr y posteriormente al año de 1808, y que desde, eifa époc^ haiTiícn&amp;jdórial— igun empleo civi…</t>
  </si>
  <si>
    <t>…uesta. Concedido. [ ■ ■ ■ r • ’ * ■: ■&gt; .!■'•■■■/» ; ^Arfíenlos impuestos £ la guarnición por los señores ificiales superiores ett~ ea fgdeios de los poderes del mariscal de campo D. Carlos de España, n.. comandante general de las trapas del bloqueo , en virtud de sus ihsirucciótiés.articulo primero. Ningún español, sin distinción de clase y sexo, po.drá; seguir la guarnición francesa, y quedará baxo la protección de las leyes, bien sean del estado civil…</t>
  </si>
  <si>
    <t>833 Madrid 13 de diciembre. Carta que ha recibido el general D. Cárlos de España del quartel gene ral del lord Wellington. ■Estado mayor general de campaña. De orden,df 1 Excmo. Sr. duque de Ciudad-Rodrigo traslado á V. S. el extracto de;una carta del conde Bathurst, secretario de Estado de S. M. Británica, al marques de Wellington, fecha…</t>
  </si>
  <si>
    <t>…hal’a acantonado en los pueblos siguientes: La primera división , que manda el señor Morillo, en las inmediacio nes de Pamplona. Segunda división , que manda el mariscal de campo D. Carlos de España, de guarnición en la plaza de P«mpíona. Tercera división, que manda interinamente el brigadier D. Diego del Barco: la primerj brigada en Oriuña y la segunda en Durando, de la misma división. Cuarta divi ion en Tolosa y pueblos inmediatos, que manda el b ig dk…</t>
  </si>
  <si>
    <t>…amplona. Relación de los artículos principales que en cantidad considerable se han encontrado en dicha plaza quando la ocuparon las tropas españolas al mando del mariscal de campo D. Carlos de España en i.° de noviem bre de 1813. Cañones de bronce de calibre regular 197 ; á saber: 20.de á 24, 1$ de á 16,4 de á 12 largos, 27 Ídem cortos, 4 de á 8 largos (y 2 .inútiles}, 53 ídem cortos (y dos inútiles), 11 de á quatro largos, 45 ídem cortos, 14 de á ídem de…</t>
  </si>
  <si>
    <t>….1 en gefe dchsegundo exército español. Denia 6 de Diciembre de 1^13^ Madrid ig de Diciembre. Carta dirigida por el gefe del estado mayor general de campaña • al mariscal de campo D. Carlos España , comandante general de la segunda división del cuarto exército. Be orden di Excmo. Sr. deque de Ciudad -Fodrigo frsslsclo á S. el extracto de una caris del conde Batli; r t, se r tario de tstado de S. M. B., al marques dí Wel¡i:-£-t n, fe .ha en Londres á 11…</t>
  </si>
  <si>
    <t>Carlos, Dgu</t>
  </si>
  <si>
    <t>Dgu Carlos</t>
  </si>
  <si>
    <t>…as , y que las tres noches, contando desde este dia, haya iluminación general y otros regocijos públicos» Madrid 5 d* Noviembre. Con fecha i«° del corriente desde Pamplona d’ce el general Dgu Carlos España si señor gefe político de esta provincia lo que sigue: »* Exorno. Sr.: Tengo la satisfacción de informar á V. E. que esta tarde á las cinco las tropas nacionales, que baxo de mi mando for maban el bloqueo de esta plaza de Pamplona, han entrado en ella de resu…</t>
  </si>
  <si>
    <t>Carlos, Pedro</t>
  </si>
  <si>
    <t>Pedro Carlos</t>
  </si>
  <si>
    <t>…s dias. El príncipe regente nuestro señor se ha servido expedir el de creto siguiente Habiendo cesado con el triste acontecimiento de la muerte de mi muy amado sobrino el; infante D. Pedro Carlos, el exercieio de las funciones anexas á Ik dignidad de almirante general de la marina, que por decreto de lS de Mayo de 1808 fui servido crear para conferirle, añadiéndole tedas las atribuciones que com petían á ios capitanes generales de los navios de alto b…</t>
  </si>
  <si>
    <t>CárloslmaUc</t>
  </si>
  <si>
    <t>…s durante el dia por el espacio de variaá leguas como si estuviesen en el campo de batalla. Ef cónde/dé Wrede, gen¿ral de ¡caballería ^ ,manda en rsona estos e-xercício^y A. R. el duque CárloslmaUc^i; con gran, ¿,elo brigada- que le- corresponde.1 Diaria rúente•adquierea láf. tropas, mas., bello aspecto y mayor 'éxáctitud, y- se hallan-animadas-fdel niejor. espíritu. ;.r * Wurtzburgo 10 de julio. Un batallón perteneciente agesté ígíánj ducado, mandado p…</t>
  </si>
  <si>
    <t>Carlota</t>
  </si>
  <si>
    <t>Gaceta de Madrid n.º 125</t>
  </si>
  <si>
    <t>…lla la na- «de esperanza queda de podernos salvar? Seremos »don convendrá se nombre para regenta de «-infaliblemente presa, si no se pone un pronto y si España á la señora infanta Doña Carlota «eficaz remedio, ó de nuestros enemigos, ó de un « Joaquina, princesa del Brasil. Cádiz, en la »tirano doméstico, ó del primer advenedizo- que á «imprenta Tormentaria: año de l8t$. «la fuerza reúnan la osadía. Si de las c.m-as hemos ,, Si damos una ojeada sob…</t>
  </si>
  <si>
    <t>Carnario, Francisco</t>
  </si>
  <si>
    <t>Francisco Carnario</t>
  </si>
  <si>
    <t>966</t>
  </si>
  <si>
    <t>…l, quedando ademas en nuestro poder prisionero un oficial, que fué herido, con un sargento y algunos soldados. «Los oficiales heridos son ei capitán del regimiento de Guadalaxara "D. Francisco Carnario, el teniente D. Francisco Vaidés y el subteniente D. Ramón del Rio del propio cuerpo. Los tenientes del segundo de Asturias D. Pedro Cobian y D. Benigno Hernández, y el subteniente del de la Constitución D. Próspero Gaiina.</t>
  </si>
  <si>
    <t>Cárnpbell</t>
  </si>
  <si>
    <t>v31§ .¿óndexte Amma^e,qti^bsejiallj^ destacaba, en Jos 4^W«Sj teriír torio francés ,1a brigada del general Cárnpbell. La división ligera y ^séptima ,inglesas ocupaban Jasalturas deSanta Bárbara, la villa de Vera y el puerto ¡de Echa lar, conservando iacomunicacioncqñ ,el valle de Bastan. La sexta división lorija^^^r¿s4íva;jáé.tó'tas^trdD«;eii,$;;E§^f&gt;^V'PI';BenÍ5ral Longa .…</t>
  </si>
  <si>
    <t>Caro, IX Juan</t>
  </si>
  <si>
    <t>IX Juan Caro</t>
  </si>
  <si>
    <t>…niente D. José Morte, fueron enviados por la parte de la puerta Ferriza para atacar la llegada en la. hora que debía señalar el ataque general.' Cincuenta granaderos, al mando del teniente IX Juan Caro, se diri gieron á la puerta de la plaza del Estudio, aparentando un asalto al castillo, iniciitrítS 8 g^stadoie^* é. iribaban las puerta^. A la cíe S* Ma teo se dirigió con toda su compañía el capí tan D. Vicente Alcaina, haciendo amagos con 8 escaleras de at…</t>
  </si>
  <si>
    <t>Caro, Juan</t>
  </si>
  <si>
    <t>Juan Caro</t>
  </si>
  <si>
    <t>…la Constitución, perezcan nuestros opresores : á la una y media de la madrugada se hallaba ya el capitán Bellver sobre la muralla con su tambor, pitos y cazadores, mientras que el teniente D. Juan Caro se dirigía á tomar la retirada del enemigo por las calles de la villa, superadas las dificultades que le oponía la puerta del Estudio. La grande y temeraria resistencia con que los franceses querían impedir la entrada á mis soldados, se convirtió á su vista e…</t>
  </si>
  <si>
    <t>Carp</t>
  </si>
  <si>
    <t>…la aldea de Micháilow ; pero habiendo sido perse guido , cayó allí mismo prisionero. Algunos destacamentos j mandados por el príncipe Badbolk y ©tro que fue destinado por el mayor general Carp, hicieron mas de K-0 prisión eres. F1 general Milláradovitch participa con fecha de 12 de Noviera* bre, que el mayor general Necff hizo 160 prisioneros en Chaivanaoff. El mayor general Volosdini participa que el coronel Kreiganobski había desbaratado un desta…</t>
  </si>
  <si>
    <t>Carra-Saini-Cyr</t>
  </si>
  <si>
    <t>…a coluna de 4© mas, se reúnen con celeridad á las falanges del im hombres y 15 piezas de artillería, y ha ido á re perio'francés. Ya hace un mes que esran pasando el unirse con el general Carra-Saini-Cyr. Kin continuamente en Strasburgo, Maguncia y We- El contra-almirante L’hermite está delante de sel legiones nuevas para incorporarse con el exc'rci- Cuxhaveo con una división de lanchas cañoneras to grande. defendiendo este paso, y protegido por el fuerte. Se…</t>
  </si>
  <si>
    <t>Carra-Saint-Cyr</t>
  </si>
  <si>
    <t>…e Hes* llería en las dos orillas del Elba y en Vergedotf. se, que se compone de 1500 hombres, y le segui Del ij. rán otros tres regimientos hesseses de infantería y caballería. El general Carra-Saint-Cyr, que manda esta división, trasladcí ayer su quartel general al otro GRAN DUCADO DE BERG. lado del Elba. E:1W ciudad goza de una tranquili dad completa. La guardia nacional ocupa todos los Dusseldorf 9 de marzo. puestos que ocupaban las tropas. De toda la Fran…</t>
  </si>
  <si>
    <t>Carranza</t>
  </si>
  <si>
    <t>…ago Galdamez con 130 hombres de tropas de provincias internas y pa triotas de Zacatecas, atacó y derrotó en la hacienda de Xalpa á mas de 1© bandidos, acaudillados por el nombrado brigadier Carranza, Hernández y otros cabecillas; dexó tendidos en el campo de 48 á 50 cadáveres, hirió á un gran numero, hizo 4 prisioneros, y se apo deró de muchos fusiles, lanzas, machetes, 100 caballos, 20 sillar de montar &amp;c., sin tener mas pérdida que la de un patriota he…</t>
  </si>
  <si>
    <t>Carranza, Josef</t>
  </si>
  <si>
    <t>Josef Carranza</t>
  </si>
  <si>
    <t>…substituto primero. Barrio de S. Placido. D. Juan Hermoso Daza, substituto segundo. D. M:guel de Tena, alcalde. . Banjo de S Francisco. D. J uau Ventura Apesteguía, substituto pri D. Josef Carranza , alcalde. mero. D. Manuel Martínez , substituto primero. D. Mariano Yoldi, substituto segundo. D. Antonio González , substituto segundo. Barrio ae Bueña-Vista. D. Cayetano-de Soto, alcalde. CUARTEL DE SAN GERONIMO. D. Gieg&lt;’;¡,&gt; Sánchez, substituto primero.…</t>
  </si>
  <si>
    <t>Carrasco, Alonso</t>
  </si>
  <si>
    <t>Alonso Carrasco</t>
  </si>
  <si>
    <t>…Gormayo, D. José Ruiz, D. Joaquín Alvarez Sotomayor y D. Vísente Alba, tina obra de. .táctica á padá uno £01* haberse distinguido en la geometría: á los cadetes D,.¡Rafael de ara, D. Alonso Carrasco y D. Juan María-Muñoz, un estuche de: matemáticas, como mas adelantados en fortificación’; y por ultimo^ á los cadetes D. Rafael de Lera, Dr Manuel Fernandez y Üí" Igna cio Martínez , á cada cual un sable con:o más aprovechados, el pri mero en táctica de infantería, éi ségüiido’en…</t>
  </si>
  <si>
    <t>Carrasco, BeiipeMaría de Paz y</t>
  </si>
  <si>
    <t>BeiipeMaría de Paz y Carrasco</t>
  </si>
  <si>
    <t>…' . ‘ _ . •. ~. » mon de Milla Cuellar, escribano de! número de la misma, sa fecha 19 iíe noviem bre, se cita , llama y.emplaza á todos ¡os que se crean acreedores á los bienes de D. BeiipeMaría de Paz y Carrasco, marques de la Corona, para que en el térmi no de 15 días , contados, desde la fecha de dicho auto , comparezcan por sí ó sus apoderados á deducir sus acciones ante los referidos señores jueces de primera ins. tancia D. Tadeo R.icp en la ciudad de Murcia, ó a…</t>
  </si>
  <si>
    <t>Carrasco, Francisco</t>
  </si>
  <si>
    <t>Francisco Carrasco</t>
  </si>
  <si>
    <t>'884 4184 \ ^ ^aan Ir*arte* 4 2998 2737 41S4 ^ ^ Franc^sC0 ^cr^° de Tejada. 4. 2998 1372 4299) /?u 1697 5296 &gt; A D. Gregorio Contreras. 3127 5588 } 2440 5789 2619 8997 A D. Francisco Carrasco, 3007 9080 3191 246 411 494 555 , O 801 y A. D. Ramón Ramirez, 4643 ■4873 134683 135109 30 1 Sres. Die hermanos, de Alicante. 2 '4874 A D. José Esteve, de Valencia. 5 6157 138764 ^ 3 4 D. José Saielles, de Valencia. ¿ 138714 S 5691 7229 ¿ 4 A D. José Baquer,…</t>
  </si>
  <si>
    <t>Carrera, Félix</t>
  </si>
  <si>
    <t>Félix Carrera</t>
  </si>
  <si>
    <t>…arvaez y D. Francisco Romero, tenientes del de Monterey ; D. Juan de Asas y D. José Pumarejo, tenientes del Regimiento de Marina; D. Geferino Arau/o, subteniente del de Benaveate; Don Félix Carrera, coronel, y D. Alberto Gutiérrez , teniente del de Rivero ; D. Esteban Rodríguez y D. Alberto Rodríguez , capitanes, D. Manuel Taboada , D. Juan Hevia y D.-Francisco Lema , sub tenientes del de Oviedo ; D. José María Novoa , sargento mayor; D. Francisco Xavie…</t>
  </si>
  <si>
    <t>Carrera, José</t>
  </si>
  <si>
    <t>José Carrera</t>
  </si>
  <si>
    <t>…20 de Enero tuve noticias po sitivas de su venida , y desde este dia traté de tomar las me didas de defensa que me parecieron convenientes, pasando con el comandante de artillería D. José Carrera á reconocer la azo.tea del convento de Capuchinas, la de la casa de las Animas y la de. D. Joaquín Urueta , pata situar en ella los cañoncites de mon taña. La primera debía batir la campaña entre el fuerte de la Mag dalena y puesto de S. Pedro : la segunda de…</t>
  </si>
  <si>
    <t>Carriaga, Francisco García</t>
  </si>
  <si>
    <t>Francisco García Carriaga</t>
  </si>
  <si>
    <t>…mes 8 ps. por ua sño, 96. D. Bero?rd no G rdíl-o, id. por 4,4S. D. Cayetano D lis y Rubio, id..por 4 48 D Domingo I*erez, id. por 10, 120. D. Femando Ma ría Gómez, id. por 8, 96. D. Francisco García Carriaga, id. por 2,</t>
  </si>
  <si>
    <t>Carrido, Josef María</t>
  </si>
  <si>
    <t>Josef María Carrido</t>
  </si>
  <si>
    <t>…Manuel Carril, subteniente del se gundo de Guipúzcoa, y D. Josef Albun , subteniente del primero del mis ino nombre. ! « Los contusos son D. Ruperto Otero, teniente del de Rivero; D. Josef María Carrido, coronel, y D. Francisco S. Julián, capitán del segundo de Asturias; D. Josef Martínez, capitán del primero Cántabro; D. Nicolás Do^ ronzoro, teniente ; D. Josef Arana , subteniente del primero de Guipúzcoa. Los'prisioneros son TX Joaquín González, subtenient…</t>
  </si>
  <si>
    <t>Carril, José Manuel</t>
  </si>
  <si>
    <t>José Manuel Carril</t>
  </si>
  <si>
    <t>…D. José Castrejon, teniente, y D. Vicente de la Tórnente., subteniente del de tiradores de Cantabria; D: Buenavent&amp;ra Tomasa, teniente coronel; D. Guimeiindo Churruca, teniente, y D. José Manuel Carril, subteniente dei segundo de Guipúzcoa, y D. José Aibun, subteniente del primero del mñmo nombre. Los contusos son: D. Ruperto Otero, teniente del de R-ivero; D. José María Carrillo, coronel, y D. Francisco Son Julián, capitán del segundo de Asturias; D. José…</t>
  </si>
  <si>
    <t>Carril, Josef Manuel</t>
  </si>
  <si>
    <t>Josef Manuel Carril</t>
  </si>
  <si>
    <t>…Josef Castrejon , teniente, y D. Vicente de la Tórnente, subteniente del de tirado res de Cantabria; D. Buenaventura Tomasa, teniente corone!; D. Guimeriudo Cliurruca, teniente, y D. Josef Manuel Carril, subteniente del se gundo de Guipúzcoa, y D. Josef Albun , subteniente del primero del mis ino nombre. ! « Los contusos son D. Ruperto Otero, teniente del de Rivero; D. Josef María Carrido, coronel, y D. Francisco S. Julián, capitán del segundo de Asturias; D…</t>
  </si>
  <si>
    <t>Carrillo, José María</t>
  </si>
  <si>
    <t>José María Carrillo</t>
  </si>
  <si>
    <t>…D. José Manuel Carril, subteniente dei segundo de Guipúzcoa, y D. José Aibun, subteniente del primero del mñmo nombre. Los contusos son: D. Ruperto Otero, teniente del de R-ivero; D. José María Carrillo, coronel, y D. Francisco Son Julián, capitán del segundo de Asturias; D. José Martínez ,'espitan del primero cántabro; D. Nicolás Doronzoro, teniente ; D. José Arana , subte niente del primero de Guipúzcoa. Les prisioneros son: D. Joaquín González, subtenient…</t>
  </si>
  <si>
    <t>…o pasaron las tro pas anglo-portnguesas; cuyas columnas se componían de las briga das del mando de los brigadieres D. Diego del Barco y D. José Ma ría Espeleta, y de los coroneles D. José María Carrillo, D. Rafael Goycochea y D. Francisco Plasencia, baxo la mmediata dirección de los mariscales de campo D. Pedro de la Barcena y D. Juan Díaz Porlier. El objeto de las cuatro primeras columnas era el de apode rarse de los atrincheramientos enemigos en las inmedi…</t>
  </si>
  <si>
    <t>Carrillo, Manuel</t>
  </si>
  <si>
    <t>Manuel Carrillo</t>
  </si>
  <si>
    <t>…ravia.D. Francisco Cabrera; el segundo teniente D. Juan Ignacio Alava, y los alféreces .D. Lorenzo Somera y D. Josef de las Cuevas, del segundo bata llón de,guardias Españolas; el capitán D. Manuel Carrillo, del batallón de .Almería^ el ayudante mayor D. Manuel Baso, y el teniente D. Josef Vi•tal.,. del "regimiento segundo de Sevilla : el capitán ele cazadores. D. Josef García Orczco , ) los subtenientes D. Juan Marc y D. Vicente Alcina, del segundo de Cataluña;…</t>
  </si>
  <si>
    <t>Carro, Guillermo Packer</t>
  </si>
  <si>
    <t>Guillermo Packer Carro</t>
  </si>
  <si>
    <t>…e persiguieron hasta el glacis de la misma con pérdida conoide rabie. mIgual ataque y al mismo tiempo lo emprendieron las fuerzas restar.tes par la parte del distól o que manda el brigadier D. Guillermo Packer Carro;, y por la del de la misma clase D. Francisco Dioni sio Vives, fóendo en ambos puntos completamente rechazados y per seguidos, á pisar del vivo y acertado fuego de obús y cañón con que la placa los sostenía, por las tropas que se emplearon en esta operación.…</t>
  </si>
  <si>
    <t>Carstiereagh</t>
  </si>
  <si>
    <t>…taras, forman un cargo de jt.143 &gt;00 li al frente dé tos negocios extrangeros, y sabiendo que bras esterlinas, sin incluir la suma concedida mala los dos nobles lords, caraá cara, lord Carstiereagh mente al duque de Yorck. El gasto de los cuerpos y lord Palmerston deben formar los planes de nues •xtrangeros sube ¿ 968©. Los empréstitos hecnos tras expediciones. Hai tan poca esperanz a de que al Portugal y, á la compañía de las Indias forman ellos obteng…</t>
  </si>
  <si>
    <t>Carvajal, José María</t>
  </si>
  <si>
    <t>José María Carvajal</t>
  </si>
  <si>
    <t>Gazeta de la Regencia de las Españas n.º 28</t>
  </si>
  <si>
    <t>…del Infanta* do. — Joaquín de Mosquera y Figueroa. — No firma por hallarse en fermo , /&gt;. Ignacio Rodrigues de Rtvas. — Jugu Peres Viiktmil. — En Cádiz á 25 de Enero de 1813. - A D. José María Carvajal. Segundo. D. Fernando vii , por la gracia de Dios, y por la constitución de la monarquía española, rey de las España» , y en su ausencia y cautividad la Regencia del rey no, nombrada por las Cortes genera les y extraordinarias , á todos los que las presentes…</t>
  </si>
  <si>
    <t>…réis se im prima, publique y circule. — t». de Borbon, cardenal de Scala, ar zobispo de Toledo , presidente. — Pedro de Agar. — Gabriel Cis* cur.—Eu Cádiz á 10 de Marzo de 1813.—A D. José María Carvajal. La Regencia del reyno, en atención á la aptitud y suficiencia que han manifestado varios alumnos de la escuela militar de la Isla de León en los exámenes generales de esta, como en los particulares executados por la brigada del cuerpo de ingenieros nombrada…</t>
  </si>
  <si>
    <t>Carvajal, José María de</t>
  </si>
  <si>
    <t>José María de Carvajal</t>
  </si>
  <si>
    <t>…dispondréis se im prima, publique y circule.— L, dé Barbón, cardenal de Scala, ar zobispo de Toledo , presidente.—Ped^o de Agar.-—Gabriel Ciscar,—En Cádiz á 9 de Abril de 1813. —A D. José María de Carvajal. í Por resolución de 2¿ de Abril de 1813 ha determinado S. A. que se establezca en el Puerto de Sta, María el consejo de generales de que trata el artículo 19 del anterior decreto ', siendo su presidente el teniente general conde ds Villaríezó. ” CADIE : EN L…</t>
  </si>
  <si>
    <t>Carvajal, Josef María de</t>
  </si>
  <si>
    <t>Josef María de Carvajal</t>
  </si>
  <si>
    <t>…dispondréis se imprima, publique y circule. :=L. deBorbon, Cardenal de Scala, arzobispo ae Toledo, presidente. = Pedro de Agar.= Gabriel Ciscar.=En Cádiz á 9 de abril de 1813.= A D. Josef María de Carvajal. 5 •* — • - , ¿ iíi i -t u* «-• ■■ ■. EN LA IMPRENTA NACIONAL. . *</t>
  </si>
  <si>
    <t>…. = Joaquín Mosquera y Figueroa. =Juan Villavicencio.ss fgnacio Rodríguez de Rivas. = Ausente con permiso de las Cortes, el conde del Abisbal. = En Cádiz ¿31 de marzo de 1812. = A D. Josef María de Carvajal.” Habiéndose hecho mejora á la postura de la impresión y venta del almanak ci vil para el próximo año de 1814 en la cantidad de 34$) rs., baxo las condiciones que se subhasta, y la de que ha de estar pronto para el dia i.° de noviembre del corriente áño, se h…</t>
  </si>
  <si>
    <t>Carvajal, Ramón de</t>
  </si>
  <si>
    <t>Ramón de Carvajal</t>
  </si>
  <si>
    <t>…lo* bienes y caudal que drxó Ja Excm%‘ Sra. Doña Teresa María de Pálsffox, .condesa -qué fue de Peráladá, para repartir entre rsus parientes .pobres, y &lt;en particular Jos hijos de D. Ramón de Carvajal, :se presentarán dentro del-término de un mes,' contado desde * 8 del cor riente , i legi tima r sus .personas .endebida forma en el juzgado de primera instan cia del Sr. D. Francisco de Assin y .escribanía de provincia vacante, que última-, inente .sirv-ióD.…</t>
  </si>
  <si>
    <t>Carvajal, Tomas González</t>
  </si>
  <si>
    <t>Tomas González Carvajal</t>
  </si>
  <si>
    <t>…as y el do contador general de valores en los mismos términos que los tenia anteriormente ; y ha nombrado para servir interinamente le citada secretaría del despacho de Hacienda á D. Tomas González Carvajal,—Tendreislo entendido y dispondréis lo necesario á su cumplimiento. — En Cádiz á 30 de Marzo de 1813. — A D. Antonia Cano Manuel. El intendente de la provincia de S. Salvador de Goaternala D. Jo sé María Reynado, contestando el recibo del decreto de S. M. de…</t>
  </si>
  <si>
    <t>54</t>
  </si>
  <si>
    <t>…la Regencia del reino nombrar en propiedad para desempeñar las secretarías de Estado y del des pacho de Hacienda9 Gobernación de la península, Mtiríña y Guerra á los Excmos. Sres. D. Tomas González Carvajal, D. Juan Alvarez Guerra* Don Francisco Osorio y D. Juan Odonqjú. Don Francisco Antonio de Góngora, intendente general en comisión de esta capital y su provincia &amp;c. Siendo mui interesante el conocimiento de la cuenta y razón en los di versos ramos de la hacie…</t>
  </si>
  <si>
    <t>Carvajal, Tomas José González</t>
  </si>
  <si>
    <t>Tomas José González Carvajal</t>
  </si>
  <si>
    <t>…aria coa las que sean propias de otros distritos y exércitos. Tendreislo entendido, y dispondréis lo necesario á su campamiento. — Está rubricado. En Cádiz á de Abril de 1813.-— A D. Tomas José González Carvajal.” El cónsul generál de España en Túnez ha participado con fecha del 29 de Abril último, que mediante el rigor con que se observan /en aquel país las -leyes de la cuarentena, no se ha manifestado en él síntoma alguno de epidemia ó peste desde el año de 179Ó. E…</t>
  </si>
  <si>
    <t>…e decreto en todas sus partes.— Tendréislo entendido para su cumplimiento , y dispondréis se im prima, publique y circule. = Está rubricado, ss En Cádiz á i.° de Mayo de 1813. = A D. Tomas José González Carvajal. Segundo. D. FERíTAsrDO vil, por la gracia de Dios y por la Constitución de la monarquía española, rey de las Españas, y en su ausencia y cautividad la Regencia del reyno nombrada por las Cortes generales y extraordinarias , á todos los que las presentes vier…</t>
  </si>
  <si>
    <t>…interinamente á D. Antonio Cano Ma nuel, como secretario de Estado mas antiguo,=Ten'iréMo entendido, y dispondréis lo necesario á su cumplimiento. = Cádiz 11 de Julio de 1813. = A D. Tomas José González Carvajal.” En el proceso sentenciado en consejo de guerra de oficiales ge nerales en la plaza de Alicante, sobre la vil y cobarde entrega de la plaza de Jaca á los enemigos, en que vienen condenados en re beldía á la pena capital, y degradación como res&gt;s ausentes, el…</t>
  </si>
  <si>
    <t>Carvajal, Tomas Josef González</t>
  </si>
  <si>
    <t>Tomas Josef González Carvajal</t>
  </si>
  <si>
    <t>…is se im prima , publique y circule. = L. de Borbon , cardenal de Scala , arzobispo de Toledo, presidente. = Pedro de Agar. = Gabriel Ciscar. = En Cádiz á ij de junio de 18x3. = A D. Tomas Josef González Carvajal. RENOVACION DE VALES Por orden de S. A. la Regencia del reino de 22 de octubre último, co municada por el ministerio de Hacienda á la junta nacional del crédito pú blico , residente en Cádiz, y por esta al intendente general de esta provin cia D. Francisco An…</t>
  </si>
  <si>
    <t>Carvajal, Tomas Jósef González</t>
  </si>
  <si>
    <t>Tomas Jósef González Carvajal</t>
  </si>
  <si>
    <t>…ndréis se imprima, publique y circule. = L. de Borbou, cardenal de Scala, arzobispo de Toledo , presidente. = Pedro de Agar. crGabriel Ciscar.ss'En Cádiz á 5 de julio de 1813. = A D. Tomas Jósef González Carvajal/* , Di ccionarto geográfico-hístórtco del reino de. Navarra y provincias de Vizca* ja, Alava y Guipúzcoa, por la real academia de la Historia. Comprehende la; his toria general eclesiástica y civil, antigua y moderna de aquel reino y provincias, y ia particul…</t>
  </si>
  <si>
    <t>Carvajal.’, José María de</t>
  </si>
  <si>
    <t>José María de Carvajal.’</t>
  </si>
  <si>
    <t>…enemigo que ocupaba á Alcoy, en donde ha establecido puestas sujos.-— Dios gnarde á V.E. muchos años. Fresneda 31 de Marzo de 1813.— JFéUivglon, duque de Ciudad-Rodrigo. — Excmo. Sr. D. José María de Carvajal.’" Extracto del pa? te del teniente general Sir Juan Murray al marques de Wettiugtcn, su fecha en Alicante a 10 de Marzo de 1813. ?íEn mi carta de ¿6 del mes último tuve el honor de informar á V. S. que jo había tomado ,el mando de la división del exército del…</t>
  </si>
  <si>
    <t>Cas</t>
  </si>
  <si>
    <t>563</t>
  </si>
  <si>
    <t>…corriente entró aquí el cuartel general de lord Welling. ton, y pasaron por estas inmediaciones vanos cuerpos de todas ar mas. Ayer ca í»? de,esta dicho cuartel general, y el del general Cas taños. El 22 y 23 se presentó el enemigo á 7 leguas de aquí á robar: se cree que no hará ¿rente á nuestros exórcitcs. Cádiz 3*1 de Mayo. Áysr, dias de nuestro augusto y amado monarca el Sr. D. Fer nando vil, la corte se vistió de gala coa uniforme, y hubo sal…</t>
  </si>
  <si>
    <t>…lguna artillería, ios cuales marchaban desde el Oder á reunirse coa el exército principal. «Tengo la honra &amp;e. =: Carlos Síe'war-t.” Extracto de un oficio del vizconde Cathcart al vizconde Cas riere agli. Citartel general de Ober- Groditz i.° de furrio. "El emperador se puso en marcha para Jauer el 25 , para Soicgau el 27 , y el 28 para Schwei-inirz : SS. MM. sentaron ayer sur. cu ruteles generales en la aldea de Oh:r-Groditz, entre Sehwekimtx y Re…</t>
  </si>
  <si>
    <t>Cas, José</t>
  </si>
  <si>
    <t>José Cas</t>
  </si>
  <si>
    <t>…e del de Lean?: á ayiidauté niayor segundo, a, IX Vicente Goyanes, teniente del primero de Sevilla : á tenientes, á D, Juan Cam pos, subteniente del regimiento infantería del Rey, D. José Cas can!, subteniente agregado al de Truxillo, D. Indalecio Coronel, subteniente del de Guuda-axara, y D. J uan Escolar, subteniente del tercer bgí^flgn del mismo regimiento de zapadores: á subtenientes^ á D. Juan Vela y Olmo y D. José García de Tovar, cadetes de…</t>
  </si>
  <si>
    <t>Casado, ManueL</t>
  </si>
  <si>
    <t>ManueL Casado</t>
  </si>
  <si>
    <t>…o. Barrio del Cdrnien Calzado. D. Ramón de Segcvia, a'calde. D. J aime Bouhde, alcalde. D. Francisco JCavier Correa , substituto primero. D. Benito Rodríguez,, substituto primero. D. ManueL Casado, substituto segundo. D. Manuel de Castro, substituto segundo. Barrio de Doña María de Aragón. Barrio de las Descalzas Re ates. D. Josef Cañedo, alcalde. D. Fr..neÍsco de 1 ruegas, alcalde. D. Félix Bener, substituto primero. D. Francbco L..yin , 'substituto p…</t>
  </si>
  <si>
    <t>Casal, Ignacio</t>
  </si>
  <si>
    <t>Ignacio Casal</t>
  </si>
  <si>
    <t>…ones á quienes han sido renovados. N? de vales. De 600 peses. Sugetes ú quienes están renovados. 1 7803 AD J uan Antonio Martínez Salazar, 1 157715 A D. Tomas de Uriutia. 1 2700 A D. Ignacio Casal. 1 2626 A D. Francisco Amellen C 2281 |AD. Manuel Cáscales. 2 l 2403 i 2303 126/7 ^ gre8&lt; Chavam y PosadiUo. 3 i 2545</t>
  </si>
  <si>
    <t>Casal, Ramón del</t>
  </si>
  <si>
    <t>Ramón del Casal</t>
  </si>
  <si>
    <t>…substituto segundo. D. Domingo Rcinoso, alcalde. Barrio de la Loma.ire. D. Josef Aronso , substituto primero. D. Francisco Gorvea , alcalde. D. Miguel de Moya, substituto segundo. D. Ramón del Casal, substituto primero. Barrio de Capuchinos de ¡a Paciencia. D. F rancisco Ortiz , substituto segundo. D. Vicente Zally, alcalde. Barrio de S. Isidro. D. Antonio Andatuce, substituto primero. D. Tomas Perez , alcalde. D. Manuel Pardo, substituto segundo. D. Ped…</t>
  </si>
  <si>
    <t>Casan</t>
  </si>
  <si>
    <t>…do para discutir y determinar los artí culos de la capitulación, á cuyos términos la misma plaza y ciudadela serán entregadas en poder de las mencionadas tropas, á saber: El señor general Casan nombra al señor ayudante comandante Luís de Maucune, barón del Imperio, miembro de ia legión de Honor, gefe del esta do mayor; y el señor general D. Carlos de España nombra al seífor briga dier D. Francisco Vives, comandante general del tercer distrito de la…</t>
  </si>
  <si>
    <t>Casanova, Guillermo</t>
  </si>
  <si>
    <t>Guillermo Casanova</t>
  </si>
  <si>
    <t>…obles artes, que desean saber con inteligencia las reglas que se practi can en la perspectiva, en todo conformes con la obra de matemáticas de la real academia de S. Fernando: por D. Guillermo Casanova, arquitecto y director que fue de perspectiva en dicha academia: un quaderno en folio marquilla con nueve lámi ñas. Se hallará en la librería de Arribas, calle de las Carretas. Mi gorro de dormir. Esta obra es una miscelánea instructiva y curiosa: un to mo en…</t>
  </si>
  <si>
    <t>Casanova, Miguel</t>
  </si>
  <si>
    <t>Miguel Casanova</t>
  </si>
  <si>
    <t>…te no hubo ni un herido. 33. Según oficio del gobernador de Durango al teniente coro nel D. Mariano Urrea ; comandante de una división de Sonora, ei 4 de Junio acometió el alferez D. Miguel Casanova con 40 solda dos de Nueva-Vizcaya á 209 rebeldes , acaudillados por Cecilio González , que de resultas de su derrota por el capitán Espinosa se había retirado á las serranías del Nayarith, en el parege non braco Soquipaque, dio muerte á 25 de ellos, siendo un…</t>
  </si>
  <si>
    <t>Casanovas, José Sala y</t>
  </si>
  <si>
    <t>José Sala y Casanovas</t>
  </si>
  <si>
    <t>…a que una partida de vándalos de la guarnición de Lérida se llevaba todas las muías y demas acémilas de aquellas inmediaciones, reunió todo ei vecin* dario, y baxo la dirección de-D. José Sala y Casanovas, escribano de Balaguer, atacaron al enemigo, obligándole 4 una precipitada fuga» y á que abandonase todos los bagsges que hablan robado, y fueron devueltos á sus dueños. Aléame*s 5 de Marzo. Unos 70 caballos enemigos, procedentes de Bombuey , se pie» sentaron…</t>
  </si>
  <si>
    <t>Casas, Isidro</t>
  </si>
  <si>
    <t>Isidro Casas</t>
  </si>
  <si>
    <t>…y heridos; el to tal de la pérdida 109. «Es de rni obligación pagar el dltimo tributo á ía respetable memoria de D. Juan Nebreda y D. Francisco la Roque, capitanes de Mallorca, y D. Isidro Casas, teniente del mismo, con cuya muerte ha perdido la nación y ei rey unos oficiales dignos de todo aprecio. El primero dexa una muger que no tiene mas recursos que las gracias que el Gobierno la dispense, por lo que la reco miendo á ia generosa protección de V.…</t>
  </si>
  <si>
    <t>Casasola, Rafael</t>
  </si>
  <si>
    <t>Rafael Casasola</t>
  </si>
  <si>
    <t>…original y estado de armes y municionas con que se ha presentado al goce del real indulto el indio coronel por Viiiagran Casimiro Gómez, remi tido por el comandante de Ixmiquiipam D. Rafael Casasola, quien con su partida, auxiliada de igo infantes del regimiento de TresVillas, bastó á que se decidieran á recibir aquella gracia mat de 2&amp; hombres, que con su artillería y demas armas ocupaban una posi ción tan fuerte y escarpada coma las que tienen de costu…</t>
  </si>
  <si>
    <t>Casflerea</t>
  </si>
  <si>
    <t>…a presa del Delfín, corsario también americano de 12 ca ñones y 56 hombres. Idem 21 de Enero. Oficio del vizconde Cathcart, embaxador extraordinario de S. M. R. en Peierslwrg^, al vizconde Casflerea¿k, secrttario de Estado. Petesburgo 31 de Diciembre. — „Milord: Participo á V. E con el iíias profundo sentimiento la muerte del conde de Tyrconnel. Mi litando en el exército ruso á fas órdenes del almirante Tcliichagolf, su celo y'deseos de presenciar todas…</t>
  </si>
  <si>
    <t>Casilcreagh</t>
  </si>
  <si>
    <t>…REGENCIA DE LAS ESPADAS DEL SABADO 23 DE ENERO DE 1813. GRAN-BRETAÑA. Londres 30 de Diciembre de 1812, Secretaría de los negocios extrangeros. — Copia de los oficios dirigídos al vizconde Casilcreagh, secretario de Estado de S. M. en el departamento de los negocios extrangeros por el general vizconde Cathcart, embaxador extraordinario y plenipotenciario de S. M* cerca del emperador de Rusia. „Petersburgo 30 d$ Noviembre.— Milord: En mi oficie* de 25 del c…</t>
  </si>
  <si>
    <t>Casilereagh</t>
  </si>
  <si>
    <t>• 1404 Ex tracto de dos oficios de Sir Carlos Stewart al vizconde Casilereagh , fechos en Gott ingen y Hannover á 2 y 11 de Noviembre, El i .° de Noviembre traslado el príncipe real de Suecia su cuar tel general á Gottingen , siendo el motivo de este movimiento ace lerado no solo el restablecer en el Hannover el gobierno de S. M. B. si…</t>
  </si>
  <si>
    <t>Casílereagk</t>
  </si>
  <si>
    <t>…tán Wi lliams , ha llegado como parlamentario á'Liverpool, y en él viene Mr. Ross con despachos importantes y confidenciales de Mr. Ba tes , agente británico en Washington para el vizconde Casílereagk; pero no se ha sabido aun su contenido. La Minerva salió el 17 de Noviembre de Nueva-Yorck ; por cuyo conducto se han recibido loa periódicos americanos hasta dicha época. El presidente de los Esta dos-Unidos presentó al Congreso lina nueva serie de documento…</t>
  </si>
  <si>
    <t>Casiri, Miguel</t>
  </si>
  <si>
    <t>Miguel Casiri</t>
  </si>
  <si>
    <t>…con todos los manuscritos de la referida biblioteca. Los árabes están colocados según el orden numérico que tenían en el Esco rial , y eii cuya conformidad se hizo su catálogo por D. Miguel Casiri eit su biblioteca Arábico-Ejcuriatense &gt; donde se han corregido algunas faltas que se habían notado. Lo que se hace saber al péblico para su inteligencia y gobierno.</t>
  </si>
  <si>
    <t>Cassard</t>
  </si>
  <si>
    <t>…m regiones. Esta cuestión exigía ser tratada con suma bres prisioneros y íjo muertos. El gefe de bata circunspección y. pulso; por manera que no se adop llón Dulan, del 47.0, y el capitán Cassard, que tase como un principio inconcuso, por exemplo, manda la compañía escogida del 25.0 de dragones, que el monopolio no debe renovarse, ó que no se han asistido perfectamente al expresado Air. Ma debe dar extensión alguna á los privilegios comer this. Suplic…</t>
  </si>
  <si>
    <t>Casta</t>
  </si>
  <si>
    <t>239 da cubierta de oro y bordados. Ha llegado á Hernatñ el general Casta ños , y se dice que mandará ei sitio de S. Sebastian, contra el que empezó ayer el fuego. Irueta 9 de julio, NOTICIAS DEL EXERCITO ALIADO. Anteayer entró aquí el quartel general del gran Lord: presumimos qute mañana se trasladará á Unhoa, primera población de…</t>
  </si>
  <si>
    <t>Casta, Francisco Xavier</t>
  </si>
  <si>
    <t>Francisco Xavier Casta</t>
  </si>
  <si>
    <t>691</t>
  </si>
  <si>
    <t>…cisco Espoz y Mina. ~ Y yo lo hago stber á V. E. para su inteligencia. Nuestro Señor guar de a V. E. muchos años. Leache 14 de Abril de l8l T l'T ¿invisco Ilsjjqz y Mina. = Excmo. Sr. D. Francisco Xavier Casta ríos.” Cuarto. El comandante del cuarto escuadrón de caballería me da el si guiente parte. ”Mi general: Me aposté sigilosamente con 50 csbaflos en la carretera de Jaca, entre Ayerbe y Gurrea, disponiendo igual mente que hicieran lo mismo en el propio día el c…</t>
  </si>
  <si>
    <t>…D. Francisco Es poz y Mina. = Lo que comunico á V. E. para su gobierno. = Nues tro Señor guarde á V. E. muchos años. Lovera 20 de Mayo de 1813.= Francisco Espoz y Mina.zzlS.xcmo. Sr. D. Francisco Xavier Casta ños/’ - Décimo quinto. El comandante accidental del séptimo regimiento me participa lo que á la letra copio. "Mi general: MI 18 me hallaba en Baudaiies en donde recibí aviso del coronel D. Joaquín Depablo desde Muri11o, avisándome que el convoy debía salir el…</t>
  </si>
  <si>
    <t>Castañeda, Juan</t>
  </si>
  <si>
    <t>Juan Castañeda</t>
  </si>
  <si>
    <t>…era sido mas; pero por falta de caballería no se les pudo seguir el alcance: Mora tuvo 7 heridos de poco cuidado. Recomien da por sí al ayudante D. Francisco Rubio y á los cadetes D. Juan Castañeda y D. José Paredes. El capitán £&gt;. García Revilla, que mandaba las tropas colocadas fuera del real, recomienda al subte niente D. Jaan Granados, á los cadetes D. Ventura de Mora y D. José Blasio, y al sargento Francisco Perez, y en general lo hace Mora de toda su tropa. (Se con…</t>
  </si>
  <si>
    <t>Castañeda, Juan Miguel de</t>
  </si>
  <si>
    <t>Juan Miguel de Castañeda</t>
  </si>
  <si>
    <t>…, 6 id. D, Antonio Baras, 6 id. D. Manuel de Urlonagoena y Aramburu, 5 id. D Francisco Marta Zuloaga, 5 id. D Vicenta de la Riva, 4 id. D José II pólíto y D Ambrosio íbañez, 4 id. D. Juan Miguel de Castañeda, 4 id. D. Joaquín d« Asia, 4 id. D. Pedro de Vülaoampa, 4 id. D Juan Macho, 4 id. D. Be nito Ambrosio Canicoba, 4 id. D. Pedro Moreno Altusarra, 4 id. D Joaquín María Ferrer, 4 id. D. Angel de Alfaro y D. Miguel Vertiz, 4 id. D José de Lasarte, 4ríd. (Se cont…</t>
  </si>
  <si>
    <t>Castañon</t>
  </si>
  <si>
    <t>…A las seis de la tarde de ayer quedó cortada por los franceses, no po co atemorizados, la comunicación por esta parte entre su país y el nuestro. „Debo recomendar á V. E. al señor brigadier Castañon, al gefe, ofi ciales y tropa que han atacado esta mañana, mientras que mi gefe de esta do mayor dirige al del todo del exército una relación circunstanciada de esta acción, que rogaré á V. E. se publique. ,,Debo igualmente recomendar á V. E. al capitán Puente…</t>
  </si>
  <si>
    <t>…A las 6 de la tarde de ayer quedó cortada per los franceses, no poco atemorizados, la comunicación por esta parte entre su pais y el nuestro. ' &gt;5 Debo recomendar á V.E. al señor brigadier Castañon, al gefe,. oficiales y tropa que han atacado esta mañana, mientras que mi gefe de estado mayor dirige ai del todo del exército una relación circuns tanciada de esta acción, que rogaré á V. E. se publique.* » Debo igualmente recomendar á V. E- al capitán Puent…</t>
  </si>
  <si>
    <t>…rechando al enemigo por el camino real de Francia, y lo ha desalojado de todas las posiciones que habia tomado; y el dia de ayer una brigada del exército de Galicia, del mando del general Castañon , atacó y arrojó á los enemigos del otro lado del Bidasoa por el puente de Irun. El enemigo mantuvo todavía un püesto en una casa fuerte depiedra, que sirve como de cabeza de puente, y algunas tropas en varias casas con aspilleras á la derecha del Bidasoa; pe…</t>
  </si>
  <si>
    <t>Castañon, Federico</t>
  </si>
  <si>
    <t>Federico Castañon</t>
  </si>
  <si>
    <t>…os Ríos.” El general D. Pedro Agustín Girón en i.° del actual me dice desde Irun lo siguiente: „ Excmo. Sr. Los enemigos por esta parte están ya fuera del territorio español. ,,E1 brigadier D. Federico Castañon atacó esta mañana con iguales fuer zas la retaguardia enemiga situada de:ante del puente del Bidasoa, y la des alojó de su fuerte posición con tanta bizarría como inteligencia. ,, El regimiento de la Constitución, al mando de su coronel D. Juan Loarte, y la c…</t>
  </si>
  <si>
    <t>…ión delante del sgnemigo, y el señor Graham lo sostendrá desde Tolosa.” Trun i.Q de Julio. = » Excmo. Sr. : los enemigos están ya por esta parte fuera del territorio español. n El brigadier D. Federico Castañon atacó esta mañana con igua les fuerzas la retaguardia enemiga situada delante del puente del Bidasoá, y la desalojó de su fuerte posición con tanta bizarría como •inteligencia. «El regimiento de la Constitución , al maniáp de su coronel D. Juan Loarte, y la c…</t>
  </si>
  <si>
    <t>Castáñon, Federico</t>
  </si>
  <si>
    <t>Federico Castáñon</t>
  </si>
  <si>
    <t>…eral de las tropas del centro «Lmariscal de campo D. Francisco Xavier Losada; el brigadier segundo gefe de estado mayor del quarto exército D. Antonio: Roselló ; el de igual elase^D. Federico Castáñon * gefe de la primera brigada de.laPquarta divi-í sion:*y:el subteniente D. Mariano García ayudante de, órdenes deXgéfe de ^tadoTnaycr; el ayudante general del.'mismo D. Luis La viña,dgefe del de i,as'tropíasideh¿entro, fue contuso dos veces. : • • ■:&gt;, , L k…</t>
  </si>
  <si>
    <t>Castaños</t>
  </si>
  <si>
    <t>…Wellington ha con «iudad para incorporarse ai exército grande. fiado la regencia el mando del segundo, tercero y Se extraen considerables porciones de granos de quarto exército al general Castaños, el que ade los estados austríacos para el surtido de los exérci mas tendrá *1 título de general en gefe de las fuer to* que hai'en Polonia. zas del Mediodía. El general Ballesteros tiene que sufrir su des VVURTEMBERG. tierro á Ceuta, á pesar de su reclamació…</t>
  </si>
  <si>
    <t>…la justicia, que así los venga de las calamidades que debieron á la perversidad de uno de sus conciudadanos.” La Regencia del rey no se ha servido aprobar la conducta del se * ñor general Castaños, y quiere se inserte en la gaceta para noticia del público. Ratón de las gacetas que se remiten gratuitamente á las secretarías del Despacho, ejércitos y comisionados para introducirlas en los países ocupados por el enemigo, según consta de la lista enviada á…</t>
  </si>
  <si>
    <t>…erable de muertos y heri dos , sin mas pérdida por parte de los vencedores, que la de un patriota de Colima muerta por equivocación. (Se continuará.) Falencia jj de Junio 1813. Eí general Castaños, que se halla en esta ciudad, y el duque de Ciudad-Rodrigo, que está 3 leguas mas allá, siguen marchando. Las tropas inglesas se hallaban sobre Burgos, y se adelantaban á ver si podían tomar al enemigo el convoy que sacó de Valladolid, de que ya habían cogido…</t>
  </si>
  <si>
    <t>211</t>
  </si>
  <si>
    <t>…os paisanos franceses están llenos de terror, y no pierden momento para retirar sus alhajas, caudales y familias: que el intru so está esperando las órdenes de su hermano;y que el general Castaños sa lió de dicha ciudad, ignorándose el punto a que. se dirigía. Dice tam bién que continuamente pasan por Logroño tropas nacionales para Navar ra y Aragón. Asegura que en Vitoria se van cogiendo bastantes oficiales franceses escondidos en las casas de varias…</t>
  </si>
  <si>
    <t>…por algunos interesados en el progreso de las armas franceses. ___ En Pasages han desembarcado 2® ingleses; y estaban á la vista 17 ó 18 velas con mas tro pas de desembarco.__ El general Castaños se halla en Bilbao , en donde di cen se detendrá algún tiempo. Parece que la peste de Malta continúa haciendo considerables estragos; el dia io de julio muriéronlo personas. Ei brigadier Downie ha sido nombrado comandante de la vanguardia del exércíto de rese…</t>
  </si>
  <si>
    <t>…tos per manecen en las mismas posiciones.—Las nuevas baterías hacen un fuego vivo contra S. Sebastian, cuya plaza estará pronto en disposi ción de nuevo ataque. — Hoy ha salido el general Castaños para Lesaca, y en el camino entregará el mando del exército al general Freyre. Escriben de Vitoria, con referencia á un general nuestro , que el día 2 del corriente estaba el Lord preparándose para atacar á los franceses en Echalar, pueblo que dista legua y m…</t>
  </si>
  <si>
    <t>…que después de una batalla sangrienta, mas de 19© franceses rindie ron las armas á un numero casi igual de españoles, por la mayor parte bise-ños. mandados por el valiente y sabio general Castaños. El recuerdo de un acontecimiento tan memorable me ha decidido á se ñalar este día para Is bendición y entrega de banderas de vuestro Regimiento Imperial Alc-xandro; y como no hay ninguno e»tre vo sotros que ignore las obligaciones que contrae desde el moment…</t>
  </si>
  <si>
    <t>Castaños, D Francisco Xavier</t>
  </si>
  <si>
    <t>D Francisco Xavier Castaños</t>
  </si>
  <si>
    <t>…aso al conocimiento de V. E. para su inteligencia. = Nuestro Señor guarde á V. E muchos &lt; años. = Mendigorria i.° de Mayo de 1813.=: Excmo. Sr .zz. Francisco Espoz y Mma. zzEycmo, Sr. D Francisco Xavier Castaños.” [Se continuarán.)Re quena 18 de Junio. A las 2 de la mañana del dia 13 del corriente evacuaron disi muladamente los enemigos el fuerte de esta villa, abandonando los víveres y ftnrage que había de repuesto en él, y retirándose á unir se con la guarnición de…</t>
  </si>
  <si>
    <t>Castaños, Francisco Xavier</t>
  </si>
  <si>
    <t>Francisco Xavier Castaños</t>
  </si>
  <si>
    <t>186</t>
  </si>
  <si>
    <t>…ue, tener á sil cargo las capitanías generales de las provin* cías de Jaen y Granada. Los exércitos llamados ántes quinto, sexto y séptimo formarán el cuarto, baxo las órdenes del Sr. D. Francisco Xavier Castaños, el cual reunirá también las capitanías generales de las provincias de Extremadura, Castilla la vieja y León, Galicia, Asturias y demás com prehendidas en ia demarcación del séptimo exército. El general en gefe del exército de reserva de Andalucía, conde del…</t>
  </si>
  <si>
    <t>Num. 47. 885 GACETA EXTRAORDINARIA DE LA REGENCIA DEL JUEVES 15 DE ABRIL DE 1813. ARTICULO DE OFICIO. El capitán general D. Francisco Xavier Castaños, general en -gefc del cuarto exército i remite al Sr. gefe del estado mayor general desde el cuartel general de Cáceres con fecha 4 del actual, los partes que le ha dirigido el comandante general del alto Aragón el mariscal de campó D. Francisco Espoz y Mina…</t>
  </si>
  <si>
    <t>…de gobierno y reconozca el mérito de estos comandantes y soldados. Dios guarde á V. E. muchos años. Sangüesa 12 de Marzo de 1813. = Excmo. Sr. = Francisco Espoz y Mina. 2= Exemo. Sr. D. Francisco Xavier Castaños.” El mismo Excmo. Sr. D. Francisco Xavier Castaños , general en gefe del cuarto exército, dice al Sr. gefe del estado mayor general desde su cuartel general de Cáceres con igual fecha del 4 lo siguiente: „H1 conductor de los pliegos del comandante de la Rioja…</t>
  </si>
  <si>
    <t>500</t>
  </si>
  <si>
    <t>…nto que ha cabido á estas provincias por un suceso semejante. D‘os guarde á V. £ mucho» años. Puente la Rey na 15 de Marzo de 1813.—Exorno. Sr.—Francisco Espoz y Mi* na. — Exciuo. Sr. D. Francisco Xavier Castaños.” Segundo, „E1 comandante de la partida apostada en el valle de Bastan me comunica lo que sigue. — Mi general: Desde el instante que me acantoné en este valle, no he perdonado fatiga ni medio algu no para inquirir los movimientos d-tl enemigo. Ayer fui avisad…</t>
  </si>
  <si>
    <t>…o, •Sr. duque; del * Parqfté, es el que antes conocíamos por quarto exércitoy el quarto se compone de;los exércitos nominados antes quinto &gt; 6¿xtoy séptimo, man dado por él Excmo. Sr. D. Francisco Xavier Castaños. Se han establecido adema* dos reservas, una en Andalucía á las órdenes del conde del Abisba!, y otra en Ga licia 1 las del general Lac y.</t>
  </si>
  <si>
    <t>…que ha cabido á estas* provincias por un suceso semejante. Dios guarde á V. E. muchos años. Puente la Reina 15 dé marzo de r8i^.=s Exorno. Sr.ss Francisco Espío* y Rliaa. s Excmo. Sr. D. Francisco Xavier Castaños.** ' - - • - . ARTICULO DB OFICIO. Circular dirigida d hs géfts políticos por la secretaría de la Gobernación de la península, I&gt;a Re«ncia deI reino * persuadida de que para dar mayor expedición al despachó de loa-negOciosjde la atribución ae esta secretaria…</t>
  </si>
  <si>
    <t>…lesias, 4 leguas y media de esta villa. Por la parte de Salamanca y Ledesma no son menos rápidos los movimientos de los exércitos que mandan los señores duque de Ciu dad-Rodrigo y D. Francisco Xavier Castaños. Símela 2? de Mayov ? La partida del Médico pasó el Tajo el dia 18 del corriente cón intento de sorprehender á los enemigos acantonados en Burujón; pe ro no habiéndolo conseguido, se retiró á la Puebla de Montalban. Reunidos los enemigos en número de 500 caba…</t>
  </si>
  <si>
    <t>…el comandante general de la provincia y go bernador militar de esta plaza , han recibido á las nueve de la ma ñana de hoi la siguiente noticia oficial, que Ies comunica el Excmo. Sr. D. Francisco Xavier Castaños. »» El exército enemigo reunido en las inmediaciones de Vito ria, y mandado por el Rei intruso,, fue atacado el dia 21 , plena mente derrotado y puesto en fuga 'por el exército aliado, á las órdenes del siempre victorioso marques Wellington, duque de Ciudad-R…</t>
  </si>
  <si>
    <t>…mo puede hacerse un&amp; paz. insistiendo Napoleón en querer conservar sus usurpaciones.. ESPAÑA. XJrbasa 29 de Maye* Partes del mariscal de campo D. Francisco Esyoz y Mina al Exento. Sr. D. Francisco Xavier Castaños.. Primero"■Exorno. Sr.: Por avisos que recibí de dirigirse á Pamplona uit convoy desde Tolosa, escoltado de 2© infantes , trate de serprehenderlospreviamente destiné al cuarto regimiento con órdenes á su comandante , de que apostándose sobre Lecumberri se dir…</t>
  </si>
  <si>
    <t>…á la de S. A. para su apro bación y satiriáccion =3 Nuestro Señor guarde la vida de V. E. mu chos años. Muniain 24 de Abril de 181 = Excmo. Sr. = Francisao Esj?oz y Mina. = Excmo. Sr. D. Francisco Xavier Castaños.”</t>
  </si>
  <si>
    <t>…I : 538Españoles.... 4 8) 453 15 707 93 23° 3940 68 ................ 34 263 4647 195 El señor comandante general de la provincia y gobernador de ésta plaza ha recibido del Excmo. Sr. D. Francisco Xavier Castaños, general en gefe del quarto exército, el oficio siguiente: „ Acompaño á V. S. los adjuntos partes de las ultimas operaciones del cuerpo de exército al mando del general D. Pedro Agustín Girón, á fin de que si lo considera oportuno, lo haga saber á los fieles…</t>
  </si>
  <si>
    <t>…a, que no ha cesado ni dexa de incomodar al enemigo.■= Nuestro Señor guarde á V. E. .muchos años. Sangüesa 12 de May® de 18 £3. == Excmp. Sr. -zz Fran cisco Espozy Mina, — Exento. Sr. D. Francisco Xavier Castaños/*</t>
  </si>
  <si>
    <t>Gazeta de la Regencia de las Españas n.º 88</t>
  </si>
  <si>
    <t>…animados de deseos de su total destrucción y aniquilamiento = Nuestro Señor guarde á V. E. muchos años. Luesia 17 de Mayo de 1813. = Excmo; Sr. = Francisco Espoz y Mina, ss Excmo. Sr. Don Francisco Xavier Castaños.” (Se continuarán.) Cádiz jz de Julio. El progreso de la enfermedad que se está experimentando en Malta, y para cuya extinción se están tomando las mas severas y •portunas providencias por parte del Gobierno de aquella isla, es como sigue , según el diario de…</t>
  </si>
  <si>
    <t>737</t>
  </si>
  <si>
    <t>…ncisco lispoz y Mina. = Y yo lo traslado á V. E. para su inteligencia. ■= Nuestro heno? guarde á V. E. mu chos años. Luesia 18 de Mayo V 1813. — Francisco Espoz y Mi~ np, s Excmo. Sr. D. Francisco Xavier Castaños.” [Se continuarán.) Burgos 4 de j*iio. Partes del general D. Pedro Agustín Girón al Excmo. Sr. Don Francisco Xavier Castaños... Primero* Legorreta 2&lt;S de Junio. — &gt;?Excmo. Sr.: el 22 me dirigí con el cuerpo que está á mis órdenes, precedido por la división Lo…</t>
  </si>
  <si>
    <t>…yo espero que su desengaño cor responda á su escarmiento. = Nuestro Señor guarde á V. E. muchos años. Urbasa 29 de Mayo de i8i3. = Excmo. Sr. = francisco Es— jfoz y Mina. = Excmo. Sr. D. Francisco Xavier Castaños.” Vich 28 de Junio. Ha habido una sangrienta acción el dia 23 del corriente en las inmediaciones de Bañólas. El señor general barón de Eróles seguía, eon solo la primera bri gada de su división, y parte del regimiento de húsares de Cataluña, el movimiento ind…</t>
  </si>
  <si>
    <t>…infantería. = Ei rey intruso y su comitiva están en Ba yona, de donde extraen los mercaderes sus efectos. Burgos 8 de Julio. ,Parte del general D. Pedro Agustín. Girón al Exorno. Sr. Don Francisco Xavier Castaños. " ííExckio. Sr.; Encargué al señor coronel Longa, comandante de la sexta división del exército, tomase los fuertes de Pasages, lo que ha verificado después de dos dias de a.taque.</t>
  </si>
  <si>
    <t>…atro artilleros de esta última plaza, por quienes se sabe que su guarnición está mui escasa de víveres. Tenemos á la vista un parte dado por el general Morillo al capitán ge neral D. Francisco Xavier Castaños, fecha 2 del corriente, el que no inser tamos por ser una relación de las acciones del mes anterior, de que está ya bien instruido el público, y porque probablemente no tardará en recibirse el comunicado á la Regencia por el Excrao. Sr. duque de Ciudad-Rodrig…</t>
  </si>
  <si>
    <t>936</t>
  </si>
  <si>
    <t>…ierto su artillería, dexando á su vista tínicamente dos piezas, ss Dios guar de á V. H. muchos años. = Oyarzun 3 de Agosto de 1813.= Excmo. Sr. = C. Pedro Agustín Girón. 5= Excmc. Sr. D. Francisco Xavier Castaños.” ARTICULO DE OFICIO. Estado de la salud pública de la península é islas adyacentes en la última quincena del mes de Julio del presente año de 1813, for mado en virtud de órdenes del Gobierno por las noticias recibidas en la junta suprema de sanidad. E nferme…</t>
  </si>
  <si>
    <t>Castaños, Francisco Xavier de</t>
  </si>
  <si>
    <t>Francisco Xavier de Castaños</t>
  </si>
  <si>
    <t>319</t>
  </si>
  <si>
    <t>…ino real, con una co lumna escogida de 8000 infantes y 1000 caballos, y se hallaba sobre Fuente la Higuera en el tila de ayer. Alicante 18 de Marzo de 1813. ARTICULO DE OFICIO. El Sr. D. Francisco Xavier de Castaños, general en gefe del 4.° exército, ha comunicado desde su cuartel general de Badajoz en 18 del corriente al secretario del despacho de 1?. Guerra lo que sigue: ,, El comandante del escuadrón de húsares francos de Toledo D, Feliciano Cuesta me dirigió desde Ga…</t>
  </si>
  <si>
    <t>502</t>
  </si>
  <si>
    <t>…Mina.*— Y yo lo elevo á la noticia de V. E. para su inteligencia. Oios gnarde á V. E. ran chos años. Aguiiar 23 de Marco de IBIS. — Exorno. Sr.— Francisco Mspox y Mina* — Exorno. Sr. D. Francisco Xavier de Castaños.1* Cuarto. * « * ,,El capitán de caballería D. Lorenzo Mauleon me avisa que habiéndose situado el 21 del corriente á consecuencia de las órde« nes que le tenia comunicadas con el escuadrón de su mando inte rino en los campos de Ofon, y prado que llaman de Sta…</t>
  </si>
  <si>
    <t>…ecen acantonad as casi en los mismos puntos que indiqué á V. E. — Wellington ESPAÑA. Puente la Reyna 6 de Abril, Partes del mariscal de ca*npo T) Francisco Espnt y Afina ai Excmo. Sr. D. Francisco Xavier de Castaños. Primero, „Excmo. Sr.: El comandante de observación del punto de Ven</t>
  </si>
  <si>
    <t>…tropas se conducen perfectamente bien en todas las ocasiones. os guarde á V. E. machos años. Cuartel general de Ernani Julio 2 de 1813. = Excmo. Sr. = Pedro Agustín Girón. =Excmo. Sr. D. Francisco Xavier de Castaños.” Calatayud 10 de Julio. Los franceses han dexado abandonadas á su propia suerte las guarniciones de Daroca, la Alinunia y Mallen. Madrid 13 de Juno. Por extraordinario que llego ayer al anochecer, se recibió la agradable noticia de haber abandonado los franc…</t>
  </si>
  <si>
    <t>Castaños, FraneisdOXavier</t>
  </si>
  <si>
    <t>FraneisdOXavier Castaños</t>
  </si>
  <si>
    <t>…del corriente debían avistarse ea Witemberg el emperador Alexandró y el rey de Prusia. ESPAÑA. Badajoz 26 de Marzo. El 24 del presente salió de esta plaza para Cáceres el Excrao. Sr. D. FraneisdOXavier Castaños con el estado mayor. Se sabe que los franceses ófeujján el campo de Arañuelo, donde una columna volan te de 220 infantes y 40 caballos, que baxó de Talayera á principio de este mes, robó 7000 cabezas de ganado lanar y cabrío, dexande á aquellos pueblos sumerg…</t>
  </si>
  <si>
    <t>Castaños, Mariano</t>
  </si>
  <si>
    <t>Mariano Castaños</t>
  </si>
  <si>
    <t>…io, como en el embarco de la guarnición, habiéndose distingui do en la brecha el teniente coronel D. Manuel Aguirre, que reci bió un bayonetazo, y el antiguo capitán de artillería D. Mariano Castaños., que se presentó voluntariamente á la defensa de dicha plaza. Corana $ de Junio. listado y fuerza de las divisiones españolas que hay en las pro vincias Vascongadas , Navarra y Burgos. División de Navarra, 7© de infantería y 700 de caballería. Di visión de I…</t>
  </si>
  <si>
    <t>Castaños.', Francisco Xavier</t>
  </si>
  <si>
    <t>Francisco Xavier Castaños.'</t>
  </si>
  <si>
    <t>693</t>
  </si>
  <si>
    <t>…ncisco Espoz y Mina. = Y yo lo participo á V. E. para su inteligencia. Nuestro Señor guarde á V. E. muchos años. Sangüesa 17 de Abril de 1813. = Francisco Es poz y Mina. =: Excmo. Sr. D. Francisco Xavier Castaños.'” {Se con tinuaran.) Denla 2. r de k- Juido. Los enemigos han evacuado á Gandía y demás pueblos inmedia tos. La guarnición enemiga dei castillo de esta plaza se obstina en no entrar en capitulación con el comandante de los paisanos armado?, es decir; no se des…</t>
  </si>
  <si>
    <t>Castaños.’, Francisco Xavier</t>
  </si>
  <si>
    <t>Francisco Xavier Castaños.’</t>
  </si>
  <si>
    <t>…pas se conducen perfectamente bien en todas las ocasiones. „ Dios guarde á V. E. muchos años. Quartel general de Ernani, julio 2 de 1813. = Excmo. $r.=sPedro Agustín Girón.=Excmo. Sr. D. Francisco Xavier Castaños.’*</t>
  </si>
  <si>
    <t>Castell, Manuel Rajnon</t>
  </si>
  <si>
    <t>Manuel Rajnon Castell</t>
  </si>
  <si>
    <t>…Villegas y D. Antonio Martínez, tenientes; D. Luis •Alcalá, subteniente del de la Constitución; Mariano Castell, teniente coronel; D. Josef Rio-mayor, capitán ;D. Nicolás Collar, D. Manuel Rajnon Castell, D. Josef María Hernández y IX Josef de Puga» tenientes; IX Ventura Nogueyra y IX Laureano Triarte,, subtenientes del de volunta rios de Ja Corona; D. Andrés Parga, ayudante; D. Ramón Suero Díaz, y D. Francisco Salgado, tenientes, el primero de granaderos; D.…</t>
  </si>
  <si>
    <t>Castell, Mariano</t>
  </si>
  <si>
    <t>Mariano Castell</t>
  </si>
  <si>
    <t>…. Juan de Oüoqui, teniente del de Gaadalaxara; D* Juan Loarte, coronel; D. Antonio Villegas y D. Antonio Martínez, tenientes ; Don Luis Alcalá, subteniente dei de la Constitución; D. Mariano Castell, teniente coronel; D, José Rio-mayor, capitán; D* Nicolás Collar D. Manuel Ramón Gastell , D. José María Hernández y D. José .efe Paga, tenientes; D. Ventura Nogueyra y D. Laureano Iriarte, sub tenientes del de voluntarios de la Corona; D. Andrés Parga, ayuda…</t>
  </si>
  <si>
    <t>Casterás</t>
  </si>
  <si>
    <t>…n D. Domingo Shniriger, descendiese de las posiciones de la Salud á practicar una diversión sobre la villa de Olot. En efecto, asi se verificó el dia 11, en que hecha por el señor coronel Casterás la distribución de fuerzas que tuvo por conveniente , dio la casua lidad que una pequeña coluna, mandada por el teniente coronel D. Este ban Andreu, que se dirigía desde S. Feliu de Pallerols hácia Olot, se encon trase con otra mucho mayor de enemigos, que de…</t>
  </si>
  <si>
    <t>Casterás, Rafael</t>
  </si>
  <si>
    <t>Rafael Casterás</t>
  </si>
  <si>
    <t>…por retaguardia de Olot, llegando hasta algunos pueblos de Francia; y para distraer las fuerzas que tienen los franceses en dicha villa, mandó al coronel del regi miento de Burgos D. Rafael Casterás que con su cuerpo y unos 30 húsares de Cataluña , al mando del capitán D. Domingo Shniriger, descendiese de las posiciones de la Salud á practicar una diversión sobre la villa de Olot. En efecto, asi se verificó el dia 11, en que hecha por el señor coronel Ca…</t>
  </si>
  <si>
    <t>Castiercagh</t>
  </si>
  <si>
    <t>…stro, y el canciller deJ ra seducir á lps habitantes , y apartarlos de la fide consejo de í.unccster, lidad á S. M- Las pruebas cíe lealtad y afecto que A la salida dei consejo el vizconde Castiercagh he recibido de los súbditos di? S. M. en la América tuvo una audiencia del Príncipe Reaenrc , 6 introseptentrional son sumamente satisfactorias. duxo en esta oca-don al baren Nicho:-:, emb txador 3I Las tentativas del enemigo para invadir el alto Je Ruda, que…</t>
  </si>
  <si>
    <t>Castiereaga</t>
  </si>
  <si>
    <t>…, del Crescent, ba apresado ai corsario america no el Elbíidge Gerry. Ei teniente Morgan, de ’a Bárbara, ha apre sado ai corsario dinamarqués, y un buque que había él apre ado. El vizconde Castiereaga, principal secretario de estado ce S. M. en el departamento de negocios exirang ros, ha recibido pliegos del conde de Aberdeen , escritos en Comnretau ei 12 de Octubre, que dicen haberse hecho un tratado de alianza y de cooperación ectre las cortes de Viesa y…</t>
  </si>
  <si>
    <t>Castiereagh</t>
  </si>
  <si>
    <t>…viando á Francia las riquezas que tenia en Cassel. Id. 16 de Diciembre. Continuación de los oficios remitidos por el vizconde Cathcart, eraba• xador de S. M tí. en Pctersburgo, al vizconde Castiereagh, se cretario de Estafo. Mesumen del diario de operaciones de los diferentes cuerpos de exércilo que tiene baxo su mando al príncipe Kutusow , desde II hasta 15 de Noviembre de 1812. En 11 de Noviembre , el genersl Millaradovitch participó que el 9 del mismo e…</t>
  </si>
  <si>
    <t>…nte del expedido por Bonaparte en otro tiempo para establecer su sisl&amp;mz * continental, ántes que ios rusos se pongan en marcha hacia las ori llas del Rhin. Idem 27 de Febrero. El vizconde Castiereagh, secretario de Estado, ha recibido los oficios siguientes del general vizconde Cathcart, embaxador extraor dinario y plenipotenciario de S. M. B. en Petersburgo. Primero. Petersburgo 8 de Enero de 1813. — „Miiord : Tengo la satisfac ción de participar á V. E.…</t>
  </si>
  <si>
    <t>I24V pív pío puño , y adei H-úga i &gt; de Sedembr Londres 14 de Octubre. El vizconde Castiereagh ha recibido los siguientes oficios del ge* ñera! vizconde Crthcart con fecha de 13 de Setiembre desde Toplitz, y de Sir C. Stev;art con la de 14 de Setiembre desde Praga. 'Extracto de un oficio del vizconde Cathcart, T- j)Iitz 15 de Setiembre. Les austríacos…</t>
  </si>
  <si>
    <t>Castillo, Juan del</t>
  </si>
  <si>
    <t>Juan del Castillo</t>
  </si>
  <si>
    <t>…gimiento de Baza; el capitán D. Joaquín Manresa, y él teniente D. José An tonio de Miguel, de Leales Manresanos ; el subalterno contuso lo es «1 subteniente del regimiento de Baza D. Juan del Castillo. Seguida. Ei único prisionero que se tuvo faé por haber sido in te* herido. = San Feliú de Codlnas 8 de Noviembre de 1813. =;EI gefe de estado mayor de la primera división = Francisco Sterling.zz. El coronel gefe interino de dicha = Lesenne. CÁDIZ : IMPRENTA…</t>
  </si>
  <si>
    <t>Castillon, Gerónimo</t>
  </si>
  <si>
    <t>Gerónimo Castillon</t>
  </si>
  <si>
    <t>…natura! de Zaragoza. 5.0 D. Tadeo Segundo Gómez, ministro del supremo tribunal de Jus ticia, natural de Teniei. • - vr, .• 6.° D. Juan Capistrano Pujadas, vecino de Calatayud. 7.0 D. Gerónimo Castillon , maestre-escuelas de Huesca , natural de Ponzano , partido de Barbastro. 8.° D. Manuel Abella /oficial de 4a secretaría de Estado , natural de Za ragoza. 9.0 D. Nicolás Fá 'Miel, abogado ‘ del colegió ’de 'Madrid , natural de Puerto-Mingalbo, partido de Alca…</t>
  </si>
  <si>
    <t>CastiUo, Florencio</t>
  </si>
  <si>
    <t>Florencio CastiUo</t>
  </si>
  <si>
    <t>…generales y extraordinarias en la sesión de 24 del corriente á la renovación de su presidente, vice-presidente y uno de sus secretarios ; salieron electos, para presidente el S¡r. D. Florencio CastiUo, diputado por Costa-Rica; para vice-pre»</t>
  </si>
  <si>
    <t>Castle-</t>
  </si>
  <si>
    <t>…a los ingleses. Tal fue en Babia el efecto citando que se produzca la correspondencia que ha que produxo esta noticia, que los habitaiues pusie mediado entre el duque de Bass.mo y lord Castle- ron sin ceremonia á sus inquilinos á la puerta de sus casas. El gobernador envió á decir al capitán de reagh. Air. Whitbread apoya esta mocion: cree que el una fragata inglesa, que se apareció á la vista del momento presente es favorable para entablar ne puer…</t>
  </si>
  <si>
    <t>Castlercagh</t>
  </si>
  <si>
    <t>…varán las armas del reino, y se ría igualmente él de'su derecho para pedir el em cambiarán por dinero del banco en el término de plazamiento de la cámara. Mr. Whitbread preguntó á lord Castlercagh un año. ,, En el mismo día 6 se ha dignado S. M. de re si tenia ánimo de presentar á la cámara algunas dis solver que estos asignados deban por espacio de un posiciones Relativas á la carta dé la princesa de Gáíes; y este respondió negativamente. año admitirs…</t>
  </si>
  <si>
    <t>Castlereagb</t>
  </si>
  <si>
    <t>152</t>
  </si>
  <si>
    <t>…ceta extraordinaria de este dia se han publicado los ofi cios y docuB®cutos siguientes, dirigidos por el vizconde Cathcart, embaxador extraordinario de S. M. B. en Petershurgo, ai vizconde Castlereagb , secretario de estarlo. Pelersburgo 31 de Diciembre de 1812.—.,Milord: Aun no se han publicado los últimos partes del exército dirigidos á esta corte para S. M. I , á quien se le han enviado inmediatamente ; pero tengo la honra de remitir á V. E. la traducci…</t>
  </si>
  <si>
    <t>Castlereagh</t>
  </si>
  <si>
    <t>Gaceta de Madrid n.º 1</t>
  </si>
  <si>
    <t>…ni resistir las ve- Los que han leído con atención los debates de xaciones horribles. He aquí lo que produce la- ad la cámara de los comunes en la sesión del 26 de ju miración de! lord Castlereagh, y he aquí también nio conocerán que este discurso es la versión tiel la verdadera causa de su pesar. Lleno de estas ideas de las ideas de lord Castlereagh, que con un poco monstruosas, halla mui regular que los ingleses pri mas de franqueza se hubiera explic…</t>
  </si>
  <si>
    <t>Gazeta de la Regencia de las Españas n.º 1</t>
  </si>
  <si>
    <t>…DO 2 DE ENERO DE vi ’■ ,, . . .. G HAN-BRfiT AÑ A. Landres 8 de Diciembre de 1813. Oficio del vizconde Catitearte embajador extraordinario de S. M. J3. en Petersburgo, dirigido al vizconde Castlereagh, secretario de Estadof con fecha de ll Noviembre {1). ,,Mdord : tengo la honra de" informar á V. E. que Bona parte huyó del distrito de Moscow, tomando el camino de Sraolensko por donde había venido. . c ? ' Los generales conde Platow y conde Orloff Denizoff…</t>
  </si>
  <si>
    <t>…en línea paralela á la de retirada de Ronaparte : no po diendo ya llins impedir la reunión de ios dos exércitos en caso de que se contemple nece&amp;aria. El 22 fue presentado por el lord Castlereagh á S. A. el princi pe regente el Escuro. Sr. conde de Eleven, embaxador extraordina rio y ministro plenipotenciario de S. M. el emperador de todas las Rusias,' quienX entregói-/ sus credenciales. El emperador Ákxandro ha hecho al general Kutusow príncipe de Sm…</t>
  </si>
  <si>
    <t>Gaceta de Madrid n.º 15</t>
  </si>
  <si>
    <t>…sí misma , si del quartei-oueste ^ .-V est—Riding), en la \orrcshtre, se hubiera executado con vigor, decuva opinión se' y de otros muchos quarteles contienen representa-. aparta lord Castlereagh, y te funda en que la con c¡ones sobre los progresos de los alborotos, é insis ducta de los magistrados no ha podido ser mas enér ten en la necesidad de dar á las leyes existentes un gica , y sin embargo no han podido restablecer la poder adicional. Quando se…</t>
  </si>
  <si>
    <t>…ias en to nión que debe buscarse en una enfermedad políti do semejantes á la que se pide. No se debe perder ca: lo digo con toda la sinceridad de mi corazón; de vista que el noble lord Castlereagh hacia enton-* estoi plenamente convencido, y por esta razón he ces parte del gobierno de Irlanda. (No, no.) ¿Y se deseado indagaciones ulteriores. Sin duda que la debe olvidar tan pronto la historia de Irlanda? Los falta de trabajo es mui «.-¡runde, y esta ci…</t>
  </si>
  <si>
    <t>ili Deese que ayer llegó un correo de Viena con pliegos importan tes para el vizconde Castlereagh. El almirantazgo ha dado últimamente órdenes para construir 17 fragatas de á ¿3ti. La corbeta Royalist ha traido á las Dunas al corsario francés Z»ajRussi-e de ¿ti cañones y 75 hombres de tripulación, que había salido de Calais ti horas antes. Una carta de Me…</t>
  </si>
  <si>
    <t>…no se hallaban sancionados por ninguna otra autoridad que su propio antojo. (Se continuará.) Id. 23 de Enero. Oficio del vizconde Catkcart,. embaxador de S. M. en Ilusia, al ®t** conde Castlereagh . secretario de Estado. „Petcrsburgo 2 de Enero. — Milord: tengo el honor de remitir ít Y. £. las copias de dos proclamas, y ademas una lista de los ofi-</t>
  </si>
  <si>
    <t>Gaceta de Madrid n.º 53</t>
  </si>
  <si>
    <t>…imo, y ve . Las noticias sobre los disturbios de Valaquia y nia á bordo del mismo Mr. Róss, que ha pasado á sobfc el tasugo que el Gran Señor ha dado a' los Londres. lia traído al vizconde Castlereagh despa qíie. han tenido parte en las ú’tim.t* negociaciones, chos importantes y confidenciales de Mr. Bares, pfeébaá evidentemente las malas deposiciones de agente ingles en Washington. El Minerva se hizo i r Puerta con la Rusia; por consiguiente los po á la v…</t>
  </si>
  <si>
    <t>Gaceta de Madrid n.º 62</t>
  </si>
  <si>
    <t>…adjuntos al mensage del presidente fragatas que se encontró la Galatea á la altura de al congreso. las islas VVesternas en la costa norueste de la Escocia. Carta de Mr. Rttssel á lord Castlereagh. Extracto de las gazetas de Nueva-Yorck. „Milprd : pienso que basre presentar á la aten Boston g de noviembre. Ha salido un parla ción de V. S la conducta del gobierno de los Es mentario para IlaÜfax con 104 prisioneros inuleses. tados-Unidos, para probar de…</t>
  </si>
  <si>
    <t>…sus funciones. antes sea posible de todos los puntos pendientes, y „Tengo el honor 8cc. = Firmado =Jona Russel.” que este arreglo se contenga en un tratado solemne, Respuesta del lord Castlereagh á Mr. Russel. que se concluirá en Londres ó en Washington, se gún las circunstancias. „Mui señor mió: he mostrado al Príncipe Re ,, Estoi autorizado para afianzar esta condi gente la carta de V. de! dia i.° de este mes, en ción en la publicación de una lei, q…</t>
  </si>
  <si>
    <t>…Vvestmoreel príncipe de Mecklemburgo cerca de la corte de land), el duque de Portland, el conde de-Chatam, Francia, ha pasado por aquí con dirección á París. el eonde üathurst, el vizconde Castlereagh, lord Murgrave, M. G. Canníng y Lord Hawkesbury. 4;&lt;. GRAN BRETAÑA. „ En la minuta de la deliberación inserta en los registros, después de haber declarado que S. A. R. LSndret 14 de febrero. el príncipe de Giles no podía sin faltar á su deber Con mucha pena e…</t>
  </si>
  <si>
    <t>…esolución; y asiJnt&gt;crita tan completa y concluyentemente la historia 10 habla apoyado-, porque fuera de-esto opinaba.'del niño recién nacido ,.que'n&lt;yadtnittarduda el que como el lord Castlereagh en quanto á que no debía no fuese de la princesa de Gales, sino de otra mu- la cámara en el tiempo actual ocuparse de una pro ger llamada. Solía Aus'tiflV'‘No se'funda únicamente posición dirigida á manifestar al público los por me esta decisión en d informe…</t>
  </si>
  <si>
    <t>442</t>
  </si>
  <si>
    <t>…maciones de los habitantes; y en consecuencia de este feliz suceso se ha restablecido el gobierno antiguo, y sale ya un correo de esta ciudad para Inglaterra. Idem 10 de Abril. El vizconde Castlereagh, secretario de estado y de negocios ex* trangeros de S. M. B-, ha recibido los oficios siguientes del vizcon de Caucait, embaxador extraordinario plenipotenciario en la corte de Rusia. Primero. Cuartel general de Kalisch 6 de Marzo de 1813. — ,,MiIord: Re fir…</t>
  </si>
  <si>
    <t>…el lord del depositen en los archivos del primer secretario de sello privado (Westmorland), el duque de Port- Estado de V. AL" land, el conde de Chatam , el conde de Bathurst, el vizconde Castlereagh , lord Mulgravc , el señor Información sobre ía conducta de la princesa secretario Canningy lord Ilawkesbury, de Gales.* „ Los ministros de V. M. en cumplimiento de Declaración de Carlota lady Douglas. vuestras reales órdenes han examinado coa suma atención l…</t>
  </si>
  <si>
    <t>…lería y dos bata-' ilones de tropas de marina. JEl enviado austríaco ha despachado un correo á su corte. Se di ce que sus pliegos contienen el resultado de las conferencias con el lord Castlereagh, y de la audiencia que tuvo del príncipe regente. En el mismo día el embsxador de Ruái» expidió un correo para el Norte. Un oficial del navio ingles, nombrado el Oak, avisa de San Miguel con fe ba de 17 de Marzo, que las 2 fagatas americanas Hombrada» el Cong…</t>
  </si>
  <si>
    <t>…* sible tan augusta ceremonia. Con este motivo pronunció el señor de Bardaxí un discurso análogo á las circunstancias. , í. ■' » I gran-bretaSa.• . , • ; ■ Londres $ de Jn nia. El vizconde Castlereagh, secretario de Estado en el departamento de negocios extrangeros, lia recibido los oficios siguientes de Sir C. Stewart, enviadp extraordinario y ministro plenipotenciario en la corte de Prusia. 4</t>
  </si>
  <si>
    <t>…se na escapado de su prisión en Francia, y llegó áPorts■ mouth acómpáñado de un realista francés. El sábado último se celebró un consejo de ministros, cuyo» resultado pre sentó el lord Castlereagh al Príncipe Régente. . , 1 En todo el mes de marzo último salieron varios transportes de Mesina para Egipto, donde se proveyeron de caballos para la remonta del exército ingles que está en Alicante. El comandante francés en Calabria ha propuesto al gobierno s…</t>
  </si>
  <si>
    <t>Num. 84. 689 flSX&amp;ZáMI asesan ~mt GACETA DE LA REGENCIA DE LAS ESPADAS DEL MARTES 6 DE JULIO DE 1813. GRAN-BRETANA. Londres zg de Junio. El vizconde Castlereagh, secretario de estado de S. M. B., ha re cibido los oficios siguientes deí vizconde Cathcarí y del teniente ge neral Sir Carlos Stewart, con fechas de 26 y .31 de Mayo, y 1.9 de Junio de este ano. Cuartel general de Jauer 2&amp; de Mayo. ”-Milord: Me valgo de una…</t>
  </si>
  <si>
    <t>…os en tomar las armas, y en volver con honor á su patria restituida al goce de sus derechos. = Firmado = Von Hesse. (Courrier d*Angleterre.) GRAN BRETAÑA. Londres $ de junio. &gt; El vizconde Castlereagh, secretario de Estado en el departamento de ne gocios extrangeros, ha recibido los oficios siguientes de sir C. Stewart, envia do extraordinario y ministro plenipotenciario en la corte de Prusia. Primero. Qu irtel general de Wurtzen 20 de mayo de 1813. ,,Milo…</t>
  </si>
  <si>
    <t>…guna arti llería, los quales marchaban desde el Oder á reunirse con el exército prin-^ cipal. ,,Tengo la honra &amp;c.= Carlos Stewart.” Extracto de un oficio del vizconde Catkcart al vizconde Castlereagh, Quartel general de Ober-Groditz i.° de junio, ,, El Emperador se pu so en marcha para Jauer ¿125, para Striegau el 27 , y el 28 para Schweidnitz: SS. MM. sentaron ayer sus quarteles generales en la aldea de OberGroditz, entre Schweidnitz y Reichenbach. ,, Bo…</t>
  </si>
  <si>
    <t>…ondres j$ de junio. Mr. Adamston r oficial de la legación alemana, llegó el sábado pasado á la secretaría de Negocios extrangeros con despachos de Suecia. Después de entregarlos á lord Castlereagh, pasó á casa del embaxador de España. Se cree que estos despachos tienen relación con las proposiciones hechas últi mamente á la Dinamarca por los aliados. Cartas recibidas de Holanda en el mismo dia dicen que ha habido en Leyden el 2 de mayo alborotos de con…</t>
  </si>
  <si>
    <t>…olly las funcio nes de comandante-en gefe de los exércitos aliados. El general Millaradowitch, en razón de estar enfermo, ha entregado por ahora su mando al conde de Pahiin. .1 El vizconde Castlereagh, secretario de Estado de S. M. Británica , ha recibido los oficios siguientes del vizconde Cathcart y del teniente general sir Carlos Stewart,- con fechas de 26 y 31 de mayo y i.“ de junio de este año'.-no ¿A .xL&amp;ou*. ,¡r. Quartel general $¿e Jauer iG de mayo…</t>
  </si>
  <si>
    <t>…TAÑA, i ¿:,c;Vví , , , • • Londres de junto. r El general Hope ha regresado de si* misión al Norte, y llegó el sábado á Londres: inmediatamente tuvo una larga conferencia con ¡el; lord Castlereagh, y el domingo fue presentado al Principe J^egente por el duque^de York. Del jo. Ha salido para Alemania Mr. Machéiízie, que ha desempeñado otras ve ces comisiones de confianza. Se dice que.va al quartel general de Jos exércitos aliados con despachos de import…</t>
  </si>
  <si>
    <t>…se hecho con la Suecia un tratado tan antipolítico é injusto, suplicándole en consecuencia que deshi ciese cuanto antes unos convenios tan contrarios al honor de su co rona &amp;c. El lord Castlereagh, ministro de negocios extrangeros, le respondió en el siguiente discurso: „Me comidero con derecho para quejarme de las expresiones de que se ha valido en esta discusión el muy honorable represen tante , y me admiro de las objeciones que hace al tratado , tan…</t>
  </si>
  <si>
    <t>…pronósticos siniestros de sus antiguas conexiones con la Fran cia ¿no será un proceder injusto y poco generoso?” En contestación al discurro de Mr. Canning, que habló: después del lord Castlereagh, acusando á los ministros de que hubiesen ga rantido la Noruega á la Suecia, declaró este que no existía por parte del gobierno británico garantía ninguna de la Noruega , ni aun de la Guadalupe, y que la Suecia recibe de la Gran-Bretaña esta isla con los mism…</t>
  </si>
  <si>
    <t>Castlereágh</t>
  </si>
  <si>
    <t>Num. 140» n f 3 GACETA DE LA REGENCIA DE LAS ESPAÑAS DEL MARTES 26 DE OCTUBRE DE 1813. GRAN-BRETAÑA. Londres jo de Setiembre. Continuación de los oficios remitidos al vizconde Castlereágh -por el general Ste'wart. Ctiartel general de S. AI. I. el emperador de Rusia en Altenberg 29 de Agosto de i8ig. Mi lord: habiendo el 27 abandonado el enemigo el campo inmediato á Dresde , llamado Gíossen Garden, y refugiádose en sus obras avanzadas, y en los…</t>
  </si>
  <si>
    <t>…el prín cipe real de SueJa, se ve en estado de volver á comenzar sus ope raciones contra Davoust, que aun estaba en*Schwerin. Oficio de E. Thometon al primer secretario de Estado, vizconde Castlereagh , desde Juterboch d 7 de Setiembre. Tengo la honra de informaros que el exéreito combinado de. Bo hemia, en la mañana del 4 al 5 de Setiembre avanzó; y parece, se gún las noticias recibidas hasta ahora, que los soberanos aliados te nían intención de tomar nue…</t>
  </si>
  <si>
    <t>…cierto que la expedición inglesa que debe desembarcar en Ho landa se compondrá principalmente de los voluntarios milicianos, que en vir tud de qn bilí del parlamento propuesto por lord Castlereagh, son admitidos á incorporarse en la ¡tropa de línea para servir fuera del pais. El mando de esta expedición se ha confiado al valiente sir Tomas Picton, y se cree que eí príncipe de Orange , ah servicio del exército de la península, será llama do para tomar p…</t>
  </si>
  <si>
    <t>…. \ * v Del 22. . . Ayer y después de haberse presentado los diputados holandeses á lord Melviile, pasaron á casa del Príncipe de Orangé, ;que sin detención les acom pañó á la del vizconde Castlereagh. S. A. S. y el vizconde salieron á las ir y media á dar esta fausta noticia á A. R. el Príncipe Regente, que los recibió con el mayor agrado. Estuvieron en conferencia hasta las dos, á cu yo tiempo saiió el vizconde Castlereagh para su secretaría, adonde habi…</t>
  </si>
  <si>
    <t>…ando la formación de un exército de reserva en Utrech. Del 3 4. Se han recibid® pliegos de sir Cárlos Sfcewart, escritas en Gottinga y Hannóver con fechas de 2 y 11 de noviembre á lord Castlereagh, cuyo con tenido en extracto es el siguiente:</t>
  </si>
  <si>
    <t>Gazeta de la Regencia de las Españas n.º 171</t>
  </si>
  <si>
    <t>…de elía. =• Ri general de artillería/'comandante én gefe del ejército imperial y real del Tirol y de la Italia. — Muren de I'HUer. Extracto de dos ejidos de Sir Cdrles Síewart al vizconde Castlereagh desde Goltinga el 2 de Nv'siembre. «Milord: Se suspendió el movimiento sobre Cassel, y el Prínci pe Real dirigió sos operaciones hacia el Hannover. Davosst no mues tra querer separarse de los dinamarqneies- JH1 exterminio del enemigo en el Norte; la pronta co…</t>
  </si>
  <si>
    <t>Castlereagh, Melville y</t>
  </si>
  <si>
    <t>Melville y Castlereagh</t>
  </si>
  <si>
    <t>…pera que S. A. S. salga mañana. Mr. Gevers, diputado de Rotterdam, es miembro dei antiguo go bierno. Luego que llegó visitó al Príncipe de Orange; después fue á confe renciar con" lord Melville y Castlereagh, y por la tarde salió para su país, encargado de una importante misión, Ayer mañana llegó á esta ciudad el duque de Yorck á tratar de los negocios relativos á la expedición de Ho landa. Las tropas se embarcarán mañana. Acompañan la expedición el ma yor genera…</t>
  </si>
  <si>
    <t>Castlereagk</t>
  </si>
  <si>
    <t>Num. ijf. GACETA DE LA REGENCIA DE LAS ESP AÑAS DEL SABADO 23 DE OCTUBRE DE 1813. GRAN-BRETAÑA. Londres 21 de Setiembre. Oficias remitidos al vizconde Castlereagk, secretario de Estado por el teniente general S* C. Stevvsirt, enviado extraordinario ,y mi nistro plenipotenciario de S. M. B. cerca de la corte de Fru sta , con fecha *7, 29 , 30 y 51 de ^Agosto. Cuartel general de S. M. el rey de Prusia, Xehista 27 de Agos…</t>
  </si>
  <si>
    <t>Castlereagn</t>
  </si>
  <si>
    <t>…recibido, y no hacer mas que renovar el .tratado concluido con ¡el príncipe. Dolgoroucky; pero con gran admiración suya el Príncipe Regente rehusó re cibir la carta del Rei, y el lord Castlereagn le significo que no podía hacer se tratado alguno con la Dinamarca á menos de que por un artículo preli minar no se cediese la Noruega á la Suecia. Pasados algunos dias el conde de Bernstorff recibió orden de volver á Dinamarca. Al mismo tiempo se empleaba un…</t>
  </si>
  <si>
    <t>Castlereauji</t>
  </si>
  <si>
    <t>Gaceta de Madrid n.º 108</t>
  </si>
  <si>
    <t>…verpool, -del aviso de lord Thuriow, quien creyó correspon el conde de Miilglave, el vizconde Melville, el diente á su carácter de hombre público dar cuenta vizconde Sidmonrh , vi"vizconde Castlereauji, el de todo á S. M ; y habiéndose dignado V. A. R. mui hoñrado obispo-de Londres, el mui -'honrado de mandarnos declarar si:en fuerza de todas las cirlord Ellenbrough, lord gefe de la justicia del tribu P .cunstancias de este negocio juzgamos conveniente na!…</t>
  </si>
  <si>
    <t>Castleresgh</t>
  </si>
  <si>
    <t>…cierto que la expedición inglesa, que debe desembar car en Holanda, será compuesta principal mente de los voluntarios milicianos, que por un bilí del parlamento, propuesto por el lord Castleresgh, son admitidos á incorporarse ea la t opa de línea para servir fuera dd país. El mando de esta expedición se ha confiado al ▼slero.io Sir Tomas Picton, y se cree que el príncipe de Orsnge, al servicio del exército de la península, será llamado para tener part…</t>
  </si>
  <si>
    <t>Castlereugh</t>
  </si>
  <si>
    <t>463</t>
  </si>
  <si>
    <t>…tencia por medio de la gaceta del Gobierno, y de la orden general de los exércitos de operaciones y de reserva. Con fecha del 30 de Marzo próximo pasado ha comunicado de oficio el lord Castlereugh , principal secretario de Estado de S. M. B. parales Negocios ex t tange ros, al cor de de Fernán-Nuñez, embaxador de 8. M en la corte de Londres, que S. A. R el Príncipe Regente del Reyno Unido , había mandado bloquear rigorosamente los puertos y bahías de N…</t>
  </si>
  <si>
    <t>CastleSluttgardt</t>
  </si>
  <si>
    <t>…sobre Jasfianza del buen señor, que se había constituido su fábricas de cerveza de azúcar, y almidón. pupilo. WURTEMBERG. CAMARA DE LOS COMUNES. Sobre la proposición hecha por el lord CastleSluttgardt 16 de diciembre. reagh, insinuando que se ha advenido ahúma in El Rei fue ayer mañana ¿ Louisburgo á pasar exactitud en el bilí sobre la compra de tierras para</t>
  </si>
  <si>
    <t>CastleTe</t>
  </si>
  <si>
    <t>86</t>
  </si>
  <si>
    <t>…or la secretaría de negocios extrangeros el oficio siguiente: ,,S. A R. el príncipe regente, en nombre y representación de S. M., ha tenido á bien ha cer saber, por medio dei lord vizconde CastleTe^gh, secretario de Estado , á los ministros de las potencias amigas que residen en esta corte, que se han tomado las providencias necesarias, de orden ¿e S. A R., para el bloqueo de los puertos y esuenachif de la bahía de Chesapeake y del rio de Delaware en lo…</t>
  </si>
  <si>
    <t>Castrejon, José</t>
  </si>
  <si>
    <t>José Castrejon</t>
  </si>
  <si>
    <t>…oriega,D. Francisco Xavier Alva rez y D. Francisco Fresno , tenientes ; D. Sebastian Sánchez, Don Félix Arenal, D. Juan José Paz y D. Luis Ortiz Falla, subtenientes dei de Laredo; D. José Castrejon, teniente, y D. Vicente de la Tórnente., subteniente del de tiradores de Cantabria; D: Buenavent&amp;ra Tomasa, teniente coronel; D. Guimeiindo Churruca, teniente, y D. José Manuel Carril, subteniente dei segundo de Guipúzcoa, y D. José Aibun, subteniente del pri…</t>
  </si>
  <si>
    <t>Castrejon, Josef</t>
  </si>
  <si>
    <t>Josef Castrejon</t>
  </si>
  <si>
    <t>…iega, D. Francisco Xavier Alvarez y D. Fran cisco Fresno , tenientes; D. Sebastian Sánchez , D. Félix Arenal ; D. Juan Josef Paz y D. Luiz Ortiz Falla, subtenientes del de Laredo; D. Josef Castrejon , teniente, y D. Vicente de la Tórnente, subteniente del de tirado res de Cantabria; D. Buenaventura Tomasa, teniente corone!; D. Guimeriudo Cliurruca, teniente, y D. Josef Manuel Carril, subteniente del se gundo de Guipúzcoa, y D. Josef Albun , subteniente d…</t>
  </si>
  <si>
    <t>Castro</t>
  </si>
  <si>
    <t>539</t>
  </si>
  <si>
    <t>…beza del Buf j para la ciudad, tomé el c&amp;miao de las Lagunas el 10, y á su vístame acuartelé el 11 , después de haber batido en mi entrada como 200 que se acercaron á incomodar al capitán Castro, que for maba mi vanguardia, y que con tres compañías de granaderos se h&amp;bia adelantado á tomar posesión de la población En el mismo dia se retiró Diez-Velez con su decantado exército , que consiste en peco mas de 600 hombres y 29 piezas de ¿ 4 : ignoro su pa…</t>
  </si>
  <si>
    <t>Castro, Femando</t>
  </si>
  <si>
    <t>Femando Castro</t>
  </si>
  <si>
    <t>…ales , D. Tomas Cortés, D. Francisco Melero, D. Tomas Bao darán, D. Epifanio Esteban, D. Temas Terreiro, D. Manuel Ubiña, D. Juan Jaldon , D. Alexandro Buitrón , D. Gabriel Lobo , D. Femando Castro, D. Juan Areliano y D. Antonio Matamoros. También han sido examinados por la referida brigada, y promovidos á subtenientes del propio cuerpo, D. J03Ó Roldan, guardia del real cuerpo de guardias de CoTps, y D. Mariano Geiavert, cadete del regimiento de infante…</t>
  </si>
  <si>
    <t>Castro, Ignacio Pablo Sandino de</t>
  </si>
  <si>
    <t>Ignacio Pablo Sandino de Castro</t>
  </si>
  <si>
    <t>876</t>
  </si>
  <si>
    <t>…Barrio; en Salamanca en la der Barco; en Cartagena en ia administración descorreos, y en Málaga en la imprenta de Carrera. Viage de Ánacarsis el joven por la Grecia, traducido por D. Ignacio Pablo Sandino de Castro , del consejo de S. M. Obra.completa en 9 tomos,en 8.a, con el mapa déla Grecia; á rpo rs. á la rústica. Se hallará en la librería,dé Millana, ca lle de Préciados,casanneva de las Descalzas reales. Sitio de Tarrá^énaVbéurréhciás entré los franceses y el gener…</t>
  </si>
  <si>
    <t>Castro, Manuel de</t>
  </si>
  <si>
    <t>Manuel de Castro</t>
  </si>
  <si>
    <t>…n de Segcvia, a'calde. D. J aime Bouhde, alcalde. D. Francisco JCavier Correa , substituto primero. D. Benito Rodríguez,, substituto primero. D. ManueL Casado, substituto segundo. D. Manuel de Castro, substituto segundo. Barrio de Doña María de Aragón. Barrio de las Descalzas Re ates. D. Josef Cañedo, alcalde. D. Fr..neÍsco de 1 ruegas, alcalde. D. Félix Bener, substituto primero. D. Francbco L..yin , 'substituto primero. D. Manuel Urbina , substituto seg…</t>
  </si>
  <si>
    <t>Castro, Miguel José</t>
  </si>
  <si>
    <t>Miguel José Castro</t>
  </si>
  <si>
    <t>…denotaban las incom parables virtudes de la nación española, sabiduría de sus dignos le gisladores, y la impoitancia dé nuestra Góiistitucáoti. JLos párrocos IX.Matiasftíelgado y D. Miguel José Castro, se distinguieron por su decidícío empeño en solemnizar la función dedglesia; y en todos; los actos ídió las mayores demostraciones de júbilo aquella ciudad. D¿? todo lo que ha pasado, aviso circunstanciado el mismo corregidor Peynado, cuyo distinguid^ patrio…</t>
  </si>
  <si>
    <t>Castro, Saturnino</t>
  </si>
  <si>
    <t>Saturnino Castro</t>
  </si>
  <si>
    <t>…onio Lefdaei; el teniente coronel 1). Juan Tomas Moscoso , que ha tomado el mando de Abancay, y ha desempeñado mis órdenes con el ratjor acierto , é infatigable buena voluntad; el capitán D. Saturnino Castro, que lleno de es píritu , talento y voluntad ha sido el último de mi vanguardia, y ha ocupado siempre ei mayor peligro : su hermano el aTert z D, Pe dro Antonio, y el de la caballería de Tinta ; el valiente y activo Doa Julián Campana ; «^comandante y segundó…</t>
  </si>
  <si>
    <t>Castro, Toaquin González de</t>
  </si>
  <si>
    <t>Toaquin González de Castro</t>
  </si>
  <si>
    <t>…do,substituto primero. Barrio de la Buena-Dicha. D. Angel de Sata, substituto segundo. D. Rafael Flores, alca,Je. Barrio de la Latina. D. Manuel Gómez Delgado, substituto primero. D. Toaquin González de Castro, alcalde. D. Itid ro Castelas, substituto segundo. d. r vancisco Verdejo, substituto primero. Barrio de S. Placido. D. Juan Hermoso Daza, substituto segundo. D. M:guel de Tena, alcalde. . Banjo de S Francisco. D. J uau Ventura Apesteguía, substituto pri D. Jo…</t>
  </si>
  <si>
    <t>CastUreagh</t>
  </si>
  <si>
    <t>…L JUEYES 21 DE OCTUBRE DE ISIS. GRAN-BRETAÑA. Londres de Setiembre. SECRETARIA DE NEGOCIOS EXTRANGEROS. Oficios de Mr. Thorneton, lord Cathcart y Sir Carlos Ste*wartt remitidos al vizconde CastUreagh, ministro de estado , de ¿de Juterbock a 31 de Agosto, i.° y 8 de Setiembre. OFICIO PRIMERO. Juterbock 8 de Setiembre. n Mi lord: A poco rato que os remití el oficio de ayer desde Bruck, partí de este pueblo porque el barón de Wetterstsd recibió orden del Prí…</t>
  </si>
  <si>
    <t>Catalá, Josef</t>
  </si>
  <si>
    <t>Josef Catalá</t>
  </si>
  <si>
    <t>mero de enemigos que ataco á Galpe no baxa de 400 &gt; y el patriota D. Josef Catalá los rechazó con soler 80 paisanos. C ' Cádiz 3 de junio. El señor duque de Ciudad-Rodrigo ha dirigido al secretario de Estado y del despacho de la Guerra los oficios siguientes: • -i.° ,,Excmo. Sr.: habiendo hecho las tropas que forman la izquierda del exérci…</t>
  </si>
  <si>
    <t>Catbcart</t>
  </si>
  <si>
    <t>Núm. xrs~ S&gt;29 na GACETA DE LA REGENCIA DE LAS ESP AÑAS • / DEL JUEVES 2 DE SETIEMBRE DE 1813, GRAN-BRETAÍJA. Londres ij de Agosto. Ayer se recibieron en esta capital pliegos de lord Catbcart y de Sir C. Stewart con fecha de 30 del anterior. Según ellos, los exércitos aliados, reforzados considerablemente durante él armisticio, se hallan en el mejor estado posible. A la salida del correo del cuar tel general se ignoraba aun si se prolongada ó no e…</t>
  </si>
  <si>
    <t>Catchart</t>
  </si>
  <si>
    <t>…s, 7000 muertos y heridos, 2 piezas de artillería, ademas de otras 12 de que ya di paite, y una águila que pongo á los pies de V. M. — Wdtgensiein^ ' t ' a i ir Por Los pliegos de lord Catchart llegados a Londres el 16, su fecha en Peteisburgo á 22 de Diciembre, se sabe que los rusos hi cieron 20000 prisioneros franceses desde el paso del Berezina hasta Wilna ademas de los bagages, en que se hallaron muchos equipages pertenecientes al mismo Bonapart…</t>
  </si>
  <si>
    <t>…os, gozarán de los privilegios concedidos exclusivamente basta ahora á los cadetes nobles y á los hijos de los oficiales. Id. hasta el *&lt;T. ; T Llego por fin el deseado oficio del lord Catchart. Dresde 6 de mayo. En mi último pliego informé á V. S. de la llegada del Regulador de Francia, y de la concentración de sus fuerzas en las inmediaciones de Er— furth y al otro lado del Saale, asi como de la reunión de los aliados sobre el Elster---- .Ahora te…</t>
  </si>
  <si>
    <t>…tonio Loriga y al de infantería D. Dele gado, que se hallaban de pasagéros en el bergantín apresado. ' j Del 12. 1 Ademas de la relación de la batalla del 2 de mayo comunicada por lord Catchart, traen los papeles ingleses otra copiada dé la -gazeta de'Berfin del dia 9, la que daremos por extenso, bastando decir-por ahorksque los pru;sianos la denominan batalla de Gros-Gorschen; y que por no haberse dado qúartel respectivamente apenas cogieron 1® pri…</t>
  </si>
  <si>
    <t>…ca, los prusianos y los tiradores ingleses hicieron una valerosa resistencia; pero el capitán Muller tuvo tiüá equivocación , juzgando que un cuerpo de (1) Esta relación es la que lord Catchart remitió con el oficio que insertamos en la gazeta de 2 a del corriente* •</t>
  </si>
  <si>
    <t>Catfarelli</t>
  </si>
  <si>
    <t>Gaceta de Madrid n.º 26</t>
  </si>
  <si>
    <t>…ntander, ha traído dremos sostener ya nuestros derechos. ¡ Fatalidad la pliegos al gobierno del almirante Popham. Se dice nuestra si sucede asi! supuesto que no hai ninguno que el general Catfarelli, que ha reemplazado á de nuestros derechos que no hayamos abandonado Marmont en el mando del ejército de Portugal, en uiv tiempo ó en otro. „ El pabellón defiende la ha tomado el camino de Francia con todas las fuer mercancía, dice el enemigo.” No , decimos n…</t>
  </si>
  <si>
    <t>Gaceta de Madrid n.º 48</t>
  </si>
  <si>
    <t>…El ministro de mucho tiempo. "Policía general = Firmado = el duque de llóvigo. Asi es que toda España sabe ya el dia de lioi Día 2j. Los individuos arrestados ayer, y otros que el general Catfarelli jamas pensó en llevar sus indi-.iadoi de complicidad, han sido hai trasladados tropas ú Francia, sino en echar á los enemigos de las á la cárcel de la Abadía. Se ha formado una comi costas de Cantabria, y que el Emperador no nece sión militar para que los juz…</t>
  </si>
  <si>
    <t>Cathcarí</t>
  </si>
  <si>
    <t>…DE LAS ESPADAS DEL MARTES 6 DE JULIO DE 1813. GRAN-BRETANA. Londres zg de Junio. El vizconde Castlereagh, secretario de estado de S. M. B., ha re cibido los oficios siguientes deí vizconde Cathcarí y del teniente ge neral Sir Carlos Stewart, con fechas de 26 y .31 de Mayo, y 1.9 de Junio de este ano. Cuartel general de Jauer 2&amp; de Mayo. ”-Milord: Me valgo de una ocasión que se me presenta para participar á V. E., que el ene migo no ha perseguido á la re…</t>
  </si>
  <si>
    <t>Cathcart</t>
  </si>
  <si>
    <t>…riben del continente que el rey de Westfaiia, Geróni mo , va enviando á Francia las riquezas que tenia en Cassel. Id. 16 de Diciembre. Continuación de los oficios remitidos por el vizconde Cathcart, eraba• xador de S. M tí. en Pctersburgo, al vizconde Castiereagh, se cretario de Estafo. Mesumen del diario de operaciones de los diferentes cuerpos de exércilo que tiene baxo su mando al príncipe Kutusow , desde II hasta 15 de Noviembre de 1812. En 11 de No…</t>
  </si>
  <si>
    <t>…franceses cogidos en las últimas ac-; ciones es mucho muyor de lo que se habla creído. Un correo ruso, que salió de Petersburgo después del conreo in gles que traxo los oficios de lord Cathcart, refiere que había llegado un correo del exército con la noticia de la muerte de Ney, y de la rendición del exército de Beauharnóis , quedando este, prisionero. Mensa ge de S. A. el Príncipe Regente á la Cámara de los Comunes en 17 de Diciembre, ‘ ■ ‘ ,,El pr…</t>
  </si>
  <si>
    <t>74</t>
  </si>
  <si>
    <t>…e Noriembre el general conde Wittgenstein derrotó ei cuerpo de Víctor, después de haber perseguido á Bonaparte por uno de los caminos que conducen á W lina. Ultimamente, participa lord Cathcart con fecha del 7 de Diciem bre, que acababa de pasarle aquella corte un parte del almirante Tchitchagoff de 29 de Noviembre en que da cuenta de sus opera* ciones desde el 21 del mismo, y dice que de acuerdo con los generales Wittgenstein y Platow iba persiguie…</t>
  </si>
  <si>
    <t>…para que se 'pueda formar una idea clara y exacta de los sucesos ocurridos últimamente. La situación de los exército s rusos y franceses áhtes de la lle gada de los despachos del lord Cathcart era del modo siguiente. — Bonaparte tenia consigo en Smolensko la guardia avanzada á las ór denes de Murat, y los cuerpos de Ney y Davoust. Beauharnois se retiraba á Doghovischina con parte de su cuerpo, entre tanto que el resto se encaminaba á Dorogóbuz. Víc…</t>
  </si>
  <si>
    <t>…de los negocios extrangeros. — Copia de los oficios dirigídos al vizconde Casilcreagh, secretario de Estado de S. M. en el departamento de los negocios extrangeros por el general vizconde Cathcart, embaxador extraordinario y plenipotenciario de S. M* cerca del emperador de Rusia. „Petersburgo 30 d$ Noviembre.— Milord: En mi oficie* de 25 del corriente tuve la honra de participar á V. E* las gloriosas é im portantes victorias conseguidas por los exércit…</t>
  </si>
  <si>
    <t>ría el numerario t y reclamada la cuestión previa por En vano lord Cathcart y sir Wilson le «frecen el canciller del echiquicr, se retiró igualmente esta sus almirantes: todo el mundo conoce que no se última resolución en fuerza de la mayoría de 73 salva á la Rusia con quatro lanchas cañoneras ó al votos contra 29. gunas fragatas apo…</t>
  </si>
  <si>
    <t>…Aliean un balazo en el lado izquier do , pero la herida no es peligrosa. g Idem 19 de Enero. En gaceta extraordinaria de ántes de ayer se han publicado los oficios siguientes del vizconde Cathcart, embaxador extraordinario de 8. M'. B. en Potersburgo, dirigidos al vizconde Cbstlereiigh, se cretario de Estado. l.° jPettrs urgo 12 de Diciembre.—,,MiIoTd: Me aprovecho de la salida de un correo sueco para remitir á Y. E. la traducción de dos</t>
  </si>
  <si>
    <t>…168 piezas de artillería, 4 banderas y una águila. Idem 20 de Enero. En gaceta extraordinaria de este dia se han publicado los ofi cios y docuB®cutos siguientes, dirigidos por el vizconde Cathcart, embaxador extraordinario de S. M. B. en Petershurgo, ai vizconde Castlereagb , secretario de estarlo. Pelersburgo 31 de Diciembre de 1812.—.,Milord: Aun no se han publicado los últimos partes del exército dirigidos á esta corte para S. M. I , á quien se le h…</t>
  </si>
  <si>
    <t>…s y 60 hombres; y otra del capitán Alexander, del Coloso, dando cuenta de la presa del Delfín, corsario también americano de 12 ca ñones y 56 hombres. Idem 21 de Enero. Oficio del vizconde Cathcart, embaxador extraordinario de S. M. R. en Peierslwrg^, al vizconde Casflerea¿k, secrttario de Estado. Petesburgo 31 de Diciembre. — „Milord: Participo á V. E con el iíias profundo sentimiento la muerte del conde de Tyrconnel. Mi litando en el exército ruso á f…</t>
  </si>
  <si>
    <t>…es que ios rusos se pongan en marcha hacia las ori llas del Rhin. Idem 27 de Febrero. El vizconde Castiereagh, secretario de Estado, ha recibido los oficios siguientes del general vizconde Cathcart, embaxador extraor dinario y plenipotenciario de S. M. B. en Petersburgo. Primero. Petersburgo 8 de Enero de 1813. — „Miiord : Tengo la satisfac ción de participar á V. E. que el conde Heller llegó aquí anoche, enviado por su tío el conde Wittgenstein con la…</t>
  </si>
  <si>
    <t>…comercio su inde pendencia primitiva. Soy &amp;c. — El harón de Engesimm” , Idem 16 de Mamo. El vizconde C&amp;stlereagh, secretario de Estado, ha recibido el oficio seguiente del general vizconde Cathcart, embaxadar extraor dinario de S. M. B. en la corte de Rusia. JP’ctersburgo 6 de Febrero. —,J,Milerd : por el diario de las ope raciones militares desde el 20 al 23 de Enero, se ve que eí 20 es taba en Puítusk el cuartel general del príncipe S'chwartzenbe-rg,…</t>
  </si>
  <si>
    <t>…se confirman las 'noticias de haber ocupado los rusos á Varsovia, Bérlin, Hamburgo , Mecklemburgo, y una gran parte de los territorios de Hansovsr y Saxonia ; y por los par tes de lord Cathcart consta que se ha concluido un tratado de aliau* za ofensiva y defensiva entre el emperador de Ruda y el rey de Prusia, como se ve en el siguiente boletín que acaba de publicarse: „E1 gobierno ha recibido oficios de lord Cathcart hasta el 6 del corriente, conf…</t>
  </si>
  <si>
    <t>…ares de hombres con alguna artillería, ios cuales marchaban desde el Oder á reunirse coa el exército principal. «Tengo la honra &amp;e. =: Carlos Síe'war-t.” Extracto de un oficio del vizconde Cathcart al vizconde Cas riere agli. Citartel general de Ober- Groditz i.° de furrio. "El emperador se puso en marcha para Jauer el 25 , para Soicgau el 27 , y el 28 para Schwei-inirz : SS. MM. sentaron ayer sur. cu ruteles generales en la aldea de Oh:r-Groditz, entre…</t>
  </si>
  <si>
    <t>…de estar enfermo, ha entregado por ahora su mando al conde de Pahiin. .1 El vizconde Castlereagh, secretario de Estado de S. M. Británica , ha recibido los oficios siguientes del vizconde Cathcart y del teniente general sir Carlos Stewart,- con fechas de 26 y 31 de mayo y i.“ de junio de este año'.-no ¿A .xL&amp;ou*. ,¡r. Quartel general $¿e Jauer iG de mayo. „ Milord; me valgo de una</t>
  </si>
  <si>
    <t>…á otro en Stokolmo la garantía del Austria en cuanto á la agregación de la Noruega á la Suecia* Ayer llegaron también un correo de Gottemburgo, y un extra ordinario con pliegos de lord Cathcart. Se dice que está para con cluirse un tratado de comercio entre Rusia y este reyno, cuyos ar tículos son muy ven tajo; os á ámbas naciones. Los periódicos y cartas que hemos recibido llegan, hasta el 13 las de Petersburgo, y hasta el 26 las de Gottemburgo. Un…</t>
  </si>
  <si>
    <t>…ros que Bonaparte ha hecho ir allí durante su ausencia de París. Unos han dicho que era Fernando vil y sus hermanos, otros que era el Papa. Idem del 6. La fecha de los pliegos del lord Cathcart es dei 16 de junio, y nada di cen, de la prolongación del armisticio: tampoco habla de ella Bonaparte en sus despachos del 21. La tal noticia ( de haberse prolongado por dos meses el armisticio) no empezó á correr en Francfort hasta el 23. ’ Corre la V02 de q…</t>
  </si>
  <si>
    <t>…archa por el Vístula; y por noticias de A; leinania se sabe que este mismo cuerpo, mandado por el general Lobanpw,, sp. había*reunido ya á Wittgenstein. Los* últimos despachos del lord Cathcart son de fecha de 16 de junio : na da dicen relativo á la prolongación del armisticio, como falsamente había corrido por. noticias de Francfort._* Dicen que han desembarcado en Ru gen 16© rusos para unirse á los suecos,y que Bernadotte se dirigía á Ham burgo. B…</t>
  </si>
  <si>
    <t>…e el 13 por la mañana se pu so en movimiento todo el exército austríaco, trasladando su quartel general á Praga, para donde habían salido el Emperador de Rusia, el Rei de Prusia y lord Cathcart. Se nos asegura que esta noticia se recibió aqui de oficio. El general Moreau salió el dia 4 de agosto de Istad para Stralsund , don de llegó con felicidad, y fue recibido por su antiguo amigo y camarada el príncipe'Bernadotte, que expresamente había venido d…</t>
  </si>
  <si>
    <t>Gazeta de la Regencia de las Españas n.º 124 (extraordinaria)</t>
  </si>
  <si>
    <t>…gestrom. (L. S.) G. barón de Wetterstedt. El embaxador del Rey en Londres participa con fecha de 1.® del corriente, que el 29 del anterior llegaron á aquella corte dos correos del lord Cathcart y de Sir C. Stewart con la importante noticia de la declaración de guerra del emperador de Austria con tra la Francia el día 10 de Agosto próximo pasado, y que se co municó, ;í la una de la madrugada del 11 por medio de una nota del mismo emperador Francisco,…</t>
  </si>
  <si>
    <t>…o deanui poco tieínpo habrá una gran batalla en la Lusacia. El lord Burgbersh debe marchar á la posible brevedad al quartel gene ral austríaco, donde tendrá la misma ocupación que lord Cathcart en el quartel general del Emperador de Rusia; sin embargo sus poderes se limita rán simplemente á una correspondencia militar, y nada mas. Por cartas autenticas del exército de lord Weilíngton sabemos que el exército. altado, sin contar la división de Mina, t…</t>
  </si>
  <si>
    <t>…om. (L, S. ) = G. barón de Wetterstedt. El embaxádor del Rei én Londres participa, con fecha de i.° del corrien te, que el 29 dél anterior llegaron á aquella corte dos correos del lord Cathcart y de sir G. Stewart con la importante noticia de la declaración de guer ra del Emperador de Austria contra la Francia el dia 10 de agosto próximo pasado, y que se comunicó á la una de la madrugada del 11 por medio de una nota del mismo Emperador Francisco, y…</t>
  </si>
  <si>
    <t>…nas,, y á cualesquiera otras que esten á su sueldo. Lord Burghersh debe salir de aquí á la mayor brevedad para el cuartel general austríaco, en donde tendrá la misma ocupación que lord Cathcart en el cuartel general del emperador de Rusia; sin embargo sus poderes se limitarán á una correspondencia militar. Por cartas auténticas del exército de lord Wellington sabemos que el exército aliado, sin contar con la división de Minatiene una fuerza efectiva…</t>
  </si>
  <si>
    <t>…n á Inglaterra procedentes de puertos de Francia 6 de otros dependientes de ella, si antes de embarcarse no obtuvie ren permiso del gobierno británico. s Extracto de un oficio del lord Cathcart, fecho en Toplitz d j de Setiembre. En este oficio se recapitulan las acciones de Dresde, la destruc ción del cuerpo de Vandamme, y tratando de la derrota de Aíacdonald, refiere que el general Biucher con los generales rusos Langeron y Sachen , habiendo derro…</t>
  </si>
  <si>
    <t>…guientes oficios del ge* ñera! vizconde Crthcart con fecha de 13 de Setiembre desde Toplitz, y de Sir C. Stev;art con la de 14 de Setiembre desde Praga. 'Extracto de un oficio del vizconde Cathcart, T- j)Iitz 15 de Setiembre. Les austríacos han conservado I3 pose sión de los caminos que conducen á Saxonia por Marienberg y Al te nberg, como también la del esmino qne se dirige desde el pri mero de a mellos pueblos á Chemni z y Freyberg. Muchos cuerpos de…</t>
  </si>
  <si>
    <t>…ino de toda la Istria» por la importante ocupación de los puestos de Pola, Capo de Istria y mon te Maggiore.,_Seguq noticias de Petersburgo, contenidas en los ^últimos oficios deí lord Cathcart y sir Q. Stewart,, en Rusia se está haciendo una leva de 180© hombres. , BOLETIN 18.° DEL EXERCITO DEL PRINCIPE DE SUEdA. : . ' . ‘ 4» l ; • i • ‘ . , : . ' ■- : ^ Quartel general de Zerbst 2&lt;t de setiembre. El dia 23 á la madrugada vinieron dos oficiales sax…</t>
  </si>
  <si>
    <t>Cathcárt</t>
  </si>
  <si>
    <t>…ente durante esta guer ra. En consecuencia han señalado para sus respectivos plenipotencia rios, á saber: S. M el rey de los Reynos-Uaidos de la Gran Bre taña é Irlanda á W. Shau, vizconde Cathcárt, barón Cathcart y Greenock, par del parlamento, consejero ínfimo, vice-ahnirante de Escocia, general del exército, coronel del segundo regimiento de guardias de Corps Scc. &amp;c. &amp;c., embaxador extraordinario, y ple nipotenciario cerca de S. M. el emperador de t…</t>
  </si>
  <si>
    <t>…os y de sus glorias. »Aceptad, con este particular tesúmonio de mi aprecio, la segu ridad de mi consi¿eracion.=Toplitz 15 (27) de Setiembre de 1813.= AIex andró." f»Sr. e nbaxador vizconde Cathcart: Al enviaros la insignia de la &lt;5rden de S. Andrés y la de S. Jorge de la cuarta clase, pego una deuda que he contraído, y que gusto siempre reconocer como tal. Ha biendo espado vos siempre á mi lado en el campo del honor, vién doos siempre animado del mas ur…</t>
  </si>
  <si>
    <t>…acer un tratado baxo ds estos principios- A este propósito han nombrado para plenipotenciarios, á sabir: S M. el rey del reyao unido de la Gran Bretaña é Irlanda á Guillermo Shaw, vizconde Cathcart, barón Cathcart y Greenock, par dei reyno &amp;c. y emba jador extraordinario, y ministro plenipotenciario cerca de S. M. el emperador de todas las Rusias; y S. M. el emperador de todas las Rusias, á David Aíopeus, su consejero íntimo &amp;c., y mL2ist.r0 ple nipoten…</t>
  </si>
  <si>
    <t>…ada con las fatigas del viage.GRAN BRETAÑA. Idoficias de Londres hasta 26 de noviembre. jDel 24. Es digno de notarse que ninguno de los ministros británicos el general Stewart, el conde Cathcart ni el lord Aberdeen hagan mención en sus oli dos del puente que hizo volar el cabo de esquadra francés: este suceso, á que Bonaparte atribuyó todos sus reveses, no se hubiera ocultado, si.fuese cierto, á la conocida veracidad de aquellos ministros.-.—Ayer cor…</t>
  </si>
  <si>
    <t>…ficios de aquel puente que Bonaparte dice haber sido causa de sus reveses, porque lo'volaron á mal tiempo; y si fuese cierto semejante acontecimiento, no se hubiera olvidado, m el lord Cathcart, ni ei lord Abe, d ten, ni S. C. Stevrsrt, ni Mr. Thornton de especificar esta circunstancia, que era muy digna de la hi.to rta. — Se ha dicho, y se ignora con qué fundamento, que Talleyrand había salido de París para Francfort á tratar de paz con lo» aliados…</t>
  </si>
  <si>
    <t>…rte Impenetrable a la Francia en caso de una invasión extrangern, y el segundo á fin de servirse de aquellos pueblos para subyugar el resto de Europa.” Extracto de dos oficios del vizconde Cathcart desde Francfort él 8 de Noviembre. El emperador Alexandro entro el 5 al medio dra en Francfort al frente de la artillera montada , de 50 escuadrones de caballería de las guardias impendes rusas, y de algunos escuadrones de ks prusianas: fue recibido en medio…</t>
  </si>
  <si>
    <t>Cathcarteon</t>
  </si>
  <si>
    <t>…tante para llevar adelante la guerra , manteniendo con como didad á las tropas. Idem 26. Ayer llegaron aquí dos correos de Gottemburgo , y ai mismo tiempo se recibieron oficios de lord Cathcarteon fecha de 6 del cor riente desde el cuartel general del emperador de Rusia en Kalitch. Por el primer conducto se confirman las 'noticias de haber ocupado los rusos á Varsovia, Bérlin, Hamburgo , Mecklemburgo, y una gran parte de los territorios de Hansovsr y S…</t>
  </si>
  <si>
    <t>Catheart</t>
  </si>
  <si>
    <t>…retaría de Estado de lot ne gocies extrangtros. Ayer noche recibió los oficios siguientes el vizconde de Castleireagh , secretario de Estado de S.-M., remitidos por el general viz conde Catheart, embaxador extraordinario y plenipotenciario de S. M. trurtrr sistema de hacer ía guerra á costa de los infelices pueblos opri midos Así ha pedido mantener tan numerosos exércifos, y por falta de este r curso se ha visto precisado á abandonar á Moscova, á rie…</t>
  </si>
  <si>
    <t>…os cuerpos de los exércitos aliados, y llegó aquí el dia 9. El 10 fue recibido por los dos monarcas con el mayor aparato. Dicen que en esta conferencia, á que se hallaron presente lord Catheart, Mr. Thornton, Sir C. Stewart, dos ministros austríacos , el conde de Stadion y otro, S. R. pronunció un dis curso sobre la necesidad de renovar las hostilidades , diciendo que los pueblos de ambos rey nos estaban prontos á auxiliar á sus monarcas con todos l…</t>
  </si>
  <si>
    <t>Catíareüi</t>
  </si>
  <si>
    <t>…timo sible por la mucha fuerza con que el enemigo ocu nies de su buena conducta , merecen no ser echados paba la espalda. En esta tentativa dos oficiales del en olvido. = Firmados conde Catíareüi.” 13o.0 han sido uno muerto y otro herido. Habiendo Logrado el enemigo establecerse sobre Extracto del diario de operaciones de la defe.tiS los trabajo* avanzados emprendidos el di.t ante del castillo de Btugos. rior, y permitiéndole por otra parte la facilid…</t>
  </si>
  <si>
    <t>Catifarelli</t>
  </si>
  <si>
    <t>…8o, y á Quintana, uno tan diestra está en aprovecharse de estos instantes de los gefes, se contaba en el número de los heridos. para caer sobre é!. •Dando parte de esta acción el general Catifarelli El cazador experimenta también con su es com al Excmo. Sr. ministro de Guerra, la cita-justa peta la necesidad de pararse en medio de la carrera mente como una de las que-hacen mas honor á las para cargarla, y ha de practicar para esto algunos tropas de S. M., p…</t>
  </si>
  <si>
    <t>Catitearte</t>
  </si>
  <si>
    <t>/ Sfúm. 1.* 1 GACETA DE LA REGENCIA DE LAS ESPADAS DEL SABADO 2 DE ENERO DE vi ’■ ,, . . .. G HAN-BRfiT AÑ A. Landres 8 de Diciembre de 1813. Oficio del vizconde Catitearte embajador extraordinario de S. M. J3. en Petersburgo, dirigido al vizconde Castlereagh, secretario de Estadof con fecha de ll Noviembre {1). ,,Mdord : tengo la honra de" informar á V. E. que Bona parte huyó del distrito de Moscow, tomando el camino de Sraolen…</t>
  </si>
  <si>
    <t>Catkcart</t>
  </si>
  <si>
    <t>…obligado á anticipar unos princi pios de ley marítima que no se hallaban sancionados por ninguna otra autoridad que su propio antojo. (Se continuará.) Id. 23 de Enero. Oficio del vizconde Catkcart,. embaxador de S. M. en Ilusia, al ®t** conde Castlereagh . secretario de Estado. „Petcrsburgo 2 de Enero. — Milord: tengo el honor de remitir ít Y. £. las copias de dos proclamas, y ademas una lista de los ofi-</t>
  </si>
  <si>
    <t>…res de hombres con alguna arti llería, los quales marchaban desde el Oder á reunirse con el exército prin-^ cipal. ,,Tengo la honra &amp;c.= Carlos Stewart.” Extracto de un oficio del vizconde Catkcart al vizconde Castlereagh, Quartel general de Ober-Groditz i.° de junio, ,, El Emperador se pu so en marcha para Jauer ¿125, para Striegau el 27 , y el 28 para Schweidnitz: SS. MM. sentaron ayer sus quarteles generales en la aldea de OberGroditz, entre Schweidn…</t>
  </si>
  <si>
    <t>Catsan</t>
  </si>
  <si>
    <t>Gazeta de la Regencia de las Españas n.º 159</t>
  </si>
  <si>
    <t>…ado para discutir y ajustar los artícuioj de ía capitulación, baxo cuyos términos esta misma p?aza y ciudadela serán devueltas á poder de las sobredichas tropas, á saber: El señor general Catsan nombra al señor ayudante L. de Mauctme, barón del Imperio, miembro dla Leg'on de honor, gefe del estado mayor; y el señor general de España nombra si señor"briga dier D. Francisco Dionisio Vives, comandante general del tercer dis trito de la línea d 1 bloqueo…</t>
  </si>
  <si>
    <t>Caunedo, Nicolás de</t>
  </si>
  <si>
    <t>Nicolás de Caunedo</t>
  </si>
  <si>
    <t>…iada por la premura del tiempo; solo diremos que en ellos han vuelto á la madre patria 302 españoles de los regimientos de Asturias, Cuadalaxara, Zamora y algún otro, mandados por D. Nicolás de Caunedo. Son de los restos del exército que mandó la Romana , y no pudieron huir del tirano quando sus compañeros de armas. Salieron de Memel el 21 de mayo, y durante la navegación han perdido dos hombres. . . Alicante *7 de julio. Copia de una carta de T&gt;. Asensio N…</t>
  </si>
  <si>
    <t>…ada por la premura dd tiempo; solo diremos que en ellos han vuelto á la madre patria 302 españoles de los re gimientos de Asturias, Guadalaxara, Zamora y algún otro, manda dos por D. Nicolás de Caunedo. Son de ios restos del exército que mandó La-Romana, y no pudieron huir del tirano cuando sus com pañeros de armas. Salieron de Mernel el 21 de Mayo, y durante la navegación han perdido 2 hombres. Tíldela 1C de Julio. El sitio de Pamplona sigue adelantándose…</t>
  </si>
  <si>
    <t>Caurden</t>
  </si>
  <si>
    <t>…con el trastorno meditado. No. visa de su importancia. hubieran pensado asi los primeros hombres del es Til congreso consintió Ja segunda lectura, y tado: Mr. Pité, lord Turtosv r lord Caurden y otros luego que se hizo, dirigiéndose el presidente á los de su mérito hubieran declarado Inmediatamente interesados, les dixo que los papeles que acababan que no podia darse al gobierno el derecho de nom de leerse se imprimirían, y podrían distribuirse al…</t>
  </si>
  <si>
    <t>Cavaign.ac</t>
  </si>
  <si>
    <t>…puesta de dragones y Cazadores, de D. Vicente Ambrosio Aguirrc, alcalde. fuerza de 2® caballos , se halla en-Dantzick ba D. Josef Carí Vidal, substituto primero. so las-ordene de! general Cavaign.ac: que ei gene- D. Jaime Culi, substituto segundo. riiv.Rapp ocupa lo extern: r de la plaza á diez le Barrio de Santa Cruz. ' guas en contorno; y que hai fondos en el tesoro D. Claudiu Boutelou, alcalde. : para pagar el sueldo durante un año. D. Lorenzo Rives,…</t>
  </si>
  <si>
    <t>Cay</t>
  </si>
  <si>
    <t>…se ha :ervi ’o exónenrr á los que actualmente los ocupaban, y ha nomb ado en su lugar al príncipe de Vrilafranca para secretario de Estad » y despa cho de Negocios extrangros ; á D. Cay etano Bo anno para la se re taría de Estado de: d-spucho de Hacienda y Comercio; al príncipe de Carini pa a la secretaría de Estado y despacho del Int ri r, nom brando al mismo tiempo d rcc:or de la propia secretaría al caballe ro D. -Cesar Airo di, y al brig…</t>
  </si>
  <si>
    <t>Cazalia</t>
  </si>
  <si>
    <t>239 VARIEDADES. inquisitoriales que en tiempo de Felipe n experi mentaron el arzobispo de Toledo y el doctor Lgi— Artículo comunicado. dio, la muerte del doctor Cazalia, la cuestión de tormento del obispo Constantino Ponce, y el trá gico lindel príncipe D. Cario:? IITERATORA. Para que se juzgue con acierto del estado de opresión de los ingenios españoles al empezar el reiHistoria de la literatura española, escrita en nado de…</t>
  </si>
  <si>
    <t>Cbrapowitsky</t>
  </si>
  <si>
    <t>…ito del norte de Alemania, que Napoleón encontró en Grossberen, Dennevltz y Leipsick. El teniente general conde de Wcronzoff alaba sobre manera la conducta y talentos del teniente coronel Cbrapowitsky, que man teniéndose sobre el flanco del enemigo cuando este se retiraba, le tomó 500 prisioneros. La vanguardia del general barón de V inzingerode persiguió el cuerpo del general Rignaud , y otros destaca mentos enemigos en su marcha á Wesel y Dusseldorf?. El…</t>
  </si>
  <si>
    <t>Cbstlereiigh</t>
  </si>
  <si>
    <t>…Enero. En gaceta extraordinaria de ántes de ayer se han publicado los oficios siguientes del vizconde Cathcart, embaxador extraordinario de 8. M'. B. en Potersburgo, dirigidos al vizconde Cbstlereiigh, se cretario de Estado. l.° jPettrs urgo 12 de Diciembre.—,,MiIoTd: Me aprovecho de la salida de un correo sueco para remitir á Y. E. la traducción de dos</t>
  </si>
  <si>
    <t>Ccckhurne</t>
  </si>
  <si>
    <t>…rincheramientos y puestos que el enemigo tenia en la mon taña llamada Le-Rhune, inmediatamente sobre la derecha de la di visión ligera, con el exército de reserva de Andalucía. El coronel Ccckhurne del regimiento británico número 5 2 , que mandaba la brigada dei mariscal de campo Nerett, ausente por enfermo, «tacó la aere cha del enemigo, donde tenia un campamento fuertemente atrincherado, y el regimiento número 52, mandado por el mayor Mayne, cargó á l…</t>
  </si>
  <si>
    <t>Ce</t>
  </si>
  <si>
    <t>IOS de, D. Manuel Ibañez, D. José López, D Prudencio Dallo, D. Ce lestino Ximenez , D. Fermín Al Aúnate, D. Angel Labiano, D. ber nardo ZaTo, D. Francisco Mtmuce, D. Pedro Mancho. D. Matías Ezcay, D. Félix Beroz, D. Bernardo Sonosiain , IT Mañano Ustarroz, D. Felipe Virtus, D. Joaquín Aquerreta, D. Fermín Josué, 1), Martin…</t>
  </si>
  <si>
    <t>…ubténieuite- del de Toledo ;&gt;D. An drés Narvaez y'D..'Francisco Romero, tenientes del de Monterei; T).• Juab^ de Asas y*D; Josef Puma rejo , f,ententes del regimiento, de .Marina; D. Ce^ ferino Araujo,.Subteniente del .del Beniavente.;, D: Félix; Car ai ra ,*cbi:ú¿d ,.»y» D. Alberto Gutiérrez, ; teniente, debdeLviyero ; DGlistéban aRodriguez. y' D; Alberto^Rad'figaiéz, capitanes vD.l MánueLLLfoada , L)t Juan .Hevüaqy* D. Francisco Lema, subt…</t>
  </si>
  <si>
    <t>Ce, Rafael</t>
  </si>
  <si>
    <t>Rafael Ce</t>
  </si>
  <si>
    <t>…te: wLas Cortes generales y extraordinarias , habiendo tomado en consideración la instancia y documentos presentados por Dona Fran cisca O-Con, viuda del teniente coronel graduado D. Rafael Ce va lles y Escalera, comandante del batallón de granaderos del general del cuarto exereito (hoy tercero) sF real aprobación , y la consulta que en su vista hizo .el tribunal especia: de Guerra y Marina con fe cha 13 de Mayo último; se han servido resolver, acc…</t>
  </si>
  <si>
    <t>Ce-ya, Alexanirb de</t>
  </si>
  <si>
    <t>Alexanirb de Ce-ya</t>
  </si>
  <si>
    <t>7*4' pitan general de los reynos de Sevilla y Córdoba, y general en gefe del exército de resérva de Andalucía, plenamente autorizado por S. E.; y D. Alexanirb de Ce-ya, teniente del regimiento 31 de in fantería ligera al servicio de S. M. el emperador de ios franceses, y empleado en la guarnición del fuerce de Santa Engracia de Pancoryo con plenos poderes de su gobernador D. Carlos Augusto Dursnd, caballero de la legión de…</t>
  </si>
  <si>
    <t>Cea, Ruperto</t>
  </si>
  <si>
    <t>Ruperto Cea</t>
  </si>
  <si>
    <t>…mos, D. Joaquín Encara y D. Ga« bino Montes : 6 capitnlares , chantre , lectora!, doctoral, 'arcediano de Cea, D. Luis Otpzo y D. Gabriel Alonso; 3 hacendados D. Ani ceto Cavero , D. Ruperto Cea y D. Benito Merino, y 2 cemerciantes Puclits y Coi tés: pidieron racionas solo para aquel día, y á las 11 de la mañana del 4 salieron con dirección ¿ Man silla , dexando encargada la pronta remesa de 20 colchones , 40 sábanas de percal, otras tantas fundas, y 50 reses de 4C0 li…</t>
  </si>
  <si>
    <t>Cebadua, Diego</t>
  </si>
  <si>
    <t>Diego Cebadua</t>
  </si>
  <si>
    <t>…to mayor á D. Claudio Ich^so : á capitanes á D. Ramón Echeverría , D. Lo renzo Mauleon, D. José Clemente, D. Pedro Francés, D. León Iriarte, D. Pedro Viilarroya, D Domingo Josué y D. Diego Cebadua; á ayudantes á D. Francisco Moñones , D. León Amedo, D. Manuel Mecolalde y D. Atanasio Mendivil: á tenientes á D. An drés Berrueta, D. Mariano Sauz, D. Juan Ignacio Noain, D. Fran cisco Azcarate , D. Martin Antonio Laquidaia , D Santos Ayerra, D. Tomas Ayerra…</t>
  </si>
  <si>
    <t>Cebrian</t>
  </si>
  <si>
    <t>…A dour. £1 duquede Ciudad-Rodrigo, &gt; « • ■ * # 1 ■ ■ Ü ' . 1 f . (j) La c9ltma.de caradores, mandada por, el coronel. D. Antoiqa Can©, y..la jsrirqepi brigada., mandada .jipr„,el brigadier Cebrian, de já división Aíprplo, ee »i&gt; .jejaróú decididamente al agua, sín que el fuego'de los enemigos fas-,petturhase un momento en la.marcha acelerada con que pasabánel rio, ni pudiese 'desordenar su formación en coluna, i pesar de ser en tanta cantidad laS aguas…</t>
  </si>
  <si>
    <t>14x8 hallaban en ocas alteras dominantes, basta posesionarse de ellas. La columna cíe cazadores, mandada por el coronel D. Antonio Cano, y la primera brigada, mandada por el brigadier Cebrian, se arroja ron decididamente si agua , sin que el fuego de los enemigos las per turbase un momento en la marcha acelerada con que pasaban el rio, ni pudiese desordenar su formación en columna, á pesar de ser eo tanta cantidad las aguas de estos dos vados, que…</t>
  </si>
  <si>
    <t>Cela, Manuel Rodríguez</t>
  </si>
  <si>
    <t>Manuel Rodríguez Cela</t>
  </si>
  <si>
    <t>…osición deí señor general en gefe, por el buen deseo'que me manifestó de ser empleado en el mayor riesgo; á mi ayudante de campo e! capitán dél bata loa de volun tarios de Navarra D. Manuel Rodríguez Cela , que á pesar de estar á pie llevó mis órdenes á ios puntos de mayor- riesgo, y desempeñó quanto le mandé muy á satisfacción mra. ' ,, Me es muy sensible manifestar á V. S. lo costosas que nos fia» sido estas ventajas, y por el adjuntó estado se enterará de l…</t>
  </si>
  <si>
    <t>…posición dei señor general en gefe, por el buen deseo que me manifestó de ser empleado en el mayor riesgo; á mi ayudante de campo el espitan del batallón ce Voluntarios dé Navarra D. Manuel Rodríguez Cela, que á pesar de estar á pie llevó mis órdenes á Ies puntos de 'mayor riesgo, y desempeñó quanto le mandé muiá satisfacción mia. ,,Me es mui sensible manifestar á V. S. k&gt; costosas qué nos han sido es tas ventajas, y por el adjunto estad# se enterará de la pér…</t>
  </si>
  <si>
    <t>Cempsue</t>
  </si>
  <si>
    <t>…a batalla que se. dió á SO leguas de aquí ha sido muy san grienta, El general Remenf ha muerto de resultas de sus heridas: todos nuestros generales de dividen han sido heridos, el general Cempsue en la espalda , el general Morand én la mexdla , el gene ral Dessaix en el brazo, el general Isiaut y su hijo en el muslo: también el mariscal fúé herido por dos veces. „Ya sabrás que soy coronel desde el 10 de 4gqsto. Si no se hace la paz este invierno, es p…</t>
  </si>
  <si>
    <t>Cente, Mariano</t>
  </si>
  <si>
    <t>Mariano Cente</t>
  </si>
  <si>
    <t>113 mente y con. amplitud podrán significarle el Dr. D. Mariano Cente no , el R. P. guardián de S. Francisco Fr. Manuel Cienfuegos y D. Toribio Cano , á quienes diputamos ante V. S. I., y que podrán aer el órgano de nuestra gratitud y sumisión : entre tanto, la. des venturada , la infeliz ciudad de Cochabamba y su provincia rec…</t>
  </si>
  <si>
    <t>Cepero</t>
  </si>
  <si>
    <t>…uelvan en el ex pediente general de regulares, sean estos libres de continuar en su método actual de vida, sin que pueda obligárseles por sus prelados á volver á los conventos. El Sr. Cepero apoyó al Sr. Antillon, refiriendo por muestra del prurito en corrervar su autoridad de algunos prelados regulares, que un provincial, •en Andalucía mismo, recorriendo con unos quaiitos frailes los pueblos en que estaban situados sus yermos conventos, los abrí…</t>
  </si>
  <si>
    <t>…lo donde se instaló por primera vez.....! en donde las armas parece que garantían la inviolabilidad del Congreso..... ! quando estas armas cogen laureles en el Pi rineo..*..!__-El señor Cepero demostró que el atentado se dirigía contra el Congreso, y que el señor Antillon era una víctima que se habia querido inmolar en odio desús virtudes y amor á la patria. ,,Devoren los remordi mientos, díxo, al parricida que alzó su mano contra el mejor de sus a…</t>
  </si>
  <si>
    <t>Cer</t>
  </si>
  <si>
    <t>…fuego á distancia unos 20 para sostener el'canon, ó mus bien para tener lugar de escaparse á ios montes ; pero de todos ello* los que no murieron los hizo prisioneros el intrépido sargento Cer vantes, que can algunos de sus infantes siguió el alcance por estaí va cansados ios demas caballos. Se recogieron dos cargas de muni ciones y una gran porción de yeguas, que había robado en Guara cha. Ai otro día i.° de Julio, retrocedió la división de Parang…</t>
  </si>
  <si>
    <t>Cerati, Florencio</t>
  </si>
  <si>
    <t>Florencio Cerati</t>
  </si>
  <si>
    <t>…ayme Domenech, Segis mundo Badíá, Esteban Tarrida, Francisco Mateu, Benito Presas, y el distinguido D. Juan Mas: tampoco debo parar en silencio al segando ayudante de estado mayor D. Florencio Cerati; á mi ayu dante de campo el teniente de Zapadores D. Joaquín Guardia, y ai ayudante deí regimiento de cazadores de Cataluña D. Mateo Martí, que siempre estuvieron á mi lado, comunicaron con la muyor intre pidez y actividad iris órdenes, y contraxeron un mérit…</t>
  </si>
  <si>
    <t>Cereceda, Manuel de</t>
  </si>
  <si>
    <t>Manuel de Cereceda</t>
  </si>
  <si>
    <t>…tuto segundo. D. Ventura Alcalde , alcalde. Barrio de Santa Isabel. I&gt;. Vicente Rodríguez , substiruto primero. D. Felipe Guelves, substituto segundo. D. Josef Domínguez, alcalde. D. Manuel de Cereceda , substituto primero. Barrio de Afligidos. D. Josef Vidal, substituto segundo. D. Pedro Cancio, a!calde. Barrio del Ave María. D. Andrés Aros, sub-tituto primero. D. Antonio Arnesto, alcalde. D. Santos Antolin , substituto stgundo. D. Josef Rodas, substituto…</t>
  </si>
  <si>
    <t>Cerrini</t>
  </si>
  <si>
    <t>…das fuerzas. El denuedo ¿ inteligencia Con qne se dió esta carga de caballería triunfaron del número; Drttd* ajp de noviembre. y los rusos Fueron rechazados, desbaratados, y ar El capitán Cerrini ha traído las siguientes noti rojados, hasta un puente en que nuestra artillería cias del séptimo cuerpo del exércho" grande, de cu volante consumó sür derrota. AI momento se guar yo qu artel general en VVich—Hrinki salió el 19 del neció: la posición con caño…</t>
  </si>
  <si>
    <t>Cesta, José</t>
  </si>
  <si>
    <t>José Cesta</t>
  </si>
  <si>
    <t>…us poficiones y puesto en completo desorden. Mandé que cargase la caballería, al mismo tiempo que con la mayor celeridad lo hacían Cantero y Bassa por el frente é izquierda , y el coronel D. José Cesta con su regimiento de Barcelona por la derecha. Esta operación, que en todo duró como cesa de hora y media , procusto Ja com pleta destrucción del primer batallón del primer regimiento ligero italiano. Los cadáveres hacinados unos sobre otros , Jas mochilas, m…</t>
  </si>
  <si>
    <t>Ceva, Alexandro de</t>
  </si>
  <si>
    <t>Alexandro de Ceva</t>
  </si>
  <si>
    <t>…po del Excmo. Sr. conde del Abisbal, capitán general de los reinos de Sevilla y Córdoba, y general en gefe del exército de reserva de Andalucía, plenamente autorizado por S. E.; y D. Alexandro de Ceva , te niente del regimiento 31.0 de infantería ligera al servicio de S. M. el Empe rador de los franceses, y empleado en la guarnición del fuerte de Santa En gracia de Pancorvo, con plenos poderes de su gobernador D. Carlos Au gusto Durand, caballero de la leg…</t>
  </si>
  <si>
    <t>Cevailos, José</t>
  </si>
  <si>
    <t>José Cevailos</t>
  </si>
  <si>
    <t>…or provisional D. Ignacio Garcés, y al asesor del ayuntamiento D. José Ignacio Zavala, que por entonces no fueron comprehendidos en la gracia, en la cual no se incluye al teniente coronel D. José Cevailos, presidente del ayuntamiento, por estar prohibida en la milicia la creación de dis tinciones por decreto de 31 de Agosto de 1811. — Lo tendrá enten dido la Regencia provisional del reyno para su cun plimiento, y lo hará imprimir, publicar y circular. — Joaquí…</t>
  </si>
  <si>
    <t>Cevaljos, Pedro</t>
  </si>
  <si>
    <t>Pedro Cevaljos</t>
  </si>
  <si>
    <t>…a jimedios de que se vale para extinguirla , y subyugar los es pañoles por la seducción, ya que no puede dominarlos por la fuerza: un tomito * en Estas &gt;dg« obras,) publicadas por D. Pedro Cevaljos, primer secreta rio; dé j&amp;rtad? déFernando.sé ballar'án jín-. la librería de Quiroga, callp.de la* Carrjeias-* fbnda|del-AngeL: . ; ; ■ V El papel periódico intituladlo el Fiscal patriótico de España, que sale los lunes. y viernes de. cada.semanaj $e halla de…</t>
  </si>
  <si>
    <t>Cevallos, José</t>
  </si>
  <si>
    <t>José Cevallos</t>
  </si>
  <si>
    <t>…, por la de Guayaquil; D. José TeodoroS Santos, por la de Madrid; D. Antonio Larrazabal, por la de Gua temala; el marques de Espeja, por la dé Salamanca: y en clase de suplentes á D. José Cevallos, diputado por la provincia de Córdoba;</t>
  </si>
  <si>
    <t>Cfans</t>
  </si>
  <si>
    <t>…dentes previno al mismo tiempo los accidentes que hubieran podido resultar de la bala roxa que tiró el enemigo . al Fuerte Jorge. En estos servicios importantes fué anudado por el coronel Cfans, que quedó en el fuerte de orden mia, y por el capi tán Vigoureux, del real cuerpo de ingenieros. El mayor de briga da Evans habla también con elogio de la conducta de los capitanes Powell y Carne ron , de artillería de la milicia &amp;c. (Siguen los eltit* g os…</t>
  </si>
  <si>
    <t>Chabrol</t>
  </si>
  <si>
    <t>…ularmente le reunieron en sesión extraordinaria en la casa de la deben los fieles vasallos de su capital, persuadidos ciudad. de que los nobles guerreros admitidos á este honor El barón Chabrol, prefecto del Sena, presiden se hallarán cerca del Soberano, y darán- con sus te , dio cuenta á la asamblea del siguiente oficio exemplos y acciones un testimonio siempre vivo del del 18 del misino mes, dirigido por S. E. el duque afecto y rendimiento de su b…</t>
  </si>
  <si>
    <t>Chacón, Juan Gerónimo</t>
  </si>
  <si>
    <t>Juan Gerónimo Chacón</t>
  </si>
  <si>
    <t>…ta ciudad en el día de fioi han salido electos diputados por esta provincia para las cortes generales extraordinarias El limo. Sr. Obispo de Plasencia. Sr. D. Vicente de la Llave. Sr. D. Juan Gerónimo Chacón. Sr. D. Silvestre Trigueros. Sr. D. Juan Josef Montero. Sr. D. Nicanor García Santos. Sr. D. Victoriano Sánchez. Y por suplentes Sr. D. Justo Peñalver. Sr. D. Simeón Palomino. Guadalaxaraj 8 dejulio* La junta electoral de esta provincia, en cumplimiento de lo…</t>
  </si>
  <si>
    <t>Chain</t>
  </si>
  <si>
    <t>Gazeta de la Regencia de las Españas n.º 58</t>
  </si>
  <si>
    <t>…dos y varios despojos, siendo de creer que hayan tenido mucha pérdida por el fuego que recibieron asabas ve ces. Nosotros tuvimos 2 heridos levemente, y el caballo que monta ba el comandante Chain, para quien y las partidas (porque se le re unió la que estaba hacia la paite de la aguada) seguramente ha sido</t>
  </si>
  <si>
    <t>Championner</t>
  </si>
  <si>
    <t>Gaceta de Madrid n.º 99</t>
  </si>
  <si>
    <t>395</t>
  </si>
  <si>
    <t>…os mui marina ; pero los navios que construían no pudie parecidos á estos, que se sacaron de una excava ran emplearse con utilidad tn la lucha actual. La ción mandada hacer por el general Championner. celeridad de la marcha es ujio de los elementos de Parece que estos esqueletos fuesen de una fami la guerra marítima, y los navios holandeses pare lia entera; se han hallado los huesos de un niño tan cen mas bien construidos para portear géneros que tierno,…</t>
  </si>
  <si>
    <t>Chandler</t>
  </si>
  <si>
    <t>…at asegura que Mr. Maddisson ha tenido á su favor en punto de su destino á marchas forzadas. Es de pre el estado del Ohio 4® votos mas que Mr. Clinton. sumir que torne su mando el general Chandler, por* El mismo periódico afirma también que Mr. que el general Dearborn se vuelve, y el general Maddisson tiene la mayoría de votos del mismo mo Bloomfield está enfermo. do en la Carolina del Norte, en Kentuchy y en la La mala, que salió de Charlestown el dia…</t>
  </si>
  <si>
    <t>Gaceta de Madrid n.º 61</t>
  </si>
  <si>
    <t>…, tores en la Pensilvania, y ayer en toda la Virginia. d s tenientes y 17 hombres; y ademas ha cogido Del i?. una eran porción de mantas, de uniformes, de tusiies v municiones. El general Chandler ha llega Aun no se lia confirmado la toma de los fuertes do á Plattsburgo con 1400 hombres de tropas re Jor^e y Erie. Si se lu de juzgar por los movi gladas. mientos de nuestras tropas sob e el Niagara, debe mos prometernos noticias mui satisfactorias de esta…</t>
  </si>
  <si>
    <t>…as, en donde se supo entonces que estaban los ingleses apostados en formidables atrincheramientos. El 4. por la mañana otro cuerpo de tropas americanas de 2® hombres, al mando del general Chandler, marchó á reforzar al general Winder en el ataque me ditado contra los ingleses en el Angra de las Quarema millas: los eqüipages del exército fueron conducidos por agua. r A; la¡ llegada del exército americano del mando de Winder dexaron Ipk ingleses su puest…</t>
  </si>
  <si>
    <t>…mandada por el coronel de dragones Burns, dexando en el cam po los muertos. En la retirada se le reunió el reñierzo que había dexado en Newark el sábado anterior á las órdenes del general Chandler. La noticia de esta derrota llegó por expreso ú Newark el domingo por la noche, y á la una de la madrugada del martes salió de esta plaza el general Luis para tomar el mando de las fuerzas que se retiraban, á quienes se reunió en el mismo dia. El martes 8 por…</t>
  </si>
  <si>
    <t>Charam</t>
  </si>
  <si>
    <t>…á los demas pueblos cpmo si estuvieran compuestos en que os vean forzados á ser justos; v entonces, de hombres de inferior especie, como unos seres según la profecía del memorable lord Charam, es de quienes podían disponer á su antojo, sin que fue tamos perdidos.” ra licito volver ofensa por ofensa, ni resistir las ve- Los que han leído con atención los debates de xaciones horribles. He aquí lo que produce la- ad la cámara de los comunes en la ses…</t>
  </si>
  <si>
    <t>Charola, Manuel</t>
  </si>
  <si>
    <t>Manuel Charola</t>
  </si>
  <si>
    <t>…para la de Tolosa, compuesta de 100 infantes y 6 caballos : traté de la sorpresa de estos, é inmedia tamente di orden ai capitán de granaderos D. Miguel Soroa, que juntamente con D. Manuel Charola, igual capitán de la primera compañía, saliesen al enemigo. Fué tan pronta la salida de estos dos valientes jóvenes, que lograron hacer prisioneros 23 hombres , y los demas fueron degollados , por haber querido aceptar mejor esta suerte que la de prisioneros…</t>
  </si>
  <si>
    <t>Charpcntier</t>
  </si>
  <si>
    <t>…aso por el camino de Kalouga Pa ra conseguir esto destacó el 9 de Noviembre al general Baragnay d’IUlUers con unos i2000 hombres divididos en tres columnas, tina á las órdenes del general Charpcntier ¿ otra mandada por el general</t>
  </si>
  <si>
    <t>Charpentier</t>
  </si>
  <si>
    <t>…cu ya fuerza se componía de tropas de refresco, que debían incorpo rarse con los diferentes regimientos de guardias , mandados por el general Baraguay d’Hilliers , acompañado del general Charpentier, y el brigadier general Augereau, hermano del mariscal del mismo nombre. Hallábase este cuerpo distribuido en las tres aldeas de Yasvm , Lacof y Dolgomust, é inmediatamente se tomaron disposicio nes para atacarle con los tres cuerpos de partidas , mandados po…</t>
  </si>
  <si>
    <t>Chasseloup-Laubat</t>
  </si>
  <si>
    <t>…onrosas heridas, y al que debemos las ma Documentos relativos d la alianza.yores obligaciones por los servicios que nos ha he cho en las mas criticas circunstancias. A. NUM. 1. Al conde Chasseloup-Laubat, al conde Gassendi y al conde San-Marsan, consejeros en nues Copia de un despacho de Mr. de San-Marsan. tro consejo de Estado. Deseamos que nuestro con Berlin 24 de marzo de 181 r. sejo vea en esta distinción acordada á tres de sus Tuve la satisfacción de com…</t>
  </si>
  <si>
    <t>Chatas</t>
  </si>
  <si>
    <t>Gaceta de Madrid n.º 50</t>
  </si>
  <si>
    <t>…icono ,, Dígnese V. M. de recibir benignamente esta de España ya habían sido bastante rápidos los pro corta muestra de adhesión , y sirva para recrear á gresos de su marina; y asi lord Chatas! clamaba vuestro espíritu, reconociendo en vuestros leales porque se contuviesen, aprovechándose de ia for súbditos sentimientos dignos de franceses y de vues mación del pacto de familia para pedir con instan tra gloria.'' cia que inmediatamente se armase la…</t>
  </si>
  <si>
    <t>Chávame, Domingo</t>
  </si>
  <si>
    <t>Domingo Chávame</t>
  </si>
  <si>
    <t>…fusileros á . D, VictorianoMangiron, D; Joaquín Mendiando , Don Pedro Oses* D José María Subirán , D. Miguel Tartas , D. Manuel Baztan ¿ D. Agustín Oro, D. José Joaquín Ározatena, D. Domingo Chávame, D. Agustín Mora, D. Juan Cruz Larrondo, D. Fran cisco Peralta, D. Manuel Salaberri, D. Dámaso Landa, D. Atanasio Diez, D. Bartolomé Comas, D. Ildefonso Mayo, D» JVLguql Ormachea, D Joaquín Sánchez, D José Migueltorena D Diego Gayarre, D. Fermín San Martin,*O…</t>
  </si>
  <si>
    <t>Chaves, José</t>
  </si>
  <si>
    <t>José Chaves</t>
  </si>
  <si>
    <t>1386</t>
  </si>
  <si>
    <t>1386 ARTICULO DE OFICIO. La Regencia del reyno se ha servido nombrar al R. obispo da Arequipa D. José Chaves de la Rosa para patriarca d* las I. di &lt;s, capellán-y limosnero mayor del rey, y vicario general de los ejér citos y de la marina militar. Estado de la salud pública dé las provincias de la península limítro fes al mar, y la de sus islas adyacentes, en la seg…</t>
  </si>
  <si>
    <t>Chaves, Josef</t>
  </si>
  <si>
    <t>Josef Chaves</t>
  </si>
  <si>
    <t>…• &lt; * ■ .. D i': V !. f ‘ ■' ’ 1 ' -1’;o-,T * ■ - -- . I í V Y': 'jC'j.hhi' * ARTICULO DE OFICIO. ; La Regencia del reino se ha sfervidó nóthbtar aí reverendo óbíspJo!dit Arequipa D. Josef Chaves de la Rosa para, patriarca de ias ladras , Cíipe^ lian y limosnero mayó* deí Reiy y vicario gentrál de los ex6r¿ito$ ''y de la marina militar. ' Itinerario del vía ge q«e ha de hatóer la* Regencia del reino á la villa y córte de Madrid, saliefldode la citid&amp;d…</t>
  </si>
  <si>
    <t>Chaves, Pedro</t>
  </si>
  <si>
    <t>Pedro Chaves</t>
  </si>
  <si>
    <t>…uprema junta de censura con arreg o á lo que dispone el decreto de 10 del corriente, han venido en nombrar para vocrdes de ella , por el ramo eclesiástijo al R. obispo de Arequipa D. Pedro Chaves de la Rosa, D. José Miguel Ramírez y D. Martin de Navas: por el secular á D. Miguel Moreno, D. Manuel Quinta na, D. Felipe Bauza, D. Manuel de Llano, D. Eugenio Tapia y D. Vicente »Sancho ; y para suplentes á D. Pablo Lailave por lo eclesiástico, y D. José Re…</t>
  </si>
  <si>
    <t>…os después de haber arrojado por el suelo las águilas francesas. El gobierno ha formado la junta suprema de Censura, y elegido para vocales de ella al reverendo obispo de Arequipa D. Pedro Chaves de la Ro sa, á D. Josef Miguel Ramírez y á D. Martin de Navas por el ramo ecle siástico; y por el secular á los señores D. Miguel Moreno, D. Manuel Quin tana, D. Felipe Bauzá, D. Manuel de Llano, D. Eugenio Tapia y D. Vi cente Sancho. Los suplentes son D. Pab…</t>
  </si>
  <si>
    <t>Chernicheff</t>
  </si>
  <si>
    <t>…s, de cuyos suministros se les dan recibos. En pago de su buena conducta se observa ía mas rigorosa disciplina y subordinación , con gran satisfacción de Ies habitantes. Cuando el general Chernicheff entró en Marierroercer el 12 de Enero,, apenas pudieron escapar de la-persecución de los cosacos eí virey de Italia y el mariscal Víctor. El general La Pieire 5 4 oficiales y 200 solda dos quedaron prisioneros , como también un correo que llevaba plie gos de…</t>
  </si>
  <si>
    <t>…dos cortés, se han combinado y activado en extremólas operaciones militares. „Hoy se ha recibido noticia dé la ocupación de Berlín por las tropas de S. M. I. al mando del ayudante general Chernicheff „Se ha establecido en esta posición céntrica el cuartel general del exército ruso , á fia de dar el tiempo necesario para recibir los re clutas y convalecientes que llegan diariamente ; como también para proveer de lo necesario á estas tropas fatigadas en una…</t>
  </si>
  <si>
    <t>Chernichefi’</t>
  </si>
  <si>
    <t>…y perseguido la mañana siguiente en su retirada á Senil o, habiendo dexado 600 prisioneros. „ Nada hubo de importancia hasta el dia 18 en que se reunió al conde de Wittgenstein el coronel Chernichefi’ ayudante de S. M. 1.</t>
  </si>
  <si>
    <t>ChernicofF</t>
  </si>
  <si>
    <t>Gazeta de la Regencia de las Españas n.º 36</t>
  </si>
  <si>
    <t>…locadas en la cabeza del puente. En conse cuencia , el enemigo se vió obligado á dexar en Marienwerder consi derables almacenes y hospitales. Después de esta acción , el ayu dante general ChernicofF pasó el Vístula, y continuó persiguiendo al enemigo hacia Neunburgo, donde había tomado este una posi ción ventajosa; en vista de lo cual destacó un cuerpo de cosacos para que le tomasen la retaguardia , y ocupasen los caminos de Neunburgo á Graudeníz , Bromb…</t>
  </si>
  <si>
    <t>Chi</t>
  </si>
  <si>
    <t>…y cuyo bizarro cuerpo ha cogido 500.prisL.ne os y u s ?guiÍ3, recibió una herida de gravedad; pero que paree i no es peligrosa. ¿La los cuerpos iusgs han -ido muertas ó heridos el general Chi c in y varios oficiales de distinción; y reculo la pérdida total del g nerai Blucher en 6 á 7$ homb es fuera de c* mb te. Siento no poder añsdir nada á la gloria de ese valiente exé cito al trazar un débil peso fiel bosquejo de lo que h¿ hecho. Est y s.guro d…</t>
  </si>
  <si>
    <t>Chilcott</t>
  </si>
  <si>
    <t>…Ja ciudad tienen licencia de permanecer en sus casas, si son personas de respe to y sus casas están aisladas. En el campo todos están en sus casas. Han en fermado los criados del capitán Chilcott, agente de los transportes: y de ellos uno ha muerto, y otro se está curando en el fuerte Manuel. El capitán y su familia se han librado por el cuidado que han tenido desde el principio. Sin embargo de que el mal no se ha esparcido con tanta rapidez como se p…</t>
  </si>
  <si>
    <t>Childere</t>
  </si>
  <si>
    <t>…ol/ „ Empezó un ataque general entre las 6 y 7 de la tarde. Dos cañones del mando del capitán Ramsais, y dos de á 9 del del capitán Daboardieis, basto la escolta de las tropas del capitán Childere del 16.0 de dragones lige ros, y de las avanzadas de los batallones ligeros del coronel Hacketts, fue ron traídos rápidamente por la calzada, é hicieron fuego contra varios cuer pos del enemigo, formados en la iianura contigua á la ciudad; entre tanto la colu…</t>
  </si>
  <si>
    <t>Childers</t>
  </si>
  <si>
    <t>…l. «Empezó un ataque general entre las 6 y 7 de la tarde. Dos cam iones dei mando del espitan Ramsais, y dos de á 9 del del capitán Daboardieis , baxo la escolta de las tropas del capitán Childers del 16 de dragones ligeros , y de ’as avanzadas de los batallones ligeros del co ronel Hacketts, fueron traídos rápidamente por la calzada, é hicieron fuego contra varios cuerpos del enemigo, formados en la llanura con tigua á la ciudad * enire tanto la colum…</t>
  </si>
  <si>
    <t>Cholmondeley</t>
  </si>
  <si>
    <t>Gaceta de Madrid n.º 126</t>
  </si>
  <si>
    <t>…ramentevuestro.sFirmadosJorge, Príncipe.” &gt; Respuesta. • • Leiptick a 6 de marzo. „ La confesión que hacéis de vuestra conversa Reina la mayor tranquilidad aquí y en nues ción con lord Cholmondeley no me admira ni me tras cercanías. El Elba separa los dos exércitos be ofende: tan solo confirma,to mismo que de un año ligerantes. acá me habíais dexado vislumbrar tácitamente. Una La fortaleza de Spandau está ocupada por guar vez hecha, tendría yo mui poca…</t>
  </si>
  <si>
    <t>Cholmondelgy</t>
  </si>
  <si>
    <t>Gaceta de Madrid n.º 103</t>
  </si>
  <si>
    <t>…recido en la in presentándola que se atentaba contra la religión y formación, llamada generalmente delicada, es lá sus antiguas instituciones &gt; porque se atacaba á sus hermana del lord Cholmondelgy. (Monitor.) viejas preocupaciones, y se la libraba de tiranos, de inquisición, de frailes y de abusos. Los literatos, chasqueados y sin crédito, no pudiendo sostener el ESPAÑA. «hoque que le dan á su obra dichas corporaciones privilegiadas, levantan el grito,…</t>
  </si>
  <si>
    <t>Chone, Josef Mauricio</t>
  </si>
  <si>
    <t>Josef Mauricio Chone</t>
  </si>
  <si>
    <t>…centes, «capitalizabas, capitalizados é industriales: medios para restablecer el crédito .público, y sati ficer -la deuda nacional. Extendida por los ;Sres. -D. Cario* Beramendi , D. Josef Mauricio Chone dcL Acha yD. Ramón Viton, individuo» de la junta de medio*. :Se hallaráen Ja librería de Hurtado, calle de las Carretas. EN LA IMPRENTA NACIONAL.</t>
  </si>
  <si>
    <t>Chrampowitsky</t>
  </si>
  <si>
    <t>prisioneros. El general Orourk marchó'á Zerbig, y el teniente coronel Mel-’ nikow á Landsberg. Este y el teniente coronel Chrampowitsky tuvieron un1 bizarro encuentro entre Landsberg y Delitsch. El general francés Foutnief había salido de Leipsick con una división de caballería y quatró; piezas para oponérseles. El enemigo, á pesar dé ser supierioir eó fuerzas1 J fue dérrolíaaQ y*' perseguido…</t>
  </si>
  <si>
    <t>Chriboga, Ra.mon</t>
  </si>
  <si>
    <t>Ra.mon Chriboga</t>
  </si>
  <si>
    <t>…os en la junta y representantes' do las provincias, que quedarán indultados de la pena de vida, excepto ID. Nicolás de la Peña, Dr.-D. Prudencio Balcones, Dr. D. Miguel Rodríguez, D. Ra.mon Chriboga, Mateos Bayon, de nación francés, D. Joaquín Mancheno, el cura de S. Roque D. José Correa y e! provisor Caycedo; á quienes se perseguirá para que irremisiblemente peguen sus atroces delitos, Segunda. Que en el. término de 24 horas deberán aprontar entre todos…</t>
  </si>
  <si>
    <t>Churruca, Guimeiindo</t>
  </si>
  <si>
    <t>Guimeiindo Churruca</t>
  </si>
  <si>
    <t>…Falla, subtenientes dei de Laredo; D. José Castrejon, teniente, y D. Vicente de la Tórnente., subteniente del de tiradores de Cantabria; D: Buenavent&amp;ra Tomasa, teniente coronel; D. Guimeiindo Churruca, teniente, y D. José Manuel Carril, subteniente dei segundo de Guipúzcoa, y D. José Aibun, subteniente del primero del mñmo nombre. Los contusos son: D. Ruperto Otero, teniente del de R-ivero; D. José María Carrillo, coronel, y D. Francisco Son Julián, capitá…</t>
  </si>
  <si>
    <t>Ci</t>
  </si>
  <si>
    <t>552</t>
  </si>
  <si>
    <t>…el Pmal, pararé en Amozoque, y allí esperaré las ór denes de Y. S. Dios guarde á Y. S. muchos años. Cuartel de Ozumba 24 de Octubre d - 1812. A las 9 de la noche.—Luis del Aguila.—Sr. D. Ci ríaco de Llano.” Morja 24 de Abril. Partes del comandante general de Aragón I). Pedro Sarsfield al ge* mral en g&gt;.fe del segundo ex tr cito. Primero. ¿^Exento. Sr.: En la mañana del 12 del corriente se presentó la</t>
  </si>
  <si>
    <t>Ciad, Duque de</t>
  </si>
  <si>
    <t>Duque de Ciad</t>
  </si>
  <si>
    <t>1393 el día 24: al siguiente , á ks 9 ce la .mañana, se hizo otra doble por los últimos triunfes de las armas aliadas en los Pirineos al mando del Sr. Duque de Ciad* ¿-Rodrigo. Hasta el 26 de Noviembre seguían los holandeses trabajando efi cazmente en'Favor de la Justa causa y de la libertad de su país : se prestaban 'gustosos á las armas, y habían hecho reconcentrar al ene migo, pues los generales De Tongls y Steweerts,…</t>
  </si>
  <si>
    <t>Ciarían, José</t>
  </si>
  <si>
    <t>José Ciarían</t>
  </si>
  <si>
    <t>…asase á ocupar nuestro flanco iz quierdo con el interesante objeto de cubrirle, y de que batiese al enemigo por su retaguardia. »Las dos compañías de granaderos, á las órdenes del capitán Don José Ciarían*, mandé se situssen cubriendo el camino de S, Fclié, y la de cazadores de Lea’es hice se adelantase, favorecía de nn es peso pinar, hasta medio tiro de fu il, en cuyo ponto se trrpexó el feegn. La de cazadores de Baza siguió el mismo movimiento que la anterio…</t>
  </si>
  <si>
    <t>CiauseL</t>
  </si>
  <si>
    <t>…tarlo del despacho de la Guerra dice el señor du que de Ciudad-Rodrigo lo siguiente: «Exorno. Sr.: Desde que escribí á V- E. en 3 del corriente, el general Mina me avisa de que el general CiauseL había marchado de Zaragoza hácia Jaca. Sin embargo hasta ahora no he oido que haya llegado á aquella plaza. = La derecha del enemigo ha permanecido casi en la misma situación en que se colocó después que pasó el Vidasoa y destruyó el puente de Irun. Sin embar…</t>
  </si>
  <si>
    <t>Cienfuegos, Josef</t>
  </si>
  <si>
    <t>Josef Cienfuegos</t>
  </si>
  <si>
    <t>…el estado mayor del exército Di. Estanislao Sánchez Sal vador, dos caballos muertos. i. ; Subteniente jy; ayudante suyo D. Josef'García, herido. . Segundo ayudante de estado mayor D. Josef Cienfuegos, un caballo muerto. Los pocos franceses que quedaron en la plaza de S. Sebastian, y se re fugiaron al castillo, pidieron capitulación después de,ver anonadadas sus Q$peranzásijie ser socorrido?y por este motivo se suspendieron los fuegos. Este La sido ¡el fun…</t>
  </si>
  <si>
    <t>Ciríaco</t>
  </si>
  <si>
    <t>…or scríptos franceses van maniatados h&amp;sta loa depósitos, y según se dice, un cuerpo considerable de «Uos se ha resistido á pasar el Rhin. ESPAÑA. México 29 de Octubre ds 1812. El brigadier D. Ciríaco de daño, gobernador é intendente interino de Puebla y comandante del sur, ha remitido i este superior go bierno el siguiente oficio y partes que le acompañan. „Excmo. Sr.: Acompaño á V. E. la» doa adjuntas copias de los partes que acabo de recibir del tenient…</t>
  </si>
  <si>
    <t>Cirios</t>
  </si>
  <si>
    <t>…e ha pub icado el siguiente .supiementa á la gaceta de mane na. Se sopo ¿rites del 21 del corriente qui la guarnición de Pamplo na no tenia víveres s:no hasta el dia 24. Instruido D. Cirios España de que los franceses habían construi do, hornillos para hacer volar las fortificaciones, escribid con fecha de 21 al gobernador, diciendole que si se ve.ificaba lo que hebia dis puesto , el mismo gobernador y su plana mayor serian pasados á cuchillo, y aue lo…</t>
  </si>
  <si>
    <t>Ciscar, Gabriel</t>
  </si>
  <si>
    <t>Gabriel Ciscar</t>
  </si>
  <si>
    <t>…extraordinarias decretan: l.u La Re gencia actual de las Espadas, compuesta del M. R. cardenal de San* ta María de Scala, arzobispo de Toledo , D. Luis de Borbon, D. Pe dro Agar y D. Gabriel Ciscar , nombrada provisionalmente por de creto de 8 del corriente, dexa de ser provisional desde el día de hoy; y exercerá todas las facultades que le competen con arreglo á la constitución y decretos de las Cortes. 2.* El expresado carde nal arzobispo D. Luis de B…</t>
  </si>
  <si>
    <t>Cistue, Josef</t>
  </si>
  <si>
    <t>Josef Cistue</t>
  </si>
  <si>
    <t>…gefe de la izquierda del quarto exército, comunicó al coronel D. Ig nacio de Unceta , gefe de la primera brigada de la séptima división del mismo. MÍ ayudante de campo el teniente coronel D. Josef Cistue , desde el quartel general del Exento. Sr. Lord Duque de Ciudad-Rodrigo en Vitoria á 22 del corriente , me dice lo que copio.-= Excmo. Sr. Después de haber despachado á V. E. ei ordenanza avisándole nuestra marcha, la verificó el Lord Duque, según él mismo di…</t>
  </si>
  <si>
    <t>Ciudad-Rodrigo, Lord Duque de</t>
  </si>
  <si>
    <t>Lord Duque de Ciudad-Rodrigo</t>
  </si>
  <si>
    <t>…. Ig nacio de Unceta , gefe de la primera brigada de la séptima división del mismo. MÍ ayudante de campo el teniente coronel D. Josef Cistue , desde el quartel general del Exento. Sr. Lord Duque de Ciudad-Rodrigo en Vitoria á 22 del corriente , me dice lo que copio.-= Excmo. Sr. Después de haber despachado á V. E. ei ordenanza avisándole nuestra marcha, la verificó el Lord Duque, según él mismo dixo , con solo el ánimo de hacer un recono cimiento en fuerza; pero viend…</t>
  </si>
  <si>
    <t>Cizernicheff</t>
  </si>
  <si>
    <t>…e manas , se dirigió hácia Juterboch, de donde aun distaba tres millas , y fue seguido del exército ruso, excepto la vanguardia mandada por el conde de W o ronzo w y el cuerpodel1 general Cizernicheff,’que permanecieron frente de Wittemberg. Inmediatamente empezó uh,;gran fu ego-de artillería y fusi lería entre las tropas prusianas y el enemigo. Los éuerpo*&gt; rusos y suecos, después de haber hecho márbhas forzadas, hicieron alto por un momento para formarse…</t>
  </si>
  <si>
    <t>Ckusel</t>
  </si>
  <si>
    <t>514</t>
  </si>
  <si>
    <t>…partes del mariscal de campo D. Francisco Espox y Mina, Séptimo. ,,Exorno. Sr. i Por la ida de Caffsrelli á Francia le ha accedido en el mando del exército del ncrte de España «1 general Ckusel, que ha reasumido en sí todas las facultades de aquel. Las voces de exterminio y horror contra la división de mi mando se oien de la boca de este general tan envanecido como cobarde : ,,yo iré, decía, á Navarra, y acabaré con M na : yo haré con 7000 hombres l…</t>
  </si>
  <si>
    <t>Cl'ntoo, Sir Henríque</t>
  </si>
  <si>
    <t>Sir Henríque Cl'ntoo</t>
  </si>
  <si>
    <t>…los movimientos de la dere cha, que se componía de ia segunda división del mando del tenien te general el honorable Sir Guillermo Hesvart; la sexta división del mando del teniente general Sir Henríque Cl'ntoo; una división portuguesa á las órdenes del teniente general Sir Juan Amhtdn; una división española i las órdenes del general Murüio; una brigada de caballería al mando del coronel Grant; una brigada de artillería portuguesa mandada por el teniente coronel Tul…</t>
  </si>
  <si>
    <t>Clan-</t>
  </si>
  <si>
    <t>…tas á los ataques de innumerables cor mas particularmente , y á quienes considero dignos sarios. de la benevolencia de S. M.; é invoco en su favor Una gazeta irlandesa anuncia que lord Clan- toda la solicitud de V. E. Desde los primeros diai carty será enviado á las Indias orientales como go experimentó ia guarnición una de las necesidades bernador general. mas crueles, la falta de agua ; tampoco tenia nin Se disputan mucho las eiccciones para el…</t>
  </si>
  <si>
    <t>Clancarthy</t>
  </si>
  <si>
    <t>…res salutaciones con que fue recibido no pueden des cribirse: fueron grandes y sinceras , y parecía que hacían una agradable im presión en los sentimientos del embaxador británico lord Clancarthy. Los periódicos tís referirán4las particularidades , pues yo ni tengo tiempo ni pue do entrar en mí mismo lo suficiente para decíroslo.___S. A. S. tiene inten ción de ir con parte de sü comitiva á pasar algunos dias en Amsterdam._ Esperamos que aparezca en br…</t>
  </si>
  <si>
    <t>Clark</t>
  </si>
  <si>
    <t>…xcepto una pequeña porción de harina , que cayó en nuestro poder cerca de Queenston , la que fue también inutilizada en la misma noche por una partida de ingleses man dados-por el coronel Clark. El 31 de mayo se hizo á la vela nuestra esquadra de Newark para el puerto de Sacket, porque se creyó que debía protegerse aquel lugar. El ,i.° de junio el general Winder con americanos dexó el fuerte Jor ge, y marchó á Angra de las Qüarenta millas, en donde…</t>
  </si>
  <si>
    <t>…con la división del general D. Car los España, la cual debía pasar á situarse en Zubiri; y en efecto*, dispuse marchase la segunda y cuarta brigada de infamería, á las ordenes del brigadier Clark, quien lo veriñeó inmediatamente. Ha lló al general Picton unido al general Colé en, Zubiri, y le comu nicó la orden que llevaba; pero este le insinuó iba á continuar su retirada, y que convenia que el dicho Clark la verificase cuanto an tes. En seguida recib…</t>
  </si>
  <si>
    <t>Claro</t>
  </si>
  <si>
    <t>…. que no lloviese sobre ellos, y lo menos que se les diría (8) ¡Por dónde consta! ¡Cómo se ha olvidado era que estatuí faltos de sindéresis, y que bien se conocía ymd. tan pronto, señor Claro, de que acaba de decir que no habian visto mas lógica que la del P. Peinado. que es una desgracia el que los pueblos no conozcan el (5) Ya se les disputa á los clérigos hasta el dere carácter de los clérigos, y que esten dominados por és cho de ciudadanos. Pr…</t>
  </si>
  <si>
    <t>…rústicos á quienes hemos quedado sin justicia suprema!” {Redactor dirige su plática; y baste decir para muestra de la ¿eneral núm. ¡68.) sanidad de este D. Lúeas, que propone sea conde Claro está adonde va á parar esta ironía. nado a! último suplicio el que no tenga ni lea el — ,,El suplemento al núm. tS del Tribuno del evangelio en triunfo, y el que se burle de la inqui ando una proposición, que se dice pasada al con ro ¡96.) fueblo español cont…</t>
  </si>
  <si>
    <t>Clatsse</t>
  </si>
  <si>
    <t>…general Ponsomby ; y la quinta y sexta con la caballería de la casa Reai y la brigada del brigadier Durban desde Salvatierra y Vitoria hácia Loproño, con el hn de poder cortar al general Clatsse!. »E1 hizo varias marchas extraordinariamente forzadas perseguido por ei general Mina con su caballería . y ei regimiento de lanceros de Castilla del mando del brigadier D. Julián Sánchez , y liego á Tíldela la tarde del día 27. En aquella ciudad pasó el Ebro…</t>
  </si>
  <si>
    <t>Clau</t>
  </si>
  <si>
    <t>…de laS1 provincias del sur de Erancia; se in corporó y tomó el mando de ellos elJ,i{3 del mismov reuniéndosete casi al mismo tiempo los cuerpos que habían estado á las órdenes del general Clau~ sel en España, igualmente que otros refuerzos: refundió los expresados exér* ckos en üno de niiéve'divisiones de infantería, y una reserva de la misma arma, denominado éi exército dé España, confiriendo el mandode la dere cha al general conde de Reylle; el d…</t>
  </si>
  <si>
    <t>Clausel</t>
  </si>
  <si>
    <t>430</t>
  </si>
  <si>
    <t>…cuales van á incor porarse 2000 á la guardia imperial. El 21 llegaron aquí de Castilla 2800 hombres , y el 23 entraron otros 3000 conduciendo á unos 3000 prisioneros españoles. El general Clausel después de haber recorrido la Guipúzcoa, se dirigió á Bilbao, y desde allí faé &amp; atacar á Castro. Aquí no se esperan refuerzos de Francia. Madrid 3 de Abril. El general Gazan se halla autorizado para recoger todas las con* tribuciones de esta provincia debien…</t>
  </si>
  <si>
    <t>…iciales y y arios era, pisados. 824 soldados con 2 generales; llamados Barehan y B me ma i.u. El 21 entró otro con 33 coroneles, 105 oficiales , 6 empleados •y 740 soldados. ;■ El general Clausel esitá en Navarra. Se asegura que han ido de aquí á Castrourdiales 7000 hombres, y que deban reunirse, hasta 13000, no quedando duda de que transportan de S. Sebastian ca ñones de batir. £5’ í^e j^aneia: no viene’ tropa alguna, ni la esperan los enepiigos. „ ;…</t>
  </si>
  <si>
    <t>…to 95 , y de la compañía de artillería de á ca ballo del capitán Ross, le lia quitado el único cañón que le queda ba; de consiguiente han entrado en Pamplona eon un solo ebus. »E1 general Clausel que manda la parte del exército del norte y una división del de Portugal,. que no ha estado en la batalla del 21, se acercó á Victoria el 22 , dónde tuvo noticia de la acción del dia anterior; y hallando que la sexta división que acababa de llegar, mandada po…</t>
  </si>
  <si>
    <t>…ría del exército de Portugal, y de algunas de las tropas del exército&gt; del norte. La división del general Foix, del exército de Portugal, estaba en Jas inmediaciones de Bilbao: el general Clausel , que mandaba el exército i del norte, estaba cerca de Logroño con una división del exército de Portu-o gal , mandada por el general Turpin , y. la división del general Bandermafien del del norte. ' „ La sexta división del exército aliado, del mando del honor…</t>
  </si>
  <si>
    <t>…Exorno. Sr. duque de Ciudad-Rodrigo al Sr. secre tario del despacho de la iduerrd. ,',,Excm&lt;&gt; Sr*desde que escribí á V. E. en 3 del corriente, el general Mina me avisa (de que el general Clausel había marchado de Zaragoza hácia Jaca. Sin embargo, hasta ahora no lie oído que haya llegado á aquella pla za. —— La derecha del enemigo ha permanecido casi en la misma situación en que se colocó después que pasó eiSBidasoa y destruyó el puente de Xrun. .Sin…</t>
  </si>
  <si>
    <t>…a de la misma arma, denominado el exército de España, confiriendo el mando de la derecha al general conde de Reylle; el del centro al general conde de Erlon; el de la izquierda al general Clausel, y el de la reserva al ge neral Vilíatt en clase de tenientes generales; y de la caballería formó tres divisiones , dos de dragones k las órdenes de los generales Tilli, Tieylleard, y la otra de caballería ligera á las del general Pt di o Soult; y habiéndose…</t>
  </si>
  <si>
    <t>…siguiente oficio del señor duque de Ciudad-Rodrigo. »Exemo. Sr. : En la relación de oficio que dirigí á V. E. desde Ostiz, con fecha de 3 de Julio último pasado (*-), dixe que el general Clausel había pasado el Ebro por Tudela el 27 de Junio anterior, pero que informado por el alcalde de hallarse nuestras tropas en el camino inmediatamente lo repaso. Conociendo .de lo que es capaz la calumnia en las guerras de revolución, 110 hubiera dado crédito á l…</t>
  </si>
  <si>
    <t>…de Ciudad-Rodrigo, fecha 22 de agosto anterior, en que manifiesta á la nación y al gobierno ser una calumnia el párrafo siguien te de otro parte de 3 de julio del presente año: el general Clausel llegó d Tudela y donde pasó el Ebro j pero informado por el alcalde de hallarse nuestras tropas en el camino} inmediatamente lo repasó. Recibida la mas escrupulosa información por el comandante militar , resultó plenamente pro bada la calumnia, y el autor de…</t>
  </si>
  <si>
    <t>Cle</t>
  </si>
  <si>
    <t>…tratado de amistad y de aliama defensiva á los plenipotenciarios siguientes, que han surorizado con sus instruccio nes ; i saber, de parte de S. M. el emperador de Austria &amp;c. el Sr. Cle mente Wenceslao Lotlvdre, conde de Me ternich Winneburg© Oscheniiíiuisen&gt; caballero del toyson de oro, gran cruz del orden reai de</t>
  </si>
  <si>
    <t>Cle, Domingo</t>
  </si>
  <si>
    <t>Domingo Cle</t>
  </si>
  <si>
    <t>…mpañaba el español Losada. Entraron en la ciudad sin permitir saliera nadie: echaron un bando á fin de que se diese parte de los soldados que se hallasen ocultos, espeeíficaEdo al gobernador D. Domingo Cle mente Sierra , al comandante de la partida llamada de Marquinez D. Benito Puente, á D. Francisco Valiejo y D. Bernardo Encovar: para su responsabilidad prendieron en rehenes 4 regidores, D. San tiago Gallego, D. Cayetano Ramos, D. Joaquín Encara y D. Ga« bino…</t>
  </si>
  <si>
    <t>Clemente</t>
  </si>
  <si>
    <t>…tud de las fuer metro entre 11 y 12 grados sobre cero. zas del enemigo, se abrieron paso por entre sus es • quadrones firmando quadros. El regimiento del GRAN DUCAD.O DE VARSOVIA. príncipe Clemente se ha distinguido mas que todos, pasando el rio Prosna con .agua hasta los sobacos, Posen 6 de febrero. y merece conservarse en los anales da nuestra his Según las últimas cartas de Francfort sobre e* toria militar el rasgo del sargento mayor del mismo Oder,…</t>
  </si>
  <si>
    <t>Clemente, Fermín</t>
  </si>
  <si>
    <t>Fermín Clemente</t>
  </si>
  <si>
    <t>…para presidente el Sr. D. Pedro Gordi'do, diputado por las islas Canarias; para vice presidente el Si. D. José Maris Couto-, diputado por el reyno de México; y para secretario el Sr. D. Fermín Clemente, diputado por Caracas. La Regencia del reyno se ha servido expedir el decreto que sigue z D. Fernando vii, por la gracia de Dios, y por la constitución de la monarquía española, rey de las Españas , y en su ausencia y cautividad la Regencia provisional del re…</t>
  </si>
  <si>
    <t>Clemente, José</t>
  </si>
  <si>
    <t>José Clemente</t>
  </si>
  <si>
    <t>…nlchaga; á comandantes de escuadrón á D. Miguel María Iribarren y D. Manuel Garrea: á sargento mayor á D. Claudio Ich^so : á capitanes á D. Ramón Echeverría , D. Lo renzo Mauleon, D. José Clemente, D. Pedro Francés, D. León Iriarte, D. Pedro Viilarroya, D Domingo Josué y D. Diego Cebadua; á ayudantes á D. Francisco Moñones , D. León Amedo, D. Manuel Mecolalde y D. Atanasio Mendivil: á tenientes á D. An drés Berrueta, D. Mariano Sauz, D. Juan Ignacio No…</t>
  </si>
  <si>
    <t>Clifton</t>
  </si>
  <si>
    <t>…ania, derechos y su pabellón, se acuerdan aun de aque de la Nueva-jersey, de la Virginia y de las inme llos famosos pontones de Nueva-Yorck, en donde diaciones de Nue.va-Yorck. *1 general Clifton amontonaba á miles sus desgra Se podría formar un tomo dé los excesos á que ciados compatriotas. Lo que hubo entonces de mas se propasaron los agentes del gabinete de S. James terrible fue que la privación del aire, el calor y la en esta guerra, ya contra ios…</t>
  </si>
  <si>
    <t>Clinton</t>
  </si>
  <si>
    <t>…drid 8 de octubre. Escriben de Tarragona que continúan los trabajos de aquella plaza con la mayor actividad.__ Lord Bentinck ha pasado á Palermo, dexando el mando interinamente al general Clinton hasta ia llegada de Pieton , á quien se esperaba por momentos.__ Los enemigos subsisten á ia derecha del Liobregat en número de 14 á 15© hombres; y segun las noticias que tenían en Tarragona el día 28 del pasado, se creía mui próximo un movimiento al pa recer…</t>
  </si>
  <si>
    <t>…id 8 de Octubre. Escriben de Tarragona que continúan los trabajos de aquella pla za con la mayor actividad-----Lord Bentinck ha pasado á Paiermo, dexando el mando interinamente al general Clinton hasta la llegada de Picton, á quien se esperaba por momentos. — Los enemigos sub sisten á la derecha del Llobregat en número de 14 á 15® hombres; y según las noticias que tenían en Tarragona el dia 28 del pasado, se creía muy próximo un movimiento al parecer…</t>
  </si>
  <si>
    <t>…rtificado sobre la montaña de Ardía, cuya guarnición pasó á cuchillo. » Después que dirigí á V. E. mi último parte he recibido avisos del 3 de este mes desde Cataluña del teniente general Clinton ; aun estaba en Tarragona, y el enemigo ocupaba su antigua posi ion del Llobregat. El teniente general lord Guillermo Bentinck se habrá em barcado el 22 de Setiembre para Sicilia, w Remito á V. E. este parte por el teniente coronel Montufar, edecán del marisc…</t>
  </si>
  <si>
    <t>6? 5 bre la montaña de A rolla, cuya guarnición pasó á cuchillo. ,, Después que dirigí á V. E. mi último pirre he recibido avisos del 3 de este mes desde Cataluña del teniente general Clinton ; aun estaba en Tarra gona, y el enemigo ocupaba su antigua posición del Liohregat. El teniente general lord Guillermo Bentinck se~habrá embarcado el 22 de setiembre pa ra Sicilia. , „ Remito á V- E. este parte por el teniente coronel Montufar, edecán del mar…</t>
  </si>
  <si>
    <t>Clipham</t>
  </si>
  <si>
    <t>168 bres : otra de! capitán Clipham, de Iá chalupa la Caribdis, diciendo haber apresado el Biokade , corsario americano de 10 cañones y 60 hombres; y otra del capitán Alexander, del Coloso, dando cuenta de la presa del Delfín, corsario también americano de 12 ca ñones y 56 hombres. Idem 21 de E…</t>
  </si>
  <si>
    <t>Cliurruca, Guimeriudo</t>
  </si>
  <si>
    <t>Guimeriudo Cliurruca</t>
  </si>
  <si>
    <t>…alla, subtenientes del de Laredo; D. Josef Castrejon , teniente, y D. Vicente de la Tórnente, subteniente del de tirado res de Cantabria; D. Buenaventura Tomasa, teniente corone!; D. Guimeriudo Cliurruca, teniente, y D. Josef Manuel Carril, subteniente del se gundo de Guipúzcoa, y D. Josef Albun , subteniente del primero del mis ino nombre. ! « Los contusos son D. Ruperto Otero, teniente del de Rivero; D. Josef María Carrido, coronel, y D. Francisco S. Julián…</t>
  </si>
  <si>
    <t>Clsusel</t>
  </si>
  <si>
    <t>…E OFICIO. El señor secretario del despacho de la Guerra ha recibido por extraordinario ei siguiente parte del señor duque de Ciudad-Rodrigo. «Excrno, Sr. *. Habiéndose retirado el general Clsusel hácia Lo groño' después de haber sabido que nuestras tropas estaban el 22 de Jumo t-n Vitoria, y asegurándose del resultado de la acción del cia 2.1 , todavía continuó permaneciendo en las inmediaciones de Logroño el dia 24, y hasra muy tarde del 25. Esta cit…</t>
  </si>
  <si>
    <t>Cnlchaga, Juan José</t>
  </si>
  <si>
    <t>Juan José Cnlchaga</t>
  </si>
  <si>
    <t>…cía, D. Andrés Diaz y D. Félix Quitarte. Igualmente se ha servido S. A. promover en el regimiento de caballeril ligera húsares de Navarra de la misma división á teniente coronel á D. Juan José Cnlchaga; á comandantes de escuadrón á D. Miguel María Iribarren y D. Manuel Garrea: á sargento mayor á D. Claudio Ich^so : á capitanes á D. Ramón Echeverría , D. Lo renzo Mauleon, D. José Clemente, D. Pedro Francés, D. León Iriarte, D. Pedro Viilarroya, D Domingo Jos…</t>
  </si>
  <si>
    <t>Co</t>
  </si>
  <si>
    <t>…ntuso de nsultas de la exp’osion de una bomba, luego qae principó el atsque, me vi precisado á abando nar el campo de bata] a ; y así los últimos detalles que comunico se deben al coronel Co ke, edecán de S. A. el comandante en gefe, á qaicn dtbo muchas auncioaes, tanto en esta ocasión como en tocas. Tengo el placer de comunicaros la noticia de otro asaque mas brillante que eí anterior, conseguido asimismo por los aliados. El 25 había ocupado el…</t>
  </si>
  <si>
    <t>Co, Femín</t>
  </si>
  <si>
    <t>Femín Co</t>
  </si>
  <si>
    <t>…no, 200. D. José lio dirifo, 200. D. Miguel Fermín Escurra, 200. D. Miguel Cabe’lo, £00. D. Miguel Antonio Ar óla, 200. D. Fran cisco Maíz , 100 D. P&lt; dro M:guel I jibareen, 100. D. Femín Co ya, 100Í £1 conde Villa* do Fuente, 100. D. Luis A¿elmo L&amp;n*</t>
  </si>
  <si>
    <t>Cobian, Pedro</t>
  </si>
  <si>
    <t>Pedro Cobian</t>
  </si>
  <si>
    <t>…án del regimiento de Guadalaxara "D. Francisco Carnario, el teniente D. Francisco Vaidés y el subteniente D. Ramón del Rio del propio cuerpo. Los tenientes del segundo de Asturias D. Pedro Cobian y D. Benigno Hernández, y el subteniente del de la Constitución D. Próspero Gaiina.</t>
  </si>
  <si>
    <t>Coc</t>
  </si>
  <si>
    <t>…an á corta distancia, todo fue incendiado. En el pro-t greso de estas operaciones noshubd sino un marinero herido. v» En la segunda relación, cuya fecha es de 3 de mayo, el contra-almirante Coc&amp;Surn comunica el ataque dado contra Havre de Gracia, ciudad situa da en l&lt;a embocadura del rio Susqüehann. Después de la toma de Havre el contra-almirante envió un destacamento de cañoneras para tomar y destruir ?tuanto hallasen en el rio, mientras que él en…</t>
  </si>
  <si>
    <t>Cochranc</t>
  </si>
  <si>
    <t>…entido de la petición. les da ciertamente para proteger los derechos de la Después se votaron gracias á sir Francts Bur ración , y que asciende anualmente á cerca de aoo2) dett, á lord Cochranc, al gran baiiío y al mayor libras esterlinas. Cartwrigth, coo lo qual se disolvió la asamblea. 30. Si con Mr. Burke consideramos una cáma ra de los comunes como „ lo que en alta parte del SUIZA. gobierno seria un juri de la parte baxa, ’’ y si Lausana 3 o de…</t>
  </si>
  <si>
    <t>Cockburn</t>
  </si>
  <si>
    <t>…L MARTES 10 DE AGOSTO DE 1813 SAXO EL GOBIERNO DE LA REGENCIA DE LAS ESPANAS. •m ■ . GRAN BRETAÑA. Londres 14 de julio• Sellan recibido tres relaciones circunstanciadas del contra-almirante Cockburn sobre diversas ventajas obtenidas por las armas británicas contra los Es tados-Unidos , cuyos extractos ofrecemos á la vista. En la primera» fecha 29 de abril en las márgenes del Eik, se refiere un ataque dado con felicidad por los buques de guerra Santóme y…</t>
  </si>
  <si>
    <t>961</t>
  </si>
  <si>
    <t>…entFe la tierra alta y Norfolk para cortarles sus recursos : determiné que lo-atacase el cuerpo vo lante de esta escuadra. Con esta mira di las instrucciones necesarias al contra-almirante Cockburn para conducir la parte naval de la ex^ pedición, y puse/á sus órdenes si capitán Pechelí con la corbeta la Mohawk, y las chalupas armadas para cubrir «I desembarco ; las tropas saltaron én tierra con la mayor prontitud. — Sir Sídney Beckwith , que mandaba las…</t>
  </si>
  <si>
    <t>…iudad y en el campamento de Hampton, las tropas puestas á mis órdenes fueren embarcadas en los lanchones la noche del 25 de este mes, y por las excelentes disposiciones del contra-almirante Cockburn, que estuvo i la vista de la operación, la vanguardia mandada por el teniente coronel Napier, compuesta del regimiento núm. 102, de dos compañías de cazadores canadianos, y de tres compañías de soldados de la marina de la escuadra, con dos cañones de artiller…</t>
  </si>
  <si>
    <t>Cockburne</t>
  </si>
  <si>
    <t>…có,por. la parte del puerto dbnde hubo menos1 resistencia ; y ei mariscal de campo* Carlos, barón de Alten, expresa en el parte que me na dado, que tanto el general Kerupt como el coronel Cockburne desplegaron grandes conocimientos en ia exeeucion de estos ataques..</t>
  </si>
  <si>
    <t>Codes, Simón de</t>
  </si>
  <si>
    <t>Simón de Codes</t>
  </si>
  <si>
    <t>…. D. Isidoro Alaiz y Represa, canónigo doctoral de esta santa iglesia primada. D. Joaqujn Sobrinos, hacendado, labrador y ganadero de la villa de Talavera de la Reina. ...... Lie. D. Simón de Codes, hacendado de la villa de Ocaña. D. AlfonsoPeñalver, presbítero, hacendado de la villa de Mora. Dr. D. Josef Perez de la Maza, párroco de Santiago de Talavera. . Dr. D. Manuel de Mora, hacendado, labrador de la Guardia. N D. Gregorio Sánchez de Rivera, labrad…</t>
  </si>
  <si>
    <t>Codrington</t>
  </si>
  <si>
    <t>…general Lamarque, nosotros. Algún tiempo después que ia conocimos ya ha matado 12 mugeres sobre esta costa en solo pensé que estuviese embarazada. Estando un dia un año el contra-almirante Codrington. En el ca reclinada en el sofá, puso la mano en el pecho, y ñoneo del 3 una bala llevó un brazo á una joven me dixo: „Sir John, yo nunca seré Reina de In de Arens del Mar al tiempo que salía de la iglesia. glaterra:” y yo la contesté: „No, sí no lo mere Esta…</t>
  </si>
  <si>
    <t>Cofñn</t>
  </si>
  <si>
    <t>…onza, cuyo puerto tiene de anchura la cuart3 parte de una milla con un muelle al extremo, de fendido por 4 baterías con 10 cañones de á 24 y 18, y 2 morte ros de 9 pulgadas. * «Ei coronel Cofñn y yo convenimos en que el medio mas bre ve y seguro de lograr el objeto era acercarse al muelle con los dos navios, y tomar la plaza por asalto; pero el tiempo no fue favora ble para este ataque hasta el 26, en que los navios pudieron ma niobrar á favor de un…</t>
  </si>
  <si>
    <t>Cohibí</t>
  </si>
  <si>
    <t>…nes. ,9Peco* minutos bastaron para rechazar los tiradores enemigos, que ja atacaban nuestras posiciones» y pjgo mas de una hora para que les siguiese el total de sus fuerzas. nfíl coronel Cohibí y el teniente coronel Cano, que mandaban dos porciones de nuestra tropa, maniobraron con acierto, j persi* guúrnn as enemigo hasta que se encerró en Mallen. „ Estos dos ge fes merecen mi recomencíaeien*, como igualmente mis ayudantes González y Al vistor; y n…</t>
  </si>
  <si>
    <t>Coib</t>
  </si>
  <si>
    <t>…años. Borja 17 de Abril de 1813. — Exeme. Sr. — Pedro Sürsfield Segundo. ,,Eterno. Sr.: Serian las 8 de la manen a del 13 del corriente cuando una división enemiga, mandada por el coronel Coib^rt, se divisó á distancia de legua y media del pueblo de Magallon, mar chando con el objeto de ocupar nuestra retaguardia, ínterin ia divi sión de Mullen atacaba por el frente. j.Ciuia división enemiga per sí sola era superior en fuerzas á la de mi mando, por…</t>
  </si>
  <si>
    <t>CoKer, Sir Jorge</t>
  </si>
  <si>
    <t>Sir Jorge CoKer</t>
  </si>
  <si>
    <t>…operaciones contra el castillo , ¡a marina británica se encargó de las ofensas que desde la isla de Sta. Clara se dirigían contra él, con las que incomodaron mucho al enemigo. Ei capitán Sir Jorge CoKer,'los demas oficiales, marineros y tropa de marina han • ormibuido dando todo el auxilio que Ies ha sido posible; y el teñirme general Sir Tomas Grabam recomienda particularmente al espité'n )3ioyt: de la Lyra y al espiten Smith; y el teniente coronel Drckson,…</t>
  </si>
  <si>
    <t>Col-Treneh</t>
  </si>
  <si>
    <t>…xecutó Sir Tomas1 Picton, merecen mis mas al tos elogios. Este último general cooperó al ataque de la montaña., desta cando tropas de su izquierda, y en él fué herido el honorable teniente Col-Treneh; pero espero que no será peligrosa su herida. „A. proporción que se adelantaban estas operaciones, y veia las venta jas que se conseguían, fui destacando tropas al socorro de Sir Rolando Hill. ^Entrada ya la mañana , se presentó á sa frente el enemigo , y pri…</t>
  </si>
  <si>
    <t>Colbert</t>
  </si>
  <si>
    <t>…re con pérdida» dexándose sus heridos en nuestro po unido de nuevo el enemigo en una montaña defender. Aquella misma noche ocupó á Mainar el ge aiaa1 po r un barranco profundo, el coronel Colbert neral Severoli» y á las diez de la mañana del dia formo s u tropa en tres colunas, y fue hácia él de siguiente llegó á Daroca. La guarnición de esta nodadamente : pasaron los soldados el barranco con ciudad, mandada por ei teniente Perrot, del regi agua hasta…</t>
  </si>
  <si>
    <t>Colé</t>
  </si>
  <si>
    <t>…iri; y en efecto*, dispuse marchase la segunda y cuarta brigada de infamería, á las ordenes del brigadier Clark, quien lo veriñeó inmediatamente. Ha lló al general Picton unido al general Colé en, Zubiri, y le comu nicó la orden que llevaba; pero este le insinuó iba á continuar su retirada, y que convenia que el dicho Clark la verificase cuanto an tes. En seguida recibí, por el general Picton, ís noticia de que ho siendo el terreno á propósito para…</t>
  </si>
  <si>
    <t>…^¡visión del general Longa, que estaba acampada á retaguardia de su derecha en la sierra de Aya; con el fin de protegerles aun mas, hice que marchasen á las órdenes del; teniente general Colé, el 30, dos brigadas de la cuarta división al convento de S. Antonio, una “d¿ las cuales era del general Rojo, que después pasó ei mis mo día á la sierra de Aya, y la otra lo verificó en la mañana del 31, quedando la, novena brigada portuguesa sobre las altur…</t>
  </si>
  <si>
    <t>…g^neraíf Tonga :r que- estápa acampada." á • reta**guardia. d$. sil dérechíb en la^ier^a^é Aya* :Con-el f^rt-de-protegerles aun nías: hice que mzrcHasen á las órdene? 4el teniente general Colé1 el 30 dos briga das de ia quarta división al-convento de S. Antonio,. una de:las quales era’ dél general Rojoque después- pasó el mismo-diáá la- sierra de Ay a,? y la; otra;lo verificó en la.mañana.del31 y quedandóda-noyena. brigada1 portugue-Sa sóbre las al…</t>
  </si>
  <si>
    <t>…esta ba en la reserva enemiga, participando hallarse á las inmediaciones de dfchá división, y en marcha para incorporarse á ella dos batallones de su cuérpo y el de Francfort. El general Colé, tomadas todas las medidas necesarias, se adelantó á su encuentro, y acosa de media hora llegaron como 1500 de di chos tres cuerpos, perfectamente vestidos, y los mas hermosos soldados que pueden verse. • ' , ■ Se igjiorañ las noticias que el gefe de estos cu…</t>
  </si>
  <si>
    <t>Colé, Picton y</t>
  </si>
  <si>
    <t>Picton y Colé</t>
  </si>
  <si>
    <t>…gasen los refuerzos que había dispuesto S. E. marchasen á aquel, punto: al momento mandé reunir la infantería para marchar, é iba á verificarlo cuando hallé que las divisiones del general Picton y Colé se hallaban ya en Kuartc; esto es, en 1 £13 tfiOSlClVIá^S se eneuentran á su frente, y que el en-:migo solo distaba na cuarto de legua de aquel punto. El general Píeteu, que habla recibido la- orden para contener ai enemigo unido conmigo, y hesta- la llegada…</t>
  </si>
  <si>
    <t>Colé, Sir Lowry</t>
  </si>
  <si>
    <t>Sir Lowry Colé</t>
  </si>
  <si>
    <t>…gada de infantería inglesa del gene ral Wing, y la división de infantería española del general Morillo, esti ban, sobre la derecha cubriendo el puerto de Roncesvalles. El teniente general Sir Lowry Colé, con la cuarta división de su mando , estaba en Viscarret •oa el objeto de sostener las expresadas tropas; y el teniente general Sir</t>
  </si>
  <si>
    <t>…divisiones del centro , y dos de caballería en S Juan de Pie de Puerto ; y el 25 atacó el puesto del general Bing en Roncesvalles con el número de 30 á 40000 hombres. El teniente general Sir Lowry Colé marchó con la cuarta división á su socorro, y unidos estos generales, pudieron conservar el puesto todo el dia. Pero habiéndolo el enemigo de bordado por !a tarde „ S¡r Lowry Colé consideró que era necesario se re tirasen por la noche, como lo verificaron, to…</t>
  </si>
  <si>
    <t>…ta que estaba sobre la izquierda de nuestra posición hácia el camino de Ostiz , atacaron instantáneamente el lugar de Sorauren, arrojando igualmente de él al enemigo.- El teniente general Sir Lowry Colé asimismo atacó el frente de la principal posición del enemigo con el regimiento de cazadores núm. 7, sostenido por el del núm. 11, ambos portugueses, el regimiento 40 ingles, y el batallón del mando del coronel Bighan, compuesto del 53, y regimiento de la Bey…</t>
  </si>
  <si>
    <t>…esta ocasión. ,,En el ínterin que los expresados generales atacaban al enemigo , me adelanté con la brigada del general Bing, y la quarta división del mando del honorable teniente general Sir Lowry Colé por el puerto de Belate á Irurita, con el fin de envolver la posición del enemigo en Doña María. „El mariscal de campo Bing cogió en Elizondo un grande convoy que iba at enemigo, é hizo muchos prisioneros. „Hemos continuado hoy en perseguir al enemigo en el v…</t>
  </si>
  <si>
    <t>Coliier</t>
  </si>
  <si>
    <t>32° Vitoria. Se hablaba también de una expedición marítima contra Bayona y Burdeos al mando del almirante Coliier, que conoce bien la costa. Se iba á erigir en Londres monumentos al general Bowes, muerto en el sitio del castillo de Salamanca; al general Brock, muerto últimamente en América; al coronel W. Myers, muerto en la batalla de la Albuera, y al coronel Cadogan, mu…</t>
  </si>
  <si>
    <t>Colima, Oteiza de</t>
  </si>
  <si>
    <t>Oteiza de Colima</t>
  </si>
  <si>
    <t>…Xiquilpan. Pero habiendo huido la canalla lue go que avisto la guerrilla , dispuso el teniente coironei Arango que la persiguiesen 100 caballos ai mando del esforzado cura Arzac y capitán Oteiza de Colima , quienes habiéndola alcanzado en el rancho del Veladero la atacaron y dispersaron matando 9 de ellos y haciendo otros tantos prisioneros, uno de ellos nombrado Capitán. Reunido después este pequeño destacamento á la partida del referi do teniente coronel, si…</t>
  </si>
  <si>
    <t>Colis, Lidro</t>
  </si>
  <si>
    <t>Lidro Colis</t>
  </si>
  <si>
    <t>…dores de Cataluña, al mando de sus respectivos capitanes D. Juan Pablo Par y D. Gsspsr Estalella, se apoderasen del pueblo; que la quinta compañía del mismo cuerpo, al mando de su capitán D. Lidro Colis, atecase al mismo tiempo un reten qae había en la carretera de Martorell y flanquease el pueblo por la izquierda; que las compañías de cavadoras y granaderos del regimiento de Barcelona se colocasen inmediatas al pueblo por la ' parte opuesta al rio, mandadas…</t>
  </si>
  <si>
    <t>Coll</t>
  </si>
  <si>
    <t>…vedo, con el batallón ingles num. 5^7, fueron cargadas en su posición de Vet earlos, y obligadas á replegarse sobre la ermita de Ivañeta, desde donde fueron á reforzar al teniente general Coll, que se batía hácia el camino de los A Idudes. Interin una suspensión de fuego de mas de 3 horas , tes enemigos se corrieron por nuestra izquierda para atacar á este general, que los esperó y rechazó con la mayor bizar ría ; en cuyo momento volvió á romperse…</t>
  </si>
  <si>
    <t>Collado, Antonio Villanueva y</t>
  </si>
  <si>
    <t>Antonio Villanueva y Collado</t>
  </si>
  <si>
    <t>…, presbítero, natural y residente en Madrid.’ j.° D. Manuel de la Torre y Rauri , natural y residente en Madrid. 6.° D. Leandro Rozalen, natural y residente en Colmenar viejo. 7.0 D. Antonio Villanueva y Collado, natural de Madrid, y cura de Majadahonda. -</t>
  </si>
  <si>
    <t>Collar, Nicolás</t>
  </si>
  <si>
    <t>Nicolás Collar</t>
  </si>
  <si>
    <t>…coronel; D. Antonio Villegas y D. Antonio Martínez, tenientes; D. Luis •Alcalá, subteniente del de la Constitución; Mariano Castell, teniente coronel; D. Josef Rio-mayor, capitán ;D. Nicolás Collar, D. Manuel Rajnon Castell, D. Josef María Hernández y IX Josef de Puga» tenientes; IX Ventura Nogueyra y IX Laureano Triarte,, subtenientes del de volunta rios de Ja Corona; D. Andrés Parga, ayudante; D. Ramón Suero Díaz, y D. Francisco Salgado, tenientes, el…</t>
  </si>
  <si>
    <t>Colloredo</t>
  </si>
  <si>
    <t>…e ingles llamado Addington. El castillo de Opotscuna, situado en las fronteras de la Silesia, donde llegó el 16 el Emperadorde Rusia para detenerse allí algunos dias, pertenece al príncipe Colloredo. Bonaparte se hallaba aun en Dresde el 20 ae junio; y las gazetas francesas hablan de refuerzos, principalmente de caballería , que atraviesan diariamente el Rhin con dirección á aquella ciudad. Del 7 de julio. Por la mala de Heligoland que ha llegado esta ma…</t>
  </si>
  <si>
    <t>…jardines y dos por la izquierda. La columna de la iz quierda la mandaba el príncipe Augusto de Prusia : tres divisiones de austríacos por la izquierda de la ciudad , al mando del conde Colloredo y del príncipe Mauricio Lichtenstein , te reunieron á los prusianos ? estos formaban el centro del ataque. Un horrendo caño neo principió el ataqúe: como las baterías estaban colocadas en for ma circular al rededor de la ciudad , el efecto era extraordinario:…</t>
  </si>
  <si>
    <t>…al siguiente día, estando cerca de Ka in tu.ro 1 suce ivamente atacada ; pero en todos los puntos rechazaron ai enemigo. Se habla con el mayor dogo de los'movimientos que hizo el conde Colloredo. El enemigo perdió de 2 á 3© prisioneros, y al ganeral de divi sión Kreutzer coa a gunos otios oíiciales y 10 ciñones. La perdida de los.aliados se regula en 1© muertos y heridos. Las noricias de Toplitz hasta el 20 h:cen me- cion de una em presa feliz hecha…</t>
  </si>
  <si>
    <t>…a de 4 piezas, que fueron desmontadas por la arti.lería austría ca. Otra obra construida al pie del portazgo del camino de Dippoldswalde, fué tomada de asalto por el fela~mnriscal conde Colloredo con su acostumbrado valor, á pesar de la oposieíon mas ten¿z: los ca ñones que se encontraron allí, y ademas ouo; 6 que tomo , estaban casi todos clavados. En esta acción perdió el general 3 cab líos ; y el teniente coronel Schn.ider. que ; 1 frente'del segun…</t>
  </si>
  <si>
    <t>…BarVay de Tolly debían mandar las columnas á la derecha del Pieisse; lgs generales Wittgeristehi, Kleist y Klenau, des de sus respectivas posiciones, avanzarían sobre Leipsick. El general Colloredo debía adelantarse desde Borne pf?ra foimar la reserva del general Klenau: la retirada de este cuerpo debía ser sobre Chenanira; la de los generales Wittgenstein, Kleist y Klenau, sobre Altemberg y P¿nig. El exército del general Bennigsen debía adelantar desde…</t>
  </si>
  <si>
    <t>Colloredo, Paula</t>
  </si>
  <si>
    <t>Paula Colloredo</t>
  </si>
  <si>
    <t>Gaceta de Madrid n.º 10</t>
  </si>
  <si>
    <t>…lor de 175*2 en Viena de una familia distinguida por su la remolacha misma. amor al servicio de la casa de Austria: la corte pro De este enorme acrecentamiento de una subs curó al señor Paula Colloredo el obispado de Gurk tancia tan propia al alimento de los ganados debe antes de la edad de 70 años, En 1772 fue unánime resultar ¡a mejora de la raza de una manera mui fa mente electo príncipe arzobispo de Saltzburgo. Ha vorable en un pais en que precisamente…</t>
  </si>
  <si>
    <t>Colmenares, Pedro</t>
  </si>
  <si>
    <t>Pedro Colmenares</t>
  </si>
  <si>
    <t>…D. Andrés Arango; á capitanes á los tenientes D. Francisco Barreigua, D. Domingo Luis del Valle, D Vicente de la Encina, D. Francisco Preysler y Moreno, D José Segundo Izquierdo, D. Pedro Colmenares , D Pedro de la Cantolta, D José Nicolás ¿e Chimioni, D. Antonio Fernandez , D Juan Miguel Arrambi le, D. Antonio Arrambide, D, Antonio Gailuzo y D. Antonio de la Iglesia y Smith: igualmente ha promovido S. A. á coronel del referido cuerpo en la división de u…</t>
  </si>
  <si>
    <t>Colombi</t>
  </si>
  <si>
    <t>248 el resto ha sido dispersado (2). Se crée qué ni aun 100 «Té estos bandidos conseguirán repasar el Elba. Otra partida, mandada por el capitán Colombi, está completamente cercada; se espera que dentro de pocos dias la orilla izquierda del Elba estará enteramente limpia de estas partidasque come ten todo género de excesos contra los infelices habitantes. * El oficial qué fue á Custtin ha vuelto ya. De unos 5…</t>
  </si>
  <si>
    <t>Colomina, Agustín</t>
  </si>
  <si>
    <t>Agustín Colomina</t>
  </si>
  <si>
    <t>…abogado. = Licenciado, I). Francisco Antonio.AguJló. = $r. D. Josef Miralles, canónigo.-sSr. D. Ramón Cubells. - . ' t Suplentes.A * Sr. D. Pedro Vicente Calvo % presbítero, es El coronel D. Agustín Colomina. = Sr. D. Juan Roca Togores y Juan.sSr. D. Valentín Seoane.</t>
  </si>
  <si>
    <t>Colubi, José</t>
  </si>
  <si>
    <t>José Colubi</t>
  </si>
  <si>
    <t>…y será justo qne fixe la atención de V. E. sobre la conducta de tan benemérito oficial para su satisfacción y conocimiento de la superioridad. ,?Debo hacer mención igualmente del coronel D. José Colubi, comandante de la sección, el qne con el batallón de Basa y campa* nías de Ultonia resistió la exiga de la caballería «aeíBÍga, obligán dola á retirarse con pérdida. y desorden, en cuyo momento fué oporturaeate cargada por los lanceros. „Otr©s varios oficiale…</t>
  </si>
  <si>
    <t>Comas, Bartolomé</t>
  </si>
  <si>
    <t>Bartolomé Comas</t>
  </si>
  <si>
    <t>…Agustín Oro, D. José Joaquín Ározatena, D. Domingo Chávame, D. Agustín Mora, D. Juan Cruz Larrondo, D. Fran cisco Peralta, D. Manuel Salaberri, D. Dámaso Landa, D. Atanasio Diez, D. Bartolomé Comas, D. Ildefonso Mayo, D» JVLguql Ormachea, D Joaquín Sánchez, D José Migueltorena D Diego Gayarre, D. Fermín San Martin,*O. José Arozarena, D. Angel Esca lada, D. Víctor Pastor, D. Francisco Boira , D. Nicolás Uroz, D. Francisco Sarbide, P. Manuel'Inda, D Juan…</t>
  </si>
  <si>
    <t>516</t>
  </si>
  <si>
    <t>…eran emprenderlo de nuevo, y me sirviesen de refresco. El segundo batallón ha tenido de pérdida 6 muertos, en tre este? el subteniente D. Mariano Gay arre, de la de cazadores , el teniente D. Bartolomé Comas , de la segunda de fusileros , y ei sub teniente D Martin Zi&amp;urriz , de la quinta , 16 heridos y 8 contusos. Las dos compañbs del sexto b&gt;tallón han tenido 10 heridos. La mento la pérdida del valiente capitán ée cubílíería del cuarto escua dren D. Pedro YiÜar…</t>
  </si>
  <si>
    <t>Combassire</t>
  </si>
  <si>
    <t>…dad; pero quedándose al fin con 20 hom bres no mas por el gran número de sus heridos, Exércko del norte de España. tuvo que ceder. Ya hemos manifestado las circunstancias de la El teniente Combassire «n el hospital, no teexpedición dirigida por el general conde Cáifa- rtíendo consigo mas que algunos enfermos sin fuer relu para librar á lá plaza dé Santoña, que mucho zas , los animó con su propio valor, y resistió al tiempo tuvieron bloqueada los ingleses…</t>
  </si>
  <si>
    <t>Compare, Sebastian</t>
  </si>
  <si>
    <t>Sebastian Compare</t>
  </si>
  <si>
    <t>…José Ri bera, 1 id.. D. Francisco Gavidia, 1 id. D. Juan Bautista y D. Mi guel de la V ña, 1 id.- DJ usé Aibarado, 1 id. D. Melchor í&amp;chaustegnl, 1 id. D. Francisco Montes, I id. D. Sebastian Compare!, 1 id. D. A i tordo D: ñho, 1 i i. D. Francisco Ambrosi, 1 id¿ La archicofradíade Ntra, Sra. del Rosario, 10 id. D. Gregorio Lamas, 12 id. Son 379 hambres á razón de 192 ps. fs. al año por cada uno. Hacen 72768 ps. fs —D. Alberto Camino , al mes 8 ps. por ua…</t>
  </si>
  <si>
    <t>Compons</t>
  </si>
  <si>
    <t>…, que parecía estar seguro de conseguir su plan, marchaba contra nuestra derecha, por la que in tentaba romper con el objeto de ganar el camino de Weinssenfels; pero le contuvo el general Compons, cuyo mérito es mui conocido , al frente de la primera división del duque de Ragusa. Los regimientos de marina sostuvieron muchas cargas con notable sere nidad, y cubrieron el campo de batalla con la ñor de la caballería enemiga. Pero donde se veían los mayor…</t>
  </si>
  <si>
    <t>Conci</t>
  </si>
  <si>
    <t>…n sociedad no son una quimera, y si es ya lí queremos tener orden, hacienda nacional y exércicito decir la verdad , ¿por qué titubearemos en cor tos organizados? Desengáñese vmd., señor Conci rer el espeso velo que cubre las atrocidades, las tro so : todo esto es imposible con la existencia de ta pelías y la insaciable rapacidad de esas quadríllas les partidas, y es necesario ó aniquilarlas , ó re de bandoleros, que tan injustamente usurpan el res…</t>
  </si>
  <si>
    <t>Conciso</t>
  </si>
  <si>
    <t>…s i.® de abril ue eran nocivas para la disciplina y organización de ' e los cuerpos reglados; que eran per judiciales á los pueblos por su absoluta falta de administración rni,- „ Señor Conciso; ¿cpn que los enemigpi sorpreJittui.: .todo esto„se .hubiera podido prpjbar evidente hemdieron al partidario. Borbon» y los pueblos se mente por los mismos principios del arte de la guer alegraron?. (Concisa.dei 12 fiel, patada.). Rara mí, ra , y hubiera pare…</t>
  </si>
  <si>
    <t>…partidas? ¿Por v las propiedades de sus conciudadanos son para qué matan franceses? ¿No se pueden matar á me ellos juguetes que atropellan con el mayor descaro, nos costa ? ¡ Ah , señor Conciso! ¿Hasta quándo se :y de que se burlan con la mas insolente osadía: remos ciegos? Tristes de nosotros si de estas ha ¿quiere-vmd. hechos? citaré pocos;pero forre vmd. de venir nuestra salvación. ¿Qué hemos adelantado &lt;en cobre $ü corazón (2). con ellas ? Acaba…</t>
  </si>
  <si>
    <t>í&lt;6 # viduos del exército aliado se substanciaran y juz ¡ Ah, señor Conciso! Vmd. y demas compañe garán por comisiones militares que formen los ge ros de Cádiz se anticipan á publicar muchas cosas nerales del referido exército» teniendo el acusado que ven en sueños, y hai mui pocos sueños que uo defensor de su nación. verdad sean. Po…</t>
  </si>
  <si>
    <t>Concluye</t>
  </si>
  <si>
    <t>…er á pasar el Niemen. Vá á juñarse-con el ge Parts 11 He enero. neral de Yorck. Asi nos abandona delante del ene“senado conservador. migo. ,, Aceptad &amp;c. = Firma J o = el'mariscal duque Concluye la sesión del 10 de enero de 18 /j. de Tárenlo, Macdonald.” '■&gt;' • ' NUMERO I. : ' NUMERO ni. Cofia He .14 carta del conde He Saint-Marsan al ministro He Relaciones exteriores. Carta del general Yorck al mariscal duque de Tárenlo. ..Berlín i.° de enero de 18…</t>
  </si>
  <si>
    <t>Conde, Diego García</t>
  </si>
  <si>
    <t>Diego García Conde</t>
  </si>
  <si>
    <t>…illa de Alvino García, cuyo total exterminio se hu biera verificado indefectiblemente, si los rebeldes, cortando todos los puentes del camino , no hubiesen retardado el arribo del brigadier D. Diego García Conde con la primera división del exército deL cen tro , que debía obrar en combinación con la del Sr. Negrete, el que por este accidente entretuvo en vano la acción por espacio de 40 ho ras. El Sr. Negrete con arreglo al plan convenido salió de la Piedad el 11 de…</t>
  </si>
  <si>
    <t>…s las noticias de Suecia y Prusia, el exército ruso está recibiendo continuos refuerzos.ESPAÑA. México jo de Febrero. Continúan los extractos de los partes de Nueva-España. €1. Ei brigadier D. Diego García Conde recibió un parte del teniente coronel D. Agustín de Iturbide, con fecha 27 de Julio, en que le decía que ei 24 halló en el valle de Santiago de éoo á 700 rebeldes que le esperaban formados en una altura aparentando serenidad. Con el objeto de envolverlos habí…</t>
  </si>
  <si>
    <t>…e componen esta división no han tenido sino una sola vez seis días consecutivos de descanso, y muy pocos dos, ni cuando yo estaba á su cabeza como sección de la división del señor brigadier D. Diego García Conde , ni después que aumentada tengo el honor de mandarla «n gefe. Son muy numerosas las acciones de guerra -que han tenido, gloriosas en si, y ventajosas por su trascendencia: han atacado posiciones que merecen el nombre de fortaleza;, y siem pre han vencido y n…</t>
  </si>
  <si>
    <t>Conde, García</t>
  </si>
  <si>
    <t>García Conde</t>
  </si>
  <si>
    <t>…os robos de Alvino y madriguera de sus cuadrillas, al mismo tiem po que el capitán comandante del batallón mixto D. Agustín Iturbide rodeaba otro por el rumbo opuesto, quedando el Sr. García Conde con la artillería en el último parage transitable d.e'1 camino. Apoco andar oyeron-los .nuestros tiros de cañón, descubriendo como 500 enemigos, que desaparecieron al .llegar al puerto el Sr. Negrete, quien avanzo hasta la laguna de Yurira , habiendo hecho, l…</t>
  </si>
  <si>
    <t>Conde, Santiago</t>
  </si>
  <si>
    <t>Santiago Conde</t>
  </si>
  <si>
    <t>…ring. íes D. Ramón García Muñoz , alcalde. D. Manuel Cardeñoso Herrczueto, alcalde. D. Pedro Monfort y Viergol , substituto pri D. T ornas Tordesillas, substituto primero. mero. t D. Santiago Conde, substituto segundo. D. Eugenio Mesa, substituto segundo. Barrio ae ¿Mortana. D. Rafael de Yarza, alcalde. QUARTEL DE SAN FRANCISCO. D. Juan Antonio Cuervo, substituto primero. Barrio de la puerta de Toledo. D. Josef Tenet, substituto segundo. I&gt;. Manuel de M…</t>
  </si>
  <si>
    <t>Congreve</t>
  </si>
  <si>
    <t>…ueses de Hertfort y Headfort: los condes VVe^tmorlaud, File , L-verpoo y Bathurst: los lores Castlereash , Hampden , St. He eis y _ \ armouth : el coronel Bioomfield ; el teniente coronel Congreve; 1). Luis de los Ríos, hermano de nuestro embaxador; el brigadier Dowméjal servicio de Espa ña J ; D. Josef Alonso Ortiz, cónsul general de España, y. D. Mauricio,Ort¡z, secretario interino de la embaxada. (conciso.)</t>
  </si>
  <si>
    <t>…cómodo del Calor,' como -ponqué las señoras preferían gozar de la variedad-de espectáculos que se-'les-presentaban. .Hubo, fuegos artificiar les; y entre ellos el-inventado por el coronel Congreve: mereció la aproba ción general. En fin , esta función correspondió completamente á sü objeto, qüe era dar á la capital de la Gran Bretaña una tacasíon *.de manifestar es pontáneamente' su admiración y recoñocimieiito al Inmortal, héroe dfe'V.itor tía y al ej…</t>
  </si>
  <si>
    <t>Cons</t>
  </si>
  <si>
    <t>…ontra el enemigo, lo que aceptaron todos sin excepción. Hallándose establecida ía comunicación entre los grandes ataques, y el de los do* exércitos de Silesia y del Norte, el grtn duque Cons tantino, los generales Plato" , Mi oradowiích, y otros oficíeles de dis tinción se reunieron al Príncipe real, y le dieron parte de les acon tecimientos que píisabrn ea el exército gra&amp;de. Parece que el enemigo ha hecho una resistencia desesperada en Probesth…</t>
  </si>
  <si>
    <t>Constantino</t>
  </si>
  <si>
    <t>…n grandes piquetes de cosacos en NikeJaeff cer ca del Niemen. Hey han entrado en Wilna los regimientos de guar dias de á caballo y la guardia de honor, al mando de 8 A. I. el gran duque Constantino. Al desfilar delante del fekl-mariscal príncipe de Smolensko, todas las tropas han expresado su regocijo con repetidos vivas. Las tropas de guardias se han acantonado en el pueblo y arraba les, y en sus íiuneóiaciones. Id. 18. El cuartel general del príncipe…</t>
  </si>
  <si>
    <t>i i6i de caballería é infantería ; esta ultima al mando de S. A. I., el gran duque Constantino, que fué á. su; socorro. Este cuerpo tropas qae era de unos 8® hombres ,, contuvodurante el día, á dos cuerpos y una división del exército francés, á las órdenes de los generales Vandamme y Bertrand, cuyo número era lo menos de 3o® hombres. Creerla hae r inju…</t>
  </si>
  <si>
    <t>…ntanas aseguran que sufren terribles privaciones; que diaria mente pierden centenares de caballos por Lha de forrages, y que los soldados se alimentan de carne de caballo. El gran duque Constantino se halló en la vanguardia durante la acción, y en medio de una continua nube de balas. El general conde Wittgenstein , el duque de Wittemberg, lo &gt; generales de arti llería conde Colloredo y Meerfeld, el general Ziethen , el teniente feld-mariscal Lichtenstei…</t>
  </si>
  <si>
    <t>…llos aceptaron sin excepción. Hallándose ya establecida la comunicación entre todas estas tropas y los dos exércitos de Silesia y del Norte, se reunieron al Príncipe Real,'el gran duque Constantino, los generales Platow , Miloradowith y otros oficiales de distinción, y le participaron los progresos del exército grande. Parece que el enemigo hizo una resistencia desesperada en Probestheyda, Stollintz y Connewitz; pero las diferentes colunas que, según de…</t>
  </si>
  <si>
    <t>…ndada por el general conde Bubna, perte neciente al exército del general Bennigsen. El general hetmán Platow llegó al mismo tiempo con sus cosacos, y poco después S. A. 1. el gran duque Constantino. flf enemigo, después de haber abandonado la aldea de Paunsdorw, vol vió á atacarla vigorosamente con infantería y artillería. El cuerpo del gene ral Bulow, que llegó en aquel momento, tuvo orden de atacar aquella al dea, que fue tomada con gran valor. El ene…</t>
  </si>
  <si>
    <t>…ciudad el Empera dor -Alexandró en medio de las aclamaciones de los habitantes. S. M. venia de A schaíFe mbu rgo al frente délas guardias rusas y prusianas, manda das por el gran duque Constantino^ :Es\ imposible ver una caballería mas bella, los hombres y los caballos presentan la mejor vista, y es difícil concebir qtw sean estas las tropas que han venido desde Moskow' hasta las orillas del Khin, después de una campana tan sangrienta como fatigante. N…</t>
  </si>
  <si>
    <t>Contreras</t>
  </si>
  <si>
    <t>525</t>
  </si>
  <si>
    <t>…y para tranqui lizarla é impedir este viage fue preciso que el ArchícanciJIer, Cambaceres, durmiese todas las noches en St. Cloud, hasta que se presentó el desertor Bonaparte. El señor Contreras refiere también el famoso pasquín que por entonces apareció en la plaza dé Vendóme, baxo Ja estatua del corso, diciendo; ,,Tirano, si se hallase reunida en esta plaza toda la sangre que por ti se ha derramado j pudieras-beber de ella sin indinarte al sueld” Y…</t>
  </si>
  <si>
    <t>…recia; á rpo rs. á la rústica. Se hallará en la librería,dé Millana, ca lle de Préciados,casanneva de las Descalzas reales. Sitio de Tarrá^énaVbéurréhciás entré los franceses y el general Contreras,’ qu$ la defendió: observaciones de dicho general sobre la Francia: noticia del nuevo modo de defender las.plazas. Esta obra recomendable ha sido sumamente aprecia da en Inglaterra^este es eHmejor elogio que podemos hacer de ella. Se hallará eñ la librería de…</t>
  </si>
  <si>
    <t>Contreras, Antonio</t>
  </si>
  <si>
    <t>Antonio Contreras</t>
  </si>
  <si>
    <t>…r y fidelidad de Ma racaybo á tocios los gefes, oficiales y tropa que concurrieron á la ac ción ; recomendando en fin á la secretaria del Despacho de Gracia y Justicia al capelian D. Antonio Contreras para una prebenda ecle siástica, y á la de Marina al teniente de navio D. Manuel de Ca ñas , segundo gefe de Correa, que lo proponía para la graduado» inmediata. En el cuerpo de ingenieros de los exército* nacionales se ha ser vido la Regencia del reyno promo…</t>
  </si>
  <si>
    <t>Contreras, Gregorio</t>
  </si>
  <si>
    <t>Gregorio Contreras</t>
  </si>
  <si>
    <t>'884 4184 \ ^ ^aan Ir*arte* 4 2998 2737 41S4 ^ ^ Franc^sC0 ^cr^° de Tejada. 4. 2998 1372 4299) /?u 1697 5296 &gt; A D. Gregorio Contreras. 3127 5588 } 2440 5789 2619 8997 A D. Francisco Carrasco, 3007 9080 3191 246 411 494 555 , O 801 y A. D. Ramón Ramirez, 4643 ■4873 134683 135109 30 1 Sres. Die hermanos, de Alicante. 2 '4874 A D. José Esteve, de Valencia. 5 6157 138764 ^ 3 4 D. José Saielles,…</t>
  </si>
  <si>
    <t>Contreras, Séneh de</t>
  </si>
  <si>
    <t>Séneh de Contreras</t>
  </si>
  <si>
    <t>…ó ponderar. ’ * Pía recibido orden de embarcarse para el continente el tercer fégirñienjto de húsares de la legión alemana. ! Ha sido presentado á S. A. R. el Príncipe Regente él general Séneh de Contreras, bizarro español, tan conocido por su heroica defensa de Tarra* gona. Este oficial se na escapado de su prisión en Francia, y llegó áPorts■ mouth acómpáñado de un realista francés. El sábado último se celebró un consejo de ministros, cuyo» resultado pre sentó…</t>
  </si>
  <si>
    <t>Coocke</t>
  </si>
  <si>
    <t>…ligera, mandados por el teniente corone! Hunt del 52 de infantería libera; 400 de la primera división , consistiendo en 200 de las brigadas de guardias á las órdenes del teniente coronel Coocke,</t>
  </si>
  <si>
    <t>Cooke</t>
  </si>
  <si>
    <t>…capitán Stewart de reales escoce ses,* que hizo de su ayudante de campo. »E1 mayor general Hay se manifiesta asimismo muy satisfecho déla conducta bizarra y; juiciosa del teniente coronel Cooke, co mandante del destacamento de guardias, dél teniente coronel Hont, comandante del destacamento de la división ligera, que fué grave mente herido; y de todos los demas oficiales y soldados de los des tacamentos. El mayor general. Hay conduxo la división por…</t>
  </si>
  <si>
    <t>…bargo se deter minó bizarramente darle batalla en caso de que avanzóse, y al efecto se tomaron las disposiciones convenientes. Obligado yo á salir del cuartel general, supe por el coronel Cooke que el enemigo continuó el 11 haciendo otras demostracio nes que indicaban un ataque general; el 12 avanzó, y apoderándose de la «idea de Noilendorf, se acercó á Kuim. Para este tiempo se hubia reunido ya con el exército la mitad de los cue pos austríacos, y…</t>
  </si>
  <si>
    <t>…yer mañana llegó á esta ciudad el duque de Yorck á tratar de los negocios relativos á la expedición de Ho landa. Las tropas se embarcarán mañana. Acompañan la expedición el ma yor general Cooke, Skerret, Taylor, el mayor Macdonaid, y el mayor Eren^h, diputado del quartel maestre general, HOLANDA. Amsterdam 16 de noviembre. ' 1 ■ . v Los sucesos de la noche anterior han manifestado la necesidad de nom brar sin demora en esta gran ciudad un gobierno,…</t>
  </si>
  <si>
    <t>Copenhague, Rusia-en</t>
  </si>
  <si>
    <t>Rusia-en Copenhague</t>
  </si>
  <si>
    <t>…prontos y efec* tivos que exige esta ocasión importante.” A consecuencia de este mensage votaTon ambas Cámaras la suma de 200000 libras esterlinas para tan recomendable objeto. El ministro Rusia-en Copenhague se quejó al rey de Dina marca, de que las gacetas dinamarquesas publicaban tos boletines de Bonaparte , no teniendo permiso su redactor para publicar ios oficios de la gaceta de Petersburgo ; á lo que respondió el rey que podía mandar imprimir los oficios á s…</t>
  </si>
  <si>
    <t>Copons</t>
  </si>
  <si>
    <t>Gaceta de Madrid n.º 98</t>
  </si>
  <si>
    <t>…ntes para fondear los navios, y que en ella vincia, pues el mando de ella ha sido para los.ta era imposible ó mui difícil carenarlos, la adminis les generales un viage al Perú. El señor Copons de-, tración no se paró en gastos ni en dificultades locales: xará luego el puesto á otro, y viva la patria. mandó inmediatamente abrir un puerto en la roca, Sin embargo, esperamos que este general no que fuese capaz para contener 50 navios de guer degradará…</t>
  </si>
  <si>
    <t>…ridos que se llevó el enemigo, gran número de estos que quedó en nuestro poder, muchos fusi les y otros varios efectos abandonados, tal ha sido el truío y ventajas que . obtuvo el general Copons con las valientes tropas de su mando.</t>
  </si>
  <si>
    <t>…icia en perseguimiento del convoy que salió de Victoria en la mañana del 20; y espero que le alcanzará antes que llegue á Bayona. «Tengo el honor de incluir copia del parte que el general Copons me da de una brillante acción que tuvo en Cataluña el 7 de Mayo una brigada de tropas españolas mandada por el coronel Llader (1). He recibido otro parte, aunque no de oficio, que expresa que el 17 de dicho Mayo el general Gopons había batido al enemigo en la…</t>
  </si>
  <si>
    <t>…ia en persegui miento del convoi que salió de Vitoria en la mañana del 20 ; y espero qué le alcan^rá antes que llegue á Bayona. „ Tei\go el honor de incluir copia del parte que el general Copons me da de una Btillante acción, que tuvo en Cataluña el 7 de mayo una brigada de tropas españolas mandada por el coronel Liauder. He recibido otro parte, aunque no de oficio, que expresa que el 17 de dicho mayo el general Copons habla batido al enemigo en la p…</t>
  </si>
  <si>
    <t>…inmediatas del Lórd ; y otro de Jos Pe rineos orientales, á las del señor conde del Abisbal, que tomará el mando de los exércitos i.°, 2.0 y 3.0, quedando de su segundo general el señor Copons. Los vándalos no han olvidado sus mañas aun en su gran imperio, donde cometen robos y tropelías que aumentan el descontento de los habitantes. Se afirma que el 29 de junto se dio á la vela desde Inglaterra hacia el Báltico un convoi de 300 velas: esta noticia…</t>
  </si>
  <si>
    <t>…han. pasado de aquella capital para re forzar el exército de los aliados. Una carta de Reus, fecha de 4 de este mes, dice lo siguiente : Reus 4 de setiembre. ,,Tenemos en esta al.general Copons. que después de haber conferenciado en Tarragona con el lord Benlink, determinaron que (5&gt; Véase la gazeta de: la Regencia de 7 de este mespág. 947.</t>
  </si>
  <si>
    <t>…ciplinado y valiente exército de Cataluña. Parece que puede darse crédito al rompimiento del Austria; porque Suchet trata de fortificar á toda costa toda la línea de Barcelona. El general Copons ha dado la orden para ia reparación de Tarragona. Ayer desembarcó en dicha ciudad mucha artillería volante, dinero, ha rina &amp;c.” En la gazeta anterior ofrecimos publicar una relación circunstanciada de la rendición del castillo de San Sebastian; pero no se ha…</t>
  </si>
  <si>
    <t>…caso Bonaparte se expondría tanto como «n Móskow; y estamos persuadidas de que seguirá el primer partido. ESPAÑA. . Vich 1$ de octubre. El 13 por la noche' llegó á esta ciudad el general Copons acompañado</t>
  </si>
  <si>
    <t>Copóos, Francisco</t>
  </si>
  <si>
    <t>Francisco Copóos</t>
  </si>
  <si>
    <t>…uro á noticiarlo á.V. E.. para su inteligencia ‘.y ’ sátk«facck)n;‘*;I&gt;i'Os- guarde á V. E. tnüchós años. = A postadero del Ampurdan 24 de agosto de i8i3.=rEl Dr. Rovira.sr Excmo. Sr. D. Francisco Copóos y- -N-a'vial ’ - ' ,, El coronel D. Josefi Manso, continuando las instrucciones-de su ge nera.!-en. gefe de permanecer1 en S. SapduriLobservando lósi; movimientos' del enemigo , en la tardé'-del 21- foenátacadó'ipor stíperiot'e's- 1-íPérzaS deh éxé^‘ cito del…</t>
  </si>
  <si>
    <t>Corbya</t>
  </si>
  <si>
    <t>…ncible echar el ancla en el golfo de Ampola hasta después de medio dia del 2 de este mes. Inmediatamente desembarqué 2 'piezas de campaña y las envié á Pereiló , á las órdenes del teniente Corbya, que tenia baxo su mando al teniente Pidgley, á les guardias marinas y artilleros. Colocáronse los cañones en una casa cerca de la torre, y al dia siguiente ai amanecer rompieron el fuego. nHabiéndose hecho dos brechas en la torre, se rindió el enemi-</t>
  </si>
  <si>
    <t>Corbye</t>
  </si>
  <si>
    <t>…alieron de esta bahía en la tarde del i.° de este mes, con el objeto de atacar el primer punto, las lan chas del navio de S. M. que mando, armadas de carroñadas, á las órdenes del teniente Corbye, y una falúa española que llevaba á su bordo un destacamento de tropas. «Estas se desembarcaren á 2 millas de la posición, á la una de. la mañana, y sorprehendieron una batería de 2 cañones de á 18, habiendo muerto al centinela. En seguida se volvieron los ca…</t>
  </si>
  <si>
    <t>Corbyn</t>
  </si>
  <si>
    <t>…con el Coll de Balaguer, por cuanto dicho pueblo está situado en el camino principal de Balaguer á Tortosa. »E1 barón de Eróles habla con aprecio de los servicios que refcibió del teniente Corbyn, y de los oficiales y marineros que este tenia á sus órdenes, lo cual participo á V. con la major satisfac ción. Tengo la honra &amp;c. = C. Adams t capitán.” Tercero. Oficio del capitán Monbray del navio de S. M. Repulse. » Habiendo encontrado al honorable capit…</t>
  </si>
  <si>
    <t>Córdoba, Antonio Fernandez de</t>
  </si>
  <si>
    <t>Antonio Fernandez de Córdoba</t>
  </si>
  <si>
    <t>…xércitos; y S. A., al mismo tiempo que ha mandado darle gracias en su nom bré , quiere que se publique en la gaceta cate rasgo de patriotismo piara satisfacción del contribuyente. D. Antonio Fernandez de Córdoba, arcediano de la santa iglesia de Cuenca del Perú, penetrado de las benéficas intenciones de S. M. las Córtes generales y extraordinarias del reyno, manifestadas» en el soberano decreto de 22 de Agosto de 1811 en favor de los benemé ritos eclesiásticos defens…</t>
  </si>
  <si>
    <t>Corellano, Luis Duran y</t>
  </si>
  <si>
    <t>Luis Duran y Corellano</t>
  </si>
  <si>
    <t>…a de la Viuda de Quirogá / calle de las Carretas, núm. 9. £1 único medio eficaz de aliviar las necesidades actuales, promoviendo a! mis mo tiempo la pública felicidad: por el Líe. D. Luis Duran y Corellano. Se hallara á real eii la librería de Quitoga/calle dé las Carretas, y en la de Orea, fíente i _ ..... $. Luis; v - v- . ‘ .- ¡ *£1 Vascongado: periódico que se publica en Bilbao los miércoles y los do mingos; su objeto.es inspirar amor á la Constitución, dar…</t>
  </si>
  <si>
    <t>Coritreras, Juan de</t>
  </si>
  <si>
    <t>Juan de Coritreras</t>
  </si>
  <si>
    <t>…co de; es,ta provincia, después de, haber da jo jas gracias áPablp. y. Mditon González* ,Sebastian Viila.lba, Gregorio Calera, Manuel Gcnjcaié^,, Francisco Amo,JBe•nko Fernandez , D. Juan de Coritreras , Rafee!, Calera, Francisco González, •Tomas Fernandez, Anastasio Sánchez.. y Ru fino González vecinos del pro pio pue.blo, que se distinguieron por su actividad, y. a mor al .orden,... ha dis puesto se les, gratifique con 25 doblones. ‘.lio que.se anuncia .a…</t>
  </si>
  <si>
    <t>Cornwailis</t>
  </si>
  <si>
    <t>…este congreso para efec y transportarse libremente adonde tenga mas cuen tuar la reforma? Quando otro varón no menos in ta, se aplicará bien pronto al comercio de la China, signe, lord Cornwailis, proponia el medio de un como se ha aplicado ahora á los demas ramos de establecimiento perpetuo, de cuya conveniencia po comercio exclusivo de la compañía, de que se la lítica se pudo dudar algún tiempo, pero jamas de quiere despojar. Es menester que ía comp…</t>
  </si>
  <si>
    <t>Corona, Román</t>
  </si>
  <si>
    <t>Román Corona</t>
  </si>
  <si>
    <t>«4* t.° D. Ramón Montero., natural de Fiícncarral, canónigo lectoral de S. Ildefonso. 3*° D. Francisco Olavaríieta, natural y del comercio» de Madrid. •4.0 D. Román Corona , natural y hacendado en Yebra. '5*° D. Josef del Valle Salaba r, natural de Fuenlabrada, y abogado del colegio de Madrid. Suplentes. »D. Antonio Gami* , ministro del suprimido consejo de «Indias. D. Juan Josef López Merlo y Adán. ARTICULO'DE 0*1010. Rbgéoerá…</t>
  </si>
  <si>
    <t>Coronel, Indalecio</t>
  </si>
  <si>
    <t>Indalecio Coronel</t>
  </si>
  <si>
    <t>…te Goyanes, teniente del primero de Sevilla : á tenientes, á D, Juan Cam pos, subteniente del regimiento infantería del Rey, D. José Cas can!, subteniente agregado al de Truxillo, D. Indalecio Coronel, subteniente del de Guuda-axara, y D. J uan Escolar, subteniente del tercer bgí^flgn del mismo regimiento de zapadores: á subtenientes^ á D. Juan Vela y Olmo y D. José García de Tovar, cadetes de laacademia militaT déla Ida de León, D. .Manuel* Guio, distingu…</t>
  </si>
  <si>
    <t>Corral, Francisco del</t>
  </si>
  <si>
    <t>Francisco del Corral</t>
  </si>
  <si>
    <t>…dia de la acción lo mostraron á mi lado en los momentos mas apurados, el capitán de zapadores teniente coronel D. Francisco Noriega, su teniente D. Méiiano Portillo , y eu alférez D. Francisco del Corral : el capitán D. Jacobo Rodrí guez, e! teniente de la guerrilla de Aibancsy D. José Mariano Sil va , oficial el mas vigilante, activo é intrépido; sn segundo D. Car los Samborainy D. Casimiro Figueroa, que fué voluntario á la descubieita desde el principio de…</t>
  </si>
  <si>
    <t>Correa</t>
  </si>
  <si>
    <t>…blaciones del expresado reyno, habiendo arrollado á los 1200 insurgentes fortificados en la parro quia de e. Antonio, último lugar de dicha provincia de Maracaybo. Las fuerzas del coronel Correa consistían solo en 350 hombres, y los pueblos sometidos habían jurado fidelidad, y reconocido las Cortes y la Regencia. El gobernador Porras pedia á S. A. para el gefe, oficialidad, tro pa , indios y paisanage, que concurrieron á aquella distinguida ac ción,…</t>
  </si>
  <si>
    <t>…un rancho cercano al pueblo. — El 28 á las 2 de la tarde se volvieron á presentar los rebeldes en número de 400 caballos y mas de 3® indios, capitaneados por Chito Vi nagran y el cura Correa, decididos á asolar el pueblo: Valera no tenia mas que 50 hombres con 29 armas de fuego, y los sitad en la iglesia y en casa del cura. Los rebeldes colocaron un canon y dos pedreros con que hacían un fuego bastante vivo, y entre tanto los ginetes saquearon y…</t>
  </si>
  <si>
    <t>Correa, Francisco JCavier</t>
  </si>
  <si>
    <t>Francisco JCavier Correa</t>
  </si>
  <si>
    <t>…o primero. D. Ventura López, substituto segundo. QUARTEL DE SAN MARTIN. Barrio del Sacramento. Barrio del Cdrnien Calzado. D. Ramón de Segcvia, a'calde. D. J aime Bouhde, alcalde. D. Francisco JCavier Correa , substituto primero. D. Benito Rodríguez,, substituto primero. D. ManueL Casado, substituto segundo. D. Manuel de Castro, substituto segundo. Barrio de Doña María de Aragón. Barrio de las Descalzas Re ates. D. Josef Cañedo, alcalde. D. Fr..neÍsco de 1 ruegas…</t>
  </si>
  <si>
    <t>Correa, José</t>
  </si>
  <si>
    <t>José Correa</t>
  </si>
  <si>
    <t>…6 id. D. Manuel Ortiz de Villate, 4 id. D. José Rodolfo, 4 id. D. Antonio León, 4 id. D Paulino Domínguez, 3 id. D. Martin de Aramburu, 3 id. D. Francisco Vázquez de Usieda, 2 id. D. José Correa, 2 id. D. Juan Bautista Zaracondegui, 2 id. D. Francisco Antonio Goitesolo, 2 id. D. Miguel Fernando Ruiz, 2 id. D. Andrés Sánchez Quiros, 2 id. D. Francisco de Paula Calvo, 2 id. D. Pedro Juan de Olasagarri, 2 id. D. Juan Ignaoio de Mndizabal, 2 id. D. Manue…</t>
  </si>
  <si>
    <t>…, excepto ID. Nicolás de la Peña, Dr.-D. Prudencio Balcones, Dr. D. Miguel Rodríguez, D. Ra.mon Chriboga, Mateos Bayon, de nación francés, D. Joaquín Mancheno, el cura de S. Roque D. José Correa y e! provisor Caycedo; á quienes se perseguirá para que irremisiblemente peguen sus atroces delitos, Segunda. Que en el. término de 24 horas deberán aprontar entre todos los demas la cantidad de 500$ pesos para atender á las urgen cias de la metrópoli; respec…</t>
  </si>
  <si>
    <t>Correa, Ramón</t>
  </si>
  <si>
    <t>Ramón Correa</t>
  </si>
  <si>
    <t>…, dirigió en 30 de Junio último por ia se cretaría del Despacho de la Guerra copia del parte que le daba des de S. José de Cucuta (jurisdicción del reyno de Santa Fe) el coro nel D. Ramón Correa su cabo subalterno, con fecha 19 del propio mee, de hallarse en posesión de aquella viila, la del Resano y la ciudad de S. Faustino, primeras poblaciones del expresado reyno, habiendo arrollado á los 1200 insurgentes fortificados en la parro quia de e. Antoni…</t>
  </si>
  <si>
    <t>Cortazar, Prudencio</t>
  </si>
  <si>
    <t>Prudencio Cortazar</t>
  </si>
  <si>
    <t>…D- Marianos Jlundain , D. Federico G billón , D. Luis Ganuza, Fan^ rancisco Ilundáin, D. Florencio Olabé ,&lt;D. Francisco Antonio Asuran D. Tomás Zubiri, D. Pedro Miguel Salvador , Don Prudencio Cortazar , D. Celedonio Gómez , D. Juan Braulio Diaz, D. Patricio Calvete, D. Serafín Zaráquiegui, D. Miguel Senosiain, D. José Echeverría;y D^ Clemente Diez de Tejada: á tenientes de fusileros á . D, VictorianoMangiron, D; Joaquín Mendiando , Don Pedro Oses* D José M…</t>
  </si>
  <si>
    <t>Cortazar, Romualdo</t>
  </si>
  <si>
    <t>Romualdo Cortazar</t>
  </si>
  <si>
    <t>599</t>
  </si>
  <si>
    <t>…les y tro pa de dicha división, que tanto ardor han manifestado, partrcularmeníe al citado ayudante de estado mayor Fació , á los capitanes de cazadores de Cantabria y Ciudad-Real D. Romualdo Cortazar y D. Cecilio Avlfon, al de granaderos de Cantabria D. Josef Fernandez, al cadete de Ciudad- Real, habilitado de oficial, D. Francisco de Paula Villalba, que fue herido; y aí cazador del mismo cuerpo Gaspar Caballero , que lo fue igualmente de mu cha, gravedad, sin quererse retir…</t>
  </si>
  <si>
    <t>…les y tropa de dicha división, que tanto arder han manifestado, particularmente ai citado ayudante de estado mayor Fa ció , á los capitanes de cazadores de Cantabria y Ciudad-Real Don Romualdo Cortazar y D. Ceci.10 Aillon, al de granaderos de Canta bria D. José Fernandez, al cadete de Ciudad-Real, habilitado de oñeiri D. Francisco de Paula Viilalbs, que'fué herido, y al caza dor del mismo cuerpo, Gaspar Caballero, que lo fué igualmente de mucha gravedad sin quererse…</t>
  </si>
  <si>
    <t>Cortazar, Sebastian</t>
  </si>
  <si>
    <t>Sebastian Cortazar</t>
  </si>
  <si>
    <t>…rdozain , D. Ma nuel Sauca, D. Agustín Apezteguia, D. Martin Benuza, D. Miguel Tolqsana , D. Juan Bautista Acosta , D. Xavier Azanza , D. Juan de Ortigosa, D, Basilio Oilabarren , D. Sebastian Cortazar, D. Teo doro González, D. Juan Oyaga, D. Remigio Crespo, D. Mauricio Segura, D. I^on Landache, D. Pedro Suso, P. Hermenegildo Mendigam n, D. F&lt;-mando Gamboa. (Se continuarán.) CADIZ : EN LA IMPRENTA NACIONAL. ^</t>
  </si>
  <si>
    <t>Cortés, José Rayo y</t>
  </si>
  <si>
    <t>José Rayo y Cortés</t>
  </si>
  <si>
    <t>…o si guiente: á los cadetes D. Gregorio Brochero, D. Nicolás Campo,* D. Diego María Calatrava, D. José Valdemoros , D. Pascual de la Puente, D. Juan de Morales, D. Agustín Gamboa, D. José Rayo y Cortés, D. Antonio González y D. Pedro Abello, un exemplar á cada uno de un tratado de trigonometría y geometría práctica poj* su aprovechamiento en aritmética y álgebra : á les c,: de tés D. José Beltran , D. José María Gormayo, D. José Ruiz, D. Joaquín Alvarez Sot…</t>
  </si>
  <si>
    <t>Cortés, Manuel</t>
  </si>
  <si>
    <t>Manuel Cortés</t>
  </si>
  <si>
    <t>…os decir con verdad y vanagloria que hemos coadyuvado á la defensa dé nuestra patria. Capitulación ajustada por D. Federico Morban , capitán de ingenieros del exército francés , y D. Manuel Cortés , sargento mayor del regimiento de América) en nombre del comandante de todas las tropas del sitio . de la plaza de Denia D. Diego Entrena, según las instrucciones del Exento. Sr» general en gefe det segundo exército español. art. i.° La guarnición francesa s…</t>
  </si>
  <si>
    <t>…O'] Dios guarde á V. S. muchos años. Benia 7 de Diciembre de 1813.=: Ignacio Vives»* Capitulación ajustada por D. Federico Mor han , capitán de in genieros del exército francés, y D. Manuel Cortés , sargento mayor del regimiento de América, en nombre del comandante de todas las tropas del sitio de la plaza de Derla D. Diego Entrena, según las instrucciones del Exento. Sr. general en gefe del segundo exército español. Árt. i.° La guarnición francesa sal…</t>
  </si>
  <si>
    <t>Cortés, Tomas</t>
  </si>
  <si>
    <t>Tomas Cortés</t>
  </si>
  <si>
    <t>…to, se ha servido promover á subtenientes de dicho cuerpo de ingenieros de los exércitos nacionales, plazas y fronteras ,á f), Joa quín Junoy , D. José Otero , D. Benito Canales , D. Tomas Cortés, D. Francisco Melero, D. Tomas Bao darán, D. Epifanio Esteban, D. Temas Terreiro, D. Manuel Ubiña, D. Juan Jaldon , D. Alexandro Buitrón , D. Gabriel Lobo , D. Femando Castro, D. Juan Areliano y D. Antonio Matamoros. También han sido examinados por la referid…</t>
  </si>
  <si>
    <t>Cosío, María</t>
  </si>
  <si>
    <t>María Cosío</t>
  </si>
  <si>
    <t>…sabían cómo manifestar las efusiones de su aie~g.rí*T y, fas campanas acompañaron este júbilo general. Algunos particulares iluminaron por la noche sus casas , entre las que la de Doña María Cosío protduxo la admiración de los espectadores por la brillante y magnífica fachada que presentó baxo la dirección del profesor de dibuxo del colegió cantábrico D. Ignacio Salbá. En ella se veia el retrato de nuestro augusto Monarca Fer nando vi 1 sobre un bien f…</t>
  </si>
  <si>
    <t>Cossoni</t>
  </si>
  <si>
    <t>…esde Viena traía la orden de que los ba-' taviilani, Bazetta , conde Scopoli, conde Tarracvitallones repartidos en l*s plazas del reino, se reunie cini, de Adda, Colle, $ant’ermo, conde Cossoni, sen pira formar un cuerpo de tropas que debía conde Pollranceschi, conde Luini, Pcdrazzini, con marchará i* Gallitzja, yqué hará parte de un con- sejeros legislativos. Peüavícim, pre ¡dente ; Óoprani'deraWj jt^ércljiO austríaco, que ha dé haber de ob- si, Fa…</t>
  </si>
  <si>
    <t>Costa</t>
  </si>
  <si>
    <t>…peró con mucha firmeza y rechazó al enemigo á la bayoneta, conservando su terreno toio el tiempo que yo juzgué prudente que lo hiciese ; y un batallón de la br igada del brigadier general Costa defendió lia cumbre del monte en la</t>
  </si>
  <si>
    <t>…de la posición hasta el extremo, protegiendo la formación de las tropas en el terreno que tenían orden de ocupar. El enemigo procuró romper aquel punto; pero filé rechazado por el brigadier Costa; y finalmente arrojado de ia cumbre á la bayoneta por aqueí batallón, parte de la brigada del coronel Ashworth, y por un corto destacamento del regimiento 28. *» Puedo asegurar á V. E. que el enemigo no tiene de qce glo riarse, ni nuestra pérdida fué consider…</t>
  </si>
  <si>
    <t>Costa, José</t>
  </si>
  <si>
    <t>José Costa</t>
  </si>
  <si>
    <t>…imiento de Fernando VII y las compañías de zapadores con la artillería, y baxé á protegerla iz quierda de los cazadores de Cataluña con el regimiento de Barcelona, mas dado por su coronel D. José Costa. Después de haber intentado in útilmente el enemigo varias cargas de caballería, viere o qi;e sacrifica ba su gente sin esperanza de lograr ventaja,'emprendió nuevamente su marcha para Sabadeli, dexarsdo en el campo 20 -caballos muertos* y mas de 60 hombres,…</t>
  </si>
  <si>
    <t>Costaz</t>
  </si>
  <si>
    <t>…rde el canciller del imperio, presentó á prestar juramento en calidad de ministro de Negocios extrangeros á Cauiincourt, duque de Vicenza; ai conde Daru, mtnistro.de la Guerra; al barón Costaz en calidad de director general de puentes y caminos, y á Bassano en la de secretario de Estado,__El 10 dé noviembre estaba en Ala el quartel gene ral del virei en su retirada de Verona. Copia del suplemento á la gazeta de Francfort. Quartel general de Francfo…</t>
  </si>
  <si>
    <t>Cotera, Leonardo</t>
  </si>
  <si>
    <t>Leonardo Cotera</t>
  </si>
  <si>
    <t>…, teniente del de Oviedo; Don Manuel Suarez Campa , capitán de la compañía de obreros; D. Ra món Lozano, D. Juan Ruvi, D. José Oronoz , capitanes, D. Felipe Ruvalcab3, teniente, y D. Leonardo Cotera, subteniente del prime ro cántabro, y D. Joaquín Díaz, capitán de tiradores de Cantabria. Los heridos son: D. Antonio Bausivi, subteniente del de Toledo; D. Andrés Narvaez y D. Francisco Romero, tenientes del de Monterey ; D. Juan de Asas y D. José Pumarejo,…</t>
  </si>
  <si>
    <t>Cotton, Sir Síapleton</t>
  </si>
  <si>
    <t>Sir Síapleton Cotton</t>
  </si>
  <si>
    <t>…autoridad en sus pro pios dominios. El mayor general Fane, que mandaba la caballería en el distrito de Kent, ha sido nombrado para ir al exército del lord Wellington en lugar del general Sir Síapleton Cotton , que vino á principios de este R es á restablecer su salud. Se cree que vayan también otros ge nerales á reemplazar á los que están heridos. Extracto e una carta de Quebec de W de Noviembre. „Edamos en una total seguridad, y nuestros enemigos son de masiado…</t>
  </si>
  <si>
    <t>Cotton, Sir Stapieton</t>
  </si>
  <si>
    <t>Sir Stapieton Cotton</t>
  </si>
  <si>
    <t>…habiéndola tema do , cooperó con la derecha del centro en el ataque de las al turas á ia espalda de Sarre. ,,La bridada de cabalkría d.*l general Alten, dirigida por el te niente general Sir Stapieton Cotton , siguió los movimientos del centro : había tres brigadas de artillería inglesa, con esta pgrte dtlexército , 3 cañones de montaña con el general Girón, y 3 mas con el general Cáríos Alten.. „El teniente general D. Manual Freyre marchó en dos colum nas desde…</t>
  </si>
  <si>
    <t>Cotton, Sir Stapleton</t>
  </si>
  <si>
    <t>Sir Stapleton Cotton</t>
  </si>
  <si>
    <t>…ríncipe para ocupar parte de la al tura que estaba á la derecha de la cuarta división que dominaba y defendía el camino de Zuviri. „La caballería británica mandada por el teniente general Sir Stapleton Cotton se colocó sobre la derecha cerca de Ugarte, único punto en que pedia emplearse esta arma. ,,El rio Lanz corre por el valle que estaba á la izquierda del exército aliado, y sobre la derecha del francés, siguiendo el camino de Ostiz : del otro lado de este rio…</t>
  </si>
  <si>
    <t>Courrouxque</t>
  </si>
  <si>
    <t>…ndo el enemigo descendieron á otra altura don.de estaban atrincherados, y creyéndose atacados, huyeron precipitadamente, y el regimiento ocupó el ipuesto: la división francesa del general Courrouxque esraba en el llano, abandonó aceleradamente sus campamentos y dos grandes obras sin intentar quemarlas, y se retiró detras del lugar de Zara: nuestro exército vibaqueó en la montaña, y romo pues to en eí liío mismo de ia cresta: los enemigos la abandonaron aq…</t>
  </si>
  <si>
    <t>Couto-, José Maris</t>
  </si>
  <si>
    <t>José Maris Couto-</t>
  </si>
  <si>
    <t>…u presidente , vice-pre sidente y uno de sus secretarios ; salieron electos, para presidente el Sr. D. Pedro Gordi'do, diputado por las islas Canarias; para vice presidente el Si. D. José Maris Couto-, diputado por el reyno de México; y para secretario el Sr. D. Fermín Clemente, diputado por Caracas. La Regencia del reyno se ha servido expedir el decreto que sigue z D. Fernando vii, por la gracia de Dios, y por la constitución de la monarquía española, rey…</t>
  </si>
  <si>
    <t>Couturier</t>
  </si>
  <si>
    <t>…esentimientos y venganzas personales, ¿se necesita lima de igual fuerza que llegaba por la espalda de Otra cosa que executar esta orden al pie de la letra? la tropa que mandaba el capitán Couturier , volvie ios habitantes de Madrid son buenos testigos de los ron á reunirse inmediatamente, hallándose este á efectos que produxo en la capital. Las mesas de ios pique de verse envuelto por 600 hombres de caba jaeces se cubrieron de delaciones: llenáronse las…</t>
  </si>
  <si>
    <t>Cowen</t>
  </si>
  <si>
    <t>…setiembre de 1808 bozo este principio de pudor y de decencia públi ti lord Caledou, baxo la conducta dei capitán Do- ca? ; La iamilia real de Brunswick, elevada sobre novan y del doctor Cowen para encontrar camino las ruinas de la de Stuard, se olvidará que ia dinas por tierra á Mozambique, es mui probable que ha tía á quien reemplaza debió en gran parte la pérdi ya tenido un fin desdichado, porque no ha vuelto da de la consideración pública y su…</t>
  </si>
  <si>
    <t>Cr</t>
  </si>
  <si>
    <t>…es graciadamente heridos en la brecha, y el coronel Sir Rícirdo Flecher muerto de una bala de fusil á la salida de las trincharas. Con la muerte de este oficial, y la del teniente coronel Cr&amp;wford, del</t>
  </si>
  <si>
    <t>Craser</t>
  </si>
  <si>
    <t>…eridos , entre ellos general Bichen. Éste cálculo es el que -extienden y confirman los enemigos en su destacamento de Guadalaxira. Por nuestra parte hubo muertos los oficiales, el capitán Craser y D. Femando Morales, con el cadete de Cuenca D. Miguel del Alamo , 2 sargentos, 32 soldados y un caballo ; 5 oficiales heri dos , 2 cadetes, 5 sargentos, 88 soldados con 8 caballos : la tropa en general se ha portado bien, aunque particularmente ha habido mo tivo para reprehende…</t>
  </si>
  <si>
    <t>Craw</t>
  </si>
  <si>
    <t>Gazeta de la Regencia de las Españas n.º 32</t>
  </si>
  <si>
    <t>253</t>
  </si>
  <si>
    <t>…ó otros 3: el espitan Alexander del Coloso participa la toma del buque americano. Prii t El capitán Mounsey, de la Furiosa, da cuenta del apresamiento de un corsario francés: y eí capitán Craw» ford, de la Modesta, avisa haber apresado otro.corsario fo anees. En el mes de Enero último se han exportado del reyno diferen tes artículos de manufactura inglesa por valor de 300000 libras es terlinas.. (1) De aquí se deduce que los rusos han pasado el Vís…</t>
  </si>
  <si>
    <t>Crawford</t>
  </si>
  <si>
    <t>…ós; de i^o hombres del 13.° de infantería portuguesa, al mando del capitán Joaquín Antonio de Almeida, protegidos por tres compañías dél 9.0 regimiento, baxo el mando del teniente coronel Crawford, con una reserva de tres compañías de reales escoceses, mandados por el capitán Auguimbean, se formó en la derecha para atacar el reducto, baxo la dirección del mayor general Hay. El mayor general Bradford man. daba la coluna izquierda, compuesta de 200 hombr…</t>
  </si>
  <si>
    <t>Crawfordy</t>
  </si>
  <si>
    <t>…sgraciadamente heridbs em la brecha, jr el coronel sír Ricar do Flecher muerto dé una bala dé fusil á la salida de las ttincheras^ Con Jamuerte, de. este oficial y la del teniente coronel Crawfordy del regimiento 9.V lia experimentado el servició de S. M. británica' una' grande; pérdida*: „ Tengo el honor de. incluir el parte detallado que de esta? Operación meJia dirigido* elíteniente. general sir Tomas Graham , por él qual verá= VE. con gusto un nuevo…</t>
  </si>
  <si>
    <t>Crawfurd, Jaime</t>
  </si>
  <si>
    <t>Jaime Crawfurd</t>
  </si>
  <si>
    <t>…1804 se escapó de Va- D. josef Napoleón por la gracia de Dios y por lenciennes, donde muraba baxo la garantía de su la'constitucion del estado, REI de las Españas y ialabra, y un señor Jaime Crawfurd, notable por de las Indias. fos empleos distinguidos que ha tenido, que por el „ Para llenar en quanto lo permitan las circuns mismo tiempo se escapó de Aix-la-Chapel, abusan tancias de la guerra las formalidades con que deben do de la licencia que se le habi…</t>
  </si>
  <si>
    <t>Crespo, Antonio</t>
  </si>
  <si>
    <t>Antonio Crespo</t>
  </si>
  <si>
    <t>…................ Idem. , V ’ :Qtro.................. I). Manuel Martínez Sajazar......... Idem. , Idem.Subteniente....... I}. Ventura .Nogyeira...... , Idem. , . ,Otro..........i. D. Antonio Crespo.............................................. Quártel general de-Irün S de octubre de 1013.=Estanislao Salvador. •9 * La batalla de los Árapiles ó derrota de Marmont, porGarnier. Esta e» la pri mera composición dramática hecha en Madrid en elogio del famoso f…</t>
  </si>
  <si>
    <t>Crespo, Manuel Martin</t>
  </si>
  <si>
    <t>Manuel Martin Crespo</t>
  </si>
  <si>
    <t>…dinero de 150 pesos de 1,° de enero de 1809 , números 311427, 311806, 312838 y "314409, y dos acciones ó libramientos de á 2$?rs. cada una del préstamo de 12 millones , á favor de D. Manuel Martin Crespo, difunto. Ló que se avisa al publi co, para que las personas á cuyo poder llegaren alguno ó. algunos de dichos vale* 6 acciones, los retengan , dando aviso inmediatamente al referido señor juez por di cha escribanía del número. La persona ó descendientes de‘D…</t>
  </si>
  <si>
    <t>Crespo, Narciso</t>
  </si>
  <si>
    <t>Narciso Crespo</t>
  </si>
  <si>
    <t>Gazeta de la Regencia de las Españas n.º 102</t>
  </si>
  <si>
    <t>…ras. = Sr. espitan general geíe político de la ciu dad y provincia de Maracaybo. = Lo que participo á V. A. S. con inclusión de la copia del parte y estado dirigido por el espiran D. Narciso Crespo al referido gobernador de Sta. Marta, quien me añade no haber recibido aquella plaza otros auxilios de ninguna par-</t>
  </si>
  <si>
    <t>Crespo, Narciso’</t>
  </si>
  <si>
    <t>Narciso’ Crespo</t>
  </si>
  <si>
    <t>…de San ta Marta en que me dice lo siguiente: Tengo el honor ce instruir á W S., por medio de la adjunta copia, del patie que me dio el comandante principal del punto de la Ciénega D. Narciso’ Crespo, de las victorias conseguidas por nuestras armas en las acciones áe ig y 11 del corriente; y conociendo cuanto se interesa V. S. en la defensa de la justa causa que defiende la gran nación española, se ia comunico, suplicándole tenga la bondad de noticiarla a…</t>
  </si>
  <si>
    <t>Crespo, Remigio</t>
  </si>
  <si>
    <t>Remigio Crespo</t>
  </si>
  <si>
    <t>…Benuza, D. Miguel Tolqsana , D. Juan Bautista Acosta , D. Xavier Azanza , D. Juan de Ortigosa, D, Basilio Oilabarren , D. Sebastian Cortazar, D. Teo doro González, D. Juan Oyaga, D. Remigio Crespo, D. Mauricio Segura, D. I^on Landache, D. Pedro Suso, P. Hermenegildo Mendigam n, D. F&lt;-mando Gamboa. (Se continuarán.) CADIZ : EN LA IMPRENTA NACIONAL. ^</t>
  </si>
  <si>
    <t>Creus</t>
  </si>
  <si>
    <t>449</t>
  </si>
  <si>
    <t>…iente á la elección de individuos que deben componer la diputación permanente de las mismas, y salieron electos i.° el Sr. Espiga , europeo: 2.° el Sr^Mendipla., americano: 3,°jel Sr. Creus, europeo: 4.°;el Sr.;Olmedo, americana: 5.? D. Josef Teodoro Santos, eu ropeo: 6.° el Sr. Larrazabal ,' de ultraoTar; y debiendo; decidir la suerte la elección del 7;° diputado entre..un europeo y oti’o de ultramar, se procedió á verificarla entre el Sr. O-Ga…</t>
  </si>
  <si>
    <t>Creux, Jayme de</t>
  </si>
  <si>
    <t>Jayme de Creux</t>
  </si>
  <si>
    <t>…duos de la diputación per manente de Cortes á los Sres. D. José Evpiga, diputado por la jun ta provincial de Cataluña; D. Mariano Mtndiola, que lo es por la rovincia de Queiétaro; D. Jayme de Creux , por la de Cataluña; &gt;. José Joaquín Olmedo, por la de Guayaquil; D. José TeodoroS Santos, por la de Madrid; D. Antonio Larrazabal, por la de Gua temala; el marques de Espeja, por la dé Salamanca: y en clase de suplentes á D. José Cevallos, diputado por la p…</t>
  </si>
  <si>
    <t>Crfitcba</t>
  </si>
  <si>
    <t>…ercera. «Suponiendo que á consecuencia de las órdenes que ren go anticipadas se halle V. en Querétaro ó sns inmediaciones aguar dando eí convoy, que á las órdenes deí señor cTonel D. Crfitcba! Ordoñez se dirige desde esta capital á la de tierra adentro, le pre vengo que recibiendo el dinero tabacos y demás eflctos pertenteeientes á lo interior, se encamine inmediatamente á Guensxüato, donde entreg n lo estos efectos, recogerá ías plata¿ del erario…</t>
  </si>
  <si>
    <t>Criric</t>
  </si>
  <si>
    <t>…de Salem ¿8 dias ántes, y no habla hecho ninguna presa. El capitán Lumby, del navio Narciso , ha dado parte que el 24 de Noviembre último , en la altura de la isla de Nabaaa , el teniente Criric, con las lanchas del Narciso, habia apresado al corsario ameri cano José y María, que llevaba 4 cañones y 73 hombres. El capitán Hillyer, de la chalupa de S. M. la Febo, con fecha de 24 de Diciembre, dice que el mismo dia se habia apoderado del bergantín Hunt…</t>
  </si>
  <si>
    <t>Cris</t>
  </si>
  <si>
    <t>…na que tenga ínteres en sus bienes, ó la que sepa de su paradero, ante el Sr. Dr. D. Francisco Assin, juez letrado de primer^ instancia de esta capital,-y escribanía del número de D. Cris tóbal de Vicuña, mereciendo á qualquiera persona que sepa de su paradero ó muerte lo comunique, por interesar saberlo para la cobranza de ciertas pensiones vitalicias que gozaba; entendido de que pasado dicho término, se procederá á lo que haya lugar. En la v…</t>
  </si>
  <si>
    <t>Cristcb</t>
  </si>
  <si>
    <t>…de ella un convoy con los tabacos, azogues y demás auxilios que me sea posible remitir á las provincias de lo interior , el .cual marchará hasta Querétare á las órdenes déi señor coronel D. Cristcb 1 Ordeñen, comandante de la sección de Tula, con objeto d- que reciba allí las platas de Guanaxuato que podrán estar anticipada: con este fin, regresando sin pérdida de instante á socorrer esta capí al, que privada de todos sus giros , toca de muy cerca las c…</t>
  </si>
  <si>
    <t>Cristó</t>
  </si>
  <si>
    <t>…sencia y cautividad la Regencia dei reyno, nombrada por las Cortes generales y extraordinarias. Atendiendo al celo, actividad y conocimientos con que lia desempeñado interinamente D. Cristó bal de Góngora la secretaría de Est-sdo y del despacho de Hacienda; ha venido en nombrarle en propiedad para la expresada secretan'». Tendréislo entendido, y dispondréis lo necesario á su cumplimiento. Cádiz 8 de Febrero de ISIS. A D. Antonio Cano Manuel. * C…</t>
  </si>
  <si>
    <t>Crokembiurg, Henrique</t>
  </si>
  <si>
    <t>Henrique Crokembiurg</t>
  </si>
  <si>
    <t>…cor* el fin de sostenerla ; y manifestaron extraordinaria actividad en per seguir al enem'go luego que fue arrojado de Vitoria. ,, Dirijo á V. F. este detalle de la batalla por el capitán D. Henrique Crokembiurg, y ruego á V. E. me permita rea mendarle á su protección. Tendrá el honor de ir ai ifestar á V F. que se tornó la bandera del quarto batallen del regimiento francés núm. 100.* y el bastón de mariscal de Fran cia del general Jourdan por el regimiento británico…</t>
  </si>
  <si>
    <t>Crokembourg, Henrique</t>
  </si>
  <si>
    <t>Henrique Crokembourg</t>
  </si>
  <si>
    <t>…....... .............. 44 „ Vitoria 23 de junio de i8i3. = Firmado = R. D. Henegall, comisario de artillería. = Es copia. Núm. 2.0 „ Excmo. Sr.: habiéndose retardado la salida del capitán Don Henrique Crokembourg para dar lugar á que se formasen los estados, tengo que comunicar á V. E. que hemos continuado en perseguir a! enemigo, cu ya retaguardia ha entrado he i en Pamplona. Le hemos hecho todo el daño que nos ha sido posible , y nos ha permitido el mal tiempo y pés…</t>
  </si>
  <si>
    <t>Crokenibourg, Henrique</t>
  </si>
  <si>
    <t>Henrique Crokenibourg</t>
  </si>
  <si>
    <t>….............. 44 Vitoria 23 de Junio de 1813. = Firmado = R. D. Henegally comisario’de artillería.vs= Es copia. Núm. 2.0 "Excmo. Sr. s Habiéndose retardado la salida del ca pitán D. Henrique Crokenibourg para dar lugar á que se formasen los estados , tengo que comunicar á V. E. que hemos continuado en perseguir al enemigo,, cuya retaguardia ha entrado hoy en Pamplo na. Le hemos hecho todo el dañó que nos ha sido posible, y nos ha permitido él mal tiempo y pés…</t>
  </si>
  <si>
    <t>Crthcart</t>
  </si>
  <si>
    <t>I24V pív pío puño , y adei H-úga i &gt; de Sedembr Londres 14 de Octubre. El vizconde Castiereagh ha recibido los siguientes oficios del ge* ñera! vizconde Crthcart con fecha de 13 de Setiembre desde Toplitz, y de Sir C. Stev;art con la de 14 de Setiembre desde Praga. 'Extracto de un oficio del vizconde Cathcart, T- j)Iitz 15 de Setiembre. Les austríacos han conservado I3 pose sión de los caminos que conducen á Saxonia p…</t>
  </si>
  <si>
    <t>Cruz, Agustín Santa</t>
  </si>
  <si>
    <t>Agustín Santa Cruz</t>
  </si>
  <si>
    <t>…itud del Exento. Sr. capitán general de la isla de Cuba D. Juan Ruiz de Apodaca. En dinero, efectivo.■ Ps. Rs. Aírs. I&gt;. Tello Mantilla.................................. 5419 3 17 D. Agustín Santa Cruz. ........................... ... . 116 4 El conde de Zaldivar. .................................... 5596 2 l7 Total ... 11132 2</t>
  </si>
  <si>
    <t>Cuadra, Catalina</t>
  </si>
  <si>
    <t>Catalina Cuadra</t>
  </si>
  <si>
    <t>…omi sión de observar sus operaciones, y dar parte al legitimó Gobierno español; se han servido resolver, conformándose con lo propuesto por la Regencia dei reyno: i.° Se concede á Doña Catalina Cuadra do, madre de este virtuoso y desgraciado español, ia pensión vitali cia de 500 ducados de vellón anuales por cuenta del erario publico desde el dia 8 de Enero de 1811, que fué el siguiente al del fallemiento de su hijo. 2.0 En honor de este se colocará en ia…</t>
  </si>
  <si>
    <t>CUarpentier</t>
  </si>
  <si>
    <t>…seinburg en aquella aldea. El dia siguiente 30, á las nueve de la mañana , el Emperador montó á caballo. EL duque de Tarento marchó adelante con 5© tiradores, á las ór-d denes del general CUarpentier: la caballería del general Sebastiani, la divi-: síon de la guardia , mandada por el general Friant, y la caballería de Iaf guardia antigua los seguían : el resto del exército marchaba á retaguardia. El enemigo había situado seis batallones en la villa de Rue…</t>
  </si>
  <si>
    <t>Cuba, Francisco</t>
  </si>
  <si>
    <t>Francisco Cuba</t>
  </si>
  <si>
    <t>…gloriosos hechos ; y el de otro de distinción con el mote de Constancia de Coro, acordado »or la Regencia á los capitulares el alcalde primero D. Andrés Tafavera, alcalde segundo D. Francisco Cuba, alférez real D. José Zavala, alguacil mayor D. Pablo Ignacio Arca? a, alcalde provisio nal D. José Míralles, y regid* res D. Manuel Uibina, D. Francisco Xavier Irsniguin, D. Miguel Gil y D. Ignacio Xavier de Emasabel; el cual se hará extensivo a los regidore…</t>
  </si>
  <si>
    <t>Cubells, Ramón</t>
  </si>
  <si>
    <t>Ramón Cubells</t>
  </si>
  <si>
    <t>…bítero. = Sr. IL iXÍartiniatio- francisco, Pastor. = Licenciado 1&gt;. Tadeo Ignacio Gil, abogado. = Licenciado, I). Francisco Antonio.AguJló. = $r. D. Josef Miralles, canónigo.-sSr. D. Ramón Cubells. - . ' t Suplentes.A * Sr. D. Pedro Vicente Calvo % presbítero, es El coronel D. Agustín Colomina. = Sr. D. Juan Roca Togores y Juan.sSr. D. Valentín Seoane.</t>
  </si>
  <si>
    <t>Cubilar, Ramón de Milla</t>
  </si>
  <si>
    <t>Ramón de Milla Cubilar</t>
  </si>
  <si>
    <t>…e los generales. (Couritr d' Angteterre d¿l 24 de agosto.) En la audiencia del Sr. D. Manuel Fernandez Gamboa, juez de primara ins tancia en esta villa, y escribanía del número de D. Ramón de Milla Cubilar, se hallan radicados autos por el Fallecimiento abintestato de María Morejon: cual quiera oerv-ra que tenga ó pueda tener algún derecho á sus bienes, lo-deducirá ante el referido señor juez por la citada escribanía en el término de 15 dias, con tados desde 6…</t>
  </si>
  <si>
    <t>Cuchar, Ramón de Milla</t>
  </si>
  <si>
    <t>Ramón de Milla Cuchar</t>
  </si>
  <si>
    <t>…e de 1813. = A D. Antonio Cano Manuel/’ .En virtud de providencia del Sr. D. Manuel Fernandez Gamboa, juez de pri mera instancia de esta villa, refrendada del escribano del número D. Ramón de Milla Cuchar, se cita, llama y emplaza á todos los que se creyeren con* derecho'» la he/eheia abintestato de María Morejón, vecina de la misma, por término de 15 dias, contados desde el 23 del mes próximo pasado; previniéndose que pasado sin haberse presentado ante dicho…</t>
  </si>
  <si>
    <t>Cuellar</t>
  </si>
  <si>
    <t>…ista del denuedo con que esta iba á ata carla, huyó precipitadamente por tercera vez á los cerros. 23. Mientras que los referidos comandantes , teniente coronel D. Manuel Arango y capitán Cuellar perseguían y dispersaban el grueso de la mencionada gavilla, el coronel D. Manuel del Rio, di rigiéndose á la hacienda de S. Diego, avistó 100 rebeldes al mando de Miguel del Rio, que ya se habia separado del viejo Macias y Cár denas , y aunque se pusieron lu…</t>
  </si>
  <si>
    <t>Cuellar, Juan Nepomuceno</t>
  </si>
  <si>
    <t>Juan Nepomuceno Cuellar</t>
  </si>
  <si>
    <t>…a 6 de Mayo salid de Zapotlan el grande una partida de guerrilla de la segunda división de este exército á las ordenes del teniente coronel D. Manuel Arango y comandante de Colima D. Juan Nepomuceno Cuellar, en busca de 500 rebeldes acaudillados por los cabecillas Maclas, Miguel del Rio y Juan Cárdenas que asolaban las inmediaciones de Xiquilpan. Pero habiendo huido la canalla lue go que avisto la guerrilla , dispuso el teniente coironei Arango que la persiguies…</t>
  </si>
  <si>
    <t>Cuellar, Ramón de Milla</t>
  </si>
  <si>
    <t>Ramón de Milla Cuellar</t>
  </si>
  <si>
    <t>…eptor de los reales consejos , tasados en 18750 rs., por término de 30 dias,1 contados desde el 19 del corriente. Quien quisiere hacer postura acu da á la escribanía del número de D. Ramón de Milla Cuellar, donde se admitirán Jas que se hicieren siendo arregladas. Los ingleses en España en nuestra santa revolución. Este periódico va saliendo por quadernos, y consta de i8.=rzCortes ordinarias de España desde i.° de octu bre de 1813 , impreso en Sevilla: quaderno…</t>
  </si>
  <si>
    <t>Cuenca, Elogio de</t>
  </si>
  <si>
    <t>Elogio de Cuenca</t>
  </si>
  <si>
    <t>…inas para coger las autoridades del ct rregimiento de M ai aró, pero solo pudieron verificarlo ccn eí alcalde ma yor de aqnei partido D. Salvador Arnsldo, y el comisario de guerra D. Elogio de Cuenca, después de haber recibido tres sabíales; y aun íi estos los prendieron, poique creyendo tener mas tiempo, se detuvieron un poco en recoger cuarto inrurtbia á sus respectivos empleos. A las 10 de la rrahtm; deí 27 se fueron de la expmada vi lla les hendidos,…</t>
  </si>
  <si>
    <t>Cuervo, Juan Antonio</t>
  </si>
  <si>
    <t>Juan Antonio Cuervo</t>
  </si>
  <si>
    <t>…substituto primero. mero. t D. Santiago Conde, substituto segundo. D. Eugenio Mesa, substituto segundo. Barrio ae ¿Mortana. D. Rafael de Yarza, alcalde. QUARTEL DE SAN FRANCISCO. D. Juan Antonio Cuervo, substituto primero. Barrio de la puerta de Toledo. D. Josef Tenet, substituto segundo. I&gt;. Manuel de Manzaneque, alcalde. Barrio de S. Lu:... D. Mariano Vi!l.'c;ñor, substituto primero. El marques de la Torrecilla, alcalde. D. Domingo del Valle, substituto s…</t>
  </si>
  <si>
    <t>Cueto, Juan Eitéban de</t>
  </si>
  <si>
    <t>Juan Eitéban de Cueto</t>
  </si>
  <si>
    <t>…uin, D. Miguel Gil y D. Ignacio Xavier de Emasabel; el cual se hará extensivo a los regidores D. Martin José de Echave y D Manuel Quintano y Valera, al síndico procurador ge neral D. Juan Eitéban de Cueto, al regidor provisional D. Ignacio Garcés, y al asesor del ayuntamiento D. José Ignacio Zavala, que por entonces no fueron comprehendidos en la gracia, en la cual no se incluye al teniente coronel D. José Cevailos, presidente del ayuntamiento, por estar prohi…</t>
  </si>
  <si>
    <t>Cuevas, Félix</t>
  </si>
  <si>
    <t>Félix Cuevas</t>
  </si>
  <si>
    <t>…i comisión, me pareció justo probar si con la fuerza seria dable apoderarme del fuerte, ya que no lo conseguí por la sorpresa intentada. Para ello encargué ai mayor de Femando VII D. Félix Cuevas, que con s-a compañía de gra naderos atacase el fuerte por el frente que mira al hospital, míen-</t>
  </si>
  <si>
    <t>Cuevas, Manuel</t>
  </si>
  <si>
    <t>Manuel Cuevas</t>
  </si>
  <si>
    <t>iguales grados dp patriotismo, y todas compiten en Para el de Cartet de Murvíedro, vacante por actividad sobre quien podrá antes llenar la sagrada muerte de D. Manuel Cuevas, á D. Vicente Boobiigqcion que ha contraído con so promesa espon ¡xadors &gt; presbítero. tánea. £1 piismp, entusiasma cuentan todos ios de Para el de Montanejos, vacante por fallecimien parta tnentos- Lps diversos distritos del departamen to de D. Juan Domingo…</t>
  </si>
  <si>
    <t>Cuitar, Juan Bautista</t>
  </si>
  <si>
    <t>Juan Bautista Cuitar</t>
  </si>
  <si>
    <t>…prefixado Alvarez; quien le contestó que AVISOS. si se je considerase de otro modo de pensar, ni se ria su amigo, ni habria apostado con ¿1 de una ma En virtud de providencia def Sr. D. Juan Bautista Cuitar, juez de primera instancia en esta villa, su fechanera que se demostraba la amistad que reinaba en 19 del corriente, refrendada de E&gt;. Josef Antonio Ca tre los dos.=:C. Y.” nosa, escribano del número de la misma, se cita, llama Véase aquí ya comenzada la gran…</t>
  </si>
  <si>
    <t>Culi, Jaime</t>
  </si>
  <si>
    <t>Jaime Culi</t>
  </si>
  <si>
    <t>…e D. Vicente Ambrosio Aguirrc, alcalde. fuerza de 2® caballos , se halla en-Dantzick ba D. Josef Carí Vidal, substituto primero. so las-ordene de! general Cavaign.ac: que ei gene- D. Jaime Culi, substituto segundo. riiv.Rapp ocupa lo extern: r de la plaza á diez le Barrio de Santa Cruz. ' guas en contorno; y que hai fondos en el tesoro D. Claudiu Boutelou, alcalde. : para pagar el sueldo durante un año. D. Lorenzo Rives, substituto primero. - ” Las…</t>
  </si>
  <si>
    <t>Cura</t>
  </si>
  <si>
    <t>…ara contener á casi todo el exército enemigo, gañendo tiempo hasta lts 3 de la tarde; mas parece que ni aun esto era suficiente para continuar la retirada, pues Bonaparte envió al general Cura! con íu a tilltría y 2 batallones de cazadores de las antiguas guardias para que recha zase al enemigo de la parte de allá de un desfi'aderr : esto era aun poco; pues Drouet tuvo que salir también inmediatamente con 30 piezas de artillería, y Nanscuty con tod…</t>
  </si>
  <si>
    <t>Curia</t>
  </si>
  <si>
    <t>…ipntuvieron nuestros 5® tiradores á todo el exército enejnf«gb j ganandoííiniilwsiblemente tiempo hasta las tres de la tarde. " Luego que llegó la artillería mandó el Emperador al general Curia! que marchase á paso de carga sobre el enemigo con dos batallones de cazadores de la guardia antigua, y que le arrojase hasta mas allá de la desembocadura: ai general Drouet que saliese inmediatamente con 50 cañones; y al general Nansouty que con todo el cuer…</t>
  </si>
  <si>
    <t>Curial</t>
  </si>
  <si>
    <t>…r-Maubourg cogió al gunos centenares de soldados de la guardia rusa. El Emperador hizo avanzar al momento la división Curia! de la guardia para reforzar al príncipe/^Tnbtowsky. El general Curial marcho al pueblo de Dalitz, le atacó á ía bayoneta.,de tomó sin disparar un tiro, é hizo 1200 prisioneros, entredós que se ha hallado el general en gefe Meerfeld . Restablecidas asi las cosas por nuestra derecha, el enemigo se puso en re tirada, y no se nos d…</t>
  </si>
  <si>
    <t>…o el cuerpo del general Sebastian! y con la caballería de la guardia antigua atacase vigorosamente al enemigo en la llanura. Executáronse exactamente todas estas disposiciones. El general Curial destruyó varios batallones del enemigo. Los austríacos y ios bavaros queda ron aterrados con sola la vista de la guardia antigua. Se colocaron sucesiva mente de 15 á 58 cañones con aquella actividad, intrepidez y presencia de ánimo que'disj&amp;ingue al generó Dr…</t>
  </si>
  <si>
    <t>CUriana, José</t>
  </si>
  <si>
    <t>José CUriana</t>
  </si>
  <si>
    <t>…onel graduado D. Vicente Irañeta de Iriarte, ca pitán de Baza , que mandaba la vanguardia , y el d? igual clase IX José de Fontanilías, capitán de Leales , que maadaba el reducto; D. José CUriana, capitán de la compañía de granaderos del mismo cuerpo de Leales; y á los señores oficiales y tropa de las compañías que defendieron la vanguardia y reducto de la derecha: todo lo que elevo ai superior conocimiento de V. B. en cumplimiento de mi de ber , y sa…</t>
  </si>
  <si>
    <t>Curioso</t>
  </si>
  <si>
    <t>Gaceta de Madrid n.º 143</t>
  </si>
  <si>
    <t>…en no dexarse privar de los beneficios inmensos líticas no sean moneda mas corriente entre noso que disfruta, la dictase la necesidad de valerse de tros. Someto al juicio de vmd., señor Curioso , pues la ocasión, que su opinión, su maña y sus medios me tiene trazas de ser hombre que sabe herir en la aseguraban poder aprovechar para detener el las dificultades, el examen de esta última opinión. = golpe que su previsión debía hacerla recelar, pro J. C…</t>
  </si>
  <si>
    <t>Curry</t>
  </si>
  <si>
    <t>1236</t>
  </si>
  <si>
    <t>1236 bres muertos y 6 heridos, entre estos el teniente Curry, de cuya conducta se hacen mil elogios, así como del teniente Hmohinson y de los guardia? marinas More y , Br,;defo.d y Trozer. El teniente de la go'eta fuá muerto, y se ahogaron algunos bomb es cíe su tripulación. Ademas ha remitido una lhla de 12 .&gt; embarca…</t>
  </si>
  <si>
    <t>Custlereagh</t>
  </si>
  <si>
    <t>…swig-Holstem.ssCopen- razón de las restricciones con que quiere limitárse le la vista de su propia hija, como ofensivas á su bague 17 de febrero de 1813.” buena opinión. Respondió lord Custlereagh que la naturaleza GRAN BRETAÑA. del documento citado por el honrado miembro de bía dispensarle de toda explicación sobre el asunto, Londres $ de marzo. pues no podía dicha carta presentarse á la cámara con un carácter legal y oficial. Que sin embargo, PARLAME…</t>
  </si>
  <si>
    <t>Num. roí. S41 GACETA DE LA REGENCIA DE LAS ESP AÑAS DEL MARTES 10 DE AGOSTO DE 1813. GRAN-BRETAÑA. Londres 3 de Julio. Concluye el discurso de lord Custlereagh. »$i la Suecia hubiese obrado hostilmente no hubiera quedado victorioso Wittgenstein en el Duna, y la retirada de Moscow hu biera sido menos funesta á los franceses. Por consiguiente, es injusto el no considerar mas que el estado actual de los negocios , y de…</t>
  </si>
  <si>
    <t>Cüthcart</t>
  </si>
  <si>
    <t>…um, x68. 1403 DE LAS ESP AÑAS TS .. ,, £*■ v üS T3 BE DICIEMBRE DE 1815. gran-brstaha. L&amp;ndres 2&lt;T de Noviembre', Boletín oficial. Se han recibido oficios del conde Aberdeen y del lord Cüthcart con fecha desde Francfort del 19 y n del corriente, de Sir Carlos Stewart del lé desde Hannover, y de Mr. Xhornton desde Bremen del 19. El emperador Alexandro entró en Francfort el día 5 , acompa ñado de artillería, caballería y la guardia, en medio de las ac…</t>
  </si>
  <si>
    <t>Cuvier</t>
  </si>
  <si>
    <t>Gaceta de Madrid n.º 70</t>
  </si>
  <si>
    <t>…por el caballero Delambre, secretario perpetuo. las cohortes 3.a, 76.*, 77-% 78.a y 88/ de la guar 3/ Otro elogio de Mr. Pallas, compuesto por idla nacional de primera clase.) el caballero Cuvier, secretario perpetuo.</t>
  </si>
  <si>
    <t>Cyr, Carra S.</t>
  </si>
  <si>
    <t>Carra S. Cyr</t>
  </si>
  <si>
    <t>…obrar con todo vigor. , Según noticias: el general Molitor avanza á Holanda con un cherpo de id® hombres*. Habiendo evacuado á Bromen el general Tettemborn, la ocu pó de nuevo el general Carra S. Cyr; pero pronto estará otra vez libre.</t>
  </si>
  <si>
    <t>Cyr, Carra-Saint-</t>
  </si>
  <si>
    <t>Carra-Saint- Cyr</t>
  </si>
  <si>
    <t>…s rusas ©coparon la ciudad de Muaster, haciéndole al enemigo en su retirada de este punto 6oo prisioneros. El general Tetíenborn con las tropas de su mando coatuvo la división del general Carra-Saint- Cyr, y las tropas que habían venido de Holanda para recobrar á Bremen. El Príncipe real ha manifes tado la mayor sathfaccion por la actividad de este general. El mariscal Davoust, que ocupa todavía su antigua posición de la línea del Stegnitz, tiene cortada su re…</t>
  </si>
  <si>
    <t>Cyr, S.</t>
  </si>
  <si>
    <t>S. Cyr</t>
  </si>
  <si>
    <t>…con ta que Ies tropas dinamarquesas re levantaron contra Davou t, y que el general 'Walssoden, aprovechándose de este suceso, le derrotó complete mente: igualmente se decía que el mariscal S. Cyr se había pssado á los aliados; y qoe finalmente Bonaparte marchará de Parjs á Holanda, donde se reúne un exército de 60® hombres, inclusas las guardias. — Por noticias de Milán se sabe que el virey de Italia ^e había retirado áBassano, 100 millas italianas de…</t>
  </si>
  <si>
    <t>Cz-rnicheíf</t>
  </si>
  <si>
    <t>…o vencer 6 morí en defensa iei honor de sus soberanos y de la hbeitad de la Europa.. El gener.il 'Vi izi ,gmode *e movió ya cruzando el Elba con al gunos mili re&gt; de co acos; y el general Cz-rnicheíf ocupa, á Dessau y Corh-n. E exército está junto al Elba, y se han acopiado materiales en mnch s puntos par i el paso de aqu 1 río. T es mil prusianos de mi licias os-a.ro 1 e; Elba, en Leutzen, p.ra proreger á los antigua s súb dita de Prusia. L¿s milicias de…</t>
  </si>
  <si>
    <t>Czartoriski, Adam</t>
  </si>
  <si>
    <t>Adam Czartoriski</t>
  </si>
  <si>
    <t>Gaceta de Madrid n.º 12</t>
  </si>
  <si>
    <t>…de Varsovia, nuestro se agregará al mariscal., y que residirá «j Varsovia.. Úna empresa dictada por tan virtuosos motivos, graciocísimo Soberano', y tenienoci á nuestra cabe za el príncipe Adam Czartoriski, «taróste general fundada en la justicia mas evidente, merece hon dé PodoÜa,1 nuncio de Varsovia, ciudadano respe rarse con'el nombre y ia aprobación de el, table por su edad,-sus virtudes y sérVicíós, auiadó Rci de Sáxcriia, gran duque de'Varsovia, nuestro</t>
  </si>
  <si>
    <t>Cze.nicheff</t>
  </si>
  <si>
    <t>…ido á sal miseria que las autoridades que go biernan allí corren mucho riesgo. Los soldados están cansados de una guerra sin fin, y que llaman la guerra del café y del azúcar.' El general Cze.nicheff pardo con 3© cabellos á una expedición secreta.. El mayor Helhvjg, del cuerpo del general BnIo«r, se abrió en la orilla izquierda del Elba una comunicados con la vanguardia del general ¿chulzenheim en Des¿au. El fdd. -mariscal conde Stedii gk hace construir o…</t>
  </si>
  <si>
    <t>CzemitscheíF</t>
  </si>
  <si>
    <t>…nk nd. rfF cargó sobre 4 escua drone; de caballería ligera , qae formaban parte de la escolta, y de los cuales ni u :o se esc:pó: h‘120 250 soldados prisioneros y 10 oficia ~s. Ei general CzemitscheíF tuvo noti ia que el geí eral Bastine11er marchaba para Cas;el, por lo cual partió en la noche del 2% á Melzu gen con toda-, sus fuerzas para encontrarlo. El cuerpo ene migo se dispersó; solamente 20 coracero? y 2 piezas fueron tomadas. Las tropas que segman a…</t>
  </si>
  <si>
    <t>Czer</t>
  </si>
  <si>
    <t>…el lado de Belzig, y su caballería dio varias cargas con intrepidez: un regimiento de cosacos cargó sobre una coluna de i® infantes, y todos fueron ó muertos ó prisioneros. Dicho general Czer nicheff hizo prisioneros 6o oficiales y 1500 soldados, y tomó una pieza-, el general Hórschfeld entre 6ó á 80 oficiales, mas de 2® soldados, siete caño nes, muchos carros de municiones, y casi todo el bagage&lt; Los cosacos si guieron el alcance, porque la infan…</t>
  </si>
  <si>
    <t>…o el Elba de Dres de á Magdeburgo y Hamburgo. Una partida de cosacos se ha di rigido últimamente ., al amanecer, á una pcqutña c'udsd situada so bre las fronteras de Westfaiia. Su comandante Czer; itcluf mandó á sus habitantes que. se juntasen en la plaza, y Es obligó á gritar ?i&lt;va el elector. ESPAÑA. México iG de Junio. El coronel Z&gt;. Cristóbal Ordoñez ha dirigido al señor virey los oficios y partes siguientes. Primero. »Excmo. Sr.: Entrela multitud…</t>
  </si>
  <si>
    <t>Czerm'cheff</t>
  </si>
  <si>
    <t>…ha enviado ya afl coroneLNaríschkín. El general Bulo.w-está.en 3íind.e5t,iínYÍaráru.ñ,cuerpo á Munster , y su ca ballería está pronta á reunirse en las.grillas deljRJíin á la del general Czerm'cheff. E! general conde de Woronzow está en marcha para Luneburgo. Una división del ejército sueco, mandada por el barón de Sandels, está en Brunswick. La división del mayor general barón de Posse en Hannóver, y</t>
  </si>
  <si>
    <t>Czerní</t>
  </si>
  <si>
    <t>…cosacos á DeUtch. El coronel perseguía vigorosamente al enemigo* y se distinguió por sa gallardía y pericia en el combate cerca de Dcstau el 2ó de Se tiembre. C* La expedición del general Czerní heíf ha íido coronada de lo* sucesos mas brillantes; nunca la intrepidez , valor y taento e pa tentizaron tanto como en esta ocasión. El gen. rd , d spucs d: tres gloriosos combate;, entró en Cassci el 30 de Setiembre per cayitu-</t>
  </si>
  <si>
    <t>Czerniceíf</t>
  </si>
  <si>
    <t>SlfECIA. 'Gotlemburgo'g de Un caballero que hace pocos dias salló de Stralsund dice que el general Czerniceíf recibió orden de quedar baxo el mando del Príncipe Real de Suecia, cuyo exército, inclusa esta fuerza, ascendía á 70 ú 80® hombres. Ha habido algunas escaramuzas entre los puestos avanzados de los suecos y dinamarqueses. La legión germano-rusa, compuesta de 1…</t>
  </si>
  <si>
    <t>Czernichctf</t>
  </si>
  <si>
    <t>…segura la línea del Elba; porque esta plaza, cubriendo á Berlín, puede servir de depósito generala les exércitos aliados. l?n viajante que ha llegado aquí de Cassel afirma que el general Czernichctf llegó allí el dia 28, tomó la cindadela, y puso e» li bertad á los prisioneros de estado. Se espera la confirmación de esta noticia. Antes de ayer S. A. R. pesó revista al batallón de saxones que se pasó á los aliados. Esta tropa tiene un aspecío hermoso. Los…</t>
  </si>
  <si>
    <t>CzernichefF</t>
  </si>
  <si>
    <t>…amente considerable dan©. «Coa la llegada de na cuerpo y de varios batallones, el exércifio ruso está mas inerte que en el día 21 del pasado. « Tengo l.i honra &amp;c. zaCathcart.” El general CzernichefF y las tropas de sia mando se cubrieron de gloria el 29 dd pasado en Haiberstadt, derrocando coinpletaiaente á los franceses. Habiendo pasado el Elba aquel bizarro general, su po que pasaba por el territorio de Brunswick un convoy enemigo con un parque de arti…</t>
  </si>
  <si>
    <t>Czernicheff</t>
  </si>
  <si>
    <t>…inada resistencia el exército enemigo, muy superior en numero al nuestro, se ritiró en gran desorden, y fué perseguido por los tiradores hasta entrada la noche. En esta ocasión el general Czernicheff atacó por el lado de Bel zig , y su caballería cargó bizarramente al enemigo por varias veces. Un regimiento de cosacos embistió á una oolemna de infantería com puesta de 1® hombres, y la derrotó matando á unos, y haciendo á los demas prisioneros. Aun no se p…</t>
  </si>
  <si>
    <t>irTia¡ exército ruso, á excepción de ía vanguardia, mandada por el conde de Woronzow, y del cuerpo del general Czernicheff, que quedares én frente de Wíttemberg. Siguióse inmediatamente el fuego de arti llería y fudíería entre las tropas prusianas y el enemigo/Los cuer pos rusos ^suecos, después de marchas forzadas, tu vieron precisión de hacer alto por en momento para Formarse e…</t>
  </si>
  <si>
    <t>…ría y caballería ; infundirá terror en la retaguardia dei enemigo, y se unirá con los partidarios del exército grande de Bohemia. El capitán ruso Fabeck , de la división dei mismo general Czernicheff, que habiaya pasado el Elba, se adelantó hacia .Nauburg,.donde encontró al. general íhiehnan con cerca de 1© caballos. Dicho Fabeck, que solo tenia consigo 80 cosacos, atacó al enemigo en Querfurt, y cogió prisioneros un coronel bávaro , un teniente coronel f…</t>
  </si>
  <si>
    <t>…n tiroteado con los puestos avanzados del enemigo. Cuartel general de TLerbst iG de Setiembre de 18 ijv El príncipe de la Corona trasladó ayer su cuartel general á esta eiudad. El general Czernicheff pasará hoy el Elba con un cuerpo de caballería y artillería, Llevará el terror á la retaguardia del enemigo,, y se unirá con los partidarios del exérciro grande de Boh mia. El capitán ruso Fabeck, de¿ cuerpo de5 general C ernicheíF, que había ya pasado el Elb…</t>
  </si>
  <si>
    <t>…á Dresde: que la mayor parte del exército aliado estaba en la izquitrda del Sanie &amp;c. El general Tetteabcrn tomó la ciudad de Bremen el 14 de Octu bre----Cas'el filé temada por el general CzernichefF el 30 de Setiem bre; pero después fué abandonada, y- dicen los papeles franceses que entró en ella el rey de We:s:fa ia el dia 16 de Octub e. —Unos pasage os reci.n.llegados de HeligoJand y Hanvick dicen que los aliados bebían tomado á Lubeck; que Davonst est…</t>
  </si>
  <si>
    <t>…ños del Elba.-, pues esta fortaleza servirá no solo para cubrir á Berlín , sino también de depósito á los exércitos aliados. Un viagero que ha venido aquí de Cassel asegura que el general Czernicheff .llegó allí el dia 20, tomó la ciudadela, y puso en li bertad los presos de estado. Se espera la confirmación de esta noticia. Ante ayer S. A. R. pasó revista al batallón saxon que se había pasado á los aliados. Esta tropa tiene bella apariencia. Los soldados…</t>
  </si>
  <si>
    <t>…El coronel BenkendorfF cargó sobre quatro escuadrones de ca ballería ligera, que formaban parte de la escolta, de los que no escapó nin guno; cogió 250 soldados y 10 oficiales. El general Czernicheff, noticioso' entonces de que el general Bastineller marchaba hacia Cassel, caminó du rante la noche del dia 28 con dirección á Melzungen, para encontrarle con todas sus fuerzas. El cuerpo enemigo se dispersó: solamente sé cogieron 2¡q coraceros y dos'cañones.…</t>
  </si>
  <si>
    <t>…ETA DE MADRID DEL JUEVES 9 DE DICIEMBRE DE 1813 BAXO EL GOBIERNO DE LA REGENCIA DE LAS ESPANAS. GRAN BRETAÑA. Continúan las noticias de Londres hasta 79 de noviembre. Proclama del general Czernicheff. Habitantes de la Westfalia: en el momento en que por la suerte de la guerra me apodero de vuestra ciudad, os hago saber en nombre del Empe rador de Rusia y por orden del Príncipe de la corona de Suecia, coman dante en gefe del exército del norte de Alemania,…</t>
  </si>
  <si>
    <t>…Gottinga. EV ^eñerat Worbnzó'w con la vanguardia del exército * y el general Walmíóden ¿oik los rusos, entraron en . Cassel el 30. ' v‘ ’v';’ : ' P ' " Se han recibido partes'del general Czernicheff, fecha de 27 de octúbre, en que avisa haberse apoderado de Fulda, donde hizo 500 franceses prisione ros., destruyó los almacenes del enemigó, cortó Ies puentes, y puso imprac ticables los caminos, habiendo hallado medio de apostarse entre el cuerpo del exérci…</t>
  </si>
  <si>
    <t>…es con el ge neral'Wreae parece que tenia 70 ú 80® hombres, con cuyo número aun no se creía seguro, pues en la última batalla se proveyó de una guardia de io0 hombres, á la que el general Czernicheff atacó y maltrató bastante. El Príncipe Real ha trasladado el 6 su quartel general á Hannóver. Los prusianos, á las órdenes del general Bulow, están en Minden; y el general Winzingerode llegará á Bremen dentro de uno ó dos dias: los suecos se di rigen sobre Ha…</t>
  </si>
  <si>
    <t>…o que debían to mar para.Hanaú , que era para Napoléon un nuevo Beresina. Pía debido su salvación únicamente al heroísmo de sus soldados, y á los talentos de sus generales. v¿. EÍ general Czernicheff, que estuvo siempre á la vanguardia del exército enemigo en su retirada ai Rhin, • contribuyó infinito, al resultado de la ba talla de Hanau. Todo el dia^o de octubre inquietó: al enemigo; y habien-r do advertido el 31 que un cuerpo de 10© hombres de caballer…</t>
  </si>
  <si>
    <t>…irle á Hanau, que por último re curso era un nuevo Beresina para Napoleón, que solo pudo escapar en esta ocasión por el heroísmo de sus soldados, y el talento de sus generales. El general CzernichefF, que se hallaba siempre sobre la vanguardia del enemigo cuando este se retiraba al Rhin, contribuyó infinito al buen éxito de la batalla de Hanau; porque después de haberlo inquie tado sin cesar durante todo el dia 30 , viendo al dia siguiente que un cuerpo d…</t>
  </si>
  <si>
    <t>Czernichefi</t>
  </si>
  <si>
    <t>…sus fuerzas. El cuerpo enemigo se dispersó: solamente sé cogieron 2¡q coraceros y dos'cañones. Las tropas qué seguían al Rei se dispersaron igual mente : mas de 300 se unieron al general Czernichefi*, y marcharon con ái contra Cassel el dia 30. Se sirvió para bombardear la plaza de !a artillería que tomó al enemigo. El coronel BenkendorfF tomóóa puerta. de Leipsick con la artillería que la defendía. En el «¡mismo momento el general Czernicheíf ofreció ar…</t>
  </si>
  <si>
    <t>Czernichefif</t>
  </si>
  <si>
    <t>…migo perdió en esta acción mas de 300 muertos, ademas de muchos prisioneros. Algunos oficiales franceses se han pasado á nosotros, y han sido incorporados con nuestras tropas. Ei general Czernichefif ocupó á Belzig en la noche del 26 con sus cosacos. Ei general Girard que se detuvo en Lubnitz con ánimo de pasar la noche, fue allí sorprehendido; de resultas hubo una acción muy viva cerca de Beizíg, y el general francés no pudo mantenerse en posesión del pu…</t>
  </si>
  <si>
    <t>Czernichefl</t>
  </si>
  <si>
    <t>…enemigo no tiene posición alguna segura en la orilla izquierda del El ba desde Wittemberg hasta Schernbeck. Sus puestos avanzados están aun entre esta última plaza y Magdeburg. El general Czernichefl está en Bernburg. El mayor Von Rosenstern en Rosemburg, y el mayor Czerzensky en Zoerbig. Las partidas destacadas han penetrado hasta Halle, donde se han puesto en comunicación con el general Thielman , y desde allí hasta el pie de Deistsch y BÍÜ2rfeld, y en…</t>
  </si>
  <si>
    <t>Czernicheflf</t>
  </si>
  <si>
    <t>…uego á las avanzadas francesas. BOLETIN DECIMOQUINTO REL EXERCITO ALIADO. Quartel general de Xerbst 16de setiembre. Ayer se transfirió aquí eí quartel general del Príncipe ReaL El general Czernicheflf pasará hoi e 1 Elba con un cuerpo de artillería y caballería ; infundirá terror en la retaguardia dei enemigo, y se unirá con los partidarios del exército grande de Bohemia. El capitán ruso Fabeck , de la división dei mismo general Czernicheff, que habiaya pa…</t>
  </si>
  <si>
    <t>Czernicheíf</t>
  </si>
  <si>
    <t>…xército sueco salió de Postdam con dirección á Saarmunda, atravesó los desfiladeros, y tomó posición en RuhlsdorfiF: el exército ruso siguió al sueco, y se alojo en Gutergatze: el general Czernicheíf guardaba á Beletz y Treunbitzen con 3© cosacos y una brigada de infantería, ligera. Los agentes secretos avisaron que el Emperador Napoleón había pasado por Luckau para Bayreuth. El general Czernicheíf executó las órdenes con su acostumbrada inteligencia, int…</t>
  </si>
  <si>
    <t>…iguiendo ai enemigo, quien perdió en estas acciones 300 muertos y mu chos prisioneros. Se nos han pasado muchos oficiales' franceses, y se les ha incorporado á nuestras tropas. El general Czernicheíf con sus cosacos ocu;pó á Belzig la noche del 26. El general Girard, que se había detenido en Lubnitz para pasar allí la noche, fue atacado repentinamente, y se trabó cerca de Belzig una acción mui viva, que no le permitió conservar la ciudad. El mismo 26 volv…</t>
  </si>
  <si>
    <t>Czernicheif</t>
  </si>
  <si>
    <t>…res de Morner, de 2 batallones de Yagers y de 4 piezas de artillería, man dadas por el ayudante general bsro.i O^destroa, esta junto con ia vanguardia rusa; las tropas l'geras del general Czernicheif y coronel Breudel, acosan constan emente ai enemigo. Los generales Tauenziea y Herschfeldt dirigen sus movimientos por los del exército , y están en comunicación con él. . . . , El príncipe de Eckmuhi aun continuaba en su posición junto a Schwerm el 2S de Ago…</t>
  </si>
  <si>
    <t>Czernícheif</t>
  </si>
  <si>
    <t>…en defensa del honor de sus Soberanos y de la libertad de la Europa. El general VVinzingerode se ha puesto en movimiento atravesando el E’bi con dgonos miliares de cosacos , y el general Czernícheif ocupa ya á Dessau y A C.nthen. El excreto» está junto al Elba, y se reúnen materiales en muchos puntos para el paso de aquel rio. Tres mil prusianos del landsturrn han pasado el Eiba en Leutzen con el objeto de proteger los antiguos súbditos dePrusiaEl landst…</t>
  </si>
  <si>
    <t>CzernicheíF</t>
  </si>
  <si>
    <t>…miseria, que las autoridades que gobiernan allí re hallan en gran riesgo. Los soldados están cansados de u*á guerra in terminable , q*de llaman la guerra del café y del azúcar. El general CzernicheíF ha partido con 3$ caballos á una expedición se-creta. .... , El mayor Heílwig, del cuerpo del general Bulow, ha abierto en la orilla izquierda del Elba una comunicación con la vanguardia del general Sclfulzenherm en Dessau.“ ' El feld-mariscal conde Stedingk…</t>
  </si>
  <si>
    <t>…sirvió para bombardear la plaza de !a artillería que tomó al enemigo. El coronel BenkendorfF tomóóa puerta. de Leipsick con la artillería que la defendía. En el «¡mismo momento el general Czernicheíf ofreció artículos de capitulación‘ai géneral de división Aiix. Obtuvo libre paso para las tropas francesas^’y, tyestfalianas con sus armas y equipages. Estas tropas debían ser éscoltadas por los qosacos dos millas jnas ailá de Cassel.' Los tusos ocuparon la c…</t>
  </si>
  <si>
    <t>…remeií y de la línea del Weser, y situsne entre las tropas de Davoust y la Holanda con el ob jeto de poder de esta manera coadyuvar mejor á las operaciones con tra este país. — El general CzernicheíF se apoderó de Falda , en don de destruyó los grandes almacenes que tenia allí el enemigo, inuti lizó los caminos , y se apoderó ademas de 500 prisioneros. — El grueso de! exército austríaco, que continua su marcha en columnas sobre Francfort, deberá llegar el…</t>
  </si>
  <si>
    <t>Czernieheíf</t>
  </si>
  <si>
    <t>…endo así que ios bienes de su familia fueron confiscados por Napoleón, y el cual sirve á aquel emperador á las órdenes del príncipe de Eckmuhl. Wittember,.1; es á bloqueada por el general Czernieheíf. Cierto número de tropas observaban á Magdebargo desde la orí la derecha del Elba. Las salidas de la guarniciou se Incitan ahora á cortar los árbo es del bosque de Üiederitz, lo que hacen tsn solo porque pe tenece al rey de Prusij. Los puestos ev^nzados del g…</t>
  </si>
  <si>
    <t>Czernischeff</t>
  </si>
  <si>
    <t>…de armas. Se dice que Blucher ha conseguido fu garse. : . . . ' ’ •; ■ */ Los bárbaros. del Norte {asi llaman :los franceses'á los rusos) sé han por* tado de mui diverso modo. El general Czernischeff, que podía fácilmente ^ritrar- en Leipsick al frente de 69 hombres» se abstuvo de ello » y suspen dió toda hostilidad apenas se le hizo saber el armisticio. ? (Esto debe servir de lección á los enemigos de Bonaparte. ¿Es posible -que con un facineroso,; que a…</t>
  </si>
  <si>
    <t>CzernischefF</t>
  </si>
  <si>
    <t>…el cuerpo francés que mandaba el general Girard en las inmeilaciones de Behóg. Pocas horas antes de esta acción había tenido otra muy glo riosa contra las mismas tropas el pecerel conde CzernischefF, derrot ndoLs completamente la caballería, y quitándoles un canon y 5©* ginetes. — Todo el btgage de este cuerpo cayó en manos del general Hirschfeldt, quien no tenia consigo sino regimientos de milicias. El 17 del corriente marchó el lord Burghers: va at cua…</t>
  </si>
  <si>
    <t>Czernitscheíf</t>
  </si>
  <si>
    <t>…encontrarlo. El cuerpo ene migo se dispersó; solamente 20 coracero? y 2 piezas fueron tomadas. Las tropas que segman al rey se dispersaron del mismo modo; mas de 300 se unieron al general Czernitscheíf, y marcharon con él el día 30 contra Cassel. Sirvióse de la artillería que tomó al enemigo •ara bombear la plaza. El co onel Benkendorfif tomó la ptterta de Leipsick con la artillería que la defendía. En este intermedio el ge neral Czerwitscheff ofreció una c…</t>
  </si>
  <si>
    <t>Czernitsehef</t>
  </si>
  <si>
    <t>…el hecho. El enemigo no tiene ya ninguna posición fuerte en la izquierda del Elba, desde Wittemberg á Schernbeck. Sus puestos avanzados están aun entre Schernbeck y Magdeburgo. El general Czernitsehef está en Bernbu go, el mayor Rosenstern en el Pequeño Roseaburgó, y el mayor Czeczensky en Zorb'g. Algunas partidas sueltus destaca das han penetrado ya hasta Halle, donde se comunican con él cuer po del general Thielmann , y desde allí se han adelantado tambi…</t>
  </si>
  <si>
    <t>D'Escars, F.</t>
  </si>
  <si>
    <t>F. D'Escars</t>
  </si>
  <si>
    <t>…ecia. El conde de Artois debe ir al quartei general del Emperador, Alejan dro', pana donde salió de Londres el dia 18 de mayo, acompañado de su hijo mayor el duque de Angulema, el conde F. D'Escars, E. Damas y el barón de Roll. FRANCIA. Parts lid* mayo» t S. M. &amp;c. regente ha recibido las siguientes noticias relativas^ las posi ciones de los exércitos hasta la tarde del 6 de mayo. El quartei general del Emperador estaba en Waldheim, el virei en Ertzdorf…</t>
  </si>
  <si>
    <t>D'Jongh</t>
  </si>
  <si>
    <t>…contra el enemigo. Ei general boLndes Laudas ha ocupado á Cadeiie y Isselmolac, obligando á los franceses, que habían llegado á Dordrecht, á retirarse sobre Gorcum. Entre tanto el general D'Jongh fixó su cuar tel general en Leyden, y ha enviado sus tropas á Alphen para ase gnrar á Voerden. Se deseaba con grande amia la llegada del príncipe de Orange y de las tropas inglesas. Nosotros creemos que S. A. R. ha desembarcado ya, aunque el viento de la part…</t>
  </si>
  <si>
    <t>D'Yorcfc</t>
  </si>
  <si>
    <t>…ENCIA DE LAS ESPAÑAS DEL MARTES 4 DE MAYO DE 1815. r ........ PRUSIA. Berlín 19 de Marzo. Orden del día dtl general Wtttgenstein. Al real cuerpo prusiano , mandado por el teniente general D'Yorcfc. „S. M. el rey de Prusia ha tenido ¿ bien reunir á mi exé/cito todas las tropas que manda el teniente general D Y&lt; rjk- Esta confian* za, al paso que es por todos títulos lisonjera y honrosa pasa mí, afianza el feliz éxito de la causa en que ésiaraos empeñado…</t>
  </si>
  <si>
    <t>D'Yorck</t>
  </si>
  <si>
    <t>…e de bien. „Mssseí¡bnch, que estaba conmigo con 6 batallones y 6 escua drones , ha salido esta mañana, sin orden mía, con intención de repasar el Niemen, y marchar á unirse con el general D'Yorck,</t>
  </si>
  <si>
    <t>…el barón de Hardenberg se irritó sobrema nera , y salió inmediatamente á dar parte de ello al rey de Prusia, que acababa de llegar á esta ciudad. D.cese que el rey ha depuesto al general D'Yorck, dando orden para prenderle ; que ha conferido el mando al general Kleist; y ha llamado las tropas (aunque hay muy poca probabilidad de que puedan retirarse) , mandándoles que esten á las órdenes del rey de Nápoles, á quien deben dirigirse to das las órdenes;…</t>
  </si>
  <si>
    <t>D'Yorfeéstá</t>
  </si>
  <si>
    <t>…o al Vístula cerca de ico® rusos de refuerzo. Las fuerzas prusianas están distribuidas del modo siguiente* El: general» Blucher ;$e ha movido; rdesdéli Silesia á? la Saxonia___ El general D'Yorfeéstá en Berlín con eí; grueso deL exército, yha enviado destacamentos á Hámburgo y Rostock , que están ahora ocupadas por tropas prusianas! Otro des tacamento prusiano ha sitiado á Stettin, que según las últimas, noticias es taba para rendirse. : ■. v * En Stralsu…</t>
  </si>
  <si>
    <t>D'York</t>
  </si>
  <si>
    <t>…suplico á Y. E. que acepte la protesta del mas profundo respeto , con el cual soy &amp;c. — D’ Yorck.” w 'arta del Uniente general Massenbach al duque de Tárenlo. — ■Por la carta del general D'York habrá visto V. E que no podía menos de adoptar el último partido que he abrazado ; pues las dis posiciones tomadas por Y. E. esta noche me han hecho sospechar que sus intenciones eran, ó de detenerme por fuerza, ó de desarmar ruis tropss. Me ha sido , pues, p…</t>
  </si>
  <si>
    <t>Gazeta de la Regencia de las Españas n.º 77</t>
  </si>
  <si>
    <t>…MARTES 22 DE JUNIO DE 1813. FRANCIA. Parts 4 cíe Abril. '* m Continuación de los documentos que acompañaron al informe del ministro de relaciones exteriores. Núm. XIII. Carta del general D'York al duque de Tarento. • Tauroggen jo de Diciembre. — Señor: después de muchas y pe nosas marchas no me era posible continuarías sin exponerme á ser atacado por los flancos y retaguardia ; por lo cual se retardó mi re unión con V. E., y quedé en la alternativa…</t>
  </si>
  <si>
    <t>…puesto que la estimación y respeto que profeso á V. E., y conservaré toda mi vida, servirían de obstáculos al desempeño de mi obligación. vz Massenbach. Núm. XV. Convenio entre el general D'York y el general ruso Dubistch. MiU-Poschermt 30 de Diciembre de 1812. — Art. i.° El cuer po prusiano ocupará un.distrito del país, formando una iínea en les frontera desde Memel y Memerthal hasta el camino que va de Woinuta á Tilsit. El camino que conduce de Til…</t>
  </si>
  <si>
    <t>…ciales de Prusia cuanto sea respectivo á las provisiones de estos cuer pos * inclusas hasta las provincias que pueden ser ocupadas por las tropas rusas» Núm. XVI. Declaración del general D'York, Según un artículo inserto en algunos ejemplares de la gaceta de Berlín, el mayor y ayudante de campo Natzmer ha sido enviado al general mayor Kleist* con la orden de que'.me releve , y se encargue él mismo del mando del cuerpo real prusiano. Sin embargo, Mr.…</t>
  </si>
  <si>
    <t>…n de los documentos que acompañaron al informe del ministro de relaciones exteriores. Documentos relativos d las disposiciones tomadas por la Prusia con motivo de la deserción del general D'York. Núm. XVIII. Copia de un oficio de Mr. de Saint-Mar san. Berlín i¡ de Enero de j8ij. — Al rey le ha sorprehendido e in dignado la deserción del general D’York : por manera que sus pri meras expresiones cuando supo la noticia fueron; «capaz es esto de causar u…</t>
  </si>
  <si>
    <t>…cher, tuvo una acción con ei cuarto cuerpo francés, mandado por el general Bertrand.— Estaba este atrincherado fuertemente en una aldea entre Wartenburgo y Bledin. — El cuerpo del general D'York desalojó y derrotó al enemigo, haciéndole mas de i© prisioneros; se le cogieron ó pie zas de artillería y 7© caxones con todo lo correspondiente. Un cuerpo de 2® hombres entró en Wittenberg, y el resto de las tropas ene migas se retiró sobre Kemberg. El gener…</t>
  </si>
  <si>
    <t>D, Alexo Valls y</t>
  </si>
  <si>
    <t>Alexo Valls y D</t>
  </si>
  <si>
    <t>…las operaciones que les mandé: á los capitanes D. Juan Pa bia Prast, D. Gaspar Estalella y D. Francisco Maserts; al teniente D. Manuel Herrando y D. José Loscos: los subtenientes D. Alexo Valls y D, Juan Buenaventura Mateu: los sargentos primeros Pe dro Falcon, Justo ToU, José Borras y Agustín Alealde, y los segun dos José María Rodríguez é Ignacio García; el cadete D. Ignacio Gran.; el cabo segundo Joaquín Benadoch, al cual hirieron el caba llo: ios ca…</t>
  </si>
  <si>
    <t>D, Cayetano</t>
  </si>
  <si>
    <t>Cayetano D</t>
  </si>
  <si>
    <t>…amas, 12 id. Son 379 hambres á razón de 192 ps. fs. al año por cada uno. Hacen 72768 ps. fs —D. Alberto Camino , al mes 8 ps. por ua sño, 96. D. Bero?rd no G rdíl-o, id. por 4,4S. D. Cayetano D lis y Rubio, id..por 4 48 D Domingo I*erez, id. por 10, 120. D. Femando Ma ría Gómez, id. por 8, 96. D. Francisco García Carriaga, id. por 2,</t>
  </si>
  <si>
    <t>D, F.</t>
  </si>
  <si>
    <t>F. D</t>
  </si>
  <si>
    <t>724</t>
  </si>
  <si>
    <t>…eres,4 Ensayo sobre un nuevo método para clasificar y estudiar las enfermedades de este sexo, compuesto' en francés por Josef María Joaquín Vigarous, y traducido al castellano por D. F. D.: dos tomos en 4.0 Se hallarán en las librerías de Villareal y Matute, calle de las Carretas. El Tizón de Francia, ó Crónica escandalosa de la raza imperial de Bonaparte y de su corte, mariscales y estado militar: obra publicada en Londres por Mr. Goldsmit, tr…</t>
  </si>
  <si>
    <t>D, Francisco Osorio y</t>
  </si>
  <si>
    <t>Francisco Osorio y D</t>
  </si>
  <si>
    <t>…la Ree-encia del rey no nombrada por las Cortes ge nerales y extraordinarias : estando bien satisfecha del buen desempeño de I). To mas González Carvajal, D. Juan Alvarez Guerra, D. Francisco Osorio y D¿ Juan O-Donojú, nombrados por decreto de 30</t>
  </si>
  <si>
    <t>D, J. M.</t>
  </si>
  <si>
    <t>J. M. D</t>
  </si>
  <si>
    <t>…tar el dia 23 del corriente y hora de las 12 en punto. Historia del gazetero de Bayona D. Luis Gutiérrez, extractada de I* causa original, é ilustrada con algunas notas por el Dr. D. J. M. D.: un folleto en 4.0 rústica, zr Manifiesto de las operaciones de los ministros de la real audiencia de Se villa, que se quedaron en la ciudad después de la invasión de los franceses desde la batalla de Ocaña hasta el dia de la entrada de las tropas aliadas: un…</t>
  </si>
  <si>
    <t>D, Juan</t>
  </si>
  <si>
    <t>Juan D</t>
  </si>
  <si>
    <t>…anto oficio Borrull: admira la elocuencia , la verdad y la razón en boca de Arguelles, Torrero 8cc.; pero sepulta en tu corazón este sentimiento, para que no se logren Discurso de D. Juan D¡osda.do, alcalde por el es tado noble del pueblo de Mírabueno, partido de Simienlo* deseos inicuos de quien intente precipitarte, y za , pronunciado en sesión secreta de las cortes de Cálograr la disolución de las cortes, y el trastorno del diz el dia 15 de d…</t>
  </si>
  <si>
    <t>D, Juan Bautista Pousich y</t>
  </si>
  <si>
    <t>Juan Bautista Pousich y D</t>
  </si>
  <si>
    <t>…mante, graduado de coro nel; á tenientes coroneles á los sargentos mayores de brigada D, Ví sente Sánchez, D. Miguel Santillana y D Ignaeio Ordovas, gradua do de teniente coronel, D. Juan Bautista Pousich y D, Felipe de Arco Agüero, este graduado de teniente coronel; á sargentos maya res de brigada á los capitanes D. Domingo de la Iglesia, D Juan Oromi, D. Antonio Ibarrola, D. Andrés Rodríguez, D Félix de Toda, D. Juan Pablo Sebastian, graduado de teniente coronel…</t>
  </si>
  <si>
    <t>D, Juan Hevia y</t>
  </si>
  <si>
    <t>Juan Hevia y D</t>
  </si>
  <si>
    <t>…niente del de Benaveate; Don Félix Carrera, coronel, y D. Alberto Gutiérrez , teniente del de Rivero ; D. Esteban Rodríguez y D. Alberto Rodríguez , capitanes, D. Manuel Taboada , D. Juan Hevia y D.-Francisco Lema , sub tenientes del de Oviedo ; D. José María Novoa , sargento mayor; D. Francisco Xavier Toral, espitan de cazadoresí/Q.Bedro Zuluaga, capitán; D. Francisco Moreno y D. Pedro Bonet, tenientes; D. Manuel María Saliquet, ídem del de cazadores; D…</t>
  </si>
  <si>
    <t>D, Rafael Goicochea y</t>
  </si>
  <si>
    <t>Rafael Goicochea y D</t>
  </si>
  <si>
    <t>6f3 brigadieres D. Diego del Barco y D. Josef María Espeleta, y de los coroneiés.D Jos ef María Carrillo, D. Rafael Goicochea y D.F rancheo &gt;Píasencia , baxo la inmediata dirección de los mariscales de campo D. Pedro de ÍBárcena y D. Juan Díaz Porlier. El objeto de las quatro primeras colunas era-el de apoderarse de los atrincheramientos enemigos en las inmediaciones y parte superior de…</t>
  </si>
  <si>
    <t>D, Ramón Romay y</t>
  </si>
  <si>
    <t>Ramón Romay y D</t>
  </si>
  <si>
    <t>…l señor co mandante general, que sabe los medios de que se ha podido disponer para dar este interesante resultado,. se cree en la obligación de dar las gracias i los citados gefes D. Ramón Romay y D.sFrancisco Saavedra, y á todos los señores oficiales del 6.° regimiento de marina, que han dado en esto una nueva prueba de las qualidades sobresalientes que honran á la marina espa ñola. = Luis Laviña.” ' í La junta patriótica dé señoras de Cádiz ha entregado…</t>
  </si>
  <si>
    <t>D, Tomas Púertolas y</t>
  </si>
  <si>
    <t>Tomas Púertolas y D</t>
  </si>
  <si>
    <t>…ériór efi comisión dq Madrid y su provincia, y los señorea electores f á saber: pór la parroquia dé' Santa María D. Ventura López; por la de 'S. Martin D. Jác’obo Manuel Manrique, D. Tomas Púertolas y D!. Manuel.Centurión; por la de S. Gi líes D Pedro Marcelino Blanco; pot la 4e Santa Cruz D Francisco An tonio Rucabado y D. Diego Crespo de Tejada; por la de S. Sebastian Don Juan Antonio de Urraza, D. Joaquín Almazan y D. Juan Josef de Ojanguren; por la de S.…</t>
  </si>
  <si>
    <t>Daboardieis</t>
  </si>
  <si>
    <t>…a dar tiempo á que llegase á su destino el cuerpo e-pañol. «Empezó un ataque general entre las 6 y 7 de la tarde. Dos cam iones dei mando del espitan Ramsais, y dos de á 9 del del capitán Daboardieis , baxo la escolta de las tropas del capitán Childers del 16 de dragones ligeros , y de ’as avanzadas de los batallones ligeros del co ronel Hacketts, fueron traídos rápidamente por la calzada, é hicieron fuego contra varios cuerpos del enemigo, formados en la…</t>
  </si>
  <si>
    <t>…a dar tiempo ¿ que llegase á su destino el cuerpo es pañol/ „ Empezó un ataque general entre las 6 y 7 de la tarde. Dos cañones del mando del capitán Ramsais, y dos de á 9 del del capitán Daboardieis, basto la escolta de las tropas del capitán Childere del 16.0 de dragones lige ros, y de las avanzadas de los batallones ligeros del coronel Hacketts, fue ron traídos rápidamente por la calzada, é hicieron fuego contra varios cuer pos del enemigo, formados en…</t>
  </si>
  <si>
    <t>Dabskt</t>
  </si>
  <si>
    <t>…de Brun , para Se ha tenido noticia de que las esqtiadras ene a presidencia del tribunal de la provincia, vacante migas que había en el Escalda han tomado anciages por muerte del conde Dabskt; haciéndole al mismo de invierno, y que han desembarcado una gran par tiempo consejero íntimo. te de vu« tripulaciones, tanto marineros como sol Por una circular del señor conde Ugarte , minis dados. Se cree al mismo tiempo que intentarán sa tro de lo Interio…</t>
  </si>
  <si>
    <t>Dabtisch</t>
  </si>
  <si>
    <t>138</t>
  </si>
  <si>
    <t>…io de una alianza entre las dos naciones. !’ Este ir ítado consta de si^te artículos , y le firmaron en Mi!l k 30 de Diciembre el general D’York, de parte de la Prusia, y el mayor general Dabtisch, delude Rusia. Por el primer artículo quedó arreglad© que el exército prusiano ocupará en el interior de la Prusia una línea paralela á la frontera, desde Memel hasta el camino de Voiimita para Tihit. y el que des de Tilsit se dirige á Schiilapischken, y de M…</t>
  </si>
  <si>
    <t>Dacepede</t>
  </si>
  <si>
    <t>678 lii conde Dacepede se levantó y dixo: ,,Madama,- antes de proponer al .senado las medidas relativas al proyecto del senado-consulto que abora se .acaba de*.presentar-.,'tengo'el honor despedir á V. M. E y R. la. licencia de 'Ofrecerla. en&gt; nombre, de mis compañeros, el respetuo…</t>
  </si>
  <si>
    <t>Dade</t>
  </si>
  <si>
    <t>…seis divisiones, á las órdenes del du¿que de Castiglione. Han llegado también el geoeral Pirnette, qugpiebe mandar 140 piezas de artillefía, pertenecientes á,este exército,. y el general Dade , comandante de ingenieros. Estas divisiones , que vinieron de España', han ocupado ya sus posiciones.——.Todas ,las tropas apostadas én esta ciu dad tiempo hace se harr puesto en movimiento: Hai mucha caballería italia na y fiapólitafia. "Va caminando hácia B…</t>
  </si>
  <si>
    <t>Dáendels</t>
  </si>
  <si>
    <t>…ada de nuevo en Thorn, donde se habia aprovechado el tiempo para mejorar las for AUSTRIA. tificaciones. El enemigo tenia mui pocas fuerzas delante de Viena 23 de marzo. Modlin. El general Dáendels se aprovechó de esta El señor conde Otto de Molsoi , ernbaxador de circunstancia para hacer una salida, en la que re la corte de Francia cerca de nuestro Soberano, tu chazó al cuerpo enemigo ^apoderándose de un gran vo el 21 su audiencia de despedida de SS. M…</t>
  </si>
  <si>
    <t>Dafliowsie</t>
  </si>
  <si>
    <t>…io, las que conservó:‘Eq él ínterin el mártscil dé'-caidpo Kempt marchó 'con Mi brigada de lá división ligera*á Lesaca’; coH Itf'qtíé contuvo al enéíiiigo, y cu brió la marcha del lord Dafliowsie, qriéubá á unirse con el general Inglis. ! ,, Completamente‘rechazados’ los ataques dét éfleriiigo contra la posición del exército español eri íás ^Ituras de S. Marcial; y hallando que el general Inglis había tomado utiá^Q^icióri Vdé lá qualnó lér pódiafc mov…</t>
  </si>
  <si>
    <t>Daiho'vvsie</t>
  </si>
  <si>
    <t>…re la izquierda dei exército alia do el mariscal de campo D. Pedro Agustín Girón ataco les puestos enemigos en frente del puerto de Echakr en los días 30 y 31; el teniente general lord Daiho'vvsie hizo que el general Lecord con su brigada portuguesa atacase el 31 los que están en frente de Zugarrái;xurdi; y ei honorable msñscah de campo Goíviiie hizo que el coronel Dcugfep atacase los puestos enemigos el mismo día en fren te del puerto de Maya con la s…</t>
  </si>
  <si>
    <t>Dajean</t>
  </si>
  <si>
    <t>…n obte nido, empleos. Todo está en la .mayor confusión, y acuerdo, que desde el domingo tenia dada la .mis ■ las rentas en peor estado que nunca. Se nos vitu-r ma palabra al señor conde Dajean. . , - . , , t»Yq.no veia en todo esto ningún, molerlo, y pera el haber abandonado las fortalezas, cuya re asi luego que volví á-mi. casa me pus^ a escribir paración costó á los anteriores comandantes mas de quanto sobre el particular sabía; y aunque los que…</t>
  </si>
  <si>
    <t>Dajhousie</t>
  </si>
  <si>
    <t>…neral. „ Es imposible que los movimientos de tropa alguna fuesen dirigidos con mas espíritu y regularidad que los cjs las respectivas divisiones á cargo de los tenientes generales lord Dajhousie , sir Tomas Picton y sir Laury Colé, y la del mariscal cié campo Carlos , harón de Alten. ,,Las tropas marcharon en escalones por regimientos en dos líneas, y al gunas veces en tres; y las tropas portuguesas de la tercera y quarta divisio nes, del mando del b…</t>
  </si>
  <si>
    <t>Dalhawsie</t>
  </si>
  <si>
    <t>…numero de pri sioneros. ,, No pueda elogiar suficientemente la conducta de- todos los generales, la de los oficiales y soldados durante estas, operaciones. El ataque dado ,por el lord Dalhawsie fue admirablemente dirigida por él , y ejecutado por el mariscal de campo Right y las* tropas de su brigada: ei que hicieron el ho norable mariscal de campo Eduardo Pakenham , el del mismo grado Wing, y d del teniente general sir Lowry Colé, igualmente que el…</t>
  </si>
  <si>
    <t>Dalhoise</t>
  </si>
  <si>
    <t>…. „La brigada del mariscal de campo Bandeleur, de la división li gera, durante el avance contra Vitoria, estuvo destacada para soste ner la séptima-división, y el teniente general lord Dalhoise recomien da su conducta. „Ei teniente general Sir Tomas Graham recomienda muy particu larmente la conducta y servicios del coronel Delancey, cuartel maes tre general en segundo, al teniente coronel Bonversé, ayudante ge neral del cuerpo de su mando, y áTos of…</t>
  </si>
  <si>
    <t>Dalhou</t>
  </si>
  <si>
    <t>…se apoderó de Subijana de Alava; la primera por el puente de Nanclares, y la otra por el llamado Tres-Puentes, y casi tan luego como estas hubieron pasado, la coluna del mando de lord Dalhou sie llegó á Mendoza; y la tercera división, á las órdenes del teniente gene ral sir Tomas Picton, pasó el rio por un puente mas arriba , seguido de la séptima división deí mando de lord Dalhousie. ,,Estas quatro divisiones, que formaban el centro del exército…</t>
  </si>
  <si>
    <t>Dalhousie</t>
  </si>
  <si>
    <t>…,,La brigada del mariscal de campo Bandeleur, de la división h’g'era , du rante el avance contra Vitoria estuvo destacada para sostener la séptima división, y el teniente general lord Dalhousie recomienda su conducta. ,,Et teniente general sir Tomas Graham recomienda mui particularmente la conducta y servicios del coronel Delancei, quartel maeste general en se-’ gundo, al teniente coronel Bonvérsé , ayudante general del cuerpo de su man do, y á los…</t>
  </si>
  <si>
    <t>…haban al ataque desde los puntos que ocupaban sobre el rio Bayas, y por esta razón era ya tarde quando supe que la coluna compuesta de la tercera y séptima divisiones, al cargo de lord Dalhousie, había llegado al parage que se le habió señalado. „ La quarta y división ligera pasaron sin embargo el Zadorra inmediata mente que sir Rolando Hill se apoderó de Subijana de Alava; la primera por el puente de Nanclares, y la otra por el llamado Tres-Puentes,…</t>
  </si>
  <si>
    <t>Dalhousié</t>
  </si>
  <si>
    <t>…y un mortero. n Ordené inmediatamente á la segunda división que mandaba el teniente general Stewart que subiese al monte por el camino que ocupábamos, mientras que la columna del conde Dalhousié atacaba por otro mas á la derecha. n El enemigo tomó una fuerte posición en la extremidad del paso con una multitud de tiradores al frente. El ataque por nuestra par te fué dirigido por el teniente general Stewart con la brigada del mayor general Walker, á la…</t>
  </si>
  <si>
    <t>…ntas pruebas están dando efl el día de disciplina y valor. El dia 27 de.setiembre ultimo entregó el Lord, por su propia mano , las insignias de la orden del Baño ¿á Lós -generales conde Dalhousie, Stewatt, Murray,,quartel: maestre general, y Packenham , ayudante general. Con es te motivo, y en razón,de-Ser dia del aniversario de la batalla de Busaco, S. E. dio una comida de )O cuJb¡erto$ á sus generales y ayudantes dé campo. El alcalde constitucional…</t>
  </si>
  <si>
    <t>…us obras, con el fin de, defender las avenidas del expresado campo; cuj as obras fueron ocupadas por destacamentos de la primera-divi sión, que ah efecto envió el teniente general lord Dalhousie por el puerto de Echalar. «D. Pedro Agustín Girón, entoriles estabVdó el batallón de Ca taluña en la roca de la ermita sobre la izquierda del enemigo, á cu yo tiempo se hizo demasiado tarde para ha er mas anoche, durante ía cual se retiró el enemigo dé la erm…</t>
  </si>
  <si>
    <t>…Sr. duque de Ciudad-Rodrigo entre gó por su propia mano las insignias de la orden del Baño, en nombre de S. A. R. él príncipe regente de la Gran-Bretaña, á los generales ingleses conde Dalhousie, Stewart, Murray, cuartel-maestre general, y Packenbatn, ayudante general. Con este motivo, y por ser dia</t>
  </si>
  <si>
    <t>…sus obras, con el ñn de defender los avenidas del expre sado campo, cuyas obras fueron ocupadas por destacamentos, de la primera división, que al efecto envió el teniente general lord Dalhousie por el puer to de Echalar. : .■ ,yD. Pedro'Agustín Girón' entonces estableció el batallón de Cataluña en 1 a roca de la" ermita sobre1 la izquierda del enemigo, á cuyo tiempo se hizo demasiado tarde para hacer mas anoche, durante larqual se retiró ei enemigo…</t>
  </si>
  <si>
    <t>Dalhowsie</t>
  </si>
  <si>
    <t>…„Mandé á Sir Rolando Hill que marchase por Lairz á Lizaso luego quo *upe que los tenientes generales Sir Tomas Picton y Sir Lovvry Colé se habían retirado de Zuviri , y previne al lord Dalhowsie que pasase des de S. Esteb;.n al mismo punto; adonde ambo* llegaron el 28., pasando des pués la séptima división á Marcalain. „La fuerza opuesta á Sir Rolando Hill siguió la marcha de este geneval, y ILgó á Oítiz el 29. Reforzado, pues, el enemigo, que ocupab…</t>
  </si>
  <si>
    <t>„Sin embargó de todo lo expuesto determiné atacar su posición , y al efecto mandé al teniente general lord Dalhowsie que se apoderase de la cresta de la montaña que tenia á su frente, con cuya operación quedaría envuelta la derecha de la línea enemiga; y al teniente general Sir Tomas Pictcm le previne que atravesando las alturas que había ocupado la izquierda del enemigo, e…</t>
  </si>
  <si>
    <t>…ncos. El mariscal de campo Paken— ¡ham , á quién encargué el mando.de la sexta división, luego que Fue herida ql del misma gradó Pack, envolvió el lugar de Sorauren quando vio que lord Dalhowsie habia arrojado al enemigo de la montaña que defendía aquel flanco, y.:la Sexta división y la brigada del general Wing, que habían rele vado ría quarta que estaba- sobre la izquierda de nuestra posición hácia el ca mino de Ostiz , atacaron instantáneamente el…</t>
  </si>
  <si>
    <t>…Ja noclie desaparecieron de enfrente de este general, y tomaron ayer con dos divisiones una fuerte posición en ei puerto de Doña María. „E1 teniente general sir Rolando Hill y el lord Dalhowsie le atacaron y le arrojaron del expresado puerto, nó obstante la vigorosa resistencia que hizo, y lo formidable que era su posición. Me es sensible haber de decir qué el teniente general el honorable Guillermo Stwart fue nuevamente herido eú esta ocasión. " ,,…</t>
  </si>
  <si>
    <t>977</t>
  </si>
  <si>
    <t>…general Ingiis que con la brigada de la séptima división de su mando sostu viese aquella; y tan luego como fui informado del orden de ataque del enemigo, mandé al teniente general lord Dalhowsie que con la séptima división de su mando marchase al Bidasca; y previne,á la división ligera que sostuviese por todos ios medios posibles al gene ral Ingiis. . ,.H1 general Ingiis hallé que le era imposible mantener !ss altaras entre Lesaca y el .Bidasoa, y se…</t>
  </si>
  <si>
    <t>…onel Dcugfep atacase los puestos enemigos el mismo día en fren te del puerto de Maya con la séptima brigada portuguesa. Todas es tás tropas se coñduxeron bien: el ataque hecho por lord Dalhowsie detuvo sü marcha hasta entrada la tarde dei 31; pero á la noche es taba en una situación favorable para su futuro progreso; y en la ma ñana del primero del corriente llegó al panto que le fué señalado. Es tas operaciones, qúe por segunda vez hizo el enemigo p…</t>
  </si>
  <si>
    <t>Dálhowsie</t>
  </si>
  <si>
    <t>…ral lnghs qué con la brigada de Ta; séptima división cié sú mandó sóstuviese aquella; y tari luego conio fui informad© del orden de ató que del enémigo , mandé al teniente general lord Dálhowsie que con la séptima división dé su mando marchase al Bidasoa; y previne á la división ligera qrié sostuviese por todos los medios posibles al general Inglis. j „El general Inglis'halló que le era imposible mantener las. alturas entre Lesaca y el Bidasoa, y se…</t>
  </si>
  <si>
    <t>…a izquierda del exército alia do ei mariscal de campo D. Pedro Agustín Girón atacó los puestos enemi gos enfrente del puerto de Echalar en los dias 30 y 31; el teniente gene-, ral lord Dalhowsie hizo que el general Lecord con su brigada portuguesa' atacase el 31 los que están enfrente de Zugarramurdi; y ei honorable ¡ ma risca! de campo Colville hizo que el'Coronel Douglap atacase los puestos enemigos el mismo dia enfrente del puerto de Maya con la s…</t>
  </si>
  <si>
    <t>Dalhowsie.-que</t>
  </si>
  <si>
    <t>…s divisiones destacadas para ata* car at teniente general sir Rolando Hill. ,,Sin embargo de todo lo -expuesto determiné atacair su posición* y al efecto mandé al teniente general lord Dalhowsie.-que se apoderase de lacreé ta de la montaña que tenia á su frente, con cuya operación quedaría en vuelta la derecha de la línea enemiga; y al teniente general sir Tomas Pie-?* ton le previne que atravesando las alturas que hábia ocupado la izquierda del enemigo,…</t>
  </si>
  <si>
    <t>Dallhowsie</t>
  </si>
  <si>
    <t>…flancos. El mariscal de campo Pakenham, á quien encargué el mando de la sexta división lue go que fué herido el del mismo grado Pack, envolvió el lugar de Sorau ren quando vió que lord Dallhowsie había arrojado al enemigo de la mon taña que defendía aquel flanco, y la sexta división y la brigada del ge neral Wing que habían relevado' la quarta que estaba sobre la izquierda de nuestra posición hácia el camino de Ostiz , atacaron instantáneamente el lug…</t>
  </si>
  <si>
    <t>Damas</t>
  </si>
  <si>
    <t>…d. Su blica , y mantienen el respetable carácter que la espera un convoi de prisioneros de guerra rusos. magistratura debe tener en todo estado bien cons .__ El intendente general conde Damas ha salido tituido. Disminuyese sensiblemente el número de de aquí de orden del príncipe virei para establecer los pleitos; és mas breve su substanciación, menos hospitales y almacenes en Francfort sobre el Oder, enredosas las discusiones; y este es uno de los…</t>
  </si>
  <si>
    <t>Damon, Francisco</t>
  </si>
  <si>
    <t>Francisco Damon</t>
  </si>
  <si>
    <t>…Xavier Gabanes por el coronel Z&gt;. José Manso. En la noche del 11 ai 12 del corriente mandé embosear 100 hom bres del regimiento de cazadores de Cataluña y 5 húsares al man do del capitán D. Francisco Damon. Esta tropa estuvo emboscada hasta las 4 de la tarde del din 12, esperando oportunidad 4e epodederarse de los ganados enemigos que pacían entre Gracia y B^rce'óna, que era la orden que les había dado. — La lluvia que cayó .allí casi todo el día irn idió salir…</t>
  </si>
  <si>
    <t>…a. Se cogieron 2 pri sioneros, y murieron muchos al filo de las espadas y bayonetas, que les persiguieron hasta el mismo foso de la ptaza. — Recomiendo al señor general en gefe el capitán D. Francisco Damon, el subteniente D. Salvador Figuerss, y á ios demás oficiales y tropa que dieron á Suehet usa nueva prueba de que no eetá seguro fuera de las mura * lias de sus fuertes. s= Dios guarde á V. S. machos años. Vicarisas 11 de Octubre de 1813. = El coronel comanda…</t>
  </si>
  <si>
    <t>…ue el señor coronel D. Josef Manso ha dirigido al señor general en gefe resulta lo siguiente. „E1 dia 8 dei actual., á las dos de la madrugada, el capitán de cazadores de Cataluña D. Francisco Damon, con dos subalternos y ioo hombres, lle gó á la torre del Baró , medio tiro de fusil del fuerte enemigo, llamado de Moneada , entre S. Andrés y Sabadell, pueblos ocupados por considerables fuerzas enemigas. En dicha torre estaba encerrado un número d.e france…</t>
  </si>
  <si>
    <t>Dani</t>
  </si>
  <si>
    <t>…á RuSia). Las autoridades lo han abandonado | bueno: és a la española ) por'órdenes expresas, lo que ha di' gustado mu cho á los habitantes (lo mismo1 dice de' la península)'. Ef conde Dani está en cargado de crear nuevos magistrados.. Xpd.os los indhidnos d'e ia corte y toda la nobleza, que ha evacu'adó á Berlín (también esto es eipeñol], se han retirado á Breslau: ahora están evaGu#ndo\á Breslau, y p. rte de ellos se retiran á -Bohemia. Las ca…</t>
  </si>
  <si>
    <t>Daoiz, Pantaleon Moreno y</t>
  </si>
  <si>
    <t>Pantaleon Moreno y Daoiz</t>
  </si>
  <si>
    <t>1024</t>
  </si>
  <si>
    <t>…nes de amisted que ha ha bido entre sus monarquías , han nombrado para este efecto, á sa ber : S. M. C. , y en su nombre y autoridad la Regencia de Es paña, residente en Cádiz , á D. Pantaleon Moreno y Daoiz, co ronel de los ejércitos de S. M. C. y cabaílero de la orden mili tar de Santiago de Ccmpostela; y S. M. el Rey de Suecia al se ñor Lorenzo, conde de Engestrom, uno de los señores' del reyno de Suecia, ministro de Estado y de Negocies extrangércs, canci lle…</t>
  </si>
  <si>
    <t>Daricau</t>
  </si>
  <si>
    <t>…da Bouckn. General en gefe de ingenieros el general de briga da Gar?e. — Infantería: primera división alas órdenes del general Leva!, 4500 hombres, en Madrid. 4í ?gurqla á las del general Daricau, 7500, dé Madrid á Segó vía. Tercera á las ¿el general Yíüaí, 0200: desde Tálavsra pasó á Castilla. Cuasia á las de Conroux, 8200, en Avila y hacia Salamanca. Tota!, hombres.— 'labalíe* ría: dos divisiones de dragones y una de caballería ligera, su fuer za 37…</t>
  </si>
  <si>
    <t>Darmagnac</t>
  </si>
  <si>
    <t>…e en su seno las autoridades del ilegítimo gobierno. Fue preciso para conseguirlo en enerofcde 1812 que precediesen tantas y tan terribles circunstancias como se inventaron pór el general Darmagnac, y continuaron por el feroz Rumfort; que se abriese una nueva época de. males , sostenida con una fuerza fixa; que los pueblos todos de la provincia* estremecidos con los castigos y amenazas mas crueles, arrojasen de su recinto á todo prófugo habitante de Cue…</t>
  </si>
  <si>
    <t>Dároust</t>
  </si>
  <si>
    <t>…n construyendo atrincheramientos en algunos puentes del Inn , y que ai mismo tiempo se continuaban las fortiíicacicnes de Rattenberg. Las cartas de Aliona del 18 anunciaban que el mariscal Dároust había marchado en defensa de Bremea con 4 regimientos ; y que los aliados ocupaban á Luneburgo, y toda la izquierda baasovoriana del Elba hasta Harburgo. Los 7$ franceses que estaban sesmpades cerca de Hannóver habían marchado á Mag&lt;Lbúr?,o. Walmo den había p…</t>
  </si>
  <si>
    <t>Darricau</t>
  </si>
  <si>
    <t>…lven los vecinos á sus hogares; se entabla otra vez el gobierno legítimo; nombra sus diputados.para las Cortes ordinarias, y antes de perfeccionarse .este acto aparece de nuevo el general Darricau con 4® hombres de las tropas de Soult ; otra contribución de 800® reales, 5® fanegas de trigo y 2® de cgbada: nuevas y mas crueles escenas para verificarla, haciendo prenda de las personas*reduciéndolas é prisión, y llevando hasta lo sumó el rigor y la fierez…</t>
  </si>
  <si>
    <t>Darthenai</t>
  </si>
  <si>
    <t>…oluta mayoría de vo como exemplar, en quaoto-eludiereR «oble re tos los señores caballero Dauzat, Lajard, de Calsolución ias artificiosas tramas de sus enemigos. Fir vet Madayan , barón Darthenai y caballero Delames en el cumplimiento de sus deberes, rechazaron tre, y en su consecuencia fueron proclamados can la perfidia , y sumniistraroh con grande .'esfuerzo didatos. . .. nuevas armas y nuetra gente -al exército romano; Se pasó á un segundo escrutin…</t>
  </si>
  <si>
    <t>Daru</t>
  </si>
  <si>
    <t>…arte llegó á París el 18 de este mes á las 11 y media de la noche ; y en su presencia prestó juramento en calidad de secretariode Estado interino el duque de Cadore , en lugar del conde Daru, que ha quedado en el exército , hasta nueva orden, con el carga úm intendente ganeral. ESPAÑA. Pota 30 de Noviembre* ET coronel D Francisco de Longa en oficio dirigido al Fxeme. Sr* R Gabriel de Mendizabal con aquella fecha dice lo siguiente: —■ „Mi venerado…</t>
  </si>
  <si>
    <t>…El presente decreto se insertará en el bole ESPAÑA. tín de las leyes. ~ Firmado = Napoleón. = Por el Emperador, e! ministro secretario de Estado = F¡r- Madrid 6 de marzo. mado —el conde Daru. Extracto de las minutas de la secretaría de Es Del i.° de febrero. , tado. S. M. ha tenido hoi á las quatro un consejo de En nuestro palacio de Madrid á 2 de marzo ministros. ’ v n de 1813. El virei, lugarteniente del Emperador, coman Don Josef Napoleón por…</t>
  </si>
  <si>
    <t>Gaceta de Madrid n.º 79</t>
  </si>
  <si>
    <t>…poleón. = Por el cipio de una tutoría, sin que el Emperador hubiese Emperador, el ministro secretario de Estado=s Fir proveído cosa alguna al tiempo de su fallecimiento, mado = ul conde Daru.= Vistp por nos archi-canlos poderes de los ministros se prorogan hasta la ciller del imperio == Firmado ¡rtCajnbaoeres. llegada del regente, como se ha dicho en el artícu lo XLVIII. ESPAÑA. SECCION III. Madrid /_9 de marzo. De los casos no previstos. Li. Si…</t>
  </si>
  <si>
    <t>…o=Napoleon.=:Por elEnu na nación del mundo ofrece exempio igual, no solo »perador,el ministro secretario de Estados Fircompletará el reemplazo de la caballería y la re « mado = el conde Daru,’* * EN LA IMPRENTA REAL.</t>
  </si>
  <si>
    <t>Gaceta de Madrid n.º 130</t>
  </si>
  <si>
    <t>…ado = Cambaceres. = Por el Em ,,El senado reconocerá sin duda quinto impor perador, el ministro secretario de Estados Firma ta en unos momentos de tan grande interes el des dos el conde Daru.” arrollar todos los recursos de la Francia, el hacer S. M. ha tenido el 30 de marzo último en el conocer toda su fuerza al enemigo, el convencerle Elíseo un consejo de gabinete, compuesto de lo* de quan Inútiles son sus proyectos, y el reducirle grandes dign…</t>
  </si>
  <si>
    <t>…=:Visto por narán por un decreto del consejo. nos archicanciller del imperio. = Firmado=Cainbaceres.e=Por el Emperador, el ministro secretario TITULO IV. de Estado.5= Firmado = el conde Daru.” Del modo cómo se han de defender las fronteras ESPAÑA. del oeste y mediodía , y en especial los astilleros. Madrid 11 de mayo. 13. A tin de poder disponer de los 90© hom Extractos de ios periódicos de Cádiz. bres de la conscridon de 1814, que estaban desti…</t>
  </si>
  <si>
    <t>Darú</t>
  </si>
  <si>
    <t>…han pasado el Elba muchas y numerosas colimas de tropas recien llegadas. ( Monitor del 7.) Del 30. Parece-cierto que el Emperador estará ausente 15 dias. El du que de Bassano y el conde Darú permanecen aqui todavía. Continúa el frecuente paso de tropas para la Lusacia y Silesia. El exército de Saxonia está acampado junto á Gorlitz. El general Lecoq manda la primera brigada, y el general Sahr la segunda. Estos cuerpos se hallan enteramente comple…</t>
  </si>
  <si>
    <t>…¡ , Dresde 7 de agosto. S. M. el Emperador y. Reí no-Ifa* salido en los días 5 y 6. ■ ■ * ' &gt; - ; ^ ; S. M. ha estado mui ocupado con el duque de BasSaho, con el mayor general el conde Darú y los gefes de los principales rafrios de la administra ción del exército. S. M. ha trabajado con ¿1 ordenador Dar,u p^ra los víve res, con el ordenador Marchant para los hpíspjtaleSjj y cQn ej ordenador La-r ifiartelliere para los transportes y equipo. , ' C…</t>
  </si>
  <si>
    <t>Darü</t>
  </si>
  <si>
    <t>…• • ''. BAXO EJj GOBIERNO DE LA REGENCIA DE [LAS ESP ANAS, ■ f; L h . m GR AN BRETAÑA. , " Noticias de Londres hasta 4 de setiembre. . Parts i£. de agosto. Copia de: una carta det conde Darü, ministro ser cretario de Estado, ai ministro de la.Guerra, fecha en Goeríitz á 24 de agosto. L . j, ^eñor duque : como veo que el -Emperador está sumamente ocupado, ya en tas márgenes del Bobee, yía en las ^vguidas de Bohemia,y finalmente en el -Elf&gt;a ;y com…</t>
  </si>
  <si>
    <t>…oficial. Davoust se ha apoderado de Schwerin , plaza importante, y ca pital del Msck[emburgo. En ñn, es probable que nuestras tropas entren en Berlín el 23. Cofia de una carta del conde Daru , ministro secretario de Es tado , d S. E. el ministro de (dr uerra, desde Qorlitz el 24 de ,,Sr. duque: como veo que el emperador está sumamente ocu pado, ya en las márgenes del Bober, ya en ias fronteras de Bo hemia, y ya finalmente en el E ba ; y como la c…</t>
  </si>
  <si>
    <t>…Si los franceses hubiesen tenido alguna ventaja &lt;5 victoria al abrirse la campaña ¿seria posible que has ta dicha fecha no tuviesen en París otro documento que la débil car ta del conde Daru, á quien dá tanta lástima las ocupaciones de Bonaparte, y que por eso toma el cargo de escribir? Sabemos muy bien que Bonaparte cuando alcanza victorias escribe por mucho que tenga que hacer. — El rey de Prusia ha mandado por un nuevo decreto el levantamiento…</t>
  </si>
  <si>
    <t>…tro en Turin. Idem 2 í. Ayer por la tarde el canciller del imperio, presentó á prestar juramento en calidad de ministro de Negocios extrangeros á Cauiincourt, duque de Vicenza; ai conde Daru, mtnistro.de la Guerra; al barón Costaz en calidad de director general de puentes y caminos, y á Bassano en la de secretario de Estado,__El 10 dé noviembre estaba en Ala el quartel gene ral del virei en su retirada de Verona. Copia del suplemento á la gazeta…</t>
  </si>
  <si>
    <t>Daun</t>
  </si>
  <si>
    <t>…l enemigo ea los caminos principales que conducen á la Silesia y ai Oder, se li mitaba á la izquierda por una cadena de montañas que separan la Lusacia de la Bohemia, por donde el mariscal Daun marchó á la batuda y victoria de Hochkirch.' » Apoyaban el flanco izquierdo de la posición algunas aburas en que se habían construido baterías, inmediatas á la aldea de J&amp;ek— •vritz, y separadas de la cadena de montañas por varios arroyos y un terreno pantano…</t>
  </si>
  <si>
    <t>…r al enemigo en los ca minos reales de ia Silesia y al Oder, terminaba por la izquierda en una ca dena de montañas que separan la Lusacia de la Bohemia, las mismas que atravesó el mariscal Daun quando marchó i la batalla y obtuvo la victoria de Hoehkirch. „ El flanco izquierdo de la posición de los aliados estaba apoyado en unas alturas dominantes cerca de la altura de Jackwitz, separadas de la ca dena de montañas por corrientes y pantanos, y defend…</t>
  </si>
  <si>
    <t>Dauzat</t>
  </si>
  <si>
    <t>…uestores. A la primera cuya fidelidad al gobierno de Roma citaba Cicerón vocación obtuvieron una absoluta mayoría de vo como exemplar, en quaoto-eludiereR «oble re tos los señores caballero Dauzat, Lajard, de Calsolución ias artificiosas tramas de sus enemigos. Fir vet Madayan , barón Darthenai y caballero Delames en el cumplimiento de sus deberes, rechazaron tre, y en su consecuencia fueron proclamados can la perfidia , y sumniistraroh con grande .'es…</t>
  </si>
  <si>
    <t>Davidovv</t>
  </si>
  <si>
    <t>…, habiendo destacado al príncipe Garchikoíf y al conde Asterman con 10 batallones de tropas ligeras, y un gran cuerpo de co sacos con artillería correspondiente, á las órdenes del coronel Davidovv , para que ocupasen dichas alturas. «Después de un vivo tiroteo en este punto, y un cañoneo dis tante en nuestra derecha con que se dio principio á la acción, co menzó el enemigo á desplegar sus fuerzas y á mover las diversas co lumnas de ataque á sus respect…</t>
  </si>
  <si>
    <t>Davidow</t>
  </si>
  <si>
    <t>…ido en las tres aldeas de Yasvm , Lacof y Dolgomust, é inmediatamente se tomaron disposicio nes para atacarle con los tres cuerpos de partidas , mandados por el capitán Seslavin , coronel Davidow y capitán Phigner. El resul tado fi»é la total derrota del cuerpo de -Charpentier. Baraguay d’Hiiliers, habiendo oido, sin moverse, el cañoneo hacia la parte donde estaba la brigada de Augereau , solo cuido de hacer su retirada á Smolensko , y el cuerpo de Au…</t>
  </si>
  <si>
    <t>…erezina. Espero por medio de este movimien to cerrar el c imino al enemigo en caso de que desde Bolir volviese por la aldea de Berezina hacia la de Igunian. - . ; ¡ * &gt; nEl 21, el coronel Davidow supo. por. una ,^ita interceptad-‘qp*</t>
  </si>
  <si>
    <t>…de este cu rpo. „E1 ai mí ran te Tchichagc íF ha marchado á Ghetzno, despejando las dos orillas del rio. El general Tormasow se ha situado en Grodno , donde se estableció el 20 el coronel Davidow. „Los austríacos se retiran , y el general Sacken los sigue pGr Slomin , y debía estar el 24 en Ruzana. ,,Se han encontrado grandes almacenes en todos los pueblos in mediatos al Niemen. „Cermn voces Je que otro cuerpo prusiano habia rendido las ar mas , y que…</t>
  </si>
  <si>
    <t>153</t>
  </si>
  <si>
    <t>…andado el feid-mariscal en persona, se movió hacia Grodno; y V. E observa rá que el conde Ogeroffsky con su destacamento tomé posesión de aquella plaza, en la que había entrado el coronel Davidow en 20 del corriente. Los austríacos se habían destacado con dirección á Grod no ; pero se retiraron de todos los puntos al avanzar las tropas rusas, y un destacamento de estas recibió orden de marchar á Bialystock, „EI teniente general barón Sacken iba siguie…</t>
  </si>
  <si>
    <t>…en Kalwary, y despejó de enemigos el territorio intermedio entre la fron tera y la línea señalada. En estas operaciones-hizo prisioneros 14 oficiales y 600 soldados. Ei partidario coronel Davidow comunica con fecha del 21 que el dia anterior ocupó la ciudad de Grodno, en donde halló los hospita les y-almacenes tlel enemigo , de que ofrece enviar nota circunstan ciada ; que también encontró un almacén en? Meretech, y le dexó al cuidado del regimiento d…</t>
  </si>
  <si>
    <t>…habiendo des tacado al príncipe Garchicoff y ai conde Asterman con 10 batallones de tro pas ligeras, y un gran cuerpo de cosacos con artillería correspondiente, á las órdenes del coronel Davidow, para que ocupasen dichas alturas. ,, Después de un vivo tiroteo en este punto y un cañoneo distante en nuestra derecha, con que se dio principio á la acción, comenzó el enemigo á desplegar sus fuerzas y á mover las diversas colunas de ataque á sus res pectiv…</t>
  </si>
  <si>
    <t>Dávila, Josef Herrera</t>
  </si>
  <si>
    <t>Josef Herrera Dávila</t>
  </si>
  <si>
    <t>…es la del estatuto, podrá verificarse en Madrid, ó antes, si la traslación del gobierno lo permitiese. De orden de S. A. lo comunico á V. E. para su inteligencia y cumplimiento». Don Josef Herrera Dávila , teniente coronel de los exércitos nacionales, capitán del cuerpo de artillería, y secretario de la junta económica del par que establecido en esta plaza: Hago saber al público que debiéndose componer en el expresado parque unos 3 á 4© fusiles, se necesitan…</t>
  </si>
  <si>
    <t>Davonst</t>
  </si>
  <si>
    <t>…de los franceses, y el no haber accedido estos á las de los aliados, ha hecho creer generalmente que se renovarán las hosti idades, y que estas comenzarán el 17 ó-ib de Agosto. El mariscal Davonst ha dirigido un3 proclama á los hamburgue ses, en que hace responsables á los padres y tutores por los hijos &lt;5 pupilos que se encuentren armados contra ía Francia, y sean na turales del distrito correspondiente á la 3 i división militar. ESPAÑA. JE chalar iS…</t>
  </si>
  <si>
    <t>Davoost</t>
  </si>
  <si>
    <t>…stos están inandados por un príncipe de Hesse, á cu ya familia ha confiscado los bienes el Emperador Napoleón; y asimismo que dicho Príncipe sirve á este Monarca baxo el mando del mariscal Davoost. Wittemberg está bloqueada por el general Czernicheíf Un cuerpo de tro pas observa á Magdeburgo por la orilla derecha del Elba. Las salidas de la guarnición se limitan ahora á cortar leña en el bosque de Bruieritz, lo que executan solo por destruir aquella pr…</t>
  </si>
  <si>
    <t>Davoust</t>
  </si>
  <si>
    <t>…a acción se regula en 6000 hoiñbres por la parte mas corta, y 2500 prisione ros , en cuyo numero se comprehende el general Peltier, de artille ría , y el coronel Morat, edecán del mariscal Davoust „Tambien ha perdido mucha gente el enemigo en el persegui miento de los rusos * y ha dexado ademas en poder de estos una bandera, 3 cañones y 1000 prisioneros. „A1 principio de la retirada fué hecho prisionero Ramusé, se cretario del duque de Rassano , con lo…</t>
  </si>
  <si>
    <t>28</t>
  </si>
  <si>
    <t>…sacrilega, volaron la cate dral de Smolensko ántes de abandonar la ciudad. Hoy se ha canta do en esta catedral el Te Deum, á que asistieron SS. MM. y toda la corte. El bastón del mariscal Davoust v muchas de las águilas-y paneleras qna se han cogido, se han depositado hoy en este templo^ donde se hallan otros muchos trofeos cogidos en esta guerra. „Tengo la honra &amp;c. — Calhcart” Portée del príncipe Kutusow á S. M. I. desde su cuartel general de Im aMe…</t>
  </si>
  <si>
    <t>29</t>
  </si>
  <si>
    <t>…n general. . „Ei general Millaradowitch , que mandaba la vanguardia , con el segundo cuerpo de infantería ligera,y el segundo de caballería,,vien do que el cu erpo man dado por el mariscal Davoust se acercaba á Krasnoi, destacó para este punto al teniente general príncipe Gallitzin. Conociendo el enemigo que se le estrechaba por todos lados, comenzó á defenderse ; pero nuestra artillería hizo una mortandad horrible en sus filas. Napoleón fué testigo de…</t>
  </si>
  <si>
    <t>…de 25 del corriente tuve la honra de participar á V. E* las gloriosas é im portantes victorias conseguidas por los exércitos de S. M. I* en las acciones del 17 y 18. El cuerpo del mariscal Davoust fué: derrotado en la primera y dispersado con pérdida considerable , habiendo aban donado el campo de batalla Bonaparte y el mariscal; y en la ser gumía filé enteramente destruido el cuerpo del mariscal N ay , que se regulaba en 18000 Hombres y según el númer…</t>
  </si>
  <si>
    <t>…egaron casi al mismo tiempo á las inmediaciones de Wdna , y el exércíto fugi tivo se vio obligado á retirarse de esta ciudad , donde apenas se de tuvo ; dícese que un ayudante del mariscal Davoust fué enviado coa orden para que la retaguardia se defendiese delante de Wilna todo el tiempo posible ; pero en lugar de la retaguardia francesa, encon tró este oficial á la vanguardia rusa, que le hizo prisionero después de haber destruido y arrollado la retag…</t>
  </si>
  <si>
    <t>…n. Con beha del 8 r fiere el almirante Tchichagoff, que su vanguardia, persiguiendo muy de cerca al enemigo, le había obligado á abandonar -ó l piezas de artillería. Un edecán del mariscal Davoust y 2000 so idados quedaron prisioneros en este reencuentro. El cami no de Smorgonia á Oschírisany estaba casi intransitable por el gran número de cadáveres, esqueletos de caballos, carros y caxones que le cubrían. El descontento entre las tropas de Napoleón ll…</t>
  </si>
  <si>
    <t>…tburgo, Lauenbourgo, y de todo el territorio prusiano de este lado del Elba. ,,Algunos destacamentos rusos han penetrado hasta Dresde, que ocupan en el día por haberse retirado el mariscal Davoust, atrave* «ando el Elba, después de destruir algunos arcos del magnifico puente de aquella capital. ,,Un trozo del exército prusiano ha pasado por la frontera de Silesia á la Lusacía, y avanza con dirección á Dresde. „Ties destacamentos de la división que mand…</t>
  </si>
  <si>
    <t>474</t>
  </si>
  <si>
    <t>…estro firme propósito que conseguiremos el triunfo , y con él una larga paz y la vuelta de mejores tiempos. Breslau 17 de Marzo de 1813.—; Federico Guillermo” Idem 30 de Marte. El mariscal Davoust hizo una salida de Magdeburgo con obje* to de robar ganado y otras provisiones para la plaza. El pueblo de Burch padeció mucho en esta ocasión. Según las últimas noticias han evacuado á Dresde los 2 ó 3000 franceses que había allí á consecuencia de un conveni…</t>
  </si>
  <si>
    <t>…ado á Torgau, y se ha unido í los ruaos pera combatir por su patria, y •« de esperar que todos los alemaues sigan su exemplo : las tropas de Weimaar y Gotha han hecho lo mismo. El mariscal Davoust con @600 hombres, Sebastiaai con 7000 y Vandarame con 5000 han avanzado hasta el Elba , obligando á loe rusos y á la legión anseática á repasar el rio. Cincuenta cosacos que quedaron cortados entre el Wesser y el Elba lograron llegar á Cuc haren , en donde se…</t>
  </si>
  <si>
    <t>…arado á Torgau, y se ha unido á los rusos para combatir por su patria, y es de esperar que todos los alemanes sigan su exemplo: las tropas de Weimar y Gotha han hecho lo mismo. El mariscal Davoust con 9® hombres, Sebastiani con 7© y Vandamme con 5© han avanzado hasta el Elba, obligando á ios rusos y á la legión an seática á repasar el rio. Cincuenta cosacos que quedaron cortados entre el Weser y el Elba lograron llegar á Guxhaven, en donde se embarcaro…</t>
  </si>
  <si>
    <t>…una conferencia con el gene ral ruso conde Winzingerode. En un* carta de Hamburgo de 16 del corriente, se refiere el siguiente hecho. El Reí de Dinamarca participó oficialmente al mariscal Davoust que habiendo abandonado las tropas francesas la orilla derecha del Elba, y no atravesando para Hamburgo camino alguno militar , no tenían aquellas mo tivo para volver á dicha ciudad, á menos que fuese con el objeto de tomar venganza por los últimos acontecimi…</t>
  </si>
  <si>
    <t>…tvapsNrte está ea Dresde coa su guardia de infantería y caballería: sede ha presentada un enviado dinamarqués, y se añade que un cuerpo de tropas de esta nación, á las órdenes del mariscal Davoust, ha ocupado á La— beck» , 'Villanueva y G-cltnt iy de JkTaya. Se ha efectuado esta noche el desembarco de los dos bataforíes completos del Príncipe y Pontevedra que vienen a-auxiliarnos. En esta playa habrán formado una justa idea del entusiasmo de los ca tal…</t>
  </si>
  <si>
    <t>…300 hombres. Igualmente oficia el te-* niente general conde de Walmoden, que en virtud del movimiento que hizo el 28 de setiembre para reunirse en Rostock al general Vegesack , el mariscal Davoust, á pesar de tener una fuerza de i8® franceses, 12® dinamarqueses y 100 piezas de artillería, se habia retirado de Schwerin á Lubeck y Ratzburgo, perdiendo mas de 500 prisioneros. diada de los boletines franceses, cuyo contenido no puede servir de antecedente…</t>
  </si>
  <si>
    <t>de artillería-y 2 batallones al enemigo, el cual se retiró en desorden á Totgau. Los rusos del cuerpo del general Valmoden pasaron el Eibs y estaban ya en Hsrburgo. i?l general Davoust se b&amp;bia ictirado de trás de Steignitz. Los cosacos entraron en Zell, y un cuerpo de el! es en Leí , sick y Dessau, en donde pusieron en iibtrí«d 2 § pri sioneros E¿ genera; Vegesuk entro en Lubeck.—ü\ cuerpo dina marqués parece haber ajustado un armisticio c…</t>
  </si>
  <si>
    <t>…ados prisioneros: la de los aliados fué de 300 hombres. — En virtud de un movimiento hecho por el general Walmoden para reunirse al general Vegesack en Rostock el 28 de Agosto, el mariscal Davoust se retiró de Schwerin á Lubeck y Ratzburgo, á pesar de tener una fuerza de 18© fran ceses, 120 dinamarqueses y 100 piezas de artillería, perdiendo mas ce 5 00 prisioneros. - \ ESPAÑA. i Mahon 1 de Octubre. Esta junta de sanidad, deseando adquirir todas las lu…</t>
  </si>
  <si>
    <t>…ei general Carra St. Cy r, y á las tropas que vinieron de Holanda pa ra recobrar á B remen. El Príncipe Real está -mui satisfecho con Ja actividad de aquel general. - : . , ’ . El mariscal Davoust ocupa aun su antigua posición en Stignitz, y no puede retirarse á Franja. El general barón Winzingerode está en marcha para Bremen , y ha de extender sus tropas por ;tod&lt;o el país de Oldemburgo y las fronteras de Holanda, adonde ha enviado ya afl coroneLNarís…</t>
  </si>
  <si>
    <t>…eral Carra-Saint- Cyr, y las tropas que habían venido de Holanda para recobrar á Bremen. El Príncipe real ha manifes tado la mayor sathfaccion por la actividad de este general. El mariscal Davoust, que ocupa todavía su antigua posición de la línea del Stegnitz, tiene cortada su retirada á Francia. El general barón de Winzingerode se dirige á Bremen, y debe ocupar con sls tropas todo el prxis de Oldenburgo y ks fronteras de Holanda , para don de envió y…</t>
  </si>
  <si>
    <t>Daza, Juan Hermoso</t>
  </si>
  <si>
    <t>Juan Hermoso Daza</t>
  </si>
  <si>
    <t>…ómez Delgado, substituto primero. D. Toaquin González de Castro, alcalde. D. Itid ro Castelas, substituto segundo. d. r vancisco Verdejo, substituto primero. Barrio de S. Placido. D. Juan Hermoso Daza, substituto segundo. D. M:guel de Tena, alcalde. . Banjo de S Francisco. D. J uau Ventura Apesteguía, substituto pri D. Josef Carranza , alcalde. mero. D. Manuel Martínez , substituto primero. D. Mariano Yoldi, substituto segundo. D. Antonio González , substi…</t>
  </si>
  <si>
    <t>Dcjcan</t>
  </si>
  <si>
    <t>…prescribe el decreto mo de males de que ha sacado á la Francia la di imperial del dia 17 mesidor del año xtl de'" nastía que actualmente la gobierna ¡no hai uno que El Exento. Sr. conde Dcjcan, grande ollcial del ignore que de su conservación dependen la seguri imperio, grande águila de la legión de Honor, pri dad individual, la tranquilidad y prosperidad inte mer inspector general de ingenieros, presidente ; rior, y Ja preponderancia exterior de q…</t>
  </si>
  <si>
    <t>Dcriot</t>
  </si>
  <si>
    <t>…dad individual, la tranquilidad y prosperidad inte mer inspector general de ingenieros, presidente ; rior, y Ja preponderancia exterior de que aquel im El tenor general de brigada barón Dcriot, co perio disfruta. Solo un loco, ó uno de aquellos que mandante de los depósitos de la guardia imperial, buscan su fortuna en el desorden , puede desear ver uno de los comandantes de la legión de Honor, y á su patria sumergida otra vez en una nueva guer caba…</t>
  </si>
  <si>
    <t>Dcugfep</t>
  </si>
  <si>
    <t>…lord Daiho'vvsie hizo que el general Lecord con su brigada portuguesa atacase el 31 los que están en frente de Zugarrái;xurdi; y ei honorable msñscah de campo Goíviiie hizo que el coronel Dcugfep atacase los puestos enemigos el mismo día en fren te del puerto de Maya con la séptima brigada portuguesa. Todas es tás tropas se coñduxeron bien: el ataque hecho por lord Dalhowsie detuvo sü marcha hasta entrada la tarde dei 31; pero á la noche es taba en un…</t>
  </si>
  <si>
    <t>De-</t>
  </si>
  <si>
    <t>…lá de la sección, y señalo para su continuación la ho sección de Hacienda en el palacio de las Tu Herías ra en que se saliese de la del conseja. El Exento. Sr. ministro du Estado, conde De- En este mismo dia, á las quatro poco mas ó fermon, presidente; menos de la tardé, la sección, compuesta de los Los señores condes Dúchate!, Jollivet, Franjáis, miembros que concurrieron ñ la junta precedente, Berenger, Jaubert, Bergon, Giunti, Appeliüs y se ocup…</t>
  </si>
  <si>
    <t>Dearbom</t>
  </si>
  <si>
    <t>…ctu pro-eguir con nuevo ardor la actual lucha-» tan jus bre , que el gobernador general de los Cañadas ha ta como esencial , hasta forzar al enemigo á reco hecho la proposición al general Dearbom de soltar nocer que le i. tercia satisfacer á los moderados de á todos los pri'ioneros americano' qúe tiene en su del hombre Nii gun seos de e'te gtbierno. país que fsoder,es emplearási nuestroen lagobiernopresente leguerraaseguramientrasde quequeno nose dign…</t>
  </si>
  <si>
    <t>Dearborn</t>
  </si>
  <si>
    <t>…á marchas forzadas. Es de pre el estado del Ohio 4® votos mas que Mr. Clinton. sumir que torne su mando el general Chandler, por* El mismo periódico afirma también que Mr. que el general Dearborn se vuelve, y el general Maddisson tiene la mayoría de votos del mismo mo Bloomfield está enfermo. do en la Carolina del Norte, en Kentuchy y en la La mala, que salió de Charlestown el dia 12 cf* Lusiana. este mes, se ha encontrado en el rio á ias cercanías de…</t>
  </si>
  <si>
    <t>…s las noticias convienen en qne la peste de de la línea ael Canadá, donde ha tomado sus quar- Constantinopla ha cedido, y que no hace los estra-r teles de invierno. Se dice que el general Dearborn gos que en los meses anteriores. Se han enviado á se halla en camino para regresar á Greensbush, Moldavia médicos austríacos para informarse á fon habiendo desistido de 1b empresa de apoderarse del do de la naturaleza de la enfermedad que reina en Canadá dura…</t>
  </si>
  <si>
    <t>Dearbórn</t>
  </si>
  <si>
    <t>…de la guerra en nuestras fronteras, y sus circunstancias se hallarán exactas al menos en lo principal. Las tropas americanas, que se supone constan de 6 á 7® hombres al man do def general Dearbórn, habían hecho la mañana del 27 de mayo un des embarco en Newark (en el Canadá superior al S. del lago Ontario); des pués de una pequeña oposición se retiraron los ingleses á Angra de las Quarenta millas, distante como unas 35 .del fuerte Jorge, y al día sigui…</t>
  </si>
  <si>
    <t>…eral Vicente, y estaba el sábado á 20 millas de distancia del fuerte Jor ge.__ Nuestra esquadra se halla en el puerto de Sacket, esperando la habi litación de la fragata nueva.—El general Dearborn, que se halla grave mente enfermo, debía salir el 13 de Newark para Albania*</t>
  </si>
  <si>
    <t>Dearborne</t>
  </si>
  <si>
    <t>e! invierno , sí es cierto qne el general Dearborne dad de esta fuerza naval de nueva especie se esco ha recibido órdenes de establecer en Monreal sus gerán con esmero. ( The Star.) quartcles de invierno, pues no podrá menos de Cove 28 de diciembre.atenerse á ellas; y no es probable que de aquí al mes de junio…</t>
  </si>
  <si>
    <t>Debon</t>
  </si>
  <si>
    <t>…ertos. Don Josef Napoleón por la gracia de Dios y por la constitución del Estado, REI de las EspaBrest aj de diciembre. ñas y de las Indias. ................. El corsario la Juno, capitán Debon , ha apre Para que los bienes del estado se administren én sado la embarcación inglesa la Mariana , de 300 todos los pueblos, aplicando sus productos á las ne toneladas, cargada de algodón y de arroz. Ayer cesidades mas urgentes , é impedir su dererioro en en…</t>
  </si>
  <si>
    <t>Decaen</t>
  </si>
  <si>
    <t>Gaceta de Madrid n.º 65</t>
  </si>
  <si>
    <t>…cobrado el convoi ¡ se hender por una emboscada enemiga , y le cogieron conduxo entero á Mequinenza. 32 prisioneros, le mataron quatro hombres, y le ,, Ya habrá recibido V. E. de! general Decaen hirieron siete. Para vengar esta afrenta, y ahuyentar •1 detalle de sus operaciones en Cataluña. El 23 de de las fronteras de Aragón y Valencia la división de noviembre el general Maurice-Mathieu marchó des Viüacampa, atrincherada en Bexis en una posición de…</t>
  </si>
  <si>
    <t>…itud que sa bemos asegura su buen éxito. Los comernos, y Copia de una carta escrita al Enema. Sr. miniejuntamente sus familias , se han persuadido ahora tro de Guerra por el señor general Decaen, mas'que nunca de la severa imparcialidad con que comandante superior del exército de Cataluña. pronuncia el consejo todas sus decisiones. Muchos Barcelona 9 de diciembre de 1812.señalados para servir solamente en las cohortes han pedido que se les adelante e…</t>
  </si>
  <si>
    <t>…on de Barcelona para conducir á Gerona heridos y bia hecho contar á sus soldados con la parte que les otros hombres, que podrán reformarse pasando á cabía en el botín. = Firmados: conde Decaen." Francia. „Quando llegafhos á Cardedeu me dixeron los vecinos que entre siete y nueve de la mañana ha Juan Agustin Rateau, sargento que fue del re bía pasado por allí y tomado el camino de S. Celoni gimiento de la guardia de París, y condenado á una coluna d…</t>
  </si>
  <si>
    <t>361</t>
  </si>
  <si>
    <t>…ñores generales J^eding yf.lS^vion ^ami Cyr, ha tenido en el.dia de hoi la: contestación:sígñie#»teí— : p ¡ i ^ &gt; Quartel general de Barcelona 29 de julio de, 1813* S. E. el señor conde Decaen, general enJgefe del exército francés en -Cataluña, me encarga anuñciah á;I\í. S* q;ue el Exemo* Sr. mariscal duque ide Albufera aprueba en uo . todo el tratado relativonárlos hospitales;., y que se .han cbmunicadó las órdenes mas terminantes iá Jps .señores…</t>
  </si>
  <si>
    <t>…reglaron los señores generales Reding y Gouvion Saint-Cyr, ha te nido en el día de hoy la contestación siguiente:. Cuartel general de Barcelona 29 de Julio de 1813. S. E. el señor conde Decaen, general en gefe del exército francés en Cataluña, me encarga anunciar á V. S. que el Excmo. Sr. ma riscal duque de Albufera aprueba en un todo el tratado relativo á los hospitales, y que se han comunicado las órdenes mas terminan tes á los señores generales…</t>
  </si>
  <si>
    <t>…varios de los senadores están en inteli gencia con los aliados. El mariscal Suchet salió de Barcelona en la noche del 12 de este mos para el Ampurdam, de donde se marchó el 10 el general Decaen á otro des tino, El mariscal Suchet regresó inopinadamente á Barcelona anteayer, dia 14, con motivo, según se dice, de haberse encontrado en el camino con un correo, y desde su regreso se observan preparativos para retirarse coa sus tropas á la frontera. Se h…</t>
  </si>
  <si>
    <t>…general 70 individuos pasados del exército enemigo con 8 caballos. En una proclama del mariscal Suchet, fecha en el cuartel general de Barcelona ¿15 del mes actual, sé lee que el general Decaen es llamado por el gobierno francés á un nfievo destino, y que los exéreitos franceses de Aragón y de Cataluña quedan reunidos desde la citada fecha baxo del mando del mismo Sachet. Se ha dicho que Napoleón llego en 9 del corriente á París; lo que parece muy v…</t>
  </si>
  <si>
    <t>Decatur</t>
  </si>
  <si>
    <t>Gaceta de Madrid n.º 58</t>
  </si>
  <si>
    <t>…á lo menos de " 4 j y de seis fragatas de á 44. Esta dispo „Raso al congreso una carta dirigida al secreta sición ha sido adoptada por la mayoría de x8 vo rio de ia marina por el capitán Decatur, comandan tos conrra dos, y los miembros que se han Opues te de la Fragata los Éitadds^Unidos, en la qual to son los señores Craufort y Turner. refiere particularidades de su combate, y avisa Ja Se cree que el almirante ingles haya dividido su presa de la fra…</t>
  </si>
  <si>
    <t>…misma Boston gazette anun habrá poco mas ó menos los mismos que en el pre cia con el mayor entusiasmo la presa del Abcedonio cedente. En el año de 1798 no había ni una sola or el capitán Decatur, y se complace en insertar obra periódica de esta clase. la letra las resoluciones del consejo de Nueva- Nuestro cambio sobre Augsburgo está en la ac Yorck, ciudad donde domina la’influencia del par tualidad á 144. SAXONIA. tido federalista, en virtud de las…</t>
  </si>
  <si>
    <t>Decoroff</t>
  </si>
  <si>
    <t>…al exército francés, y vió cuatro campamentos, uno en el camino nuevo de Kalouga, cerca de Borofsk , y tres en la orilla .izquierda del Provta. ,,En la noche del mismo día 24 , el general Decoroff recibió or den de ocupar á Mala-JaroslaíF, lugar de posta en el camino nuevo de Kalouga, entre este pueblo y Borofsk. El general le hallo ocupa do por un gran destacamento francés, y se trabó un combate obsti nado, durante el cual las tropas de una y otra par…</t>
  </si>
  <si>
    <t>Decreeft</t>
  </si>
  <si>
    <t>…política; ESPAÑA. El general Lamarque* gobernador actual de Lérida, creyendo sacar ven tajas de la circunstancia de ¿star la;infantería de la brigada volante del man do del señor coronel Decreeft, comandante general de caballería de este exército, empleada en varías comisiones, envió en la tarde del 27 del actual un cuerpo de 600 infames, ^o caballos y una pieza de campaña contra el pueblo de Torregrosa, donde se hallaba el quartél general de la indic…</t>
  </si>
  <si>
    <t>…Primer exircito nacional» E1 general Lamarque, gobernador aetual de Lérida, creyendo sacar ventajas de la circunstancia de es tar la infantéría de la brigada volante del mando del coronel Decreeft, comandante general de caballería de este exército, em pleada en varias comisiones, envió en la tarde del 27 del actual un cuerpo de 600 infantes, 50 caballos y una pieza de camp ña contra el pueblo de Torregrosa, donde se hallaba el cuartel general de la in…</t>
  </si>
  <si>
    <t>…es de galleta. «Nuestra pérdida ha sido también de alguna consideración; per® muy inferior á la del enemigo*' «El señor general en gefe ha dado las mas expresivas gracias al señor coronel Decreeft» y ha mandado que en su nombre las dé z todos los señores gefes, oficiales y tropa que concurrieron á esta ac ción; y particularmente á los señores coroneles de Palma y cora ceros D. José Ramón de Caries y D. Juan González Aniso. «Igualmente ha dispuesto que…</t>
  </si>
  <si>
    <t>Decríft, Luis</t>
  </si>
  <si>
    <t>Luis Decríft</t>
  </si>
  <si>
    <t>…Saturnino, en la madrugada del dia 20 del anterior Setiembre, según le avisa el general en gefe del primer exército con fecha de 25 del mismo , cuyo extracto es el siguiente. ítEi coronel D. Luis Decríft, que manda una de las brigadas del primer exé ei o, se hallaba en los llanos de Urgel operando con éxi to, en el mov miento que-te le previno, hiciese un reconocimiento so bre Fraga, con el objeto, si era posible, de apoderarse del fuerte que en abuela ciudad…</t>
  </si>
  <si>
    <t>Dedelay</t>
  </si>
  <si>
    <t>…eben distinguir á los tas de los comunes y hospicios han ofrecido á S, M. varones destinados á desempeñar tunclones tan emi dos caballos equipados. nentes como las suyas. El señor conde Dedelay de El cuerpo de abogados de la corte imperial de Agier ha ofrecido á S. M. seis potros normandos, París ha votado una suma de ioQ francos. que se entregaron y recibieron al momento, sin pre El grande Oriente de Francia ofrece 50 francos tender por eso exceptuarse d…</t>
  </si>
  <si>
    <t>Defermont</t>
  </si>
  <si>
    <t>…ciones exteriores rencias de Erfurt, V. M. consintió en rebaxar á la asistió á la sesión , á la que fueron introducidos S. E. Prusia una parte de su deuda, y en retirar las tro el conde Defermont, ministro y consejero de Esta pas francesas de su territorio antes de que hubiese do, y el conde Bouilay, consejero de Estado. efectuado los pagos. S. E. el señor duque de Bassano, ministro de Re ,,La alianza de la Francia con la Prusia pare laciones exterior…</t>
  </si>
  <si>
    <t>Deformen</t>
  </si>
  <si>
    <t>Gaceta de Madrid n.º 28</t>
  </si>
  <si>
    <t>…tado á S. M. por S. A. S. el han renovado esta táctica feroz de sus bárbaros an príncipe archicaneiller del imperio. tepasados! V. M. hubiera renunciado con gusto á El Exento. Sr. conde Deformen, ministro de tan gloriosos trofeos, si hubiera previsto que ha Estado, presídeme de la sección de Hacienda, habló bían de costar tanta sangre, y causar tantos males én estos términos: á la humanidad. Señor. „ El ardor con que se ven llegar de todos los „Los m…</t>
  </si>
  <si>
    <t>Deíarrtbre</t>
  </si>
  <si>
    <t>…cubiertas en tas moléculas de la del premio'de galvanismo ofreado por S. M. el: luz por Mr. Biot. ' ' Emperador y Reí. 5.° Otro elogio del señor conde de BougainviUe, hecho por el caballero Deíarrtbre. Premio de astronomía. .... ,, La medalla consignada por Mr. .'Lalande ¡para Publicación de ¡ospremios adjudicados en ta junta la: observación mas interesante, ó la memoria pública del/unes 4 de entro de 18 ij. mas útil para la astronomía que se publique-cada…</t>
  </si>
  <si>
    <t>Deidzoff, Ofloff</t>
  </si>
  <si>
    <t>Ofloff Deidzoff</t>
  </si>
  <si>
    <t>…tención de remitir un diario de las operaciones de los dias anteriores, en que deben contenerse noticias importantes,; pero aun no ha lle gado. El día 9 , habiéndose adelantado el conde Ofloff Deidzoff por los caminos de Smolensko y Krasnoy, recibió aviso de que marcha ba un cuerpo francés desde Smolensko con dirección á Kaíouga, cu ya fuerza se componía de tropas de refresco, que debían incorpo rarse con los diferentes regimientos de guardias , mandados po…</t>
  </si>
  <si>
    <t>Dejean</t>
  </si>
  <si>
    <t>…proyecto de rebelión intentado en París el diá unas disposiciones tan conformes á sus pactos y á 2,7 de octubre. los intereses de su política, las tramas de la Ingla El Excmo. Sr. conde Dejean, presidente, dió terra preparaban uno de aquellos acontecimientos, principio á la sesión; y puesto encima de» bufete que caracterizan el espíritu de desorden y de anar un cxemplar del decreto imperial del dia 17 medi quía que esta potencia no cesa de fomentar…</t>
  </si>
  <si>
    <t>…y por dos abogados que pe El llamado Juan Augusto Rateau, acusado de roraron á favor de muchos de los susodichos, el complicidad con el ex-general Malet, ¿es culpable? Exento. Sr. conde Dejean , presidente, preguntó á El llamado Josef Luis Boccheiampe, acusado de los demás señores jueces si tenían algunas observa complicidad con el ex-gt:.eral Malet, ¿es culpable? ciones que hacer. Jitt vista de su respuesta negati Recogidos los votos emitidos sobr…</t>
  </si>
  <si>
    <t>…oncuerda con su original = el escriba confisca: ion de sus bienes. nos: L.-P. Ai. Boudin. = Conformes:el presidente 2.0 Unánimemente á los llamados Víctor Claudio de la comisión = conde Dejean. Alexandro Fauneau-Lahorie y Maximiliano Joset Uta %a. La execucion de esta sentencia se ha Guidal, ex-generales de brigada; á Gabriel Soulier, efectuado hoi á las quatro en el llano de Grenelle gefe de batallón; Nicolás Jo‘ué Steenhouwer, Pe á presencia de u…</t>
  </si>
  <si>
    <t>Del-amotte</t>
  </si>
  <si>
    <t>…s caminos que d sde Gehnhausen van á Francfort: la vanguardia tuvo orden de retirarse á la posición del exército; y este movimiento filé executado con la mayor puntu alidad por el general Del-amotte. Se colocaron por el ala izquierda, en la llanura ent^e Hañau y el bosque de Lampner, algunas baterías pora recibir ai ene migo al salir de él; y en este mismo sitio s » apo tó también la ma yor parte déla caballería para impedir su formación. A las it de á m…</t>
  </si>
  <si>
    <t>Delambre</t>
  </si>
  <si>
    <t>…, amor y zelo de sus desempeñen los asuntos qu« se señalarán. fieles súbditos.’' 2-0 Un elogio de Mr. Maskeiyne, compuesto (Siguen las firmas de los oficiales y soldados de por el caballero Delambre, secretario perpetuo. las cohortes 3.a, 76.*, 77-% 78.a y 88/ de la guar 3/ Otro elogio de Mr. Pallas, compuesto por idla nacional de primera clase.) el caballero Cuvier, secretario perpetuo.</t>
  </si>
  <si>
    <t>Delames</t>
  </si>
  <si>
    <t>…o como exemplar, en quaoto-eludiereR «oble re tos los señores caballero Dauzat, Lajard, de Calsolución ias artificiosas tramas de sus enemigos. Fir vet Madayan , barón Darthenai y caballero Delames en el cumplimiento de sus deberes, rechazaron tre, y en su consecuencia fueron proclamados can la perfidia , y sumniistraroh con grande .'esfuerzo didatos. . .. nuevas armas y nuetra gente -al exército romano; Se pasó á un segundo escrutinio, para la elección…</t>
  </si>
  <si>
    <t>Delancei</t>
  </si>
  <si>
    <t>…la séptima división, y el teniente general lord Dalhousie recomienda su conducta. ,,Et teniente general sir Tomas Graham recomienda mui particularmente la conducta y servicios del coronel Delancei, quartel maeste general en se-’ gundo, al teniente coronel Bonvérsé , ayudante general del cuerpo de su man do, y á los oliciales de su estado mayor , igualmente que al honorable teniente coronel Upton, ayudante quartel maestre general , y al mayor Hope, ayu…</t>
  </si>
  <si>
    <t>Delancey</t>
  </si>
  <si>
    <t>…la séptima-división, y el teniente general lord Dalhoise recomien da su conducta. „Ei teniente general Sir Tomas Graham recomienda muy particu larmente la conducta y servicios del coronel Delancey, cuartel maes tre general en segundo, al teniente coronel Bonversé, ayudante ge neral del cuerpo de su mando, y áTos oficiales de su estado mayor; igualmente que al honorable teniente coronel Upton , ayudante cuar tel maestre general, y ai mayor Ilope, ayudan…</t>
  </si>
  <si>
    <t>…de las tropas francesas exis tentes en dicho castillo, encargado con plenos poderes del señor general Manuel Rey , comandante en ge£3 de las referidas tropas; y por los señores el coronel Delancey, diputado cuartel-maestre-gene ral, el coronel Dicksoa, comandante da la artillería, y el teniente coronel Bouverie por parte del señor teniente general Tomas Qraham ; los cuales, de-pues de haber cangeado sus poderes, han con venido en lo siguiente: Art. I.…</t>
  </si>
  <si>
    <t>Delancéy</t>
  </si>
  <si>
    <t>…las tropas francesas existentes en dicho ©astillo , en cargado con'plencs poderes del señor general Manuel Rey, comandante en •gefe de' las referidas ttopas;' y pondos señores el coronel Delancéy ^diputa do qyárteí-maestrepeneral, el coronel Dickson , comandante'de da artillería, y el teñiente coronel BenVerie 'por parte def señor teniente general Tomas Graham; los quales, después de haber cangeado sus poderes,' han' convenide cn lo siguiente: ......…</t>
  </si>
  <si>
    <t>Delancoy</t>
  </si>
  <si>
    <t>…fecta aprobación de la conducta del mayor general Osivald des de que la quinta división forma parte de ia izquierda del exército. j* Me tomo la libertad de asegurar á V. S. que el coronel Delancoy., cuartel -maestre general, y el teniente coronel Bouvesi, adicto á la columna de la izquierda, han continuado á mis ordenes dándome los auxilios mas estimables, y que el celo del capitán Cal/veret del 29 regimiento, y mi primer ayudante de campo, así como el…</t>
  </si>
  <si>
    <t>Delaville</t>
  </si>
  <si>
    <t>…uso de tos jóvenes en las casas de educación , por „ Los periódicos de Cádiz, y aun los ingleses Mr. Jacobo Graben de Hemso. están llenos de quejas y de invectivas, que prueban Él,caballero Delaville hizo también la presen la mala inteligencia que reina entre el gobierno in tación siguiente : gles y los gobernantes de aquella ciudad ; pero en Señores: Mr. Groust, de 80 años de edad, doc tre otros documentos que pudiéramos publicar véase tor en derecho, mi…</t>
  </si>
  <si>
    <t>Dele</t>
  </si>
  <si>
    <t>…ara seguridad de su cumplimiento se llevó en rehenes él capitán del corsacib , queres oficial de la marina france sa, al capitán de artillería D. Antonio Loriga y al de infantería D. Dele gado, que se hallaban de pasagéros en el bergantín apresado. ' j Del 12. 1 Ademas de la relación de la batalla del 2 de mayo comunicada por lord Catchart, traen los papeles ingleses otra copiada dé la -gazeta de'Berfin del dia 9, la que daremos por extenso, b…</t>
  </si>
  <si>
    <t>Delesset</t>
  </si>
  <si>
    <t>360</t>
  </si>
  <si>
    <t>…osos que los antiguos, y ahorrarán una mi do como al principio. tad de la cantidad de pólvora que ahora se gasta, porque con medio tiro producen igual efecto que Informe del señor barón Delesset sobre el nuevo los comunes con uno, y asi proporcionalmente se fútil inventado por Mr. Pauly. disminuirán el coste, la incomodidad y peligros que En el mes de marzo de 1810 tuve la satisfac ocasiona ahora el transporte de las municiones. ción de presentar á l…</t>
  </si>
  <si>
    <t>Delgado, Bernardo</t>
  </si>
  <si>
    <t>Bernardo Delgado</t>
  </si>
  <si>
    <t>…L DE SAN GERONIMO. D. Gieg&lt;’;¡,&gt; Sánchez, substituto primero. D. Joaquín Giardoni , substituto segundo. Barrio de las Trinitarias. Barrio a l Hospicio. D. Martin Enseña , alcalde. D. Bernardo Delgado, alcalde. D. Ramón González Quitos, substitut&lt;Jprimero. D. Luis González, sub ¡ñuto primero. D. Pedro Malo, substituto segundo. D. Lorenzo Riega, suhsrituto segundo. B ‘-rm de ?'rs Baronesas. B ir rio de S 1' •cfonso. L&gt;. Juan Sainz de Tejada, alcalde. D Mini…</t>
  </si>
  <si>
    <t>Delgado, Manuel Gómez</t>
  </si>
  <si>
    <t>Manuel Gómez Delgado</t>
  </si>
  <si>
    <t>…la Peña, substituto segundo. D. Migue! Oquendo,substituto primero. Barrio de la Buena-Dicha. D. Angel de Sata, substituto segundo. D. Rafael Flores, alca,Je. Barrio de la Latina. D. Manuel Gómez Delgado, substituto primero. D. Toaquin González de Castro, alcalde. D. Itid ro Castelas, substituto segundo. d. r vancisco Verdejo, substituto primero. Barrio de S. Placido. D. Juan Hermoso Daza, substituto segundo. D. M:guel de Tena, alcalde. . Banjo de S Francisco…</t>
  </si>
  <si>
    <t>Delort</t>
  </si>
  <si>
    <t>…do, vol ía mayor parte, é hicieron quaíro prisioneros. El vió á ocupar tranquilamente sus antiguas posiciones. enemigo abandonó en su fuga muchas armas, ves „ El día 20 el general barón Delort , : coman tidos y municiones; y los ingleses desembarcados dante de la vanguardia del exército de Aragón , sa del navio Blake se dieron priesa á volver á bordo, lió de parte de noche con 400 infantes del 7.0 de de donde dispararon algunas andanadas sobre la c…</t>
  </si>
  <si>
    <t>Delot</t>
  </si>
  <si>
    <t>El general conde Tavenzien se preparaba para perseguirlos. El gene ral wirteinburgues Fronquemont se quejo al general Delot, gefe del estada mayor general del quarto cuerpo francés, de que sus tropas estaban siem pre en vanguardia quando avanzaban , y en retaguardia quando se retiraban. Aquel general le respondió lo siguiente: „ Debéis conformaros con que suce da agi; es un intere…</t>
  </si>
  <si>
    <t>DenizofF, Oirloff</t>
  </si>
  <si>
    <t>Oirloff DenizofF</t>
  </si>
  <si>
    <t>…de Beauharnois el 8 de No viembre le tomó 69 piezas en vez de 62 que se decia en el primer oficio. El general Platow sigue el alcance á las reliquias de este cuerpo. * El ayudante general Oirloff DenizofF acometió al enemigo en el discurso de su marcha á Krasnoi, le mató ¿00 hombres, é hizo 400 prisioneros el 12 de este mes. 14 de Ni Vierabre. — El almirante TchichagofF comunica que el 11 deteste mes dexó en el principado de Varsóvia un cuerpo al man do del ge…</t>
  </si>
  <si>
    <t>Denizoff, Orloff</t>
  </si>
  <si>
    <t>Orloff Denizoff</t>
  </si>
  <si>
    <t>…dord : tengo la honra de" informar á V. E. que Bona parte huyó del distrito de Moscow, tomando el camino de Sraolensko por donde había venido. . c ? ' Los generales conde Platow y conde Orloff Denizoff han pica do constantemente sil retaguardia y flancos z. el primero atacó, y gado &gt; una posición defendida -con infantería y artillería, cogiendo dos banderas , 22 piezas de artillería y los prisioneros que pudo salvar.; El conde Orloíf Denizoff ha arrollado t…</t>
  </si>
  <si>
    <t>Denizoff, OrlofF</t>
  </si>
  <si>
    <t>OrlofF Denizoff</t>
  </si>
  <si>
    <t>…dole el alcance por el camino de Smolensko una partida de cosacos del Don. El cuartel general del exércilo está hoy en la aldea de Lobrcfh 12"de Ifiviemhre. —* El teniente general conde OrlofF Denizoff, sabiendo que un destacamento considerable de forrngeadores del de pósito de cabplíei;a y artillería del enemigo estaba repartido por las aldeas, le acometió , maté mas de 500 hombres, hizo S00 pri sioneros, y cogió 1000 caballos y 400 transportes, la mayor p…</t>
  </si>
  <si>
    <t>Denizoff, Orloíf</t>
  </si>
  <si>
    <t>Orloíf Denizoff</t>
  </si>
  <si>
    <t>…y flancos z. el primero atacó, y gado &gt; una posición defendida -con infantería y artillería, cogiendo dos banderas , 22 piezas de artillería y los prisioneros que pudo salvar.; El conde Orloíf Denizoff ha arrollado también los cuerpos que le han. hecho resistencia , y ha tomado varias banderas , muchos bagages, caxones , varia» piezas de artillería y prisioneros. ^ . „Si se ha de juzgar por lá gran cantidad de municiones* que el enemigo ha inutilizado, y po…</t>
  </si>
  <si>
    <t>DenizoíF, Orioff</t>
  </si>
  <si>
    <t>Orioff DenizoíF</t>
  </si>
  <si>
    <t>…ubriendo este regimiento tres escuadrones de caba-: Hería, ios acometió , é hizo prisioneros 5 oficiales y 290 soldados.— Ei cuartel general está hoy en UrofF. Ei ayudante general conde Orioff DenizoíF envió dos generales de la división del general Almiras y al brigadier general Burihi; y participa que tomó 20 piezas de artillería junto á la ciudad de Kras noy. . s, . ' . ESPAÑA. Cádiz 11 efe E ero de 1813. En el courier de 23 de Diciembre viene inserto el…</t>
  </si>
  <si>
    <t>Denizotf, Orloff</t>
  </si>
  <si>
    <t>Orloff Denizotf</t>
  </si>
  <si>
    <t>…„Tengo la honra de comunicar á V MI., que después, de mi oficio de l.c del corriente, el general Platow hizo algunos movimien tos , y de ellos resultó que el ayudante del general conde Orloff Denizotf atacase en diferentes puntos, cerca de Viasma, al resto de los regimientos enemigos que habián sido vencidos, y se hallaban todavía en las inmediaciones de dicha ciudad ; ios cuales , aunque se defendieron con obstinación, fueron sin embargo derrotados en to…</t>
  </si>
  <si>
    <t>Denizow, Orlow</t>
  </si>
  <si>
    <t>Orlow Denizow</t>
  </si>
  <si>
    <t>…regimientos de cosacos, con los de los húsares de Oíviopoie , y los dragones de Shitomir y Arsamas Habiendo dexado el conde Piatow que pasase la primera columna enemiga man dó al conde Orlow Denizow que la acometiese rigorosamente , al mismo tiempo que él embestía impetuosamente á las otra-, rso cesan do de hacer fuego la artillería del coronel príncipe K md 'r.: hew. Después de e¿to el conde Piatow mandó al conde Orlow Deüiz.-w que pasando á la retaguar…</t>
  </si>
  <si>
    <t>Denwrousky</t>
  </si>
  <si>
    <t>…pas enfrente del exército de Silesia sobre el Partha; el sexto cuerpo en Schoenfeld, y el tercero y séptimo á lo largo de dicho rio en Neutsch y en Tekla. El duque.de Padua con el general Denwrousky guardada la posición y arrabales de Leipsick sobre el camino ¡de Halle* A las tres de la mañana el Emperador estaba en la aldea de Lindenau. Mandó al general Bertrand que marchase sobre Lutzen y Weisenfelds, re conociese la llanura, y se asegurase de las sali…</t>
  </si>
  <si>
    <t>Deogracias</t>
  </si>
  <si>
    <t>…pobre den los representantes entrará luego la de los dia patria en manos de tales gentes, qtundo acercándo ristas, que no dexarin de estar mui atentos en las se á mí nuestro amigo D. Deogracias , que también galerías, contando las varas y vandcrillas que cada había pre-enciado la gresca , me dixo arqueando lidiador ponga á su adversario. las cejas r ¡Qué picos d* oro! ¡Qué bien que pre Del 7. „ Empezaron ya las anunciadas corridas; dican! ¡Qué filós…</t>
  </si>
  <si>
    <t>Depablo, Joaquín</t>
  </si>
  <si>
    <t>Joaquín Depablo</t>
  </si>
  <si>
    <t>389</t>
  </si>
  <si>
    <t>…uadrón de caballería que se baila en Aragón, me dice desde Aleolea lo siguiente. Mi general T el 8 del corriente con z compañías de infantería que el comandante del sexto batallón D. Joaquín Depablo me proporcionó del batallón de su mando, pasé con todo el escuadrón á la ciudad de Fraga con el fin de hostigar al enemigo , extraer una porción de grano que supe había , y demoler totalmente el fuerte de S. Miguel i á cuya demolición di principio en la entra…</t>
  </si>
  <si>
    <t>…a ños/’ - Décimo quinto. El comandante accidental del séptimo regimiento me participa lo que á la letra copio. "Mi general: MI 18 me hallaba en Baudaiies en donde recibí aviso del coronel D. Joaquín Depablo desde Muri11o, avisándome que el convoy debía salir el 19 de Áyerbe para Jaca, que deseaba atacarle, y que para el efecto me pusiese en mar cha con el regimiento para Loar re ,* lo que executé sin pérdida de tiempo en la misma noche, y á la mañana siguiente,…</t>
  </si>
  <si>
    <t>Deprez</t>
  </si>
  <si>
    <t>…jo de Estado; El mayor Sokoluícki, que manda á los reclutas al señor Lepirus, oficial de ordenanza de S. M. el de los departamentos de Cracovia, Lublin,Radom Emperador, y al señor coronel Deprez , edecán de y Sieldce, habiendo tenido noticia el dia 22 de no S. M. el Rei ae España. viembre de que _una quadrilla de cosacos acababa Del s_p. de llegar á Kock , que está en el camino de Lublin á Varsovia, envió contra ellos á un oficial y 18 El señor duque…</t>
  </si>
  <si>
    <t>Derenzi</t>
  </si>
  <si>
    <t>…, por la in teligencia y habilidad con que me lia ayudado con los cañones y obu¿es que dirigía , cuyo fuego lia contribuido esencialmente ai feliz resultado de la acción. . „ ,|E1 capitán Derenzi, del 41 ,conduxo el refuerzo de este cuerpo desde el Fuerte Jorge , y el capitán Buiiock el del mismo regimien to que partió, de Chipawa; baxo cuyo mando se han conducido estos destacamentos con igual reputación que la que se ha adquiri do en otras ocasiones…</t>
  </si>
  <si>
    <t>Dernath</t>
  </si>
  <si>
    <t>…s soldados de los1 aliados* ; - - v La deserción del exefchó éhemigo es mui grande : todss los dias sernos pasan 3© ós:4o hombres. ; . 1ó. - Hemos interceptado varios cíficioS’del conde Dernath, ministro dinamar qués en la corte de Saxonia ,; á Mr.-Von Rosencrant z. Como dichos oficios tenían por objeto dar 'a-la córte de Dinamarca los informes necesarios sobre el estado de ios negocios-eft Díesde, sé ha tenido cuidado de que lleguen á su destino» .…</t>
  </si>
  <si>
    <t>Desde</t>
  </si>
  <si>
    <t>Gaceta de Madrid n.º 95</t>
  </si>
  <si>
    <t>380</t>
  </si>
  <si>
    <t>…contimará.) CAPITULO IV. Nota, En !a gzz££2 de ayeí? coluns 7»3* lí— Trabajos públicos. nea 42, al principiar el artículo Segovia, donde dice el señor general conde Lnscher, léase conde Desde la exaltación de S. M. al trono imperial Tascfter. se han gastado Para los palacios imperiales y edificios de la corona...................... 62,000,000. AVISO. Para las fortificaciones ........... 144,000,000. En virtud de providencia del Sr. D. Juan Bautist…</t>
  </si>
  <si>
    <t>Desmaisieres, Miguel</t>
  </si>
  <si>
    <t>Miguel Desmaisieres</t>
  </si>
  <si>
    <t>…sbal, que las ha formado, y á quien se debe el sobresaliente estado en que están, ha sabido inspirar su brillante valor. „ El brigadier gefe interino del estado mayor del exército D. Miguel Desmaisieres me ha dado nuevas pruebas de su zelo, y me ha sido de la mayor utilidad en toda la operación. „ Los ayudantes generales D. Pasqual Henrile y D. Domingo Martínez y demas oficiales del cuerpo de estado mayor, el coronel B. Raynraldo Maedonali, agregado á mi pla…</t>
  </si>
  <si>
    <t>Desmaissieres, Miguel</t>
  </si>
  <si>
    <t>Miguel Desmaissieres</t>
  </si>
  <si>
    <t>…han manifestado el brigadier D. José Latorre, comandante de la primera brigada de infantería, que se empleé en este sitio: el del gefe de es=r tado mayor interino del exército el coronel D. Miguel Desmaissieres, que apenas ha descansado un momento durante los tres dias deí sitio: la buena conducta militar de los oficiales de estado mayor que se hallaron á sus órdenes, y la de los gefes y oficiales de los cuerpos de infantería y caballería que compusieron ia división…</t>
  </si>
  <si>
    <t>Desmassieres, Miguel</t>
  </si>
  <si>
    <t>Miguel Desmassieres</t>
  </si>
  <si>
    <t>…nifestado el brigadier D. Josef Latorre, comandante de la primera brigada de infantería, que se empleó en este sitio: el del gefe de estado mayor interino del exército el coro„nel D. Miguel Desmassieres, que apenas ha descansado un momento durante los tres dias del sitio: la-buena conducta militar de los oficiales de estado mayor que se hallaron á sus órdenes, y la de los gefes y oficiales de los cuerpos de infantería y caballería que compusieron la división…</t>
  </si>
  <si>
    <t>Desnouet, Lefebre</t>
  </si>
  <si>
    <t>Lefebre Desnouet</t>
  </si>
  <si>
    <t>…rado con el uniforme de teniente general de la Rusia, se apode* ró de Naumbourg, donde no había comandante ni guarnición (3), y sorprehendic5 á 300 ó 400 enfermos. No obstante, el general Lefebre Desnouet tes le encontró er í'reiburg el 19, represó los 300 ó 400 enfermos, que es te miserable había arrancado de las canias, le hizo algunos centenares de pri sioneros , tomo porción de bagages, y rescató algunos carros dé que él se habia apoderado. Thielman se ref…</t>
  </si>
  <si>
    <t>Desnouetes</t>
  </si>
  <si>
    <t>…sleben, Bernburgo y íiaiberstsdt. En Quedlinburgo estuvo un des tacamento. Una pane de esta caballería se linio ya al exérclto grande de Bohemia, y marceó sobre la retaguardia del general Desnouetes, quien tuvo varias escaramuzas con el general Thieimann. Rey na en Leipsick la mayor confusión: la ciudad no puede dar cuento sin ce sar se le'pide de dinero, víveres y caballos. ” í? El pueblo está reducido á sal miseria que las autoridades que go biernan al…</t>
  </si>
  <si>
    <t>Desnouets, Lefebrc</t>
  </si>
  <si>
    <t>Lefebrc Desnouets</t>
  </si>
  <si>
    <t>…rpo de Poniato w ski, forzó los desfiladeros de Bohemia, atravesó la gran cordillera de montañas que separan la Bohemia de la Lusacia, y entro ei&gt; Gavel al mis-* Bio tiempo que el general Lefebrc Desnouets se apodero de Rumburgo con la división de infantería y caballería de la guardia, desembarazo la gargan ta de las montañas de Georgental, y el general polaco Reniskrtomo a Friealand y Reychénberg. El objeto de esta operación fue perturbar al enemigo en Praga ,…</t>
  </si>
  <si>
    <t>Desnouets, Lefebre</t>
  </si>
  <si>
    <t>Lefebre Desnouets</t>
  </si>
  <si>
    <t>…vuelta de la Bohemia. Dexó en aquella ciudad al duque de Bellune para reforatar^al cuerpo del ge neral polaco, y también al general Vandamme con el primer cuerpo para reforzar al general Lefebre Desnouets. Ocupando los dos generales este pun to con bastantes fuerzas, hicieron construir reductos en las alturas que le do minan. El Emperador tomó el camino de Lauban en la Silesia, adonde llegó el 20 antes de las siete de la tarde. ■ ' ...... El exército enemigo d…</t>
  </si>
  <si>
    <t>Desnouettes</t>
  </si>
  <si>
    <t>…principio se había pensado ; y ei hetmann Píatow, e n su destreza y valor , dió una acción muy brillante contra un cuerpo numeroso del. enemiga — Este cuerpo estaba mandado por el general Desnouettes,. y se componía de alguna caballería ligera francesa, de los huíanos, polacos de la guardia , y de una brigada de dragones ligeros á las órdenes de! general Pirot. Los generales Ivesseíski y Krntecks tenían también manco en .este cuerpo, cuya fuerza total era…</t>
  </si>
  <si>
    <t>Desnouettes, Lefebre</t>
  </si>
  <si>
    <t>Lefebre Desnouettes</t>
  </si>
  <si>
    <t>…tales de harina, que iban en buques por el Eiba arriba , y que llegarán á Dresde. El duque de Padua está en Leípsíck, y el príncipe de Moskow entre Wittemberg y Torgau. El general conde Lefebre Desnouettes se hallaba con 4© caballos en persecución del traidor Thielman, saxon, á quien su Reí llenó de beneficios. En pago de tanta predilección él se ha declarado enemigo irreconciliable de su Reí y de su patria. Al frente de 5© caballos (2), parte prusianos, parte…</t>
  </si>
  <si>
    <t>…Thielman habla cogido un g ran despojo entre Leipsick y Weir mar, y entre otras cosas la baxilla del príncipe Poniatowsky; pero que fue yuelta á tomar por la caballería ligera del general Lefebre Desnouettes. • « L Rastadí 8 de id. El dia 3 eí general ruso CzernicheíF, que había pene trado hasta Cassel al frente de. partidarios, abandono precipitadamente aquella ciudad viendo que las tropas francesas y westfalianás marchaban contra éi. Se retiró por las alturas d…</t>
  </si>
  <si>
    <t>…M. la Emperatriz Reina y Regenre ha recibido las noticias si guientes del exército, su fecha 3 de noviembre. El 30 de octubre, en el momento en que se daba la batalla de Hanau, el general Lefebre Desnouettes, al frente de su división de caballería y del quinto cuerpo de caballería mandada por el general Millaut, flanqueaba toda la derecha del exército del lado de Bruckaboel y de Vieder-Issingheim. Encontróte á la presencia de un cuerpo de caballería rusa y aliada…</t>
  </si>
  <si>
    <t>Desnouettes, Lefebvre</t>
  </si>
  <si>
    <t>Lefebvre Desnouettes</t>
  </si>
  <si>
    <t>…rg sus primeros piquetes, que no nos hicieron resistencia alguna l}a$ta ganar las alturas cerca de&gt;B,é}ckembach. El enemigo aun no había vistouuestra ca ha He ría. , p -. 'i;i. El general Lefebvre Desnouettes ,_ah fren te de t joo lanceros polaoos y</t>
  </si>
  <si>
    <t>Desnoutes, Lefevre</t>
  </si>
  <si>
    <t>Lefevre Desnoutes</t>
  </si>
  <si>
    <t>…ríacos á Aschaífenburgo, y el emperador continuó su marcha á Franc fort , adonde llegó á las 3 de la tarde. Idem del 8. El 30, en el momento en que se daba la batalla de Hanau, el general Lefevre Desnoutes se vio empeñado con un cuerpo de caballería rusa y aliada de 5 á 6© hombres, el que pudo romper con pérdida de 60 hombres. El emperador, hallándose muy fatigado, no quiso perseguir al enemigo; el cual sin embargo á las 3 de la tarde, noticioso de que el exérc…</t>
  </si>
  <si>
    <t>Después</t>
  </si>
  <si>
    <t>…de campo el teniente coronel D. Josef Cistue , desde el quartel general del Exento. Sr. Lord Duque de Ciudad-Rodrigo en Vitoria á 22 del corriente , me dice lo que copio.-= Excmo. Sr. Después de haber despachado á V. E. ei ordenanza avisándole nuestra marcha, la verificó el Lord Duque, según él mismo dixo , con solo el ánimo de hacer un recono cimiento en fuerza; pero viendo un descuido en los enemigos, se aprovechó de éi para empe ar la batalla l…</t>
  </si>
  <si>
    <t>Deüiz.-w, Orlow</t>
  </si>
  <si>
    <t>Orlow Deüiz.-w</t>
  </si>
  <si>
    <t>…al mismo tiempo que él embestía impetuosamente á las otra-, rso cesan do de hacer fuego la artillería del coronel príncipe K md 'r.: hew. Después de e¿to el conde Piatow mandó al conde Orlow Deüiz.-w que pasando á la retaguardia del enemigo apostase á sus lia neos destacamentos para estorbarle que se situase en las montañas de Ponary. La3 grandes columnas fueron completamente derrotadas por el acertado fuego de nuestra artillería: hicimos prisioneros á un…</t>
  </si>
  <si>
    <t>Devaux</t>
  </si>
  <si>
    <t>…ar se tomó, derrotando entera Dresde &lt;T de diciembre. mente al enemigo, que ha dexado en nuestro po Las noticias recibidas del séptimo cuerpo de der gran número de prisioneros. El general Devaux, ejército anuncian que este, siguiendo el alcance al que dirigía este ataque, hace singular elogio del ba general Sackeu, llegó hasta Brzesc el dia 26 de no rón de Wuldcnfels, comandante de los wurtzburviembre. El enemigo se retiró á Ratno, y manifes gueses.…</t>
  </si>
  <si>
    <t>…Aquella pert de Latour, que me han asistido con sumo gus misma tarde envíe' la brigada del general Expert á to, y no han desperdiciado ocasión de rnaaife tar su Reus, y con la del general Devaux pasé á Cambrils. actividad ordinaria. „E1 dia 27 me trasladé al fuerte del Coll de Ba „Suplico á V. E. &amp;c. = Firmados conde Mau laguer, y le encontré en mui buen estado. ricio Mathieu.” „ Luego que el general Bertoletti tuvo noticia Nafa. El general Mathieu h…</t>
  </si>
  <si>
    <t>…Cardedeu, y llegando en la tarde ,,Con este designio mandé al general Lamarque del mismo dia á S. Andrés. Añadí á las tropas del que enviara á S. Celoni el convoi destinado á Bar general Devaux el regimiento 79.“, para perder to celona, escoltándolo 3*2) hombres, y tomando las do rezelo, y aumentar las fuerzas que había dexado disposiciones convenientes para que estuviese todo al general Mathieu durante mi permanencia en 1^ reunido en dicho lugar el…</t>
  </si>
  <si>
    <t>…ta ron lo que puede esperarse de este cuerpo en la primavera siguiente, quando esten perfectamente organizados y disciplinados. El general de artillería del exército Nourrit, y el general Devaux., ma yor de la artillería de la guardia, merecen ser distinguidos. El general Letort, mayor de dragones de la guardia, aunque herido en la batalla de Wa chau, quiso atacar al frente de su regimiento, y le mataron ei caballo. El 31 por la tarde el gran quartel…</t>
  </si>
  <si>
    <t>Devon</t>
  </si>
  <si>
    <t>…nes hos tiles, se ve obligado á tolerar esto á causa del crítico' estado de sus rentas. Nadie quiere recibir los billetes de 10 schelines que han hecho circular últi mamente..__El capitán Devon , oficial de mucho ir»érito, está actualmente en la costa fronteriza, desde donde incomoda infinito al enemigo: diaria mente envía aqui muchas presas----- Han llegado después de medio dia 14 barcos*, por ellos sabemos que la esquadra que había salido dé esta…</t>
  </si>
  <si>
    <t>Dges, Joan</t>
  </si>
  <si>
    <t>Joan Dges</t>
  </si>
  <si>
    <t>…987 183717 544 163410 186433 211539 953 189784 675 I 215619 216030 J 8. • 192129 199779 • « • « D. Francisco Bonafont. 171 de 150 pesos. De 600 ps. de Entro de 1809. 1. • • 367064 D. Joan Dges¡ ........ T365641 372707 373696''} { 651 373412 960 | 14. , .&lt; 792 468 375424 &gt;D. Angel María Apeite| 367973 532 732 ( guia. L368046 688 J 15 de 600 peso*. De 300 ps. de Enero de 1809. 1. . . 126538 • • * • « • • • • D. Francisco Bonafont* 2. . . 97891 98380…</t>
  </si>
  <si>
    <t>Dges, Juan</t>
  </si>
  <si>
    <t>Juan Dges</t>
  </si>
  <si>
    <t>…s. van .señalados. renovados. De 600 ps. de Mayo de 1808. f378643 386664 3950455 828 706 469 381712 968 652 914 387039 396074 383246 041 ' 126 379 408 397239 39. . &lt; 663 487 788 )*D. Juan Dges. 384141 388255 39S367 881 390964 693 385028 392255 399054 184 394115 40 í 977 644 521 403504 L386463 989 403992^ 386700 387407 397280 ) 5. . 386707 683 403991 ^ Al mismo. 387047 396118 403685 995 412267) 8. • 874 405031 412272 &gt; D. José Lacroust. 994 408328 3…</t>
  </si>
  <si>
    <t>…296] 7. . ► 1697 4299 5588!*D. José Rodas. 6157 93 de 600 pesos. De 300 ps. de Setiembre de 1808. f 19360 33662 54030'') 22910 36223 55856 23748 408*7 56616 &lt;¡ 25391 44474 56621 )&gt;D. Juan Dges, 28856 45183 56624 31065 50798 62474 &gt; 31510 52883 70537J</t>
  </si>
  <si>
    <t>…acroust. 81281 90951 102235" 82526 92703 116544 12. . . (►Al mismo. 84292 93458 122056í 90935 95341 1237741 15 de 300 pesos. De 150 jm. de Enero de 1808. 3. ¿ 273756 277696 280880 D. Juan Dges.. 2. . 290656 293331 .... D. José Lacroust. 2. . 255003 298765 .... D. Matías Bayo. S D. Antonio María Cárde1. . 295988 . . . . • • • • s4 ñas.</t>
  </si>
  <si>
    <t>Dia, Bernardo</t>
  </si>
  <si>
    <t>Bernardo Dia</t>
  </si>
  <si>
    <t>…to á los ataques;pero se ha Para el curato de Quel al ex-benedictino Don oido mucho movimiento en la ciudad y sus inme Isidoro Merino. diaciones. Para el de Gunilla al ex-bernardo D. Bernardo Dia 9*. Media hora antes de amanecer se ha Francés. oido una explosión en los trabajos que hace el ene Para el de Dar oca al ex-trinitario calzado Don migo en el fuerte de S. Miguel. Habiendo cesado el Manuel Vigil. fuego de fusil casi al mismo tiempo en ¡os dife…</t>
  </si>
  <si>
    <t>Dia, Joan</t>
  </si>
  <si>
    <t>Joan Dia</t>
  </si>
  <si>
    <t>los brigadieres D. Joan Dia« Porlier, D. José María Ezpeleta , Don Estanislao Sánchez Salvador, gefe de estado mayor dc*l cuarto exér— cito, y D. Antonio Rosefló; y de los coroneles Fuentes-Pita, co mandante de ingenieros, D. Juan Loarte , del regimiento de la Cons titución, y D. Juan U…</t>
  </si>
  <si>
    <t>Dias, Rafael</t>
  </si>
  <si>
    <t>Rafael Dias</t>
  </si>
  <si>
    <t>…l mando del capitán D. To mas Haro, 45 hombres de marina al mando del teniente de fragata D. José Tr vesi, mayor de órdenes, con los oficíales de su cuerpo D. Joaquín Santaolaíla, D. Rafael Dias y D. Ignacio Martínez, y ios escuadrones de caballería de Puebla, S. Luis y México, consi guiesen este día afianzar su anterior reputación , adquiriendo nuevos derechos á la gloria. „Eí comandante de Puebla, capitán D. Mame! Fíon, perdió en la carga su ccballo ; el teniente corone…</t>
  </si>
  <si>
    <t>Diaz, Andrés</t>
  </si>
  <si>
    <t>Andrés Diaz</t>
  </si>
  <si>
    <t>…o Zunzarren * D. M:guel Quartero , D. Juan Urzaniqui, D. Ruerto Rajum, D. Manuel López, D. Agustín Munarriz, D. Juan Sliutista fnd'.iusti, D. Pedio López de Baylo, D. José García, D. Andrés Diaz y D. Félix Quitarte. Igualmente se ha servido S. A. promover en el regimiento de caballeril ligera húsares de Navarra de la misma división á teniente coronel á D. Juan José Cnlchaga; á comandantes de escuadrón á D. Miguel María Iribarren y D. Manuel Garrea: á sargento mayor á D.…</t>
  </si>
  <si>
    <t>Díaz, Antonio</t>
  </si>
  <si>
    <t>Antonio Díaz</t>
  </si>
  <si>
    <t>…el Sr. D. Miguel Antonio Zumsiacarregai, di putado por la provincia de Guipúzcoa; para tercero el Sr. D. Pedro Alcántara de Acosta, diputado por la isla de Cuba; y para cuarto el Sr. D. Antonio Díaz, diputado por la provincia de Granada. Concluida la elección ocuparon sus respectivos puestos el señor presidente y secretarios, cesaado en sus funciones la diputación per manente, y quedando instaladas las Cortes, ordinarias con arreglo á la Constitución. La…</t>
  </si>
  <si>
    <t>Antonio Zumalacarregui, diputado por la provincia de Guipúzcoa ; para tercero el Sr. D. Pedro Alcántara de Acosta, diputado por la isla de Cuba , y para quarto el Sr. D. Antonio Díaz, diputado por la provincia de Granada. Concluida la elección ocuparon sus respectivos puestos el señor presidente y secretarios, cesando en sus funciones la diputación permanente, y que dando instaladas las Cortes ordinarias con arreglo á la Constitución. Las…</t>
  </si>
  <si>
    <t>Diaz, Benito</t>
  </si>
  <si>
    <t>Benito Diaz</t>
  </si>
  <si>
    <t>…pusieron ia división sitiadora•; camo también el mérito que contraxeron mis ayudantes de campo les tenientes coroneles D. José Ruiz,, D. José María Reyma , D. "Víctor Viñadez y el teniente D. Benito Diaz , y mi secretario de campaña el sargento mayor D. José Seríate y Salazap, los quales llevaban mis órdenes repetidas veces bastados pies de los muros enemigos, sufrien do con desprecio muy respetable fuego: ei enemigo ha hecho un vi vísimo fuego de cañón y fus…</t>
  </si>
  <si>
    <t>Díaz, Benito</t>
  </si>
  <si>
    <t>Benito Díaz</t>
  </si>
  <si>
    <t>…sieron la división sitiadora; como también ei mérito que contraxeron mis ayudantes de campo los tenien tes coroneles D. Josef Ruiz, D. Josef María de Reina, D. Víctor Viñadez y ei teniente D. Benito Díaz , y mi secretario de campaña el sargento ma yor D. Josef Seríate y Saiazar, los quates llevaban mis órdenes repetidas ve ces hasta los pies de los muros enemigos, sufriendo con desprecio mui res petable fuego: el enemigo ha hecho un vivísimo fuego de cañón y…</t>
  </si>
  <si>
    <t>Díaz, Felipe</t>
  </si>
  <si>
    <t>Felipe Díaz</t>
  </si>
  <si>
    <t>…ones.__Al comandante y á D. Josef Villanueva, del de Infiesto, 1© botines, 1® camisas y 1® pan talones.----A D. Francisco Ramón Cabañas, del de Cangas de Tineo , 245 camisas-----A D. Felipe Díaz, del segundo esqaadron de Madrid , 11 cami sas y n pantalones.__A quatro oficiales 8 camisas y 8 pantalones.___A dos sargentos del estado mayor 2 botines, 2 camisas y 2 pantalones.-._To tal de piezas: 1802 botines, 1666 camisas, 2021 pantalones, y 27 chaque t…</t>
  </si>
  <si>
    <t>Díaz, Joaquín</t>
  </si>
  <si>
    <t>Joaquín Díaz</t>
  </si>
  <si>
    <t>…án de la compañía de obreros; D. Ra món Lozano, D. Juan Ruvi, D. José Oronoz , capitanes, D. Felipe Ruvalcab3, teniente, y D. Leonardo Cotera, subteniente del prime ro cántabro, y D. Joaquín Díaz, capitán de tiradores de Cantabria. Los heridos son: D. Antonio Bausivi, subteniente del de Toledo; D. Andrés Narvaez y D. Francisco Romero, tenientes del de Monterey ; D. Juan de Asas y D. José Pumarejo, tenientes del Regimiento de Marina; D. Geferino Arau/o…</t>
  </si>
  <si>
    <t>Díaz, José</t>
  </si>
  <si>
    <t>José Díaz</t>
  </si>
  <si>
    <t>…Ionio Arzola, D. Jacinto O na , D José Vinegra, D. Santos Besga , D. Joaquín Ruiz, D. Ma uel Clemente, D. Ra món Marañon , D. José Albumes, D. José Luizaain , D. Francisca Ardaiz, D. José Díaz, D Antonio Abadía, D. Nicolás Soriano, D. Bernardo Moliner, D. Manuel Llera, D. José Perulan, D. Ray» mundo Marqués, D. José Gorriz, D. Dionisio Fonolitas, D. Can» dido Zunzarren * D. M:guel Quartero , D. Juan Urzaniqui, D. Ruerto Rajum, D. Manuel López, D. A…</t>
  </si>
  <si>
    <t>…resentó en e hospital sin otra enfermedad que ei estado de debilidad a que la habían reducido' la edad y la falta de-medios. Según la relación del médico titeinr de aquel horpital D. José Díaz consta que murió sin calentura, y que mientras permaneció en el hospital, exerció libremente todas las fun ciones de uu® persona sa»&amp;, conservando expeditos iodos sus senti dos. Parece qse duraste su larga vida xto había padecido enferme dad ninguna de graved…</t>
  </si>
  <si>
    <t>Diaz, Juan Braulio</t>
  </si>
  <si>
    <t>Juan Braulio Diaz</t>
  </si>
  <si>
    <t>…D. Luis Ganuza, Fan^ rancisco Ilundáin, D. Florencio Olabé ,&lt;D. Francisco Antonio Asuran D. Tomás Zubiri, D. Pedro Miguel Salvador , Don Prudencio Cortazar , D. Celedonio Gómez , D. Juan Braulio Diaz, D. Patricio Calvete, D. Serafín Zaráquiegui, D. Miguel Senosiain, D. José Echeverría;y D^ Clemente Diez de Tejada: á tenientes de fusileros á . D, VictorianoMangiron, D; Joaquín Mendiando , Don Pedro Oses* D José María Subirán , D. Miguel Tartas , D. Manuel…</t>
  </si>
  <si>
    <t>Díaz, Manuel López</t>
  </si>
  <si>
    <t>Manuel López Díaz</t>
  </si>
  <si>
    <t>…id. D. Francisco Fernandez Ziesa, 1 id. D. Manuel Barreda, 1 id. D. Alonso Candamo, 1 id. D Benito Cristi, 1 id. T). José de San Martin y Blanco , l id D~ Martin Cortiguera, 1 id. D. Manuel López Díaz, 1 id. D. D amingo Ximenez, i id. D. Boni facio Vivanco, 1-id. D. José Sarria, 1 id. D. Mariano Sarria, 1 id. D. Juan Antonio Aramburu, 1 id. D. José Francisco de Isasi, 1 id. D. Ramón Eurivano, 1 id. D. Ramón de Azcarate, 1 id. D. Fran cisco Abasólo, l id. D…</t>
  </si>
  <si>
    <t>Díaz, Plácido</t>
  </si>
  <si>
    <t>Plácido Díaz</t>
  </si>
  <si>
    <t>…ue la de 6 heridos levemente. La canalla hu yó tan escarmentada que no volvió á dexarse ver por todo el camino, 52. En 27 de ídem, el intrépido húsar del escuadrón de esta ciu dad D. Plácido Díaz, destacado con 50 infantes montados y 100 ca ballos por orden del teniente coronel D. Manuel de Arango, coman dante de la segunda división de este exército, sita en ei pueblo de Tamazula, sorprehendió dos horas después de media noche al infame Barajas, que co…</t>
  </si>
  <si>
    <t>Díaz, Ramón Suero</t>
  </si>
  <si>
    <t>Ramón Suero Díaz</t>
  </si>
  <si>
    <t>…ll , D. José María Hernández y D. José .efe Paga, tenientes; D. Ventura Nogueyra y D. Laureano Iriarte, sub tenientes del de voluntarios de la Corona; D. Andrés Parga, ayudan te ; D. Ramón Suero Díaz , y D. Francisco Saigado, tenientes , el</t>
  </si>
  <si>
    <t>…tell, D. Josef María Hernández y IX Josef de Puga» tenientes; IX Ventura Nogueyra y IX Laureano Triarte,, subtenientes del de volunta rios de Ja Corona; D. Andrés Parga, ayudante; D. Ramón Suero Díaz, y D. Francisco Salgado, tenientes, el primero de granaderos; D. Josef Villar mil y D. Vicente López, subtenientes del segunda de granaderos del de yoluntarios de Asturias; D. Josef María Ocampo, subteniente del de San? tiago; D. Pedro Oloris , sargento mayor…</t>
  </si>
  <si>
    <t>Dicksoa</t>
  </si>
  <si>
    <t>…ncargado con plenos poderes del señor general Manuel Rey , comandante en ge£3 de las referidas tropas; y por los señores el coronel Delancey, diputado cuartel-maestre-gene ral, el coronel Dicksoa, comandante da la artillería, y el teniente coronel Bouverie por parte del señor teniente general Tomas Qraham ; los cuales, de-pues de haber cangeado sus poderes, han con venido en lo siguiente: Art. I. Las tropas imperiales y reates francesas que forman la…</t>
  </si>
  <si>
    <t>Dickson</t>
  </si>
  <si>
    <t>…la artillería real y reales ingenie ros , como particularicé1 anteriormenté en mi parte del anterior asal to. Todos los ramos del servicio de artillería han sido dirigidos por el coronel Dickson con la mayor hábil idad, como lo fueron igual mente los del de1 ingenieros por cl 'téniente coronef Sir R. Fietcher, hasta el momento de su lamentable muerte á la boca de las trinche ras. *E1 teniente coronel Rurgoine le sucedió en el mande, y desea qne yo in…</t>
  </si>
  <si>
    <t>999 de consultar con el coronel Dickson, comandante de la artillería realmandé que la artillería jugase contra la cortina. »»Rompióse un vivo fuego de canon contra ella, pasando las ba las á pocos pies sobre las cabezas de nuestras tropas, que estaban en la brecha, y fue seguido con una precisión d…</t>
  </si>
  <si>
    <t>…cargado con'plencs poderes del señor general Manuel Rey, comandante en •gefe de' las referidas ttopas;' y pondos señores el coronel Delancéy ^diputa do qyárteí-maestrepeneral, el coronel Dickson , comandante'de da artillería, y el teñiente coronel BenVerie 'por parte def señor teniente general Tomas Graham; los quales, después de haber cangeado sus poderes,' han' convenide cn lo siguiente: ...... ; h • - • ... . art. 1. Las tropas imperiales y reales…</t>
  </si>
  <si>
    <t>…el príncipe de Orange. »La ardllería que tuvimos en acción nos faé de grande utili dad ; y no puedo elogiar suficientemente la destreza y actividad con que, baxo la dirección del coronel Dickson se llevó al panto de ataque, y por los próximos caminos de las montañas en esta estación del año. «Remito á V. E. esta relación por el coronel D. Francisco Pablo de ia Peña, ayudant* del^ estado mayor general de cam paña, y ruego á V. E. me permita le recomie…</t>
  </si>
  <si>
    <t>…el príncipe de Oran ge. „La artillería que tuvimos en acción nos fue de grande utilidad; y no puedo elogiar suficientemente la destreza y actividad con que, baxo la di lección del coronel Dickson, se llevó al punto de «taque , y por los próxi mos caminos de las montañas en esta estación del año. ,, Remito á V\ E. esta relación por el coronel D. Francisco Pablo de la Peña, ayudante del estado mayor general de campaña, y ruego á V- E. me permita le reco…</t>
  </si>
  <si>
    <t>Dicrecke</t>
  </si>
  <si>
    <t>…sia , ha puesto en claro la inocencia de dicho general ■ y habién dole ademas juzgado exento de toda culpa la comisión nombrada pa ra exámiuar este negocio, compuesta del teniente general Dicrecke, y de los mayores Sechoeler y Sanitz, en vista de las circunstancias que le obligaron á hacer el convenio, por haberse retardado el dé cimo cuerpo que estaba delante de Riga, y su separación del resto de este cuerpo, como igualmente por las condiciones favora…</t>
  </si>
  <si>
    <t>Didon</t>
  </si>
  <si>
    <t>…mitiva, y una escolta de 130 hombres de artillería vo lante, 2QD de infantería / 148 del tren, 400 dragones y 600 infantes: acompañaban también al intruso ei mariscal Jourdan ; el general Didon , de artillería ; el príncipe de Santa Croe2 ; varios coroneles, capitanes y otros oficiales; el expatriarca Arce; otros dos genera les ; el tesorero general de la Coiona; O Farrill, Urqaijo, Azanza, Negrete, tres individuos del consejo de Guerra, y gran muit…</t>
  </si>
  <si>
    <t>Die</t>
  </si>
  <si>
    <t>…e aquel punto, como lo habian sido de los atrinche ramientos de Viriato, y perseguidos hasta mas allá del puebló de Uruña. La primera brigada de la tercera división , al mando dél brigadier D. Die go Barco; debió obrar sola por la derecha del monte de'Mandal, de cuya cima llevaba orden de apoderarse *, y tanto el paso del rio, que verificó por tres vados, como la penosa y difícil subida de la montaña, fue executado con tal denuedo y -brillantez, que ma…</t>
  </si>
  <si>
    <t>Diebitsch</t>
  </si>
  <si>
    <t>…, otros 7 de superior graduación , y 200 soldados. Este destacamento ocupó después el pueblo de Ftirburg. El coronel de guardias Souchosancff, destacado de la vanguardia del mayor general Diebitsch, halló algunos almacenes pequeños en Kaidanow y Datkcff, hizo algunos prisioneros, y se apoderó de un hospital con 80 enfermos. Otra partida, a las órdenes del teniente</t>
  </si>
  <si>
    <t>…rusos entraron en esta capital el 4 del corriente á las 6 de la mañana, y lo* franceses la habían abaldonado á la una. S do han que lado aquí mil infante* rusos á las órdenes del general Diebitsch , habiendo atravesado por la ciudad de 7 á 8000 de caballería. Beauharnois se ha retirado á Leipsic. El príncipe Repnin, que mandaba los rusos,* entregó el mando á las 4 de La tarde ai'genera! KutusoW jhijo del feld-mariscal. Los generales rusos asistieron al…</t>
  </si>
  <si>
    <t>Diebzetsch</t>
  </si>
  <si>
    <t>…r y bizarría. La caballería ligera:de las ga;rdia$, que se componía de ios regimien tos de po acos y dragones cargaron á las columnas de infantería del modo m:s extra rdinario. Ei general Diebzetsch , oficial de mucho mérito, se di tinguió par ti cu lar me ate ; y también el príncipe Gallitzia, que salió he lio del ataque Una bala de artillería le llevó un br^zo al conde Osternv nn, al anochecer: también fue herido el general que mandaba í©;&gt; coracero?.…</t>
  </si>
  <si>
    <t>Diederichs</t>
  </si>
  <si>
    <t>…sclavitud de la Alemania, se emplearon en asegurar su independencia. Este exemplo debe probar á ios conquistadores que el terror que inspiran acaba con el poder que le origina. El coronel Diederichs, comandante de la artillería rusa unida al cuerpo del general Bulow, hizo grandes servicios en esta ocasión. El capitán Bogue, comandante de la compañía inglesa de coheteros, se distinguió igualmente. Este valiente oficial murió, y también ha sido llorada su…</t>
  </si>
  <si>
    <t>Dieditch</t>
  </si>
  <si>
    <t>…l Kutu- le gobernador del supremo consejo de Indias, car suw la liabia tomado también en Tilsit sobreda go que desempeñó hasta su supresión , á cuya épo izquierda del Niemen, y el general Dieditch esta ca, acéiiSíéndó el Rei nuestro Señor á sus dilatados ba situado con una coluna á mi flanco derecho. Sin servicios, tuvo á bien condecorarle con la gran1 perder tiempo hice atacar h posición de Picktiipo- banda de la Orden Real de España, y nombrarle nen;…</t>
  </si>
  <si>
    <t>Díeguez, Ramón</t>
  </si>
  <si>
    <t>Ramón Díeguez</t>
  </si>
  <si>
    <t>…María Pania^ua y D. Manuel Obregon, el primero encargado de la segunda división, desempeñaron sus funciones á su satisfacción. 'v !' *. • Mi ayudante de campo «1 teniente coronel.D. Ramón Díeguez se bajío constantemente en los puntos? adonde fiévó misprddnés, acreditando lá ma yor actividad, zelo y valor en todas" las 4bbasióhes en qtie fue-empleado y necesité de su presencia; por esta razdn yy por5fps servicios anteriormente acreditados de esté ofici…</t>
  </si>
  <si>
    <t>Dieswitch</t>
  </si>
  <si>
    <t>278</t>
  </si>
  <si>
    <t>…e ya se halla en Tilsit, Dice que cercó la vanguardia de Macdonald con su caballería , separándola de las tro pas prusianas al mando del general York con el destacamento del mayor general Dieswitch, á quien dió órdenes para entrar en nego ciaciones con aquel general. Ei 30 de Diciembre, el teniente general York firmó un conve nio, según el cual debe quedar neutral caulas tropas de su man do , que consisten en 39 batallones de infantería y 6 escuadrones…</t>
  </si>
  <si>
    <t>Diez, Atanasio</t>
  </si>
  <si>
    <t>Atanasio Diez</t>
  </si>
  <si>
    <t>…Manuel Baztan ¿ D. Agustín Oro, D. José Joaquín Ározatena, D. Domingo Chávame, D. Agustín Mora, D. Juan Cruz Larrondo, D. Fran cisco Peralta, D. Manuel Salaberri, D. Dámaso Landa, D. Atanasio Diez, D. Bartolomé Comas, D. Ildefonso Mayo, D» JVLguql Ormachea, D Joaquín Sánchez, D José Migueltorena D Diego Gayarre, D. Fermín San Martin,*O. José Arozarena, D. Angel Esca lada, D. Víctor Pastor, D. Francisco Boira , D. Nicolás Uroz, D. Francisco Sarbide, P.…</t>
  </si>
  <si>
    <t>Diez, Gerónimo</t>
  </si>
  <si>
    <t>Gerónimo Diez</t>
  </si>
  <si>
    <t>…o Bonaparte, quando se conoce tan perfectamente sus ideas y su carácter. La junta electoral de la provincia de Salamanca ha elegido para diputaidos á Cortes ordinarias a jos Sres. D. Gerónimo Diez, individuo del tribuna! supremo de Justicia; D. Joseí Mintegui , catedrático de prima de cánones jubilado de aquella universidad; D. Vicente Ruiz Albillos, canónigo lectoral de la catedral de Ciudad-Rodrigo; y á D. Martin Hinojosa, catedráti co de prima de le…</t>
  </si>
  <si>
    <t>Diez, Joaquín</t>
  </si>
  <si>
    <t>Joaquín Diez</t>
  </si>
  <si>
    <t>…no en la di visión que manda el mariscal de campo D. Francisco Éspox y Mina. A tenientes de fusileros á D. Francisco Retana, D. Agustín Men* dioroz, D. Juan Francisco Guelbenzu , D. Joaquín Diez, D. Do mingo Zaídna, D. José Buesa, D. Antonio Gastón, D. Tomas Otochoreua , D. Antonio Alvarez , D. Manuel Sesé , D Martin Martínez, D. Antonio Laso y D. José Moriones: á subtenientes de granade ros y cazadores á D. Fermín Izu , D Sebastian Echarte , D. Mari…</t>
  </si>
  <si>
    <t>Díivoust</t>
  </si>
  <si>
    <t>…e iba encargado. Ei general Sebastian! pasó por Francfort para Furia. El general Laurhton llegó el 10 de Febrero á Hamburgo, y el 12 pasa un correo austríaco para Copenhague. , £1 mariscal Díivoust se ha puesto en marcha por la orilla izquier da del Oder, dirigiéndose desde Stettin a Cusma. ESPAÑA. Alcántara 10 de Marro^ Se ha interceptado la siguiente carta, por la que se ve lo esca sos que están de noticias y de dinero, así el rey intruso como el go b…</t>
  </si>
  <si>
    <t>Diksm</t>
  </si>
  <si>
    <t>…D. Miguel de Alava y la del brigadier Don Jos.ef O- Lawh r, quienes hace tanto tiempo que están empleados útilmente conmigo, la artillería se colocó Juiciosamente por el teniente coronel Diksm, y esta arma fue bien servida, y el exército está particularmente reco nocido á este cuerpo. „ La naturaleza del terreno no permitió que la caballería fuese general mente empleada j pero los generales que mandaban las diferentes brigadas conservaron las tropa…</t>
  </si>
  <si>
    <t>Dikson</t>
  </si>
  <si>
    <t>…D. Miguel de Alava, y de la aél brigadier D. José O-Lawlor, quienes hace tanto tiempo que e^tan empleados útilmente conmigo. La artillería se colocó juiciosamente por, el teniente coronel Dikson¿ y esta anrva fue bieh: servida ,, y el exército está particularmente reco nocido éste cuerpo. - '• 5 ' «La natqrale«á del tefrenó no permitió que la caballería fuese generálmente empleada ; pero los generales 'que mandaban las dife rentes br)gadas conservaro…</t>
  </si>
  <si>
    <t>Dimas, Juan</t>
  </si>
  <si>
    <t>Juan Dimas</t>
  </si>
  <si>
    <t>…que dexo el campo cubierto de cadáveres , sin ninguna pérdida por su parte. 17. Hacienda de las Pilas £ de Mayo de 1812. La cuarta di visión volante de este exército , á cargo del capitán D. Juan Dimas, salid el 5 de este mes del pueblo de Tecpatitlan a socorrer á ios pa triotas de' Xalos , amenazados por 500 insurgentes que mandaban Hermosillo, Barajas y otros cabecillas. Al dia siguiente avistó la cnusma1 apostada emun cerro elevado, é inmediatamente se d…</t>
  </si>
  <si>
    <t>Dintiin</t>
  </si>
  <si>
    <t>…yecto era cercarle or tres lados. Según esto, mandé á mi vanguardia, á las órdenes S«1 rnuyor general W!as:ow , que persiguiese al enemigo. Este gene ral desbarató la división del general Dintiin cerca de la ciudad de Batura, y en el término de dos días fueron hechos prisioneros un te niente coronel, 36 oficiales y 2000 hombres. Sabiendo que el ene migo se retiraba precipitadamente, resolví hacer un movimiento de flanco sobre Kolopeniíche, y marché há…</t>
  </si>
  <si>
    <t>Dioni, Francisco</t>
  </si>
  <si>
    <t>Francisco Dioni</t>
  </si>
  <si>
    <t>…mIgual ataque y al mismo tiempo lo emprendieron las fuerzas restar.tes par la parte del distól o que manda el brigadier D. Guillermo Packer Carro;, y por la del de la misma clase D. Francisco Dioni sio Vives, fóendo en ambos puntos completamente rechazados y per seguidos, á pisar del vivo y acertado fuego de obús y cañón con que la placa los sostenía, por las tropas que se emplearon en esta operación. »E1 general España recomienda á los brigadieres Barr…</t>
  </si>
  <si>
    <t>Dios, Juan de</t>
  </si>
  <si>
    <t>Juan de Dios</t>
  </si>
  <si>
    <t>…uto iegundo. D. Francisco Tellez, alcalde. Barrio de la Trinidad. D. Sebastian de Echestia, substituto primero. D. Santiago Ubon , substituto segundo. D. Carlos Avanciny, alcalde. D. Juan de Dios de la Pena, substituto primero. D. Josef Vinuesa , substituto segundo. QUARTEL DEL BARQUILLO. Barrio de S. Antón. QUARTEL DE SAN* ISIDRO. Barrio de Mira el Rio. D- Josef Miñones, alcalde. D. Pedro Garrido, substituto primero. D. Gil Antonio Laguna, alcalde. D…</t>
  </si>
  <si>
    <t>Diosdado, Juan</t>
  </si>
  <si>
    <t>Juan Diosdado</t>
  </si>
  <si>
    <t>Gaceta de Madrid n.º 54</t>
  </si>
  <si>
    <t>…ías de vandolcros y gentes desalmadas, y todavía á la hora en que es tamos no tienen vmds. ni tropas ni gobierno , por mas que vuestra Magestad se llame Magestad, por Discurso 'de D. Juan Diosdado, alcalde por el mas que su Alteza la Regencia se llame Alteza, ni estado noble del pueblo de Mirabueno, partido por mas que quieran, jonjabearnos con sus ocho 6 de Sigüenzaj pronunciado en sesión secreta de quarenta exércitos que no se hallan en las batallas,…</t>
  </si>
  <si>
    <t>Do-</t>
  </si>
  <si>
    <t>…ue dé impunemente el escándalo de violar sin re La expedición que envió en setiembre de 1808 bozo este principio de pudor y de decencia públi ti lord Caledou, baxo la conducta dei capitán Do- ca? ; La iamilia real de Brunswick, elevada sobre novan y del doctor Cowen para encontrar camino las ruinas de la de Stuard, se olvidará que ia dinas por tierra á Mozambique, es mui probable que ha tía á quien reemplaza debió en gran parte la pérdi ya tenido…</t>
  </si>
  <si>
    <t>Dobschuss</t>
  </si>
  <si>
    <t>…EVES 18 DE NOVIEMBRE DE 1813. ALEMANIA. BOLETIN DEL EXERCITO COMBINADO DEL NORTE DE ALEMANIA* Cuartel general de Zerbsi 22 de Setiembre. Hl general Howsisky con sus cosacos , y el general Dobschuss con 4 escuadrones, que hacen parte de la vanguardia del general conde Tauenzien , encontraron ei 19 entre Borack y Schwed ss con el i.° , 8.° y 19 regimientos franceses de cazadores de á caballo, y. los atacaron sucesivamente de manera que apenas escaparon 30…</t>
  </si>
  <si>
    <t>Dobschutz</t>
  </si>
  <si>
    <t>…uestros piíestos avanzados anunciaban que.el enemigo marchaba hacia Zahme. El 4 de setiembre por la tarde atacaron fuerzas mui superiores aquel punto, ocupado por la divi sión del general Dobschutz, perteneciente al cuerpo del general Tavenzien, y.fue sostenido cbñ gran bizarría. Rechazado él enemigo en varios ataques volvió á entrar en sus atrincheramientos1 frente de Wittemberg. Al dia-siguíen^ te 5 se renovaron ios mas obstinado^, afaqpes contra Zahm…</t>
  </si>
  <si>
    <t>…cesarios para la construcción de uu puente. Los parres dados por los puestos avanzados anunciaban que el enemigo marchaba para Zahrne. Eife pumo estaba ocupado por ía división del general Dobschutz , perteneciente al cuerpo del general Tavenzin , la cual fué acometida por fu rzas muy superiores en la tarde del 4 de Setiembre, la que se sostuvo con mucha bi zarría. Rechazado el enemigo en varios ataques , se volvió á sos atrincheramientos en frente de Wi…</t>
  </si>
  <si>
    <t>…delante de las gargantas- de Koppiug, á 200 pasos de Thusen. La división del coronel KrafF subió a Jas alturas de K.rcpstad para sostener al ge neral Bo:stelí. Ai mismo tiempo el general Dobschutz se hiza señor de las sltnres de Ja ciudad cíe Zahne. Se conservó b cemanic?cion con el penen! Borstdl por el puerto de Wolkrsdorff, de que ha bía tomado posesión ei mayor Beyer. El resto dd cuerpo dd gene ral Bu cw tomó una posición en Morzalau. La dívidon pr…</t>
  </si>
  <si>
    <t>Doctorow</t>
  </si>
  <si>
    <t>…fky, del cuerpo de exár£ito formado de diferentes regimientos de milicia, á las ordenes del teniente general conde Tolsíoy, y últimamente de las tropas que estan á las ordenes del general Doctorow. Ei comandante en gefe de los exércitos, y general de infantería Barclay de Toliy, publicó el io de Junio en su cuartel general de Reicheubach la siguiente orden general. ••Aunque conozco las graves é importantes obligaciones anexas al mando en gefe de los ex…</t>
  </si>
  <si>
    <t>…ue mandaba el príncipe Lobanoff Roslofky: el cuerpo formado por diferentes regimientos de(mivUcías á las órdenes del teniente general conde Tolstoi, y las tropas que man-* daba el general Doctorow. . r .-a Dicho generaL barón Bennigsen publicó en su quartel general de Reichembach la siguiente orden del dia: „ Habiéndose dignado S. M. el Era-* perador conferirme el mando en gefe de los exércitos rusos y aliados,*conoció toda la importancia de las obliga…</t>
  </si>
  <si>
    <t>Doebeln</t>
  </si>
  <si>
    <t>…cónsul gene ral en Hamburgo. Dícese qüe el gobierno está descontento de la conducta que observó quando los rusos estuvieron en posesión de esta ciudad. Avisan de Copenhague que el general Doebeln, que sin orden del Prín cipe Real entró eí 21 de mayo erí Hamburgo con las tropas de su mando, fue juzgado, por un consejo de guerra, que le condenó el 10 de este mes á la pena acostumbrada en el caso de desobediencia, esto es, á ser arcabucea do. En la sente…</t>
  </si>
  <si>
    <t>Dohna</t>
  </si>
  <si>
    <t>…existente en las islas de Zelandia y Fuhnen debe re unirse en esta semana, y executar grandes maniobras en las cercanías de esta capital. Mr. Lisakewelsch, ministro de Rusia, y el conde Dohna, de Prusia, permanecen aun aqui. — Háblase de mutación en el ministerio , aun que probablemente es sin fundamento-----El almirante Dorcum ha vuelto aquí con todos los marineros nuestros que servían en Ja esquadra francesa de Fiesinga. Del 22. El benigno acogi…</t>
  </si>
  <si>
    <t>Doianberg</t>
  </si>
  <si>
    <t>…éis érán el difquéfdé Brunsivicls- Oels, qde desembarca en el continente con grandes proyectos, y que apenas hizo mi iñage desdé Stralsund. hastar Reichetnbaeh en la Silesia, y el general Doianberg. Dicen que este último se desavino completamente con el general Tetténborn. El duque de'Cumberland se; halla en Stralsund después dé haber estado en el quartel general de los rusoís. Mientras permaneció- en. Alemania‘casi siémpré-ha estadio fea Strelitzv - -…</t>
  </si>
  <si>
    <t>Dolgorncky</t>
  </si>
  <si>
    <t>…ia no es tan inexplicable como se cree en Inglaterra. La indecisión del gabinete ruso produxo la ¡ncertidumbre de las medidas de nuestra corte. En vista de la extraña conducta del príncipe Dolgorncky en Copenhague, el Príncipe Real no podia avanzar su fuerza principal mientras no se declarase decididamente el Emperador de (1) Esto no debe sorprehender á los que sepan que la aspereza del camino que tomó el general París es tal, que ni aun permite caballerí…</t>
  </si>
  <si>
    <t>Dolgoroucky</t>
  </si>
  <si>
    <t>…colonias en Europa con perjuicio de Franela i” V iéndo se por tanto en. la imposibilidad de reducir al Rei; de* Dinamarca á que acep tase una. idea tan extravagante, se envió al. príncipe Dolgoroucky á Copen hague para pedir al Rei que hiciese causa: común con los aliados, obligándo se éstos á garantir la integridad de la* Dinamarca, y aun* de la Noruega. Lo* crítico de las circunstancias, la distancia en que se hallaban ’los exércitos. franceses el pelig…</t>
  </si>
  <si>
    <t>…Dinamarca. Al mismo tiempo se empleaba un lenguage semejante con el conde Mol lee, enviado de Dinamarca en la corte del Emperador Alexandro; y se des aprobó lo que había hecho ei príncipe Dolgoroucky, como .-si hubiese exce dido sus poderes. En este tiempo fue quando los dinamarqueses hicieron su declaración al exército francés, y empezaron algunas hostilidades. En vano se abrirán jós anales de las naciones para hallar en ellos exemplo de tan corrompida p…</t>
  </si>
  <si>
    <t>Dolgorowskj</t>
  </si>
  <si>
    <t>…A DE LAS ESP AÑAS DEL JUEVES 13 DE MAYO DE 1813. DINAMARCA. Lúbech 31 de Meno. Escriben de Copenhague con fecha de §9 del corriente qué aun Permanece allí el teniente general ruso príncipe Dolgorowskj. También se halla en aquella corte el general sueco conde Axil Moiner, gran cruz de la orden de la Espada. Según noticias fidedignas, el conde Oírlos Molki ha salido de dicha capital con pliegos de grande importancia para el emperador Alexandro. El teniente F…</t>
  </si>
  <si>
    <t>Dolí, Gerónimo</t>
  </si>
  <si>
    <t>Gerónimo Dolí</t>
  </si>
  <si>
    <t>230 haberla sancionado Fr. D. Gerónimo Dolí , recibidor de ía orden de S. Juan en Aragón ; el ayuntamiento constitucional de Xerez de la Frontera y el de Zamora.— El 19 se presentó el testimonio de ha* ber jurado la constitución D Diego María B&amp;diilu, ministro del su premo tribunal de Justicia. En el m…</t>
  </si>
  <si>
    <t>Doltan</t>
  </si>
  <si>
    <t>…a, se le devolvió abierto al conductor con pasaporte para que le pusiese en manos de José , asegurándole que queraba enterad- . Otro llegó el 3, que fué en derechura á la casa del gobernador Doltan : se ignora el contenido de entrambos ; pero se sabe que en las dos noches hubo consejo en palacio, de cuyas resultas salieron algunos equipages. En la noche del 6 fueron arrestados varios sugetos extrangeros que estaban al servicio del intruso , los cuales ,…</t>
  </si>
  <si>
    <t>Dombro.wskideféudió</t>
  </si>
  <si>
    <t>Gaceta de Madrid n.º 27</t>
  </si>
  <si>
    <t>…Volhyma-desde el dé operación de Minsk , y tomopprfexe de opera |6 había tomado el cáminpde; Minsk f/y: marchaba ciones la de Varsóvia. El Emperador, informado hacia BoriSow. El &gt; general Dombro.wskideféudió el 9 en Smolensko de esta mudanza de línea,.pre-&gt; la cabeza ¡del puente-de. Bórisów con y&amp; Hombres, sumió lo que haría el enemigo. Asi .piles aunque el hasta, que el dia 23**0 vió precisado á abandonar tiempo era tan .riguroso, era indispensable ponerse esta…</t>
  </si>
  <si>
    <t>Dombrorvski</t>
  </si>
  <si>
    <t>…ks tropas en frente dei exército de Silesia sobre el Partía ; el sexto cuerpo en Schoníeld, el tercero y-séptimo á lo largo d i Partha en NeutschyTetkla. El duque de Pad a con ei general Dombrorvski guardaba la. posición y el arrabal de Liipsick sobre el camino de Halle. A las 3 de la mañana el emperador estaba en la aldea de Lindenau : mandó al general Bertranú que se dirigiére sol.re Lutzen y Wekseufels , despejase la llanura, y asegurase las avenidas…</t>
  </si>
  <si>
    <t>Dombrousky</t>
  </si>
  <si>
    <t>…conde Bonnet. — El conde Molitor. — El conde Friant. — El conde Legrand. Los polacos, reducidos á 15$, están en Pirna, mandados por el príncipe Poniatowsky, y la caballería por el general Dombrousky.. ESPAÑA. Vinar o z 16 de Setiembre. El 13 por la noche atacó Sucliet con 20® hombres á la tercera' división de este exército y al de los aliados que estaban en Villafranca; estos con dicha división se replegaron á los campos de Odal, donde siguió el fuego qu…</t>
  </si>
  <si>
    <t>Domenech, Agapito</t>
  </si>
  <si>
    <t>Agapito Domenech</t>
  </si>
  <si>
    <t>…te ofrezco el Para el de Alberique , vacante por ascenso de «mejor de los que tengo, para que le monte un D. Pedro Lazcano á ia vicaría mayor de Murvíedro, »&gt; soldado valeroso.” á D. Agapito Domenech, cura párroco del Rafol Ayer 26 celebraron una jnnta general los vina de Almunia. teros de París, y acordaron en ella la oferta de xo Para el del Arrabal de S. Felipe, vacante por caballos equipados á su costa. En seguida suplica promoción de D. Manuel Antoni…</t>
  </si>
  <si>
    <t>Domenech, Joaquín García</t>
  </si>
  <si>
    <t>Joaquín García Domenech</t>
  </si>
  <si>
    <t>…haga una parte de la seguridad dei-trono! Nuestro Señor guarde la interesante vida de V. M. por muchos años. Tafalla 15 de febrero de 1813. ss francisco Espoz y Mina (1). . - . ' D. Joaquín García Domenech, gefe político superior en comisión de Madrid y su provincia. A LOS MADRILEÑOS. Ciudadanos: condecorado por la Regencia del reino con el sublime cargo de gefe polítieo superior de esta provincia, me presento á vosotros lleno de los mas puros sentimientos de q…</t>
  </si>
  <si>
    <t>…iguo médico de la real familia, y el. texce-r ro de secretario vocal, actuar y certificar los actos de la subdelegacion. Habiéndose instalado, previo el cumplimiento y auxilio del señor Don Joaquín García Domenech , gefe superior político de esta provincia, la sub delegacion interina de Medicina expresada , se avisa á todos los doctores y bachilleres en medicina que aspiren al examen y aprobación y obtención dei título legítimo, válido y legal para exercer la medicina…</t>
  </si>
  <si>
    <t>…rsonas y Iss própiedades. Amad al Soberano y á Ía patria , y la victoria será con vosotros. = Augereau. = En el cam po de Wurtzburgo i.° de julio de 1813.” = ; Madrid 50 deagosto. Don Joaquín García Domenech, gefe político superior en comisión de .Madrid, y su provincial ; , v «h ' * . A LOS HABITANTES DE MADRID. Ciudadanos: la. religión y la humanidad os ilaman imperiosamente; y yo os hablo .segunda vez- en ^n nombre. Ei hospital general de esta corte ha lle gad…</t>
  </si>
  <si>
    <t>…so, reimpreso en Madrid en 8.°, se vende á 12 quartos en la librería de Quiroga, calle de las Car retas, casa de la fonda del Angel. . Satisfacción que da al público y al gobierno D. Joaquín García Domenech# gefe político superior en comisión de Madrid y su provincia, sobre lo que acerca de sus procedimientos se dice en un impreso intitulado Carta fresca, que se publi có en Madrid en 23 de agosto de este año. Se hallará en la librería de Perez, calle de las Carr…</t>
  </si>
  <si>
    <t>…veer por el ayun tamiento de dicha villa, dirigirán á. él sus memoriales'por mano de D. Antonio Hernández, procurador síndico general de.dicha villa de Brihuega. Inadvertencia del Sr. D. Joaquín García Domenech, gefe político superior en comisión de Madrid y su provincia,,en la satisfacción que da al público y algo-* bierno sobre lo que acerca de sus procedimientos dixo D. Pedro Sainz.{je.Baranda en su Carta fresca, y exposición de lo que á jcstejpcprre ¿sobre dicha…</t>
  </si>
  <si>
    <t>Domenech, Joaquín Garda</t>
  </si>
  <si>
    <t>Joaquín Garda Domenech</t>
  </si>
  <si>
    <t>…te , los quales concurrirán, á la junta de provincia para la elección de diputados para las próximas Corees ordinarias y diputación provincial. Presidente. El señor gefe político D. Joaquín Garda Domenech.</t>
  </si>
  <si>
    <t>Domhrowskjr</t>
  </si>
  <si>
    <t>…os condes Laborde, Loison,Boaiíet„ Molitor, Friant y Legrand. * - Los polacos, reducidos á 15® hombres, están enPirna ^mandados pop el príncipe Poniatowsky, y la caballería por el general Domhrowskjr. ; - Berlín 14 de agosto. Gas i todas las tropas suecas están en nuestras cer*c canias. CzernichefF permanecerá probablemente,junto á Dormí tz, y. o«&lt;y* cuerpo de caballería pasará el Elba por las inmediaciones de Targeraundia* * No hai tropas en los territor…</t>
  </si>
  <si>
    <t>Domiguez, Tomas</t>
  </si>
  <si>
    <t>Tomas Domiguez</t>
  </si>
  <si>
    <t>…clase Mnrray, cuartel maestre general; de todos los oficiales de estado mayor, y de mi familia. Remito á V. E. estos detalles por el tenien te del regimiento de dragones de Madrid D. Tomas Domiguez, ede cán del general Freyre; y ruego á V. E. me permita recomendarle á su protección. s= Dios guarde á V. E. muchos años. Lesaca 2»de Setiem bre de 1813.“ Wellingten, duque de Ciudad Rodrigo. = Excmo. Sr. D. Juan Odonojti. = Es copia” Núm. 2.® Parte del gener…</t>
  </si>
  <si>
    <t>Domin</t>
  </si>
  <si>
    <t>…etrado de primera instancia en esta villa, y por la escribanía del número de D. Josef Antonio Canosa, se ha llan radicados ios autos de testamentaría formados por fallecimiento de D. Domin go de la Peña y Doña Alexandra Caballero, legítimos consortes, vecinos que fue ron de esta corte, natural el primero de la parroquia de Sta. María de Chabin, en el obispado de Mondoñedo, y la segunda de esta corte, verificado baxo el testa mento que en unión…</t>
  </si>
  <si>
    <t>Domín, Tomas</t>
  </si>
  <si>
    <t>Tomas Domín</t>
  </si>
  <si>
    <t>…o con singular denuedo, y recibió un balazo de consecuencia en esta empresa. ,, Llenaron su deber á completa satisfacción mía los capitanes Don Manuel dei Pozo y D. José Cacho, el teniente D. Tomas Domín guez, y el alférez D. Manuel Jácome, mis ayudantes de campo, desempeñando con valor conocido cuantos encargos puse á su cui dado: también se hallaron á mi inmediación durante toda la batalla los subtenientes D. Roque Jacinto Valle y D. Antonio Muñoz y Hervas,…</t>
  </si>
  <si>
    <t>Domingo</t>
  </si>
  <si>
    <t>…eio Ordovas, gradua do de teniente coronel, D. Juan Bautista Pousich y D, Felipe de Arco Agüero, este graduado de teniente coronel; á sargentos maya res de brigada á los capitanes D. Domingo de la Iglesia, D Juan Oromi, D. Antonio Ibarrola, D. Andrés Rodríguez, D Félix de Toda, D. Juan Pablo Sebastian, graduado de teniente coronel, Don Francisco Huarte y D. Andrés Arango; á capitanes á los tenientes D. Francisco Barreigua, D. Domingo Luis del Val…</t>
  </si>
  <si>
    <t>…os dos , y á falta de estos en sus hijos y sobrinos de la línea de.ambos; por lo que se cita, llama y emplaza á todos los hermanes y sobrinos respective que lo sean de los citados Don Domingo de la Peña y Doña Alexandra Caballero, que no han salido á estos aulos, comparezcan ante dicho señor juez y por la citada escribanía dentro del ter mino de 20 dias que por tres términos se les señala, y el último perentorio, con tados desde el día n del corri…</t>
  </si>
  <si>
    <t>Domingo, Miguel</t>
  </si>
  <si>
    <t>Miguel Domingo</t>
  </si>
  <si>
    <t>…el de Hervias al ex-franciscano D. Fran*tes puntos de ataque, se vio con la luz del dia que cisco Alcalde. los había evacuado, y que babia incendiado el al Para el de Arnedillo á D. Miguel Domingo del macén de la ciudad, donde habían quedado muchos Pozo, capellán de dicha villa. efectos á la retirada de nuestro exército. Al punto Para el de Bobadilla al ex-trinítario calzado Don se destacaron dos compañías de tropas escogidas y Pedro Crespo, teniente d…</t>
  </si>
  <si>
    <t>DomingoX'ago</t>
  </si>
  <si>
    <t>…........... ............ Sargento mayor.. D. Vicente María Jaudenes.,......... Benavente. Teniente............. D. Casto La-Rúa.,.......................... Idem. i; Otro.......... D. DomingoX'ago........................... Idem. b ■Subteniente........ D. Ventura,Lorenzo....................... Idem. . Id. en comisión...^ D. Juan Per£z.. Idem;. Teniente..... D. Manuel Muñiz.í.. 2.0 de Asturias. Capiran................ D. Manuel Rio Mayor....... . Corona…</t>
  </si>
  <si>
    <t>Domínguez, Angel</t>
  </si>
  <si>
    <t>Angel Domínguez</t>
  </si>
  <si>
    <t>…uando recibiendo aviso de que una partid?, enemiga de 60 infantes se dirigía á Valladolid, y estaba en la villa de Poza'dez . destaqué en perseguimiento de ella al ayu dante mayor D. Angel Domínguez con 40 hombres y orden de no descansar hasta dar caza á los enemigos, como lo verificó el 23 en el pueblo de Villalba de Adaja, atacándolos con tal denuedo y tan acertadas disposiciones que todos rindieron sus armas , menos 7 que fueron víctimas de su temerid…</t>
  </si>
  <si>
    <t>Domínguez, Josef</t>
  </si>
  <si>
    <t>Josef Domínguez</t>
  </si>
  <si>
    <t>…. D. Andrés del Peral, substituto segundo. D. Ventura Alcalde , alcalde. Barrio de Santa Isabel. I&gt;. Vicente Rodríguez , substiruto primero. D. Felipe Guelves, substituto segundo. D. Josef Domínguez, alcalde. D. Manuel de Cereceda , substituto primero. Barrio de Afligidos. D. Josef Vidal, substituto segundo. D. Pedro Cancio, a!calde. Barrio del Ave María. D. Andrés Aros, sub-tituto primero. D. Antonio Arnesto, alcalde. D. Santos Antolin , substituto stgu…</t>
  </si>
  <si>
    <t>Domínguez, Maaus’-</t>
  </si>
  <si>
    <t>Maaus’- Domínguez</t>
  </si>
  <si>
    <t>…por 8,90 D. Cosme Ximenea, id. por 8, 95. D. José Híílme, id. por 8 , 90. D. AguAin Rodrigues, id. por 8, 90. D. Manuel Caandia, id. por 8, 96. 1). Jo ;é Corrales, id. por 8, 9.5. D. Maaus’- Domínguez, ii. por 0,72. 1). Miguel Rodríguez, id. por 25; 300. D. Juan Bautista Garata , por una vez , 200. D. Juan G-.rc a de Ponte, id., 100. D. Mariano Vázquez de la Riva, id., 100. I). Manuel Vázquez de la Riva, id., 100. D. Manuel Luciano Ló pez, id.,, 100. D. Se…</t>
  </si>
  <si>
    <t>Domínguez, Tomas</t>
  </si>
  <si>
    <t>Tomas Domínguez</t>
  </si>
  <si>
    <t>…con un sin» guiar denuedo, y recibió un balazo de consecuencia en esta empresa. Llenaron su deber á completa satisfacción mia los capitanes D. Manuel del Pozo y D. Josef Cacho, el teniente D. Tomas Domínguez, y el alférez D. Manuel Jacome , mis ayudantes de campo , desempeñando con valor eo-: nocido quantos encargos:puse en su cuidado: también se hallaron á mi in—' mediación durante toda la batalla el teniente D. Joaquín de Velasco, y lossubtenientes D..Roque Jac…</t>
  </si>
  <si>
    <t>…clase Murray, quartel-maest regenerai; de todos los oficia les de estado mayor, y de mi familia. Remito á V. E. estos-detalles por el teniente del regimiento de dragones de Madrid D. Tomas Domínguez , ede cán del general Eréire; y ruego á V. Eí me permita recomendarle.á su pro tección. = Dios guarde á V. E. muchos años. Lesaca 2 de setiembre de 1813:= Wellington, duque de Ciudad-Rodrigó. = Excmo. Sr.D. Juan Odonojú¿= Es copia.” (Sí continuará.) "Estando…</t>
  </si>
  <si>
    <t>Domon</t>
  </si>
  <si>
    <t>…eral del exército grande ha traído diversos nom en otra sesión, después que hubiese tenido tiempo bramientos hechos por el Reí. para examinar debidamente los documentos justifi El barón Domon ha sido nombrado teniente ge cativos de ella. neral y capitán de la guardia real. Mr. Cárlos Grantdixo que no tenia interes por El señor Vicente Pignatelli Strougolli y el se que se llevase adelante la propuesta hecha á los in ñor Cattaneo, mariscales de camp…</t>
  </si>
  <si>
    <t>Don</t>
  </si>
  <si>
    <t>…sentarse al general del exército de reserva, ta delicadeza de sentimientos, si mi determinación conforme á la? órdenes de V. A. que les ha comu mereciere este nombre. He pedido at coronel Don nicado el gobernador de esta plaza. No he tenido á Francisco de la Peña, á quien V. A. ha encargado mi lado mas que al teniente coronel D. Manuel de me acompañe, me procure un coche en que pueda la Lastra, que ha recibido siete heridas en diteven- pasará Mála…</t>
  </si>
  <si>
    <t>Donkin</t>
  </si>
  <si>
    <t>…s españolas se portaron con gran va-; lor y orden, fueron ligeramente heridos el general, un oficial y 7 soldados. „En una partida reconocedora conducida el misma dia por el mayor general Donkin, el capitán Jacks y la tropa extrangera do caballería ligera, d teniente Miedonzsfii del departamento del ayu dante general, y el capitán Waldrop coa los granaderos del segundo batallón del regimiento 27 tuvieron la oportunidad de dar un ataque vigoroso contr…</t>
  </si>
  <si>
    <t>Donoughmore</t>
  </si>
  <si>
    <t>…te una petición al Pr íncipe Regente á fin de que S. A. se sirva interponer su media ción en favor de ios que profesan la religión católica en Irlanda; su plicándose á este fpi al lord Donoughmore que presente dicha soli citud en la Cámara de los Pares, y otra igual en la Cámara de los Comunes el muy honorable Henrique Grauatn. El paquebote americano la Minerva, al mando del capitán Wi lliams , ha llegado como parlamentario á'Liverpool, y en él viene M…</t>
  </si>
  <si>
    <t>Dor</t>
  </si>
  <si>
    <t>444</t>
  </si>
  <si>
    <t>444 gensteín han pasado ya el Elba; el uno por el centro á las órdenes del mayor general Dor berg, que se mueve con dirección á H-nnover; el mayor general Tettenborn por la derecha en camino de Bremen ; y por la izquierda el mayor gener&amp;l Czchernicheff con di rección á Bmr.swñ k , Lord WApele es el portador de estos pliegos : de aquí marcha á B rlin…</t>
  </si>
  <si>
    <t>Dorcum</t>
  </si>
  <si>
    <t>…tal. Mr. Lisakewelsch, ministro de Rusia, y el conde Dohna, de Prusia, permanecen aun aqui. — Háblase de mutación en el ministerio , aun que probablemente es sin fundamento-----El almirante Dorcum ha vuelto aquí con todos los marineros nuestros que servían en Ja esquadra francesa de Fiesinga. Del 22. El benigno acogimiento que hizo el Emperador Napoleón á Mr. Kaas ha producido aqui una sensación mui agradable. Según se dice S. M. se ex presó en los tér…</t>
  </si>
  <si>
    <t>Doria</t>
  </si>
  <si>
    <t>…t linebleau , y al tres magistrados nuestra satisfacción por el modo tiempo de firmarle, en cuya ceremonia habiendo con que llenan nuestros deseos en ía administración exercido el cardenal Doria las funciones de gran de justicia. maestro de ceremonias, nos le presentó, asi como Dado en nuestro palacio del Eiíseo-Napoleon también al papa, para que le firmáramos; hemos el 3 de abril de i8i3. = Firmado=:Napoleon. decretado y decretamos lo siguiente : 1.…</t>
  </si>
  <si>
    <t>Dornberg</t>
  </si>
  <si>
    <t>5</t>
  </si>
  <si>
    <t>…on eñ Viasma, y yo tam bién las que me ha dirigido. Da una razón exacta de todos los cuer pos de exército que ha visto. ,,Habiendo obtenido del emperador permiso para que el mayor general Dornberg sirva como voluntario en el exército del general conde Wittgenstein, he dado á este oficial general iguales instruc ciones qué á Sir Roberto Wilson y al lord Tyrconnel, y espero por el primer correo tener noticias de su cuartel general de este exército, ^Téng…</t>
  </si>
  <si>
    <t>…ia apoderado del pueblo de Luneburgo. ,,Este general, al frente de 3500 hombres , marchó desde Tostedt á Luneburgo. Mis cosacos siguieron sus movimientos, de los cuales informé al general Dornberg que habia pasado el Elba en</t>
  </si>
  <si>
    <t>Gaceta de Madrid n.º 128</t>
  </si>
  <si>
    <t>…emos podido salvar 17 personas, Las guarniciones de Thorn y de Modiin se ha entre las quales se hallan dos oficiales, uno de ellos llaban en mui buen estado. ayudante de campo del general Dornberg, que man Se liabia alejado el cuerpo que bloqueaba á Za- daba esta coluna. mosc. Parece ser que un cuerpo de tropas ligeras, com Las plazas de Stettin, Custrin y Glogau no es puesto de i© hombres de caballería y de 20 de in taban todavía sitiadas, y el enemig…</t>
  </si>
  <si>
    <t>…l cuerpo austríaco con dirección á Cracovia. Al Emperador Alexándro con sus guardias y al mariscal Kutusow con unos 20® hombres se les supone en el Oder. Los saxones en Torgau. El general Dornberg se hallaba en Hamburgo, y hacia excursiones entre el Elba y Wesser. Los generales prusianos Lecoq y Blúcher en el Saale. Los genera les'rusos Winzingerode y Wittgenstein en Leipaick. Del la. -tEsta mañana ha llegado una mala de Heligoland y'un correo de Cuxha…</t>
  </si>
  <si>
    <t>…mburgue ses estaban ya sin cuidado aun antes de la llegada de los suecos. Parece que hubo también un encuentro muy reñido en Veítzow entre los franceses y las tropas que manda, el general Dornberg, los primeros tuvieron de 60 á 70 muertos é igual, número de prisione ros , y perdieron ademas 26 caballos; los rusos solo tuvieron 2 ,hombres muertos y 6 heridos. Por parte de los aliados se empeñaron en ésta acción 3 batallóos de infantería y 3 escuadronas…</t>
  </si>
  <si>
    <t>Doronzoro, Nicolás</t>
  </si>
  <si>
    <t>Nicolás Doronzoro</t>
  </si>
  <si>
    <t>…perto Otero, teniente del de R-ivero; D. José María Carrillo, coronel, y D. Francisco Son Julián, capitán del segundo de Asturias; D. José Martínez ,'espitan del primero cántabro; D. Nicolás Doronzoro, teniente ; D. José Arana , subte niente del primero de Guipúzcoa. Les prisioneros son: D. Joaquín González, subteniente del se gundo de Asturias; D. Agustín Ber.itez, teniente del de la Constitu ción,; D. Agustín Berais, espitan del de Santiago ; D-José Marí…</t>
  </si>
  <si>
    <t>Dorregaray, Ambrosio</t>
  </si>
  <si>
    <t>Ambrosio Dorregaray</t>
  </si>
  <si>
    <t>…ón Marichalar, D. Juan Badina y D. Juan Francisco Zarimluqui: á ayudantes á D. Pascual Sanz, D. Domingo Olejua , Don Juan Esteban Anant, D. Juan Monton ,D. Ramón Díaz de Itarraza, D. Ambrosio Dorregaray, D. José Mari a Larcano j Joaquín Mezquiriz, D. Santiago Arizavala, Dj Ildefonso Zizur, D.José Pinilla y D. Pedro Brull .* á tenientes de granaderos y. cazadores á D. Isidoro IrachMta, D. Martin de Yoldi, D. Martin Gastón, D. Vicente Pe- rez, D; Pedro Osta, D…</t>
  </si>
  <si>
    <t>Dorrfenech, Joaquín García</t>
  </si>
  <si>
    <t>Joaquín García Dorrfenech</t>
  </si>
  <si>
    <t>…as , naciones ;¿pués este debe ser. el. voto-de todo hombre de bien-. En la tarde del domingo 6 dél corriente se presentó en está capital el se ñor gefe político de esta provincia D. Joaquín García Dorrfenech. ^ Considerando que el público leerá con satisfacción el detalle dé la bata lla dada por los rusos en ios dias 2 y, 3 de mayo próximo pasado sobre las orillas deí Elba, no .hemos querido demotar un momento la publicación de esta interesante noticia, Aunque la…</t>
  </si>
  <si>
    <t>Dotóme, Juan</t>
  </si>
  <si>
    <t>Juan Dotóme</t>
  </si>
  <si>
    <t>…geqeral del lord WelUiigtqn. ; ; Él quartel general de ios franceses por la parte del. Norte parece que se halla en Maguncia, y que Napoleón I13 {legado á París. ; ¡ Parte que el brigadier D. Juan Dotóme dirigió al general de la van guardia del quarto éxército D. Pedro Agustín (jirón después de la ac■ cion del dia 10 del corriente. ■ . Tengo el honor de participar á V. S. que en cumplimiento de sus órde nes-respecto al ataque de ayer al romper ei alba, en que…</t>
  </si>
  <si>
    <t>Dotx</t>
  </si>
  <si>
    <t>…e del de i,as'tropíasideh¿entro, fue contuso dos veces. : • • ■:&gt;, , L k . j Parte del señar duque de Ciudad-Rodrigo. „Excmo. Sn: incluyo á - V. E. el. parte que he recibido del i general Dotx</t>
  </si>
  <si>
    <t>Doumercy</t>
  </si>
  <si>
    <t>…egó á encenderse con fuer dia: siempre ha estado pronta para dirigirse adonde za; el enemigo quiso doblar-nuestra .derecha; eí- la'Uamaban íás cifcúnstánctas;-pero estas han sido, general Doumercy qne. mandaba la quinta divi— tales; que en jtodas laí ócasiótiés,ha bastado sola sq sion de coraceros, perténeciente al segundo cuerpo presencia, y liunca se há visto en necesidad de em ue quedó sr&gt;bre el Dwina, executó una" carga peñarse. ! n’ * e caballería…</t>
  </si>
  <si>
    <t>Doute</t>
  </si>
  <si>
    <t>Gaceta de Madrid n.º 114</t>
  </si>
  <si>
    <t>…flotas no podrían, como ahora sucede, Teumrse Una solemne misa y un Te D.-um se siguieron á en 1 labias; v no teniendo ningún asilo en el Nor esta ceremonia : la qu« hizo lucir el general Doute, «.carian por precisión de intestar nuestras eos— cet con una revista v varias evoluciones de sus tro— js, y todo el vecindario con diversos regocijos pá tas. como lo han h-vho últimamente. Es necesario pues arrojar al enemigo del continente, y no dexar Elleo…</t>
  </si>
  <si>
    <t>Dovvnie</t>
  </si>
  <si>
    <t>Ó2I Por cartas particulares sabemos que quando se le dio el mando de una coluna al brigadier Dovvnie,, solicitó que se le permitiese formarla de los tira dores de Pravia y del regimiento de Sevilla; su petición por este último no tuvo otro objeto que recordar ef nombre de aquella ciudad*, y el dia glorio so en que recibió sus heridas-, colocando - la bandera…</t>
  </si>
  <si>
    <t>…ado sobre mi frente y derecha, logró subir primero á la montaña que el enemigo de fendía, y en donde conservaba un reducto guarnecido por 6cr® hombres, del regimiento núm. 8S.° El brigadier Dovvnie, con su acostumbrado arrojo, atacó á las tropas que se hallaban fuera del reducto, las encerró en él; y considerando que seria mui conveniente envolver y cortar la comunicación con las masas enemigas que los sostenían, marchó a, atacarlas^ y jas persi guió en…</t>
  </si>
  <si>
    <t>Dowméjal</t>
  </si>
  <si>
    <t>…Bathurst: los lores Castlereash , Hampden , St. He eis y _ \ armouth : el coronel Bioomfield ; el teniente coronel Congreve; 1). Luis de los Ríos, hermano de nuestro embaxador; el brigadier Dowméjal servicio de Espa ña J ; D. Josef Alonso Ortiz, cónsul general de España, y. D. Mauricio,Ort¡z, secretario interino de la embaxada. (conciso.)</t>
  </si>
  <si>
    <t>Downie</t>
  </si>
  <si>
    <t>…os se halla en Bilbao , en donde di cen se detendrá algún tiempo. Parece que la peste de Malta continúa haciendo considerables estragos; el dia io de julio muriéronlo personas. Ei brigadier Downie ha sido nombrado comandante de la vanguardia del exércíto de reserva del conde del Abisbai; y el individuo del supremo tri bunal de Justicia D. Manuel Antonio de la Bodega y Mollinedo ha sido tam bién nombrado secretario del despacho de la Gobernación de ultr…</t>
  </si>
  <si>
    <t>…sión de mi mando á los enemigos que ocupaban las casas y parapetos situados entre. Larrum el pequeño y pueblo de Zara, dispuse que el batallón ligero de Navarra, á las órdenes del brigadier Downie, marchase á esta operación, dividido en las secciones que pareciese con'veniente, según el número de objetos que debiesen ocuparle en una misma línea. El batallón de Galicia servia de reserva al de Navarra, y el de Madrid k&gt; coloqué á la falda, cerca del mont…</t>
  </si>
  <si>
    <t>…imeras ca7 sas, las "abandono el enemigo* pero no sucedió asi con las demas, donde el enemigo opuso una fuerte resistencia, que venció con decidido valor y brir Jlante conducta el brigadier Downie y batallón de Navarra, obligando al enemigo á replegarse á Zara y atrincheramientos de aquella parte. Obser vando que el enemigo hacia baxar de la montaña tropas para atacar ini iz«r quierda,, ordene al coronel de Madrid D. Bartolomé de Obeso, que con su bata…</t>
  </si>
  <si>
    <t>…te en la operación de desalojar al enemigo de la falda del monte- Faltaría á mi deber sf no recomendase encarecidamen te á V. S. el capitañ D Roberto Steete, ayudante de campo del brigadier Downie, cuya conducta fue la: mas'bizarra en ía toma ’de ios-atrincheraníientos del enemigo, en cuyas'Operaciones le mataron el ¡jabalío de tres ■ ‘'■ • ; f. -balazos. - ' ': Los ayudantes del estadd mayor D. Josef María Pania^ua y D. Manuel Obregon, el primero enca…</t>
  </si>
  <si>
    <t>Downie, Juan</t>
  </si>
  <si>
    <t>Juan Downie</t>
  </si>
  <si>
    <t>48</t>
  </si>
  <si>
    <t>…del corriente me dice lo siguiente : „La Regencia del reyno se ha servido aprobar la creación de loados escuadrones de caballería ligera denominados de la legión Extremeña por ei brigadier D. Juan Downie ; y en su conseqüencia ha resuelto S. A. que á los oficiales y tropa de los referidos es cuadrones se les acredite el haber y raciones señaladas á la caba llería ligera en el reglamento de SO de Enero de 1803 , aprobado por S. M.” Trasladólo á Y. S. para su i…</t>
  </si>
  <si>
    <t>…igadier D. Miguel de Aleega para que-dirigién dose por la cordillera de'la derecha atacase el ala izquierda del in-’ dicado punto; El regimiento de Sevilla al cargo del brig idl r Don Juan Downie que faldeando la cañada atacase de frente , y el desta camento de zapadores con el regimiento de Pravia, al manco este de su coronel el brigadier D. Francisco Moreda , y aquél ai del capi tán D. Lorenzo Coello Lumpo á mi inmediaciorr en-calidad de res¿r-va pa…</t>
  </si>
  <si>
    <t>…cil citar los oficiales que se han distinguido; pero cuan do todos han cumplido altamente con su deber,, no seria justo callar que el mariscal de campo D. José Antonio Latorre, el brigadier Don Juan Downie, y el primer ayudante gefe del estado mayor general de la primera división D. Ja cobo Escario, han tenido la buena suerte de sobresalir entre los valientes. Adjunto tengo el honor de inclnir á V. E. el estado de las pérdi das. Debe ser sensible la de tañ os b…</t>
  </si>
  <si>
    <t>Doyle</t>
  </si>
  <si>
    <t>…r Éanile, el que sin destino alguno en este exército, y solo tpór afición militar, me. ha acom pañado todo el tiempo de la acción ; y asimismo al capitán del depósito mi litar del general Doyle D. Roberto Steele, quien ha desempeñado á mi sa tisfacción las funciones de edecán,, llevando aviso^íjh)a coluna. inglesa qüe cubría mi flanco izquierdo. Espero que V.. S, eje v^rá .estas recomendaciones á la consideración del señor general en gefe, á i5n,a;e que no se oculte…</t>
  </si>
  <si>
    <t>Dr</t>
  </si>
  <si>
    <t>18</t>
  </si>
  <si>
    <t>…prisioneros á un general, al cuartel-maestre-general del exército francés Sansón , y 700 soldados. „En cumplimiento de las órdenes de V. E. envié 5 regimientos al mando del mayor general Dr&amp;kow, por el camino de Smolensko, para acosar y perseguir al enemigo: al mismo tiempo marchan apre suradamente otras fuerzas con dirección á Duchkontschin, á fin de destruir Jas reliquias de aquel; y después, con aprobación de V. B., tomaré el rumbo por la izq…</t>
  </si>
  <si>
    <t>…si, á fin de que dentro de 30 dias, contados desde 23 de este mes, comparezca dicho D. Prudencio, la persona que tenga ínteres en sus bienes, ó la que sepa de su paradero, ante el Sr. Dr. D. Francisco Assin, juez letrado de primer^ instancia de esta capital,-y escribanía del número de D. Cris tóbal de Vicuña, mereciendo á qualquiera persona que sepa de su paradero ó muerte lo comunique, por interesar saberlo para la cobranza de ciertas pensio…</t>
  </si>
  <si>
    <t>…supremo tribunal de Jus ticia , natural de la ciudad de Molina. Sr. D. ManueLManrique, canónigo de la santa iglesia catedral de Cuen ca , natural de la villa de Atienza. Suplente. Sr. Dr. D. Nicolás Escudero, canónigo dignidad de la santa iglesia ma gistral de Alcalá de Henares, natural de Tartanedo. Diputación provincial. i.° Sr. D. Jp?qu in; Montesoro, caballero de la real y distinguida orden española, de Cárlos ni* vecino de la ciudad de M…</t>
  </si>
  <si>
    <t>Drckson</t>
  </si>
  <si>
    <t>…do dando todo el auxilio que Ies ha sido posible; y el teñirme general Sir Tomas Grabam recomienda particularmente al espité'n )3ioyt: de la Lyra y al espiten Smith; y el teniente coronel Drckson, comándeme de la urdlietía, me ha dado parte de que el teTihnte O-IleiJiy de la fragata Sur venían te , que mandaba los msrx-</t>
  </si>
  <si>
    <t>Drcvetou</t>
  </si>
  <si>
    <t>Gazeta de la Regencia de las Españas n.º 41</t>
  </si>
  <si>
    <t>335</t>
  </si>
  <si>
    <t>…tos, que son suizos , holandeses, italianos y algunos franceses, van para Francia, así como algunos otros regimientos que han elegido parala guardia del emperador. Ya con estos el general Drcvetou, que fué el que sostuvo el fuerte. También han salido otras tropas para recibir el convoy que viene de Vitoria. „Hoy nos dicen que Mina ha cogido la guarnición de Tafalla con 6G00 ro' os de trigo (1), otTos tantos de cebada, 2000 fúsiles y mu cho dinero. La m…</t>
  </si>
  <si>
    <t>Drobaeh</t>
  </si>
  <si>
    <t>…as, y el ma riscal elogia la cenducts del regimiento portugués núm. 9 , del man do del coronel Sutton, en la primera operado», y la del nám. ix de cazadores del mando del teniente coronel Drobaeh en ámbas. «Los últimos partes que he recibido de Cataluña so» de fecha de 3 del corriente, y según ellos, nada importante había ocurrido por aquella parte. Dios guarde á V. E. muchos años. S. Juan de Luz 22 de Noviembre de 1813. =2 Wellington^ duque de Ciudad…</t>
  </si>
  <si>
    <t>Drouet</t>
  </si>
  <si>
    <t>…da. Las relaciones francesas dicen que el emperador, queriendo re forzar las baterías de la división de Girard , envió 12 piezas de la artillería de los» guardias, mandadas por el general Drouet. Sin em bargo, los franceses entraron en la llanura, y los respectivos exércitos hicieron los movimientos, que empeñaron la batalla de Lut zen el dia 2 : batalla dada en la misma llanura en donde en 1632 combatió y murió Gustavo el Grande en los mismos brazos…</t>
  </si>
  <si>
    <t>…de la misma guardia para apoderarse de un gran bosque, que está á la izquierda de la aldea. Al mismo tiempo hizo avanzar sobre el centro una batería de 150 piezas , que dirigió el general Drouet. La combinación de estas disposiciones tuvo el suceso que se esperaba. El enemlso con su artillería se retiró, y quedó por nosotros todo el campo de bataíla. . _ Eran las tres de la tarde quando todas las tropas deí enemigo estaban em peñadas en da acción. Re…</t>
  </si>
  <si>
    <t>…Restablecidas asi las cosas por nuestra derecha, el enemigo se puso en re tirada, y no se nos disputó el campo de batalla. Los cañones de la reserva de la guardia, que mandaba el general Drouet, estaban con los tiradores: (a caballería enemiga vino á cargarlos. Los artille ros colocaron en quadro las piezas que habían tenido ía precaución de car gar á metralla, y tiraron con tanta agilidad¿ querel enemigo fue rechazado en un instante. En este interm…</t>
  </si>
  <si>
    <t>…dor al general Curia! que marchase á paso de carga sobre el enemigo con dos batallones de cazadores de la guardia antigua, y que le arrojase hasta mas allá de la desembocadura: ai general Drouet que saliese inmediatamente con 50 cañones; y al general Nansouty que con todo el cuerpo del general Sebastian! y con la caballería de la guardia antigua atacase vigorosamente al enemigo en la llanura. Executáronse exactamente todas estas disposiciones. El gen…</t>
  </si>
  <si>
    <t>Drouot</t>
  </si>
  <si>
    <t>…proximase sin ser visto ai enemigo, le atacase, le arrollase, volviese á tomar el pueblo, y pa sase á cuchillo quanto se hallara en él. Al mismo tiempo S. M. inando á su edecán el general Drouot, oficial de artillería inui distinguido, que reuniera lina batería de 80 piezas, y la colocará delante de la guardia antigua, la que se formó en escalones., presentando tyia especie de reductos para soste ner el centro, mientras que toda la caballería quedaba…</t>
  </si>
  <si>
    <t>Dsuizow</t>
  </si>
  <si>
    <t>…de J eszno á Prenp, cargó al enemigo en este pueblo , le atacó por do3 lados, le arrolló, é hizo prisioneros 5 oficiales y ISO soldados. Otra partida , á las ór denes del teniente coronel Dsuizow, destacada sobre la orilla dere cha del Niemen, atacó 'al enemigo á-bayoneta cerca de Pouny,y le hizo 217 prisioneros. Habiendo después pasado el Niemen esta misma partida, ocupó la posición de Balberchick. Entre tanto el ma yor general Landskoy abrió el cami…</t>
  </si>
  <si>
    <t>Dubas</t>
  </si>
  <si>
    <t>…dida consiste en tres oficiales muertos y en 30 soldados fuera de combate. En el número de los oficiales se cuenta al coronel Paluccí, que se distinguió en la acción ,y también al coronel Dubas, que fue herido leveme te. Según la relación del general Pino, el general Palombini mantuvo aqu dia la reputación que ha adquirido en España. El general Perremonde dio un brillante ataque al frente del regimi- • 3.0 de cazadores italianos. El general Nugent m…</t>
  </si>
  <si>
    <t>Dubistch</t>
  </si>
  <si>
    <t>…l general Massenbach, quedarán comprehendidas en este convenio las tropas que este manda. 6.Q Igualmente serán compreliendidos los prisioneros qüe hicie ren los rusos al mando del general Dubistch en las tropas que man da el general Massenbach. «</t>
  </si>
  <si>
    <t>Dubitsch</t>
  </si>
  <si>
    <t>…á las órdenes de aquel serán comprehondidas en el presente tratado. Por el sexto se estipuló que sean también cemprehendidos en es te tratado los prisioneros que hubiere hecho el general Dubitsch. Finalmente se convino, por el séptimo artículo, en que los pru sianos arreglen con las administraciones de su territorio, aun del que fuere ocupado por las tropas rusas, todo cuanto diga relación con su abastecimiento. Las noticias de París alcanzan hasta el…</t>
  </si>
  <si>
    <t>Dubontdieu</t>
  </si>
  <si>
    <t>…as con aspilleras á la derecha del Bidasoa; pero el general D. redro Agus tín Girón, habiendo enviado alguna artillería española, y habiendo pasado en apoyo de esta la brigada del capitán Dubontdieu , del calibre de á nueve, el fuego de estos cañones obligó al enemigo á evacuar y volar la casa, y a quemar el puente. Sir Tomas Graham refiere que en todas estas acciones las tropas españolas se han portado perfectamente bien. ,,La guarnición de Paságes, que…</t>
  </si>
  <si>
    <t>Dubourdieu</t>
  </si>
  <si>
    <t>…, y solicité del señor general comandante de las tropas inglesas en Oyarzun me enviase una compañía de la misma arma; lo que verificó inmediatamen te, siendo esta 1a del mando del capitán Dubourdieu.</t>
  </si>
  <si>
    <t>…ación circunstanciada de esta acción, que rogaré á V. E. se publique. ,,Debo igualmente recomendar á V. E. al capitán Puente, oficiales y tropa dé sú compañía, y hacer elogios del capitán Dubourdieu, al servicio de S. M. Británica, de su oficialidad y tropa. El sargento mayor del quarto esquadron de artillería á caballo D. Juan Loriga, no contento con llenar sus deberes tan bizarramente como acostumbra en la batería, marchó á la ca beza de los tiradores…</t>
  </si>
  <si>
    <t>…e, y solicité del Sr. general comandante de las tropas inglesas en Oyarzun me enviase una com pañía de la misma arma , lo que verificó inmediatamente, siendo esta la del mando del capitán Dubourdieu. wLas baterías se establecieron ¿ 6 hice situar las tropas en dispo-</t>
  </si>
  <si>
    <t>Dubourdieual</t>
  </si>
  <si>
    <t>…n circuns tanciada de esta acción, que rogaré á V. E. se publique.* » Debo igualmente recomendar á V. E- al capitán Puente, ofi ciales y tropa de su compañía , y hacer elogios del capitán Dubourdieual servicio de S. M. B., de su oficialidad y tropa. El sargen to mayor del cuarto escuadrón de artillería á caballo D. Juan Lo riga , no contento con llenar sus deberes, tan bizarramente como acos tumbra, en la batería, marchó a la cabeza de los tiradores, que f…</t>
  </si>
  <si>
    <t>Dubre-</t>
  </si>
  <si>
    <t>…a de gefe del empezaron á poner blindages en las ouertas y resal estado mayor , y Mr. Pinot , gefe del batallón de tos del almacén de la pólvora. ingenieros , han ayudado mucho al general Dubre- La guarnición ha probado á formarse algunos ton. liste último ha hecho servicios inui importan abrigos en los sitios que cada cuerpo debe defender.; tes ; multiplicó los medios de defensa ; inventó otros Las baterías del fuerte dé la Blanca se han puesto nuevos,…</t>
  </si>
  <si>
    <t>Dubreton</t>
  </si>
  <si>
    <t>…. paciencia y fortaleza, desque, obra. Estos dos puestos se ocuparon por la compa la.daban excmplosus gefes; sobre todo, al entusias ñía de granaderos del regimiento -rao.3 mo del general Dubreton, del que ha dado la pruer Se continuó la empalizada de la gola de la obrrba en su constancia, se debe la dé esta defensa. de S. Miguel, que aun no se había concluido. Se Air. el mayor Sainr-Hiiaire, que; hacia de gefe del empezaron á poner blindages en las ou…</t>
  </si>
  <si>
    <t>…iones ó de resultas de sus do Serrano. heridas 304. Para el de Medrano al ex-agustino calzado Don Castillo de Burgos 23 de octubre de 1812.= Cecilio Samaniego. Firmado =el general comandante Dubreton. Para el de Baños de Riotobia al ex-franciscano D.F rancisco Sauz. Para el de Hornillos al ex-franciscano D. Ma ESPAÑA. nuel Robles. Para el de Zihuri al ex-premostratense D. Ju Madrid 7 de enera. lián González de Uriarte. Extracto de las minutas de la secret…</t>
  </si>
  <si>
    <t>…de San Miguel taron bastante á la plaza de Santoña los insurgentes de Aras, adonde ha llegado hoi, llevando delante y los ingleses, cerrándola todas sus comunicacio ia brigada del general Dubreton hasta Barcena y nes, y haciendo quantos esfuerzos pudieron para Escalante. Mañana entrará eni la plaza un rebaño obligarla á rendirse. Ya en liu se preparaban á con de 200. bueyes. La división Dumoustier, ocupa -á vertir el bloqueo en sitio; juntaban todas su…</t>
  </si>
  <si>
    <t>Duca</t>
  </si>
  <si>
    <t>…e Von Reuss.__:El quarto exér cito está en Steyermark á las ordenes del general Hiiler, que tiene su quar tel general en Pittau; y en Presburgo se junta un exército de reserva. El general Duca está ya nombrado para acompañar á S. M. Aunque todos los exércitos están ya reunidos, y el tránsito de grandes cuerpos de tropas sea mucho menor, sin embargo venios pasar continuamente destacamentos de centenares de hombres, y no hai dia en que no desfilen gr…</t>
  </si>
  <si>
    <t>Ducargas, Antonio</t>
  </si>
  <si>
    <t>Antonio Ducargas</t>
  </si>
  <si>
    <t>…égn jncanjsablpj,contra ella/sus', Cr(iz, casa:nfitn. ijy pari'‘celebrar fina junta general rigentes y crueldad^* y -Poae,sobre ..sus hombre- de acreedores'á los bienés/déTHifunto D. Antonio Ducargas .tan enormes* que la hace caer baxo de su ran j’Calderón, maestro tjuefife de coches de' la'real peso. ¿Y quál es el.róotivo de tan,bárbaro trató?, casa; y por: medio de este *víso seles cita y-era piaba pa- &gt; . El morivo es queriendo.catolip^^s tres quar-, r…</t>
  </si>
  <si>
    <t>Duckworth</t>
  </si>
  <si>
    <t>…ven de mas que á dos sueldos.’’ De este modo los coci brado comandante en gefe de t»s fuerzas navales de neros de la metrópoli han podido dar su parecer som Terranova en lugar del almirante Duckworth. : - Las • pe tic-iones del- consejo -de la ciudad,v opo bre esta composición extraordinaria, asi como tais-</t>
  </si>
  <si>
    <t>Duery</t>
  </si>
  <si>
    <t>…ld-mariscal Aloys Von Lichtenstein, los tenientes coroneles Lemony, Lopefte y Czorich , que «e distinguió particuferMente en el principio de la acción, el ma yor Luis Geypert y el capitán Duery tuvieron ocasión de distinguirse con particularidad-----Los exércitos se hallan en la actualidad animados del mis mo espíritu. S, M. I. envió al general d,e artillería conde de Colloredo en la roche siguiente después de la batalla lá cruz de la orden militar…</t>
  </si>
  <si>
    <t>Duff, IX Diego</t>
  </si>
  <si>
    <t>IX Diego Duff</t>
  </si>
  <si>
    <t>Gazeta de la Regencia de las Españas n.º 123 (extraordinaria)</t>
  </si>
  <si>
    <t>*022 go el honor de ser &amp;c, &amp;c, &amp;c. — Cofín Campbell, teniente general y teniente go bernador.——Señor IX Diego Duff, cónsul general de S. M. B» Cádiz. — Es traduc ción. —Are fule hin,’ CADIZ: IMTB.ENTA NACIONAL: t</t>
  </si>
  <si>
    <t>Duflf, Diego</t>
  </si>
  <si>
    <t>Diego Duflf</t>
  </si>
  <si>
    <t>Gazeta de Madrid bajo el Gobierno de la Regencia n.º 49 (extraordinaria)</t>
  </si>
  <si>
    <t>…Tient9 p?r^ esp^t qnelacausade alarma; oq pasa de los males peculiares á la esta£ÍQn.jTe.ugQ:£l-honorjdr&gt;fer^&amp;c.,&amp;c« &amp;&amp; rrCotin Campbell, teniente general y teniente gobernador. = Sr. D. Diego Duflf, cónsul general ^de.iScM. Británica.=Cádiz. = Es traducción.=Archdekin.” -.■■.'V j- ** ‘ ■?, ■ ■ ■■?'* yT**1- - v ^ V i.' ' * , i ' v„ * ■ ''■■I''’'' Vs 'fcVL » '.-.s ■**'■.! &gt;'•' ‘ 1• -‘.v'j AílWt‘»Í.. .1; (¿. !•!' Vi «'-* 1. EN LA IMPRENTA NACIONAL.</t>
  </si>
  <si>
    <t>Duka</t>
  </si>
  <si>
    <t>…que acompañan al Emperador de Austria. Entre otros personajes vendrán aquí el mayordomo mayor, conde de Urbna; el caballerizo mayor., conde Traumansdorf; el general de artillería, barón Duka; el teniente fe Id* mariscal Kutscher; el conde Metternich, secretario de Guerra; el barón Bmder; Mr. de Floret; lord Aberdeen, embaxador ingles; el barón HumboJdt, enviado prusiano; el barón Bildt, enviado sueco; el condeCollowrath , gran burgrave de Bohemia…</t>
  </si>
  <si>
    <t>Dukloy</t>
  </si>
  <si>
    <t>…~-or todos lados á guarne er las plazas, dexando así libre ti exércit?. No dexa de advertir que todas las plazas fuerteuse estaban preparando' y abas teciéndose de provisiones: el general Dukloy revisaba 2©o bocas de fuego y Sorbier ico baterías. Deteste modo concluye la última relación que t:nomos de los exércitos de Bonaparte ; y por mas que .pretenda encubrir sus pérdi das y exagerar sus preparativos, por confi-ion suya se echa ce ver á que est do…</t>
  </si>
  <si>
    <t>Dulauloy</t>
  </si>
  <si>
    <t>…e barrenasen el gran puente que está entre Leipsick y Lindenau para volarle al último momento, retardando asi la marcha del enemigo, y dexand© á los bagages tiempo de desfilar. El general Dulauloy habia encargado de esta operación al coronel Montfort. Este coronel, en vez de permanecer en aquel lugar para dirigirla y dar la señal, mandó á un cabo y quatro zapadores que hiciesen volar el puente al momento que el enemigo se presentase. El cabo, hombre si…</t>
  </si>
  <si>
    <t>Dulaulóy</t>
  </si>
  <si>
    <t>…e Leipñek y Lindenau, con ob jeto de volarlo en el último memento; retardar de este me do la marcha al enemigo, y proporcionar á los bagages el tiempo necesa rio para desfilar. EL general Dulaulóy encargo esta operación al co ronel Monfort. E te cororel, en vez de permanecer en el puesto para dirigir dicha opera ion y dar la señal, m.ndó á un cabo y á 4 zapadores que hiciesen volar el puente luego que el enemigo se presentase. El cabo, hombre, igco ant…</t>
  </si>
  <si>
    <t>Dumas</t>
  </si>
  <si>
    <t>…gado aquí•, el general Bonos, y que siempre han resplandecido en los mo yeldieu ha partido para' Leipsick, y el intendente mentos de peligro, tantos jóvenes valerosos como general conde Dumas para Francfort sobre el Oder.</t>
  </si>
  <si>
    <t>Dumonceau</t>
  </si>
  <si>
    <t>…otes que estaban prevenidos para pasar el rio. El mo vimiento del exército grande ha causado gran consternación en Hamburgo: los traidores ven ya próximo el dia de la venganza. El general Dumonceau estaba en Luneburgo. En la batalja del 2 de mayo lps oficiales de órdenes Beringer y Preili fueron levemente heridos. Del 14. S. M. &amp;c. regente ha recibido el siguiente parte del estado de los exárcitos hasta la mañana del 9. ; El dia. 7 el quartei general de…</t>
  </si>
  <si>
    <t>…en el discurso de su marcha; pero fueron inútiles todos los esfuerzos para hacer pasar la artillería.___El general Ornano desembocó en las alturas de Petterswalde, mientras que el general Dumonceau llegó allí desde Hollen^ dorf. Hicimos algunos centenares de prisioneros, inclusos varios oficiales. El enemigo rehusó constantemente la batalla, y se retiró con precipitación en todas direcciones. _ El 11 volvió el Emperador á Dresde (2). (O Pirna está situa…</t>
  </si>
  <si>
    <t>Dumoustier</t>
  </si>
  <si>
    <t>…a entre la Castilla y la Vizcaya. Parts aj He enero. „E1 i:° de enero salimos de Bilbao; el general Vandermaessen llegó este mismo día á Arciniega, y . ■ .Ministerio de Guerra. el general Dumoustier á Llodio; el 2 pasó aquel á Vitíasana, y este ¿'Arciniega. El general Vauder- Exército del norte de España. maessén permaneció los dias 3 y 4 en Villasana, Quando por. el mes de setiembre último el ge acopiando víveres, y juntando bueyes para llevar neral Cat…</t>
  </si>
  <si>
    <t>Dumoutier</t>
  </si>
  <si>
    <t>…general conde Schwalow, ayudante de campo del Emperador ,.y Mr. de. Kutusow ,,ayudante de campo general del mismo. Los nombrados por parte de la Francia son el general de división conde Dumoutier, comandante dé una división de las guardias, y el general de brigada PL?haule, edecán del Emperador. Estos comisarios están en Neumavkt. El duque de Treviso con las guardias nuevas, tiene su quartel general cá</t>
  </si>
  <si>
    <t>Dun</t>
  </si>
  <si>
    <t>…rave fue demubi.rta desde luego por el bergantín arm;do el Acates, capitán Morrlson , que entró en coi».b?te con ella, hasta que la fragata Ajsdrómsca, capitán Tobin, y el Priamo, capitán Dun das, se pre emaron. La Ándrómaca liego la primera, y el enemigo se rindió á pocos minutos de combate. Lo? regimientos que estaban en Stralsuad se han dtbido embar car para eí Weser. El dja 29 dd pasado se embarcaron varios destccimentos de tro pas en Porstmou…</t>
  </si>
  <si>
    <t>Dundas</t>
  </si>
  <si>
    <t>…fue descubierta desu de luego por el bergantín armado elAcates, capitán Morrison ». que entró en combate con ella, haéta que la fragata Andrómaca y capitánlíobitr, y el P«Vttno , capitán Dundas , se presentaron. La Andrómaca llegó la primera , y et enemigo se rindió á pocos minutos de combate. , • Los regimientos que estaban en Stralsund se han debido embarcar para el Wesser. El día 29 del pasado se .embarcaron varios destacamentos de tropas en Port…</t>
  </si>
  <si>
    <t>Dupont</t>
  </si>
  <si>
    <t>…io.de 1808 por el éxército español de Andalucía, mandado por el Excmo. Sr. D. Francisco Xa vier Castaños, como general en gefe, contra el frunces de la Gíronda, á las órde nes del general Dupont, de cuyas resultas quedó vencido el francés., f rindió sus armas, águilas, banderas, artillería, carruagc &amp;c«, quedando prisioneros de guerra. Se hallará á 10 rs. en la librería de Pérez, calle de las Carretas, y en Cádiz en Ja de Zaragoza. - ■ ......... ....…</t>
  </si>
  <si>
    <t>…ncianos y los no combatientes serán examinados. V- Teniendo en su compañía el comisario de guerra Barbier á la viuda y 2 hijas de su hermano teniente coronel ayudante de campo del general Dupont, que ha muerto en Pamplona f ruega al señor genera! Graham se sirva permitirle su regreso á Francia con lá citada familia, que no tiene otros recursos para su existencia que los que él pueda darles. Este sugeto no es militar. Este artículo se recomendará con…</t>
  </si>
  <si>
    <t>Duqqe</t>
  </si>
  <si>
    <t>…fes, oficíales y tropa que lo componen, dándoles de su parte las ex presivas gracias por la pericia y valor con que se han conducido en, tan seña lados dias. De orden del referido Sr. Duqqe lo digo á; V. S. par^i su satis facción y la de las tropas de su exército. Dios guarde á V. S. muchos años. Quartel general de Lesacaqde octubre de 1813. = Luis Wimpifen. =Sr. ge\ ñera! en gefe del exército de reserva de Andalucía.”</t>
  </si>
  <si>
    <t>Duran</t>
  </si>
  <si>
    <t>88</t>
  </si>
  <si>
    <t>…on las mismas penas amenaza á todos los que admitan empleo de nuestro Gobier no. Como las represalias son los rúñeos medios aue pueden emplear se contra tan bárbaros enemigos , el general Duran ha publicado la proclama siguiente: „Aragoneses : el insolente orgullo de vuestros feroces opresores parece desplegarse con mayor ardimiento, á proporción que se acu mulan los motivos de su humillación y afrenta. Vencidos decisiva mente en Castilla por el gen…</t>
  </si>
  <si>
    <t>…resultas nuestras tropas se estable cieron en el convento y lugar mas abaxo, é inmediato al que los franceses habían quemado. «El general Min3, en 12 del corriente me dice que el general Duran se le había unido cerca de Z trago za ; que htbia atacado al general París el 8 , quien ha mandado de algún tiempo á esta parte en Aragón una división: que el general París se retiró en la noche del 9, dsxando guarnición en un reducto próximo á Zarago za: que…</t>
  </si>
  <si>
    <t>…cen fuego de cuando en cuando , y dirigen los tiros de ca ñón á las eras y puerta dei Portillo , donde mataron ayer tres pai sanos qúe lo ignoraban. Se i-alia aquí la división del general Duran y tres batallones del general Espoz y Mina , io:&gt; que contienen la salida de los enemigosdel castii'o, precisándolos á mantenerse encerrados. La • gu aniicion. enemiga dé la Al ni un la , fortificada en un con vento, se mantiene con tusón-. Están los nuestros…</t>
  </si>
  <si>
    <t>Gazeta de la Regencia de las Españas n.º 109</t>
  </si>
  <si>
    <t>…amino de Leciñena : eran las 12 del dia cuando me hallaba en el arrabal dando tiempo á que mi caba llería vadease el Ebro, y que se habilitase la arcada volada; entre tanto que el general Duran, que el 9 en )a madrugada había llega do á Torrero con su división, daba las gracias ai Todopoderoso por las ventajas que acababan de conseguir las tropas que habían batido ai enemigo. «Seguí mi marcha para Leciñena; pero en el camino encostré por ciones de p…</t>
  </si>
  <si>
    <t>Duran, José Joaquín</t>
  </si>
  <si>
    <t>José Joaquín Duran</t>
  </si>
  <si>
    <t>…scal dio las disposiciones convenientes , y partid vadeando el Ebro con su caballería en seguí miento’ de los franceses. A las io de la mañana hizo sa entrada el mariscal de campo D. José Joaquín Duran, general de la sexta división del segundo exército, y comandante general dé la provincia de Soria. Inmediatamente se convocó á los trabajadores, y estos con un esmero indecible, habilitaron el tránsito del puente; como que por la tarde pasaron algunos cañones…</t>
  </si>
  <si>
    <t>Duran, Josef</t>
  </si>
  <si>
    <t>Josef Duran</t>
  </si>
  <si>
    <t>…eva prueba de mi particular respeto al grande Có digo que asegura la libertad política de mi patria.” .» Zaragoza 24 de julio. El comandante general de las armas de esta provincia D. Josef Duran ha bía tomado oportunamente las mas enérgicas medidas para reducir los fuertes de Daroca y la Almunia con aquella prontitud que podía esperarse de las cir cunstancias. En tanto que la guarnición del primero de dichos fuertes que daba completamente cerrada y e…</t>
  </si>
  <si>
    <t>…mbre mui formal, aguardaremos la confirmación. Soria 2 4 de julio. La guarnición de la Almunia, que hace dias estaba sitiada por parte de las trepas que manda el mariscal de campo D. Josef Duran, se rindió el 19 .á las 5 de la tarde después de un fuego de canon de siete horas , con el que acabó de arruinarse el horno, y se impidió el uso del agua del pozo. Han quedado prisioneros90 hombres, incluso un capitán, dos tenientes y un ciru jano, y en el fu…</t>
  </si>
  <si>
    <t>206</t>
  </si>
  <si>
    <t>…eral Villacampa ha cogido a jos oidores de Valen cia Quinto y VaUejo* (Conciso.) Zatagóz* 3 r de julio. La sexta división del segundo exército, á las órdenes del mariscal de campo D. Josef Duran, salió de esta plaza para cooperar á las operaciones de la campaña. 1 La del quarto exército, al mando del general de igual clase D. Francis co Espoz y Mina, prosigue cubriendo la ciudad, y maniobrando contra el castillo. , Hace tres días que el enemigo dirig…</t>
  </si>
  <si>
    <t>Duran, Josef Joaquín</t>
  </si>
  <si>
    <t>Josef Joaquín Duran</t>
  </si>
  <si>
    <t>…rrola, vecino de Mondejar. 3.0 Sr. Lie. D. Manuel Sabroso, vecino de Valdearenas. Madrid 26" de julio, Extracto del parte del coronel D. Juan Antonio Tabuenca al mariscal de campo D. Josef Joaquín Duran sobre la acción del dia 8 en Zaragoza. Mi general : el 7 á las n de ía mañana recibí en Boyar la orden de V. S. para que me pusiese en marcha con dirección al pueble de Muel, adonde se dirigía V. S., con el objeto de aproximarnos á Zaragoza. En la misma hora…</t>
  </si>
  <si>
    <t>Durana, Gregorio</t>
  </si>
  <si>
    <t>Gregorio Durana</t>
  </si>
  <si>
    <t>…D. Felipe Navasqües , D. Angel Ros , •Don-’ José. - María Barrica!, D. L uis Arillo, D. José Erriz, O. Felipe Tule sana, XX Luis Gaitdiaga , 1). Simón Perez, D. Silvestre‘Ezcurra, D. Gregorio Durana y D. Antonio VAliivielso : á capitanesde fusileras á D. Francisco Naval, D. Fermín Esandí, D. Antonio QroD. Joaquín í duate,-D. Vicente Soravilla, IX José ítútria, IX Pedro Mayó , U. Ambrosio Seguin , D. R ímon Artica, IX Agus-* ílu Góngora , D -Félix Miranda ,' D. FideL Boira , D. R…</t>
  </si>
  <si>
    <t>Durat-</t>
  </si>
  <si>
    <t>Gaceta de Madrid n.º 35</t>
  </si>
  <si>
    <t>tropas saxonas y de la división de! general Durat- se retiró en seguida á.ios montes. Por el cómputo te,qúe'acababa;.dias; i+ y 1$ hu- qtíeJhdica el señor mariscal ha* perdido en ésta ex bo. combates vivísimos cerca de Wolkowisk, de cu pedición el enemigo de 1200 á 1500 hombres pri yas resultas perdió el cuer…</t>
  </si>
  <si>
    <t>Durban</t>
  </si>
  <si>
    <t>58* Alcañices de May9. Está mañana á las 5 ha salido el conde de Penne coa su caballe ría para Villar de Cierros, que dista 7 leguas de Benavente. El general Durban llegará hoy aquí, y mañana parte de su ea-' ballena, y sucesivamente todo el exército ingles y portugués que se dirige por esta parte, el cual no baxade 30® infantes y 5© caballos. El exército de Galicia está ya en Villafranca y Astorga. El gran tren de artil…</t>
  </si>
  <si>
    <t>…, tomó un convoy al enemigo de 230 carros que Suchet enviaba á Francia, habiendo hecho ademas 2® prisioneros. Alcañices 25) de Mayo. F-1 26 entraron aquí 2© caballos del mando del general Durban,</t>
  </si>
  <si>
    <t>…, la cuarta y la séptima con las brigadas-de cabañería del mando del coronel Grant, y del general Ponsomby ; y la quinta y sexta con la caballería de la casa Reai y la brigada del brigadier Durban desde Salvatierra y Vitoria hácia Loproño, con el hn de poder cortar al general Clatsse!. »E1 hizo varias marchas extraordinariamente forzadas perseguido por ei general Mina con su caballería . y ei regimiento de lanceros de Castilla del mando del brigadier D…</t>
  </si>
  <si>
    <t>…la quarta y la séptima, con las brigadas de caballería del mando del coronel Grant y del general Ponsomby ; y la quinta y sexta, con la caballería de la casa Real y la brigada del brigadier Durban, desde Salvatierra y Vitoria hacia Logroño, con el fin de poder cortar al general. Clausel. „Él hizo varias marchas extraordinariamente forzadas, perseguido por el general Mina con su caballería, y el regimiento de lanceros de Castilla del mando del brigadier…</t>
  </si>
  <si>
    <t>Duroc</t>
  </si>
  <si>
    <t>…con todo se conjetura que se mueve por nuestra dere cha para ponerse en comunicación con Glogau: sus avanzadas 1-egan, según se dice» á Neumark. «Se me pasó-..decir á W E. que el mariscal Duroc fue muert® en la batalla~de Reichenbach. El cuartel general de Bonaparte está en Leignitz: el de S. M. I. se traslada hoy á Ober Groditz y Rei chenbach. El enemigo continua su marcha á Bresiau. «Siento haber de decir á V. E. que es de temer haya caído en pode…</t>
  </si>
  <si>
    <t>…con todo se conjetura que se mueve por nuestra derecha para ponerse en comu nicación con Glogau: sus avanzadas llegan, según se dice* á Neumark. ,,Se me pasó decir á V. E. que el mariscal Duroc fue muerto en la ba talla de Reichenbach. El quartel general de Bonapartq está en Léignitz : el de S. M. I. se traslada hoi á Ober-Groditz y Relehenbach. tEl enemigo con tinúa su marcha áBseslau* ¿</t>
  </si>
  <si>
    <t>Dursnd, Carlos Augusto</t>
  </si>
  <si>
    <t>Carlos Augusto Dursnd</t>
  </si>
  <si>
    <t>…gimiento 31 de in fantería ligera al servicio de S. M. el emperador de ios franceses, y empleado en la guarnición del fuerce de Santa Engracia de Pancoryo con plenos poderes de su gobernador D. Carlos Augusto Dursnd, caballero de la legión de honor, y teniente coronel del regimien to 55 de infantería de línea, hemos convenido en los artículos si guientes: Art I. Las tropas españolas ocuparán el fuerte de Santa Engra-»cia de Pancorvo en el di-a y hora que á continuación s…</t>
  </si>
  <si>
    <t>Durutte</t>
  </si>
  <si>
    <t>…bía quemado tam Alil quinientos hombres de tropas ligeras ene bién todo lo que podía estorbar su defensa. migas pasaron el 27 el Elba por cerca de Dresde Por la parte de Dresde el general Durutte se por un punto que los raxones habían dexado inde aposto sobre la orilla izquierda ael Elba. Los saxo- fenso por haberse reunido al rededor deTorgau. El nes se dirigieron á las inmediaciones de Torgnu. general Durutte marcha contra ellos. El virei salió de L…</t>
  </si>
  <si>
    <t>…centenares de prisioneros. der el temor de inspirar á esta desconfianzas antes La brigada bávara, que hace parte de la divi de tiempo, ¿cómo pudiera el mismo estorbar ¡a sión del general Durutte, tuvo el 29 de marzo una pronta íntima unión entre la Francia y la Prusia refriega en Colditz con la caballería enemiga. Esta que solicita el Rei; unión que ó bien sirva para infantería rechazó todas las cargas que intentó el asegurar la permanencia del sosie…</t>
  </si>
  <si>
    <t>Dutaillis</t>
  </si>
  <si>
    <t>…e mas importantes. fuerzos , parte de los quáles están ya en movimien Efectivamente llegó aquí ayer un correo despa to. (Gazeta de Berlín.) chado por el general Regniertrayendp al general Dutaillis, comandante de Varsovia, ia noticia de BA VIERA. que el '17 de este mes se habia presentado de impro “ Augsburgo 3 de diciembre.viso el príncipe de Schwartzembergcon gran.parte del cuerpo auxiliar cerca de Izabelin, y que había Ayer salieron para el Norte un…</t>
  </si>
  <si>
    <t>Duvernet</t>
  </si>
  <si>
    <t>…n vez de ir á Pirna, marchó á los puestos avanzados. Habiéndose sabido que el enemigo habia preparado gran cantidad de faginas para defender la falda de la montaña, mandó S. M. al general Duvernet que le acometiera. Este ge neral con la quadragésimasegunda división se apoderó de la aldea de Arbe»au, y arrojó al enemigo á la llanura de Toplitz. Se le encargó que procu rase reconocer la posición del enemigo, y le obligase á descubrir sus fuerzas. El gene…</t>
  </si>
  <si>
    <t>Duvondieu</t>
  </si>
  <si>
    <t>…,, El teniente general procedió entonces á atacar á Avechuco con la pri mera división, formando contra él una fuerte batería, compuesta de la bri gada de artillería del mando del capitán Duvondieu, y de la compañía de á caballo de Ramseí; y á cubierto de sus fuegos la brigada del coronel Halhets se adelantó al ataque del lugar, que se ganó; y habiendo avanzado á la carga el batallón de tropas ligeras, tomó sobre el puente tres cañones y un obús. Este a…</t>
  </si>
  <si>
    <t>Duvoodieu</t>
  </si>
  <si>
    <t>…. „E1 teniente .general procedió entonces á atacar á Avechuco con la primera división, formando contra él una fuerte batería, compues ta de la brigada de artillería, del mando del capitán Duvoodieu, y de la compañía de á caballo de Ramsei; y á cubierto de sus fuegos la brigada del coronel Halkets, se adelantó al ataque del lugar que se ganó; ^ habiendo avanzado á la carga el batallón de tropas lige ras, tomo sobre el puente tres cañones y u«n obús. Este…</t>
  </si>
  <si>
    <t>D’Escars, F.</t>
  </si>
  <si>
    <t>F. D’Escars</t>
  </si>
  <si>
    <t>…entos que se les reúnan 20© mas. Ayer salió de aquí para el cuartel general del emperador Ale jandro el conde de Artois: le acompañan su hijo primogénito el du que de Angulema, el conde F. D’Escars, el barón de Roll y E» Dama. v Se ha sabido ya de oficio la muerte del general Kutusow, prín cipe de Smolensko, acaecida el 28 de Abril en Bauntzlau de una fie bre nerviosa, á Jos 70 años de su edad. Dícese que pocas horas an tes de espirar escribió al empera…</t>
  </si>
  <si>
    <t>D’Jonglv</t>
  </si>
  <si>
    <t>…ra el enemigo. El general holandés Landas ha ocupado á Gapelle y Isseltnolde, obligando á los franceses que habían llegada? iá j&gt;ordredit&gt; á retirarse sobre Gorcum. Entre tanto el general D’Jonglv:á.iiáiujqaartel&lt;§e-sí neral en Ley den, y ha enviado sns tropas á Alíen para asegurará den. Se desea con grande ansia la llegada del Pfíncipeode OraDgevyóiasiéío-</t>
  </si>
  <si>
    <t>D’Ycrk</t>
  </si>
  <si>
    <t>…esar el entusiasmo y demostraciones de ale gría con que ha sido recibido el emperador por todas las clases del pueblo prusiano. „E1 rey de Prusia ha pasado á Berlín á verse con el general D’Ycrk. „ En Saxonia han sido recibidas las tropas rusas con igual cor dialidad que en Prusia, y lo mismo ha sucedido en Mecklembu/go. ,,Por las relaciones imcresas verá V. E. como fueron recibidos en Hamburgo el general Tetienborn y su destacamento. El mismo celo h…</t>
  </si>
  <si>
    <t>D’Yoik</t>
  </si>
  <si>
    <t>…al Vístula cerca de 100000 rasos de re fuerzo. Las fuerzas prusianas están distribuidas del modo siguiente. — El general Bíucher se ha movido desde la Silesia á la Saxonia. —. El general D’Yoik está en Berlín con el grueso del exército, y ha enviado destacamentos á H&amp;rahurgo y Rostock, que están ahora ocupadas por tropas prusianas. Otro destacamento prusiano ha si tiado á Stettin , que según las últiraas noticias estaba paia rendirse. En Síralaund h…</t>
  </si>
  <si>
    <t>D’Yorck</t>
  </si>
  <si>
    <t>…rlo á Konisberg, ó al sitio en donde se hallare su cuerpo prin cipal. Por el quinto se pactó que en el caso de poder llegar al teniente general Massembach las órdenes del teniente general D’Yorck, las tropas que se h&amp;llma á las órdenes de aquel serán comprehondidas en el presente tratado. Por el sexto se estipuló que sean también cemprehendidos en es te tratado los prisioneros que hubiere hecho el general Dubitsch. Finalmente se convino, por el séptim…</t>
  </si>
  <si>
    <t>…lió de Londres para el norte dé Europa, y ■egun juzgan algunos, se dirige á la Prusia oriental , que se halla én el día ocupada por los exércitos prusiano y ruso á las órdenes del general D’Yorck. Se cree que se establecerá en la Prusia oriental un gobierno interino para maridar en nombre del rey de Prusia, su* puesto que este monarca no tiene en el dia voluntad libre, pues NaÍjoleon , habiéndole nombrado gobernador de su capital, le tiene en a misma…</t>
  </si>
  <si>
    <t>…e ha padecido una parte de los cuer pos prusianos sobre la suerte de la retí guardia, que desde Miitau me seguía á distancia de una jornada, he sabido finalmente por una carta del general D’Yorck , que éi mismo ha decidido del destino de las tropas prusianas. ,,Remito una copia de esta carta, sin detenerme en hacer reflex!ones sobre su contenido, pues ella sola basta á excitar la indig nación de todo hombre de bien. „Mssseí¡bnch, que estaba conmigo co…</t>
  </si>
  <si>
    <t>D’Yorek</t>
  </si>
  <si>
    <t>…igualmente cüanto pertenezca al exércitó. Las provisiones y trenes de dichos cuerpos pasarán sin embarazo de Konigsberg para el exércitó prusiano. Si aun pueden ir las órdenes del general D’Yorek al general Massenbach, quedarán comprehendidas en este convenio las tropas que este manda. 6.Q Igualmente serán compreliendidos los prisioneros qüe hicie ren los rusos al mando del general Dubistch en las tropas que man da el general Massenbach. «</t>
  </si>
  <si>
    <t>D’Yorfc</t>
  </si>
  <si>
    <t>…illería. Se sabe que esta victoria se consiguió sobre el cuerpo al mando del general Bettrand, la que no se obtuvo sin grande pérdida, perticülcrmenter de las tropas del mando del general D’Yorfc; pero aun no se ha* recibido los detalles. — El Príncipe real recibió ayer esta noticia , y fe resolvió á mandar pasar el Elba hoy á todo su exército» los rosos</t>
  </si>
  <si>
    <t>D’York</t>
  </si>
  <si>
    <t>…cuanto se puede considerar este paso como principio de una alianza entre las dos naciones. !’ Este ir ítado consta de si^te artículos , y le firmaron en Mi!l k 30 de Diciembre el general D’York, de parte de la Prusia, y el mayor general Dabtisch, delude Rusia. Por el primer artículo quedó arreglad© que el exército prusiano ocupará en el interior de la Prusia una línea paralela á la frontera, desde Memel hasta el camino de Voiimita para Tihit. y el q…</t>
  </si>
  <si>
    <t>…brelo de 1813, presente S. A. R. en el consejo. —Jos. Buller.” Idem 9 de Marzo. En Konisgberg se ha instalado una regencia prusiana, cuyo pre-, aidente es el ex-ministro Stein. Ei general D’York ha sido nombra do por la nueva regencia comandante en gefe del exército patriótico que está formando &gt; compuesto de las tropas que tenia ántes baxo su mando aquel general, y de un gran número de paisanos que corren á alistarse para rescatar á su rey y liberta…</t>
  </si>
  <si>
    <t>…de este mis mo día se retiraron algunos regimientos de polacos, bávaros y westfaii ano?, del cuerpo de Macdonald. Los prusianos, en número de 15 ó 18000 hombres á las órdenes del general D’York, habían ya con cluido un. tratado con los rusos, y sa esperan aquí de hoy á ma ñana. Apenas habían empezado á retirarse de esta ciudad los france ses , cumdo entraron los cosacos, entre doce y una de la noche, cor riendo por l?;s calles y preguntando amistosa…</t>
  </si>
  <si>
    <t>428,,£! norte de Alemania está excelentemente dispuesto, y en to das partes acuden á miliares los paisanos á reunirse baxo las ban deras del general D’York. £1 espíritu de insurrección se ha exten dido hasta Cassel. ,*E1 exército grande francés, que abandonó á Berlín, se com pone de unos 17000 hombres , y es probable que los ru^os eaten ja rielarte de M^gdeburgo. Los restos de la art hería francesa, que al princ…</t>
  </si>
  <si>
    <t>…habían llegado al Vístula. El 16 del anterior entró en Saxonia la vanguardia de! exéreito prusiano de Silesia que manda el g-eneral Biucher E* 17 llegó á Berlín con 3us tropas el general D’York, á quien el rey de P usia ba nombrado comandante en gefa del cuerpo del general Baiow, con lo cual reúne 40000 hombres. — Ei general W\ttgenfct=»¿i no tardará en ocupar las orillas del Elba, en donde se hallan ya al gunas tropas 9UJ&amp;S. El emperador Alexandro…</t>
  </si>
  <si>
    <t>¿34 Nuni. XIV. Carta del teniente general Massenback al duque de Tárente. Por la carta del general D’York habrá visto V. E. que no po día menos de adoptar ei último partido que he abrazado ; pnes las disposiciones tomadas por V. E. esta noche me han hecho sospechar que sus intenciones eran, ó de detenerme por fuerza, 6 de desarmar mis tropas. Me ha sido, pues , p…</t>
  </si>
  <si>
    <t>…de la deserción del general D'York. Núm. XVIII. Copia de un oficio de Mr. de Saint-Mar san. Berlín i¡ de Enero de j8ij. — Al rey le ha sorprehendido e in dignado la deserción del general D’York : por manera que sus pri meras expresiones cuando supo la noticia fueron; «capaz es esto de causar un accidente de apoplegía. ¿Y qué be de hacer?” El canciller le propuso aquello en que habíamos convenido, de que di cuenta á V- E. en mi oficio de ayer núm. II…</t>
  </si>
  <si>
    <t>…l 19 en las inmediaciones de Konigswerde, la cual duro hasta la noche, rechazando én todos puntos al enemigo, y cogiéndole 1500 prisioneros, un general de división y n cañones. El general D’York por la derecha resistid al mariscal Ney con buen éxito. Reunido el exército alÁido á las ordenes de Wittgensteín, y situado en Wursehen y Hochkirch, fué atacado al amanecer del 21 por Bonaparte en persona; y después de una resistencia obstinadí simahubieron d…</t>
  </si>
  <si>
    <t>…te desde Bohemia, i las órdenes del general enVefc príncipe Schwartzenberg. El cuerpo de exército del general Blucher, compuesto de la di visión de prusianos ai mando del teniente general D’York, y de las divisiones Tusas de lo* generales Sachen y Langtron, se moverían des de Silesia á Losada amenazando al enemigo por el frente. El gene ral Blucher debía evitar toda acción general, especialmente contra fuerzas superiores. En consecuencia avanzó el ge…</t>
  </si>
  <si>
    <t>…siguiente: El cuerpo del general Lanceros debía atacar y temar á Freyroda, y en seguidit á Radefeld, teniendo por reserva el cuerpo del ge neral Sachen. El cuerpo de txército del general D’York tenia orden de ir á lo largo del camino red que conduce á Leipsick hasta llegar al lugar de Sitzchera, y entonces dando vuelta por la izquierda de bía forzar la pesieion del enemigo en Lindenthai. Los guardias rusas y ía vanguardia debida adelantarse sebre el…</t>
  </si>
  <si>
    <t>Ealanzat, Francisco</t>
  </si>
  <si>
    <t>Francisco Ealanzat</t>
  </si>
  <si>
    <t>…es, quepor ia rapidez del ataque no pudieron retirar-; cuya operación la hizo el re-: gimiento de Voluntarios de la Corona, principalmente dirigido por su reco mendable comandante-D. Francisco Ealanzat, habiendo llegado los prime ros á las piezas ei teníeute IX F rancísco Driquet, el subteniente D. Francis co Goqz^lez y el granadero Andrés Castro, juntamente con el sargento pri mero del regimiento de Rivero Josef Fernandez Cienfuegos, á quien seguía el cabo…</t>
  </si>
  <si>
    <t>Eandskoy</t>
  </si>
  <si>
    <t>…wisk, el ala derecha de dicho general ocupó á Koule y Kolka, y la izquierda á Loubomié. El almirante TchichagoíF participa el 13 que llegó con sn exército á Jeszno, y que el mayor general Eandskoy, á quien habla en viado con un destacamento de tropas ligeras desde J eszno á Prenp, cargó al enemigo en este pueblo , le atacó por do3 lados, le arrolló, é hizo prisioneros 5 oficiales y ISO soldados. Otra partida , á las ór denes del teniente coronel Dsuizo…</t>
  </si>
  <si>
    <t>Éanile, Nicolás Salvador</t>
  </si>
  <si>
    <t>Nicolás Salvador Éanile</t>
  </si>
  <si>
    <t>…órdenes qup recibíAfsféndpme; aun, mucíiq mas satisfactorio este acaso por llevar el nombre de Sevilla* 4prc*vecho esta peasion para elo giar la conducta del coronel de caballería D. Nicolás Salvador Éanile, el que sin destino alguno en este exército, y solo tpór afición militar, me. ha acom pañado todo el tiempo de la acción ; y asimismo al capitán del depósito mi litar del general Doyle D. Roberto Steele, quien ha desempeñado á mi sa tisfacción las funciones d…</t>
  </si>
  <si>
    <t>Eartel</t>
  </si>
  <si>
    <t>…nción de llegar á Minsk por el camino de Slonim y de Nesvichí, y contaba estar én Minsk el 17 ó 19 de Noviem bre. Al mismo tiempo dio orden al mayor general Leiders y al te niente general Eartel para que marchasen á Minsk , el primero des de Volhynia por Pmsk, y el segundo desde Mozern por Lutskr tam bién trataba de enviar partidas de tropas ligeras por el lado de Wilna para mantener la comunicación con los destacamentos situados en este flanco; Sabi…</t>
  </si>
  <si>
    <t>Eblc</t>
  </si>
  <si>
    <t>…seis y dos fragatas de igual porte , en que se va yen en gran parte á esta circunstancia el haberse á trabajar inmediatamente. La tripulación y oficiali agravado la enfermedad dei general Eblc, oficial de</t>
  </si>
  <si>
    <t>Eblee</t>
  </si>
  <si>
    <t>…nia. Primer quartel general. Bonaparte en perdona en GoeTÜtz..ü. Berthier, príncipe de Neufchatel, mayor general de los exércitos....... Mutat sin. mando que se sepa.__ El general conde Eblee, comandante de artillería__ _ Id. Lery, comandante de ingenieros-----Id./Waltier, dé la’caballería imperial. Segundo. Línea del Elba Inferior. Davoust en Hamburgo, ybaxo sus órdenes Vandantme y Loíson. Tercero. En la Lusacia. Oudinot en Lubenau $cc.. Quart*.…</t>
  </si>
  <si>
    <t>…parte en la guerra de Alemania. Primer cuartel general. Bonaparte, en persona , en Goerlitz. — Berthier, mayor general de los exércftos. — Murat, sin mando por ahora. — El general conde Eblee , comandante de artillería. — El general conde Lery, coman dante de ingenieros. — Ei general conde Waither, comandante de la caballería imperial. 2.p Linea del Piba inferior. Davomt, en Hamburgo, y á sus órdenes los generales Vendamme y Loison. 3.0 L usada. O…</t>
  </si>
  <si>
    <t>Eccy, Euis</t>
  </si>
  <si>
    <t>Euis Eccy</t>
  </si>
  <si>
    <t>ESPAÑA. Berga i 4 de Diciembre. 'Exirteto de un parte del mariscal de campo barón de Brotes , segundo comandante general de este exército, al Excmo. Sr. D. Euis Eccy, general en gefe. „Excmó. Sr.: El 26 por la tarde entró en Reus el conde Mauri cio Mathieu con los generales Espert, Deban x y Iíartoleti , 5 á 6000 infantes, 200 caballos y 5 piezas de artillería; y el mismo dia se situó el coronel Yiüamil á una hora de dich…</t>
  </si>
  <si>
    <t>Echart</t>
  </si>
  <si>
    <t>…el 14 de reforzarse en e! valle del Drave, hizo el i 3 una incursión en el departamento del Piave. El 26 entró en Bel‘une una columna de algunos miliares de hombres mandada por el general Echart. AI momento que el prín cipe virey tuvo noticia de estos movimientos, dirigió contra el ene migo una columna de tropas baxo las órdenes del general Palombini, y creyó debía dirigir al mismo tiempo y sobre igual punto, el cuerpo del general Grenier con orden d…</t>
  </si>
  <si>
    <t>Echavarri</t>
  </si>
  <si>
    <t>…cha» caten los liberales es en desaprobar el que los clérigos va Guerra en su informe público á las cortes nada ha yan á politiquear á la cabecera da los enfermos1 po ya dicho del señor Echavarri, ni como gobernador litiqueen en buen hora los mozos de cordel, las general excelentísimo, ni como general en gefe del criada; &lt;¿e servido, los aprendices de zapatero , los exército interior de Andalucía, ui como dictador,</t>
  </si>
  <si>
    <t>Echave, Basilio de</t>
  </si>
  <si>
    <t>Basilio de Echave</t>
  </si>
  <si>
    <t>917</t>
  </si>
  <si>
    <t>…os extractos de los partes de Istiev a—España, 66, El brigadier y comandante de ía octava brigada D. Ignacio García Rebollo ha remitido tres partes desde Querécar©: ei primero, de D. Basilio de Echave, capitán de patriotas, fecho en la hacien da de la Barranca á 19 de Julio, en que da cuenta de haber scrprehendido con 24 hombres una gavilla de rebeldes, el día 17, céreipal Juan José Gallardo , que se titulaba coronel,^ y á su mayor José Norberto Mendoza, s…</t>
  </si>
  <si>
    <t>Eche, Pedro Antonio</t>
  </si>
  <si>
    <t>Pedro Antonio Eche</t>
  </si>
  <si>
    <t>868</t>
  </si>
  <si>
    <t>…yes y pragmáticas de España, en que se manifiesta Ja pena correspondiente á cada delito, y la multa en que se incurre por Ja contravención á los respectivos bandos de policía: por D. Pedro Antonio Eche varría y Ojeda: corregido y aumentado mui considerablemente por el mismo en esta segunda impresión: un tomo.en 8.° Se hallará en la librería de Arribas, calle dé Jas Carretas, á 6 rs. en rústica. 'Breve noticia del origen, progresos y estado actual de las tro…</t>
  </si>
  <si>
    <t>Echegoyen, Pedro</t>
  </si>
  <si>
    <t>Pedro Echegoyen</t>
  </si>
  <si>
    <t>…Diego OteruimDi Gabriel Alegría , D. Félix Sarasa $ D. José Labiano , D. Francisco Morillo , D, Juan Jaurrieta, D. Bartolomé Guiberalde, D- Antonio Ugarte, D. Ignacio "Echeverría, D. Pedro Echegoyen , D. José María Gurrea, D. Francisco Erdozain , D. Ma nuel Sauca, D. Agustín Apezteguia, D. Martin Benuza, D. Miguel Tolqsana , D. Juan Bautista Acosta , D. Xavier Azanza , D. Juan de Ortigosa, D, Basilio Oilabarren , D. Sebastian Cortazar, D. Teo doro Gonzál…</t>
  </si>
  <si>
    <t>Echestia, Sebastian de</t>
  </si>
  <si>
    <t>Sebastian de Echestia</t>
  </si>
  <si>
    <t>…tolin , substituto stgundo. D. Josef Rodas, substituto primero. Barrio de S. Marcos. D. Ventura González , substituto iegundo. D. Francisco Tellez, alcalde. Barrio de la Trinidad. D. Sebastian de Echestia, substituto primero. D. Santiago Ubon , substituto segundo. D. Carlos Avanciny, alcalde. D. Juan de Dios de la Pena, substituto primero. D. Josef Vinuesa , substituto segundo. QUARTEL DEL BARQUILLO. Barrio de S. Antón. QUARTEL DE SAN* ISIDRO. Barrio de Mira e…</t>
  </si>
  <si>
    <t>Echevaría, Psntaíeon José de</t>
  </si>
  <si>
    <t>Psntaíeon José de Echevaría</t>
  </si>
  <si>
    <t>Gazeta de la Regencia de las Españas n.º 129</t>
  </si>
  <si>
    <t>…o para su aprobación y ulteriores resoluciones. Cádiz 3 í de Agosto de 1813 .zz juan O-Donojít. - ■ i 5 : Los herederos1 ó las personas que creyeren tener derecho á los 'bienes de D. Psntaíeon José de Echevaría, oficial que fue de la con taduría del exército y provincia de Aragón, y que se cree que falle ció en la ciudad de Zaragoza poco antes o después de la invasión del enemigo; se servirán avistarse en esta .plaza, con D. Esteban de Palacios, diputado en Cortes p…</t>
  </si>
  <si>
    <t>Echevarri</t>
  </si>
  <si>
    <t>…al tribunal especial de debieran haberse disuelto, y dado lugar á la cele Guerra y Marina contra las inauditas tropelías del bración, de las ordinarias. Si bien hallados sus voca general Echevarri.” [Redactor general núm. $76'.) les con; su representación y sus emolumentos se El Redactor .general y todos los demás perió hacen los remolones, la mucha gente que está dis dicos^ están llenos de- estas quejas y reclamaciones, puesta para entrar en las ordin…</t>
  </si>
  <si>
    <t>…Acompaña ción francesa, y estuvo sometida- al gobierno del ba el marques un romance ridículo, en que el au Reí. Hasta ahora se hábia tenido, por un crimen el tor para celebrar al general Echevarri denigra pro que un obispo y un párroco abandonasen su reba vincias enterasí ciudades leales, y personas las mas ño en tiempos de calamidades y turbulencias; pero, patrióticas y distinguidas, entre ellas la memoria en la nueva disciplina de la insurrección es…</t>
  </si>
  <si>
    <t>Echeverría, José</t>
  </si>
  <si>
    <t>José Echeverría</t>
  </si>
  <si>
    <t>…n D. Tomás Zubiri, D. Pedro Miguel Salvador , Don Prudencio Cortazar , D. Celedonio Gómez , D. Juan Braulio Diaz, D. Patricio Calvete, D. Serafín Zaráquiegui, D. Miguel Senosiain, D. José Echeverría;y D^ Clemente Diez de Tejada: á tenientes de fusileros á . D, VictorianoMangiron, D; Joaquín Mendiando , Don Pedro Oses* D José María Subirán , D. Miguel Tartas , D. Manuel Baztan ¿ D. Agustín Oro, D. José Joaquín Ározatena, D. Domingo Chávame, D. Agustín Mor…</t>
  </si>
  <si>
    <t>Echeverría, Ramón</t>
  </si>
  <si>
    <t>Ramón Echeverría</t>
  </si>
  <si>
    <t>…ivisión á teniente coronel á D. Juan José Cnlchaga; á comandantes de escuadrón á D. Miguel María Iribarren y D. Manuel Garrea: á sargento mayor á D. Claudio Ich^so : á capitanes á D. Ramón Echeverría , D. Lo renzo Mauleon, D. José Clemente, D. Pedro Francés, D. León Iriarte, D. Pedro Viilarroya, D Domingo Josué y D. Diego Cebadua; á ayudantes á D. Francisco Moñones , D. León Amedo, D. Manuel Mecolalde y D. Atanasio Mendivil: á tenientes á D. An drés Berru…</t>
  </si>
  <si>
    <t>Edim, Prevosre de</t>
  </si>
  <si>
    <t>Prevosre de Edim</t>
  </si>
  <si>
    <t>…ere proponer visión que estaba en Arcángelo aun no habia com un aumento del impuesto sobre las rentas. pletado sus tripulaciones, pero debía salir sin em- . Se ha enviado urden al lord Prevosre de Edim cargo para la Inglaterra lo mas pronto posible, y se burgo para incorporar la milicia local pertenecieat€ compone de siete navios de línea. El húmero total á esta ciudad, que asciende á 1240 hombres. de los buques c¡ue componen la esquadra rusa es de r8 navio…</t>
  </si>
  <si>
    <t>Ee</t>
  </si>
  <si>
    <t>…a de la gran brecha. No debo caliar que otra oferta semejante me fué he cha por el primer regimiento portugués de la brigada del brigadier general Wiáson *• del mando del teniente coronel Ee&amp;ro^ , y que así el. mayor general Bradford , como ei brigadier general W'iísony des de el principio habían pedido ansiosamente el empico de sus respec tivas brigadas en,él asalto, ya que habían tenido tanta jarte én los trabajos y fatigas del ataque de la der…</t>
  </si>
  <si>
    <t>Eentink, William</t>
  </si>
  <si>
    <t>William Eentink</t>
  </si>
  <si>
    <t>…uieron, no creyéndose este bastante fuerte para continuarlas. Aun no he recibido de parte de sir John Murray la relación detallada de estos acontecimientos. », El teniente general lord William Eentink, que se habia incorporado al exército, y tomado el mando de él el dia 17 en el Coll de Balaguer, lo ha bía hecho retirar á Alicante , donde él mismo llegó el 23, y estaba prepa rándose para executar mis instrucciones. ,, Quando el mariscal Suchet marchó á Cat…</t>
  </si>
  <si>
    <t>Eertrand</t>
  </si>
  <si>
    <t>843</t>
  </si>
  <si>
    <t>…el campo atrincherado de CasSei delante de Maguncia ; y sin embargo de que probablemente habrá sido un simple reconocimiento &gt;~se hacen los honores acostumbrados de vic toria: al conde Eertrand, quien se las apuesta á los aliados, si quisieren ata ■ :i..' carle. k . &gt; , . " V'/.J i■■■&lt;.: El Emperador de Austria ha llegado á Hartan con una^mumerosa comi tiva, donde está el general Wrede , que sé; restablece .de sus heiictas. El gran ducado de Francfo…</t>
  </si>
  <si>
    <t>Eeseane</t>
  </si>
  <si>
    <t>1311</t>
  </si>
  <si>
    <t>…e hace s?J&gt;er al público, que habien do ios enemigos atacado en ei día de hoy el ponto de S. Feíhi ele Co~ diriiiS , haa sido completamente rechazados por la brigada del mando del coronel Eeseane. Cuartel general de Vich 7 de Noviembre de 1813. El ayudante general gefe de estado mayor = F. X. Gabanes. Valencia. j% de Noviembre. El ayuntamiento constitucional de Aíbarraya, respondiendo dig namente á la excitación que hace á los ayuntamientos cossítituc…</t>
  </si>
  <si>
    <t>EHo, Francisco Xavier de</t>
  </si>
  <si>
    <t>Francisco Xavier de EHo</t>
  </si>
  <si>
    <t>840</t>
  </si>
  <si>
    <t>…o á V. S. para su inteligencia y cumplimiento. Dios guarde á V. S. muchos años. Cádiz 23 de Julio de 1813. ^Tornas José González Car vajal* El general en gefe del segundo exército D. Francisco Xavier de EHo, desde Valencia con fecha de 21 de Julio último, participa al señor secretario del despacho de la Guerra entre otras cosas: Que las tropis del tercer exército y las españolas é inglesas, reunidas á estas, llegaron sucesivamente á aquel-a capital, y salieron e…</t>
  </si>
  <si>
    <t>Eí</t>
  </si>
  <si>
    <t>aplauso universal por lo bien, escogidas y hermosa Por decretos de 2 y 9 del corriente S. M. ha mente equipadas. nombrado á D. Isidoro Beniroa alcalde mayor juez Eí motivo de esta parada era la entrega de las de primera instancia de ia viiia de llíescas y su dis bandereáis , que cada batallón ha de considerar co trito ; á D. Francisco Saenz de Texada alcalde ma mo su estandarte propio, mientras que toda ¡a bri yor y juez…</t>
  </si>
  <si>
    <t>Eiien</t>
  </si>
  <si>
    <t>…ara * respecto de Iqs derechos que háeia-maoifiestamente necesario que ef canciller electivos y legfclativos det pueblo, de constituir un tuviere sus acompañados en su tribiinat ; lord Eiien* tribunal de judicatura, y no se Íes podrá decir tam borougb había manifestado ti misma opinión, decla poco qse tillan ai respetó, quando procuren demos rando qne era necesario un arreglo, para despachar trar ti entera incompatibiltdad de La conducta de mas p…</t>
  </si>
  <si>
    <t>Eiío</t>
  </si>
  <si>
    <t>…ra de Madrid. Quisiéramos en este caso tener todos los datos oficiales que considerásemos precisos para dar una idea justa de las operaciones de estos exércitos reunidos. El señor general Eiío tenia en el dia 12 su quartel general en Xátiva. __ Tenemos bastantes datos para persuadirnos que el enemigo ha pasado el Xúcar, y aun el de que algunas tropas han vadeado ya este rio, que formaba la lí nea divisoria. Corre bastante valido el rumor de que el…</t>
  </si>
  <si>
    <t>Eíío</t>
  </si>
  <si>
    <t>…y S« Martin. = Du rante los días 9, 10 y 11 D. Julián Sánchez manifestó mucha activi dad, sobre. la izquierda del enemigo , y tomó varios prisioneros. == He recibido una carta del general Eíío, en que me informa de que el tercer .exéreito español se había unido al segundo, y que jun tos habían ocupado las posiciones que tenia anteriormente el se gundo exéreito ; y los cuerpos angio-sicilianos del mando de Sir Juan Murray, quien en obedecimiento de…</t>
  </si>
  <si>
    <t>EIío</t>
  </si>
  <si>
    <t>…La mayor parte de las tropas del segundo exército, excepto los cuerpos que quedan indicados, marcharon al sitio de Tortosa , y el día i.° de Agosto pasó por frente de Murviedro el general EIío, que debe dirigirle. Lis últimas cartas de Zaragoza anuncian que el mariscal de cam po, D. Francisco Espoz y Mina, estaba para salir con dirección á Jaca; y que la división de Duran se dirigía á Tarragona. ARTICULO DE OFICIO. La Regencia del repto se ha servi…</t>
  </si>
  <si>
    <t>Eiío, Xavier</t>
  </si>
  <si>
    <t>Xavier Eiío</t>
  </si>
  <si>
    <t>439</t>
  </si>
  <si>
    <t>…ios ataca ré por sn espalda. „Sobre todo espero las órdenes de V. E., cuya vida guarde Dios muchos años. Juradla 11 da Abril de 1S i¿5.— Excrao, Sr.— Fernan do Migares. — Excrao. Sr. D. Xavier Eiío. — Es copia — EUo.''</t>
  </si>
  <si>
    <t>Eiizalde, Antonio y IX José Matías</t>
  </si>
  <si>
    <t>Antonio y IX José Matías Eiizalde</t>
  </si>
  <si>
    <t>…iente división navarra el mando del ma riscal de campo D. Fian cisco Espoz y Mina. D. Martin y D. Miguel Osambela, 6000 ps. fs. D. Juan Bautista Oy&amp;rzabal y D. Pedro Abadía, 1000. D. Antonio y IX José Matías Eiizalde, 500. D. Francisco Xavier Izcue, 500. D Juan Bautista Errea, 500 D. .Loan Pcrtica, 500. D. José Arizmendi y D. Miguel Abnorza, 500. D. J sé Antonio Errea , 500. D. José Hipólito y Don Ambrosio Ibañez, 500 D Francisco María Zuloaga, 300. D. Pedso Moreno Altu-a…</t>
  </si>
  <si>
    <t>Einsiedel, Jorge</t>
  </si>
  <si>
    <t>Jorge Einsiedel</t>
  </si>
  <si>
    <t>…d&lt; enero. est.i última universidad, íe -on utühiiuos para la No estando aun completamente restablecido de enseñanza de todas las partes de las cie..Ca- v be su enfermedad el señor conde Jorge Einsiedel, nues llas letras, habiendo en el Ju abundancia de pro tro ministro en la corte de Francia , lia obtenido ii fesores inui ilftsrr.es en Gottinga. Eos señores Pi.mk, cencía de S. M. para suspender su viage a París. Hugo, Lichhorn , Blumenbneti ♦ llecren , Sart…</t>
  </si>
  <si>
    <t>Elba</t>
  </si>
  <si>
    <t>…SS. A A. 11. los archidnques hermanos contra Glogau , cuyo bloqueo habu estrechado. de S. AL El cuerpo enemigo que el 27 de marzo pasó el En los días 23, 24 y 25 recibió el señor conde Elba por Werben,y cuya retaguardia fue derro de Narboná las visitas de ceremonia del cuerpo di tada y arrojada al rio el 28 por el general Montplomático, de las autoridades y de ia nobleza de brun , se dirigió á Luneburgo. esta capital. ■ El 26 safio el general Mo…</t>
  </si>
  <si>
    <t>Elcher, Sir Ricardo</t>
  </si>
  <si>
    <t>Sir Ricardo Elcher</t>
  </si>
  <si>
    <t>…departamento, y los del cuartel maestre gene ral, como asimismo á los tenientes coroneles lord Fitz Roy Somerset y Campbell, y demás oficiales adictos á mi persona, y al tenien te coronel Sir Ricardo Elcher, y los oficiales del real cuerpo de in genieros de su cargo. „S. A. S. el coronel , príncipe heredero de Orange , ha esrado en la batalla en la clase de edecán mió, y se ha conducido con la bizar ría é inteligencia que acostumbra; los mariscales de campo D. L…</t>
  </si>
  <si>
    <t>Eldon</t>
  </si>
  <si>
    <t>…mpo, dixo Mr. podemos menos de hacer una observación, que por Whitbread, en que no la faltaban consejeros leales, ser común no dexa de ser importante. ¿En qué quando Mr. Perceval, lord Eldon y otros llenaban consiste el que en la insurrección de España no ha dignamente este empleo cerca de ella; pera uno de ya salido ningún hombre extraordinario, ningún aauellos ha muerto, y los demas han enmudecido- genio superior en ramo alguno, siendo asi que…</t>
  </si>
  <si>
    <t>Elfo, Francisco Xavier</t>
  </si>
  <si>
    <t>Francisco Xavier Elfo</t>
  </si>
  <si>
    <t>…drigo con bastante actividad. Todo indica que se abrilá muy pronto la campaña, y que será con un movimiento uniforme en toda la península. ARTICULO DE OFICIO. El mariscal de campo D. Francisco Xavier Elfo, general en gefe del segundo exército , remite al Sr. gefe del estado mayer ge neral desde su cuartel general de Castalia con fecha 15 del actual el parte siguiente: „Excmo. Sr.: Establecido el exército de mi mando , como ya he noticiado á V. E., en la línea…</t>
  </si>
  <si>
    <t>Elguero, Pedro</t>
  </si>
  <si>
    <t>Pedro Elguero</t>
  </si>
  <si>
    <t>…es vellón» Por otra del de S. Luis por id............ Sí Por otra del de S. Gines por id......... 73 En metálico............................................. 257469 17 Por otra de D. Pedro Elguero........... 109 En valor de 1350 panes...................... 6075 Por otra que entregó al contralor del En el de 6100 libras de carne."........... 23682 u hospital de hombres Doña María En el de 209 fanegas de trigo que González................................…</t>
  </si>
  <si>
    <t>Elias, W.</t>
  </si>
  <si>
    <t>W. Elias</t>
  </si>
  <si>
    <t>…miembros rogados y autorizados para arreglar y dividir entre sí las tuncicnes públicas dei modo que juaguen mas conveniente. Mr. G. Vander Hoop._^.Mr. P. A. Van Roetzelaer.__ Mr. D. W. Elias___ J. P. Charle____J. Huj'decoper Van Maarsseveen (ausente)____ Mr, C. Vander Oudermenien.__ Van Loon Janszen.__ Mr. D- J. Van Lennep.-__ H. Van SJingelande------J. Hodshon (se excusó)------ Mr. D. Hooíf (ausente).,__G. Ten Sande.___A. Mendes de León------J..…</t>
  </si>
  <si>
    <t>…jado que procediesen con la mayor imparcialidad y jusr ticia, salieron sombrados para dicho, gobierno provisional los sugetos siguientes : Mr. J. C. de Hoop: P. A.. de Boetzelaer: D. W. Elias : J. P. Charle: J. Haydeeoper de Maarsseveen , ausente: W. Boreel, au sente: J. N. de Eys , ausente: C. de Oúd; rmtulen: ;Mr. de Loon Janszen : D. J. de Lennep: H. de Siiogelandt: J. Hodshon que se excusó: D. Hooft, ausente : .G. Saiude : A. Mendes de León: J…</t>
  </si>
  <si>
    <t>Elío</t>
  </si>
  <si>
    <t>…a el T4, llevando consigo la guarnición de Ayerve, Huesca ,&amp;c..; y que .tra taba de retirarse á Francia. »K1 mariscal Suchet evacuó la ciudad de Valencia el 5 del cor riente, y el general Elío, á la cabeza del segundo exército, entró en ella el 7. Lord Guillermo Bentinck, desde S. Felipe, me dice con fe cha de 7 , que esperaba llegar á Valencia el 10. «No he oido que el mariscal Suchet haya pasado de Castellón .de la Plana en su retirada, pero ha s…</t>
  </si>
  <si>
    <t>Elio</t>
  </si>
  <si>
    <t>…olo el ro nuevos guerreros á reunirse &amp; sus respectivos con-*" ¿ i$el corrfehte nos adelantamos hasta Aicói para ha tingentes en el exército grande. cer una diversión en Favor dél general Elio, que de Esta actividad se ha debiJo á las órdenes que bía atacar á Requenaesta operación no se verifi han dado todos los Soberanos de - lar cepifederacion, co, y noí ^eticamos,.-abandonando á Alcoi, donde al zelo y pun cualidad con que se han cumplido por ent…</t>
  </si>
  <si>
    <t>…gefes políticos, precisa ven á adoptarlas, ni á desecharlas abiertamente. mente quando en el mismo dia 6 estaba firmando di ¿ Con qué la constitución sobre sus muchos enemigos cho señor Elio en su quartel general dos circulares á domésticos, cuenta también entre ellos á sus pro los intendentes y justicias, en que recordaba el man tectores los ingleses, y á su cabeza al ilustre duque do absoluto, que dice haberle conliado la regencia, de Ciudad-Ro…</t>
  </si>
  <si>
    <t>…on pública , no cuidando de clara de su ninguna disciplina, y del desorden que, que se bagan públicas sus fechurías, como v. gr. el como en los demás elementos de la insurrección, general Elio." (Redactor general nú/a. ¡82 &gt; pág. reina en los llamados exéruitos españoles. Este es 8, art. Impreso'.) tal, que ha atacado hasta aquellos distinguidos cuer Según estos escritores, que á fe que en esto pos Je tropa, que en otro tiempo eran el modelo tienen…</t>
  </si>
  <si>
    <t>…en ese exército, que ahora con el nombre desuceso de Béjar tendrá el mismo resultado que el tercero, y antes con el del centro, siempre ha sido que tuvo el atropellamiento que el general Elio tan mal hadado en manos de todos sus generales en exccutó en la Isla de León por junio del año pasa gefe. ¿ Podremos pues esperar que la regencia cas do, cuyo ruidoso hecho se halla consignado en una tigue exeraplarmente este crimen de ¿esa constitu represent…</t>
  </si>
  <si>
    <t>…gún se refiere en la gazeta de Extremadura, parece que el cónsul de S. M. británica en Alicante acababa de recibir de su gobierno seis millones de reales; dos para el exército del general Elío, dos para el dei duque del «Parque j y los. dos restantes para las divisiones sueltas. Ha recibido ademas 4® r vestuarios y quatro buques cargados de provisiones. . Xa Moral universal , ó los deberes del hombre fundados en su naturaleza: traducido por D. M. D…</t>
  </si>
  <si>
    <t>…el enemigo un cañón y un ©bus. Ei 14 y 15 entraron los batallones de Jaén, Baylen, Badajoz primero y segundo, Cuenca, Alcázar de S. Juan, el escuadrón de Márquez, y en seguida el general Elio, quien salió esta mañana con dirección á Buñol. Subijana de Morillas 18 de Junio. Ayer fué sorprehendida en las inmediaciones de Berberana la di visión del general francés Mauquíun, compuesta de 5© hombres, de los cuales cayeron en poder del exército aliado 4…</t>
  </si>
  <si>
    <t>…La mayor parte de las tropas del segundo exército, excepto los cuerpos que quedan indicados, marcharon al sitio de Tortosa, y el dia i.° de agosto pasó por frentevde Murviedro el general Elío, que debe dirigirle. Las últimas cartas de Zaragoza indican que ya corría por aquella ciudad la rendición de la guarnición de Daroca. Dicen también que Mina salía con dirección á Jaca; y que la división de Duran se dirigía á Tarragona. ARTICULO DE OFICIO. La…</t>
  </si>
  <si>
    <t>Elío, Francisco Xavier</t>
  </si>
  <si>
    <t>Francisco Xavier Elío</t>
  </si>
  <si>
    <t>…éran siete: el'de Cataluña es el primero á las órdenes del general Copons y Navia: el segundo cómprchende los que antes se denominaban segijndo' y tércero, y fó marida'cl ExcnVo. Sr. D. Francisco Xavier Elío: el tercero, a las óVáeprs dél Excmo, •Sr. duque; del * Parqfté, es el que antes conocíamos por quarto exércitoy el quarto se compone de;los exércitos nominados antes quinto &gt; 6¿xtoy séptimo, man dado por él Excmo. Sr. D. Francisco Xavier Castaños. Se han est…</t>
  </si>
  <si>
    <t>Elio, Francisco Xavier de</t>
  </si>
  <si>
    <t>Francisco Xavier de Elio</t>
  </si>
  <si>
    <t>…ia y de la parte de la de Aragón, situada á la derecha del Ebro. EL exército segundo quedará en la propia forma determinada por la circular de 4 de Diciembre, y su general en gefe D. Francisco Xavier de Elio será también capitán general de las provincias de Valencia, Murcia y Castilla la nueva. El exército tercero será el que anteriormente se denominaba cuar to, separándosele el quinto que se le había agregado por la citada resolución de 4 de Diciembre; debiendo…</t>
  </si>
  <si>
    <t>Elio, Xavier</t>
  </si>
  <si>
    <t>Xavier Elio</t>
  </si>
  <si>
    <t>106</t>
  </si>
  <si>
    <t>…o del regimiento provisional de húsares, licen ciado por inútil de resultas de heridas recibidas en esta guerra, con prevención que le hizo el general en gefe del segundo exército Don Xavier Elio de que pudiese recurrir al Gobierno, reclamando la gracia de inválidos, «egun real orden de 7 de Diciembre de 1809. Al ver S. A. los documentos originales halló que el expresado Gar cía, natural de Presno en Castro-Pol, corregimiento de Oviedo, sol tero , de…</t>
  </si>
  <si>
    <t>Elizalde, Angel</t>
  </si>
  <si>
    <t>Angel Elizalde</t>
  </si>
  <si>
    <t>…atro de á 4, y dos obuses con todas sus municiones. »Mis regimientos han tenido la baxa de 8 muertos y 50 heri dos , entre estos el teniente y subteniente de cazadores del segundo D. Angel Elizalde y D. Faustino de Irigoza. Las compañías de ca zadores de ambos regimientos se han distinguido sobre manera , y la de granaderos del segundo y primera del séptimo. V. E. verá con Interes ^ue Páris, de resultas del fuego que sufrió el 8 , ha abandonado a Zaragoza, que ha sido perseguid…</t>
  </si>
  <si>
    <t>Ellenboroug</t>
  </si>
  <si>
    <t>…inistros las (1) Este ntensage se expidió el dís 15 de enero de lord Henrique Pettit, el lord vizconde Howick, lord 1807 con arreglo al dictamen de Jas personas siguien Grenvillc, lord Ellenboroug, el señor secretario YVindtes: el lord canciller, el lord presidente, el lord del hain, M. T. Grenville. sello privado, el conde Spcnccr, el conde de Moira, el</t>
  </si>
  <si>
    <t>Ellenborough</t>
  </si>
  <si>
    <t>…to motivo á. murmuraciones en la del Rei. casa, porque creo que los demás criados formarían Comisionados: lord Erskine, lord Grenviile, las mismas sospechas que yo. lord Spencer y lord Ellenborough. La princesa tomó un niño, que, según me d¡xeron, habia traído á |a Casa Stiltcman. Yo servia Vedaración de Roberto Bidgoo(l. una semana cada tres, y no me tocaba de servidum En el mes de setiembre próximo se cumplirán bre quando virio él niño; pero estoi cie…</t>
  </si>
  <si>
    <t>Elliot</t>
  </si>
  <si>
    <t>Nám. «6. 461 GAZETA DE MADRID DEL LUNES 26 DE ABRIL DE 1813. ESTADOS-UNIDOS DE AMERICA. AUSTRIA. Nueva-Yorck 11 de febrero. Tuna y de marzo. El senado ha votado gracias al teniente Elliot El día 3 de este mes se dignó S. M. I. de es que ha cogido en los lagos del Canadá los brickes cribir la carta que sigue al Excmo. Sr. conde de ingleses Catedoni* y Detroit. Metterních-Winnebourg-Ochsenhausen, su minis El general Winchester, comandante de la van…</t>
  </si>
  <si>
    <t>Elochey</t>
  </si>
  <si>
    <t>…bitantes, que me es imposible expresarlo. — El recibimiento que ha tenido el Príncipe real ha debido ser sumamente grato á S. A.— El 6 trasladó á Hannover su cuartel genera!. — El mariscal Elochey debe llegar el día 13 á las cercanías de Colonia. —«El general Benn%^en , en unión con el conde de Walmodcn , operara en la línea del Elba. — Buíow continua en su'posición del Minden , y Winxingerodé en la frontera del norte de k Holeuda, ¡ri mismo tiempo que…</t>
  </si>
  <si>
    <t>Elorrio</t>
  </si>
  <si>
    <t>…de cartuchos, 50 rovos de trigo y harina, 3 carros de ga lleta , 60 cántaros de vino , 2 tenajas de vinagre, una porción de carne salada, y 5 cabezas de ganado lansr vivo. Así el capitán Elorrio , como los comandantes y oficiales de las compañías tercera y quima del tercer regimiento destinadas desde el principio para la rendición de este fuer e , h_n hecho ver su sufrimiento en sobre llevar las fatigas que les han sido indispensables durante el siri…</t>
  </si>
  <si>
    <t>Elorrio, Ramón</t>
  </si>
  <si>
    <t>Ramón Elorrio</t>
  </si>
  <si>
    <t>…o QroD. Joaquín í duate,-D. Vicente Soravilla, IX José ítútria, IX Pedro Mayó , U. Ambrosio Seguin , D. R ímon Artica, IX Agus-* ílu Góngora , D -Félix Miranda ,' D. FideL Boira , D. Ramón Elorrio, Jó. Joaquín Ferrér, D. Sebastian Ansa, I). Sebastian Goñi, D Fausto-* Lantler, D. Miguel Asíiz, D. José Apellaniz, D. José Antonio Escu dero. . ! (Se continuará.) id €M)ÍZk *EN LA IMPRENTA NACIONAL.</t>
  </si>
  <si>
    <t>…ecurso que po día quedarme para rendirlo; en efecto , habiendo dado fuego á una de ellas, y producido el estrago que era de desear , su comandante se vio precisado á capitular. El capitán D. Ramón Elorrio , encar gado de la construcción de las ruinas, y dirección de los fuegos con tra la plaza, conced o al comandante de esta los honores de la guer ra , por cuyo medio se entregaron prisioneros el comandante , un sargento y 33 soldados; 3 de estos habían deserta…</t>
  </si>
  <si>
    <t>Elorrio-i</t>
  </si>
  <si>
    <t>dado en poder del capitán Elorrio-i1 mosquetes 64 fusiles, 1-2 cargas de cartuchos, 50 rovos de trigo y harina, 3 carros de ga lleta , 60 cántaros de vino , 2 tenajas de vinagre, una porción de carne salada, y 5 cabezas de ganado lansr vivo. Así el capitán Elorrio , como los comandantes y ofici…</t>
  </si>
  <si>
    <t>Emanuel</t>
  </si>
  <si>
    <t>tz enemigos, en aquel lado, según despues se vio, fue solamente un ardid. El general Milorádowitch , baxo cuyas órdenes estaba el general Emanuel man dando las tropas ligeras, tenia el mando del ala izquierda baxo el mando del duque de Wirtembergh. Un poco después la batalla se renovó con mucho mas ardor hacia el centro, en donde particularmente la artillería tuvo gran acierto,rechazando todos los ataq…</t>
  </si>
  <si>
    <t>Emeriau</t>
  </si>
  <si>
    <t>…Inglaterra (i). GRAN BRETAÑA. Londres 27 de julio, ' En un artículo de Tolon de 28 de junio se dice lo siguiente : „E1 príncipe de Esling tiene frecuentes conferencias con el vice-almirante Emeriau, coman dante de la expedición naval y prefecto de la marina; Se dice que tiene por objeto una gran empresa para el mediterráneo.'’---- Por una persona que acaba de llegar de Francia nos consta que Bonaparte ha hecho marchará su exército todos los conscriptos…</t>
  </si>
  <si>
    <t>Eminanuel</t>
  </si>
  <si>
    <t>…a noche so o puso fin i la ac. ioíí. La ca ballería, rusa s* eocduxo c!el modo razs brillante. La ca-» ballería del generas Kolp tomó una balería de 13 cañones, y los co sacos del general Eminanuel cogieran 5. El enemig ? se retiro hacia Shgeruz y Pft.sea, y pasó el Partha. El cu rpo d i gen ral Sachan, que so tenia el grnerd La geron , se distinguió de un modo pa ticular en pre encía de Bonaparte, que según purece, por d^clar c on de los prisioneros, h…</t>
  </si>
  <si>
    <t>Encara, Joaquín</t>
  </si>
  <si>
    <t>Joaquín Encara</t>
  </si>
  <si>
    <t>…da de Marquinez D. Benito Puente, á D. Francisco Valiejo y D. Bernardo Encovar: para su responsabilidad prendieron en rehenes 4 regidores, D. San tiago Gallego, D. Cayetano Ramos, D. Joaquín Encara y D. Ga« bino Montes : 6 capitnlares , chantre , lectora!, doctoral, 'arcediano de Cea, D. Luis Otpzo y D. Gabriel Alonso; 3 hacendados D. Ani ceto Cavero , D. Ruperto Cea y D. Benito Merino, y 2 cemerciantes Puclits y Coi tés: pidieron racionas solo para aquel día,…</t>
  </si>
  <si>
    <t>Encargué</t>
  </si>
  <si>
    <t>…tra libertad sea el que haya acabado de arrojar por esta parte de nuestro suelo al enemigo.” El general D. Pedro Agustín Girón, con fecha de ayer, me dice lo si guiente : „ Excmo. Sr. Encargué al señor coronel Longa, comandante de la sexta división del exército, tomase los fuertes de Pasages, lo que ha verificado des pués de dos dias de ataque. „La guarnición, compuesta de 146 hombres y un comandante, ha sido prisionera de guerra: se han encontrado…</t>
  </si>
  <si>
    <t>Encina</t>
  </si>
  <si>
    <t>…e Ro zas (miembro que fue de Ja Junta central) por el teniente coronel D. Joaquín de Osma: publícalo, en obsequio de las armas y las letras, el licenciado Palomeque, con notas del doctor Encina*, este papel es una mui fina y graciosísima crítica de varios personages visibles en nuestra santa revolución*, un quaderno en 8.° á 2 rs. Se hallarán en la librería de Quiroga , fonda del Angel. Uniformidad de voces para el reglamento del exerctcio y maniobr…</t>
  </si>
  <si>
    <t>Enderica, Vicente</t>
  </si>
  <si>
    <t>Vicente Enderica</t>
  </si>
  <si>
    <t>…l cerro de la Batea á Yurira. Ei resto de su división lo dividió en cuatro trozos, que fueron mandados por los tenientes coroneles D. Este ban Manera, D. Juan Miguel Ormaechea, el capitán D. Vicente Enderica, y el otro por ei mismo Iturbide. Luego que vieron los rebeldes marchar la división en todos rumbos, perdieron la firmeza que aparentaban, lo que observado por Iturbide, mandó atacar al momento. En electo, lo verificó con unos 3o dragones de Puebla, Frontera,…</t>
  </si>
  <si>
    <t>Eneida, Hipólito</t>
  </si>
  <si>
    <t>Hipólito Eneida</t>
  </si>
  <si>
    <t>Gaceta de Madrid n.º 40</t>
  </si>
  <si>
    <t>…lizar el de Cloridau y de Medor, y le pone i geó Ja admiración de toda la Europa sabia, fue re la par, y acaso superior al Je Niso y Enríale én la. cibido mas que fríamente por el cardenal Hipólito Eneida: nos hace admirar la fuerza conque Ariosto de Esse, á cuyo servicio estaba Ariosto. Tampoco ata los sucesos; el grande arte con que ios conduce logró del duque la acogida que merecia; y aunque al desenlace, y aquella energía inconcebible, que los Soberanos de…</t>
  </si>
  <si>
    <t>Engestrom</t>
  </si>
  <si>
    <t>…y auxilios á los rebeldes de México, GRAN-BRETAÑA. Londres 12 de Marte, Continuación de la correspondencia entre los gabinetes de Suecia y Fratcia, Oficio del barón de Alquier al barón Engestrom, fecho en Stockolsno á 26 de Diciembre de 1810. „Señor barón: Tengo la dicha de comunicar á V. E. la satisfac ción que recibió S. M. el emperador y rey al saber que S. M. el rey de Suecia, convencido déla necesidad de obligar á la GranBretaña á una paz, ha de…</t>
  </si>
  <si>
    <t>Ennis</t>
  </si>
  <si>
    <t>…enemigo se empleaba con actividad en reparar y remontar las baterías ; y conociendo nosotros la importancia de esta posición para la protección del comercio de cabotage, mandé al capitán Ennis con 100 soldados de la marina real, unidos á los de las fragatas, para que desembarcasen con el fia de destruir las obras, mientras que las lanchas se apoderaban de los barcos que se hallasen en el puerto. »El destacamento mandado por el teniente Shaw del nav…</t>
  </si>
  <si>
    <t>Enseña, Martin</t>
  </si>
  <si>
    <t>Martin Enseña</t>
  </si>
  <si>
    <t>…ano-de Soto, alcalde. CUARTEL DE SAN GERONIMO. D. Gieg&lt;’;¡,&gt; Sánchez, substituto primero. D. Joaquín Giardoni , substituto segundo. Barrio de las Trinitarias. Barrio a l Hospicio. D. Martin Enseña , alcalde. D. Bernardo Delgado, alcalde. D. Ramón González Quitos, substitut&lt;Jprimero. D. Luis González, sub ¡ñuto primero. D. Pedro Malo, substituto segundo. D. Lorenzo Riega, suhsrituto segundo. B ‘-rm de ?'rs Baronesas. B ir rio de S 1' •cfonso. L&gt;. Juan S…</t>
  </si>
  <si>
    <t>Entrecasteaux</t>
  </si>
  <si>
    <t>…te, el nombre de Nueva-Holanda, baxo las observaciones de Mr. Pernier, astrónomo de la el qual se conoce generalmente. expedición , y conforme á resultados obtenidos por El contra-almirante Entrecasteaux habia visitado los medios mas exactos. mas recientemente las tierras de Nuyts y de Van- Mr. Freycinet, que ha tomado á su cargo I2 Diemen , de las quáles nos dio mapas superiores á mayor parte de estas tareas, y que era mas capaz quanto se conocía en este gén…</t>
  </si>
  <si>
    <t>Entrena, Diego</t>
  </si>
  <si>
    <t>Diego Entrena</t>
  </si>
  <si>
    <t>…l vez que no podían los sitiados alegar derecho alguno á los honores de la guerra, se les concedieron sin embargo con la capitulación que se inserta ¿ continuación por el teniente coronel D. Diego Entrena, co mandante dei sitio; manifestándose en esta ocasión, como en otras muchas, que la generosidad española camina á la par de su valor. En consecuencia del convenio desfilaron eí mismo día por delante de nuestras tropas 160 fran ceses de la guarnición del fuer…</t>
  </si>
  <si>
    <t>…tán de in genieros del exército francés, y D. Manuel Cortés , sargento mayor del regimiento de América, en nombre del comandante de todas las tropas del sitio de la plaza de Derla D. Diego Entrena, según las instrucciones del Exento. Sr. general en gefe del segundo exército español. Árt. i.° La guarnición francesa saldrá prisionera de guerra des filando por las brechas, rindiendo las armas en la última de la ciudad. 2.0 Los señores oíiciales conservara…</t>
  </si>
  <si>
    <t>Envió</t>
  </si>
  <si>
    <t>sPIB&amp;i&amp;fcB?* A9* contifinffn^prcjvj- D. Envió,un oficial al .señor genera-LDoocet cteñoas *jw» e.xtta«apútias t corno proscripciones v para que me comunicara subórdenes; enceste in otrisv sertiefañtcs^ ¿jtótí¡as’ lasjeéis g no iprocdriraps termedio llegó Mr. La.bprvdeí y mé .dió JaÓrden ..cerciprarós de-…</t>
  </si>
  <si>
    <t>Eong</t>
  </si>
  <si>
    <t>do del general Fane, del general Eong, del general Víctor Alten, la brigada de la caballería de la Casa-Reál con ¿1 sexto regimiento por tugués , y el cuerpo español de D. Julián Sánchez : poniendo igual mente en movimiento el 22 del corriente desde Fresneda el cuartel general. »EÍ enemigo ha eva…</t>
  </si>
  <si>
    <t>Eonga</t>
  </si>
  <si>
    <t>…al excelentísimo’ señor,;D. Miguel Pereira Forja? desde su qnartel general de Orcoyen, con fecha de 2Ó de junio, dice entre otras cosas jo que sigue. j,He- recibido, un parte del coronel Eonga y fecha de 22, en que me informa haber tomado seis piezas de artillería ,á; un destacamento de tro pas enemigas, que mandaba el general Foix, en1 la retirada que este hacia por el camino real de' Mondragon. ; „ Creo haber informado á V. E. por mi oficio del 2…</t>
  </si>
  <si>
    <t>Eran</t>
  </si>
  <si>
    <t>…isco Rovira = Fxcmo. Sr. D. Francisco Copons y NavÍ2..= Es copia. ss Antonio Puigy ayudante primero.” Oy ¿ir z un $ d¿ Agosta. Parte del general D. Pedro Agustín (Airón a. Exento. Sr. D. Eran*• cisco Xavier Castaños. *»Excmo. Sr.,: Habiendo recibido avisos ,al amanecer del i.° del actual de que ios enemigos, después de haber s;ido batidos tan glo riosamente sobre Pamplona» se habían visto forzados á retirarse; y premeditando que alguna de sus colu…</t>
  </si>
  <si>
    <t>Erdoedi, Jorge</t>
  </si>
  <si>
    <t>Jorge Erdoedi</t>
  </si>
  <si>
    <t>…economía ru El día 15 del mes próximo pasado , entre ocho ral Kaufman ; el modelo de otra propia para trillar, y nueve d« la noche, hubo un incendio en Sienia- que ha regalado el conde Jorge Erdoedi; y úl wa , que excitado por un aire violento, consumió timamente una colección de diferentes modelos de ocho casas en mui poco tiempo, y hubiera sido el instrumentos y máquinas útiles para la agricultura, daño mucho mas considerable sin la importante que ha h…</t>
  </si>
  <si>
    <t>Erdozain, Francisco</t>
  </si>
  <si>
    <t>Francisco Erdozain</t>
  </si>
  <si>
    <t>…Sarasa $ D. José Labiano , D. Francisco Morillo , D, Juan Jaurrieta, D. Bartolomé Guiberalde, D- Antonio Ugarte, D. Ignacio "Echeverría, D. Pedro Echegoyen , D. José María Gurrea, D. Francisco Erdozain , D. Ma nuel Sauca, D. Agustín Apezteguia, D. Martin Benuza, D. Miguel Tolqsana , D. Juan Bautista Acosta , D. Xavier Azanza , D. Juan de Ortigosa, D, Basilio Oilabarren , D. Sebastian Cortazar, D. Teo doro González, D. Juan Oyaga, D. Remigio Crespo, D. Mauri…</t>
  </si>
  <si>
    <t>Eréire</t>
  </si>
  <si>
    <t>…erai; de todos los oficia les de estado mayor, y de mi familia. Remito á V. E. estos-detalles por el teniente del regimiento de dragones de Madrid D. Tomas Domínguez , ede cán del general Eréire; y ruego á V. Eí me permita recomendarle.á su pro tección. = Dios guarde á V. E. muchos años. Lesaca 2 de setiembre de 1813:= Wellington, duque de Ciudad-Rodrigó. = Excmo. Sr.D. Juan Odonojú¿= Es copia.” (Sí continuará.) "Estando mandado por las ileyes del re…</t>
  </si>
  <si>
    <t>Ereire</t>
  </si>
  <si>
    <t>…rón , ^yjos Ufados de la pérdida que&gt; **1 sufrido e!exercito altado.? Sfióolfin: reproduzco la própbsictoh qbe^lÍTce esta iünañáñá~ ‘de tjóe' se deq las mas expresivas gracias; al general Ereire y áb su valiente tropa, que</t>
  </si>
  <si>
    <t>Erfurth</t>
  </si>
  <si>
    <t>…chinos, que actual tiempo y costumbres actuales. Ha muerto en' ia flor mente es una casa de baños, se ha hundido tam de su edad. bién hasta xi pies. Por una precaución'que reco El profesor Erfurth, excelente filólogo, y el mienda la prudencia, mas que por temor de un pe profesor Loder, hábil anatómico, han fallecido en ligro inminente, deberán demolerse estos edificios; Koenigsberg, víctimas de la epidemia que han lle pero hai todavía mucha distancia d…</t>
  </si>
  <si>
    <t>Erimopt</t>
  </si>
  <si>
    <t>…Entre ios primeros se ha encontrado al coronel y muchos oficiales; y se cuentan de los se Lcipsick _p de diciembre. gundos 16 oficiales y 400 cosacos montados. Un destacamento del general Erimopt lia sor- Es siempre continuo el tránsito de las fropa prehendido en jNícswícz un crecido cuerpo de co que van por la Saxonia al exército grande. El rcr— sacos , del que mató una gran parte, é hizo 200 trer batallón de los regimientos 3.' y 10;.0 de infan pris…</t>
  </si>
  <si>
    <t>ErmaIoff</t>
  </si>
  <si>
    <t>…y séptima de i -fanterí» y déla segunda división de caballería , ha debido pasar el Nieper en Kopis el 23, encaminándose por Toloícliina para incorporarse con el destacamento del general ErmaIoff._ , „El exército pasará el Nieper el 24 en Kopys, y marchará por Star a sel á TsetzershiofF, desde donde se encaminará , según las cir cunstancias , ó á Sobra ó á BerézinofF. ; ,.E1 general Wittgenstein participa desde la aldea de CheTai en £4 del corriente ,…</t>
  </si>
  <si>
    <t>Ermaloff</t>
  </si>
  <si>
    <t>…erseguir ahenemigo en el camino de. Kochanoff. „Un destacamento compuesto de 14 batallones de infantería, al guna caballería y dos compañías de artillería, á las ordenes del muyor^general Ermaloff, marcha para Orsha con el objeto de reilnzar al conde Plato w.</t>
  </si>
  <si>
    <t>ErmalofF</t>
  </si>
  <si>
    <t>…o de Moldavia, y á corta distancia de él: entre tanto, el ¿onde Platow cea un fuerte destacamento de cosacos, caballería ligera, y artillería volante, y la infantería que manda el general ErmalofF, se adelanta á los france* ses en la línea misma que siguen. ,,Ei último pueblo, llamado Nemencina, está á una ó dos.postas; de Wilna por la parte del norte. „Los reclutas rusos siguen presentándose con el mayor celo , y según noticias , se va á levantar un n…</t>
  </si>
  <si>
    <t>Eróles</t>
  </si>
  <si>
    <t>757</t>
  </si>
  <si>
    <t>…Por último, la noche y una fuerte lluvia separó los combatientes de ámbos exércitos, y los franceses empren dieron su retirada. Poco después tuvo también por conveniente el señor general Eróles verificar la suya á Mieras, sin volver unos ni otros á hostilizarse. Nuestra pérdida entre muertos y heridos pasa de ' ioo hombres; pero \ cual será la de los enemigos que fueron tantas veces recha zados í El señor general en gefe, satisfecho del valor y cond…</t>
  </si>
  <si>
    <t>Erriz, José</t>
  </si>
  <si>
    <t>José Erriz</t>
  </si>
  <si>
    <t>…elino O. rea y IX Fermín Argaiz : á capitanes de granaderos y cazadores a¿ i). Juan Vülamieva, D. Felipe Navasqües , D. Angel Ros , •Don-’ José. - María Barrica!, D. L uis Arillo, D. José Erriz, O. Felipe Tule sana, XX Luis Gaitdiaga , 1). Simón Perez, D. Silvestre‘Ezcurra, D. Gregorio Durana y D. Antonio VAliivielso : á capitanesde fusileras á D. Francisco Naval, D. Fermín Esandí, D. Antonio QroD. Joaquín í duate,-D. Vicente Soravilla, IX José ítút…</t>
  </si>
  <si>
    <t>Erskine</t>
  </si>
  <si>
    <t>…alii con fre princesa de Gales en virtud de una comisión cuencia, dando esto motivo á. murmuraciones en la del Rei. casa, porque creo que los demás criados formarían Comisionados: lord Erskine, lord Grenviile, las mismas sospechas que yo. lord Spencer y lord Ellenborough. La princesa tomó un niño, que, según me d¡xeron, habia traído á |a Casa Stiltcman. Yo servia Vedaración de Roberto Bidgoo(l. una semana cada tres, y no me tocaba de servidum En el…</t>
  </si>
  <si>
    <t>Ertle</t>
  </si>
  <si>
    <t>…do parte con la noticia de haber sido hecho pri sionero otro oficial general, de cuyo nombre no me acuerdo, y tam bién parece que se ha recibido aviso de haber llegado á Egoumeoel general Ertle. „El destacamento que manda el general Sachen parece que asbastante fuerte para conténer al príncipe Schwartz¡emberg. ■ ,5Se frustró la tentati va de volar ?a catedral de Smolensko por ha»? . benr apagado la mecha antes de,llegar á la mina, , ;jj, , No sé sab…</t>
  </si>
  <si>
    <t>Es, Carlos</t>
  </si>
  <si>
    <t>Carlos Es</t>
  </si>
  <si>
    <t>…El general de brigada Cassan, barón del Imperio, oficial de ía Legión de honor , gobernador de la plaza y ciudadela de Pamplona por S. M. I. y R. Napoleón; y el mariscal de campo D. Carlos Es paña, cabslLsro del orden de S. Juan de Jerusalen, comandante ge neral de las tropas españolas y aliadas que forman el bloqueo de dicha phza y ciudadela; han nombrado para discutir y ajustar los artícuioj de ía capitulación, baxo cuyos términos esta misma p?a…</t>
  </si>
  <si>
    <t>Es, Cárlos</t>
  </si>
  <si>
    <t>Cárlos Es</t>
  </si>
  <si>
    <t>…tario de tstado de S. M. B., al marques dí Wel¡i:-£-t n, fe .ha en Londres á 11 de noviembre de 1813 , cuyo tenor es el siguiente „v. E. se servirá manifestar al ma iscal de camp" D. Cárlos Es paña el grande.aj-recio que S, A. R. el p&lt; recipe regente h?ce dei zelo, constancia y pericia que ha manif stado er estfr op. r con, que no pude menos de aumentar las glorias ya Edq:drida; por el exército español en e:ta campaña, baxo el inmediato t.--sndo de…</t>
  </si>
  <si>
    <t>Es, Francisco</t>
  </si>
  <si>
    <t>Francisco Es</t>
  </si>
  <si>
    <t>747</t>
  </si>
  <si>
    <t>…e migos , y que su objeto es asolar aquel valle ; cuidaré de participar Á V. S. los resultados. = Dios guarde á V. S. muchos años. Apies 20 de Mayo de 1813 .—Antonio Oro.zz. Señor general D. Francisco Es poz y Mina. ==Se lo comunico á V. E para su satisfacción. = Mues tro Señor guarde á V. E. muchos años. Iriverri 23 de Mayo de 1813 = Exorno. Sr .'sz Francisco Espoz y Mina. =: Exorno. Sr. D.. Francisco Xavier Castaños.” (Se concluirán.) Calahorra 27 de Junio.…</t>
  </si>
  <si>
    <t>…Sder, que viniendo en retirada hizo frente á 2 enemigos, y los hirió gra vemente. = Dios guarde á V. S. muchos años. Olite 19 de Mayo de 181 ^. zz Miguel María Iriyarren.zz Señor general D. Francisco Es poz y Mina. = Lo que comunico á V. E. para su gobierno. = Nues tro Señor guarde á V. E. muchos años. Lovera 20 de Mayo de 1813.= Francisco Espoz y Mina.zzlS.xcmo. Sr. D. Francisco Xavier Casta ños/’ - Décimo quinto. El comandante accidental del séptimo regimi…</t>
  </si>
  <si>
    <t>…, y baxo el pretexto arbi trario y fútil de exigirlo así la guerra coa la Gran-Bretaña. (Se con tinuará.) ESPAÑA. Sangüesa gi de Agosto. Concluyen los partes del mariscal de campo D. Francisco Es• poz y Mina. Segundo. El comandante del segundo regimiento me dice lo que copio. «Mi general: Con el designio de sorprehender al enemigo, que ea número de 1500 hombres ocupaba la posición de la Peña de Virues, dirigí ios regimientos segundo y séptimo por los…</t>
  </si>
  <si>
    <t>És-pb'z</t>
  </si>
  <si>
    <t>…) se apo deró de un edecán francés ael general eh gefe^ que conducía para el rey intruso pliegos, en los cuales decía aquel.general ,que para arro jar del territorio de Navarra áí general És-pb'z y cobrar las ccntribnnes se necesitaban 25® hombres; porque la bizarría de sus tropas, y la adhesión que le tiene todo el país, le hacen superior £ las! fuenzas . l’\ que hasta ahora le hari perseguido. \ J ' Cervera 2&lt;Tde JMtayo. *. Asesar- dél decidido.y po…</t>
  </si>
  <si>
    <t>Esandí, Fermín</t>
  </si>
  <si>
    <t>Fermín Esandí</t>
  </si>
  <si>
    <t>…Erriz, O. Felipe Tule sana, XX Luis Gaitdiaga , 1). Simón Perez, D. Silvestre‘Ezcurra, D. Gregorio Durana y D. Antonio VAliivielso : á capitanesde fusileras á D. Francisco Naval, D. Fermín Esandí, D. Antonio QroD. Joaquín í duate,-D. Vicente Soravilla, IX José ítútria, IX Pedro Mayó , U. Ambrosio Seguin , D. R ímon Artica, IX Agus-* ílu Góngora , D -Félix Miranda ,' D. FideL Boira , D. Ramón Elorrio, Jó. Joaquín Ferrér, D. Sebastian Ansa, I). Sebastia…</t>
  </si>
  <si>
    <t>Esca, Angel</t>
  </si>
  <si>
    <t>Angel Esca</t>
  </si>
  <si>
    <t>…nda, D. Atanasio Diez, D. Bartolomé Comas, D. Ildefonso Mayo, D» JVLguql Ormachea, D Joaquín Sánchez, D José Migueltorena D Diego Gayarre, D. Fermín San Martin,*O. José Arozarena, D. Angel Esca lada, D. Víctor Pastor, D. Francisco Boira , D. Nicolás Uroz, D. Francisco Sarbide, P. Manuel'Inda, D Juan Ignacio Peña, D Diego OteruimDi Gabriel Alegría , D. Félix Sarasa $ D. José Labiano , D. Francisco Morillo , D, Juan Jaurrieta, D. Bartolomé Guiberalde,…</t>
  </si>
  <si>
    <t>Escalera, Rafael Gevallos y</t>
  </si>
  <si>
    <t>Rafael Gevallos y Escalera</t>
  </si>
  <si>
    <t>…Las Cortes, generales y extraordinarias, habiendo tomado en considera ción la,instancia y, documentos presentados por Doña Francisca O-Gon, viu da. del .teniente coronel graduado) D. Rafael Gevallos y Escalera, coman dante del batallón de granaderos del General del quárto exército (hoi tercer ro.) sin real aprobación, y la consulta que en su vista hizo el tribunal espede.Guerra,y Marina con fecha 13 de mayo último; se han.servido re solver, accediendo á la solicitu…</t>
  </si>
  <si>
    <t>Escalona, José María</t>
  </si>
  <si>
    <t>José María Escalona</t>
  </si>
  <si>
    <t>…y un envoltorio de papeles con noti cias falsas para engañar á los incautos. Elogia la conducta del tenien te Orta, del sargento Manuel Rodríguez; á los patriotas D. Rafael Ponce, D. José María Escalona, D. Juan May obre, D. Juan Sán chez , D. José Romero, ©.Antonio Gomqjf y í&gt;, Fernando Azcoitia»( Se continuarán.) Logroño de Julio. Nuestro exército forma una línea impenetrable desde Irun á Ja ca. Mil caballos ingleses que había en esta ciudad salieron el di…</t>
  </si>
  <si>
    <t>Escándon, N.</t>
  </si>
  <si>
    <t>N. Escándon</t>
  </si>
  <si>
    <t>505</t>
  </si>
  <si>
    <t>…a de la sesión anterior, se dióCuenta del dictáment de la co misión especial de Hacienda acerca dé io que se debería hacer 'con los vales que á nombre de D. Agustín Valdés ofreció D. N. Escándon; opina la co misión que las Cortes acepten esta generosa oferta, y que por medio de la Regencia y del gefe político de la isla de Cuba se manifieste ai digno patrio ta el Sr. valdes quan apreciable ha sido al Congreso Su generosa oferta: que se le remita una…</t>
  </si>
  <si>
    <t>Escandon, Tadeo Sánchez</t>
  </si>
  <si>
    <t>Tadeo Sánchez Escandon</t>
  </si>
  <si>
    <t>…bre del donativo patriótico de 34907 pesos que ha hecho á las Cortes generales y extraordinarias D. Agustín Ramón Valdés , na tural y vecino de la Habana, por mano de su apoderado D. Tadeo Sánchez Escandon, cuyo pgr menor se da al público por disposi ción de la junta del crédito público, para que si hubiere algún inte? e:ado que tenga que reclamar alguno ó algunos de dichos vales, lo haga desde esta fecha hasta fin de Diciembre de este año; en el concepto de qu…</t>
  </si>
  <si>
    <t>Escario, Jacobo</t>
  </si>
  <si>
    <t>Jacobo Escario</t>
  </si>
  <si>
    <t>…sin embargo de que juzgo que V. S. mas que yo lo ha presenciado , como también el de los ya .citados brigadieres y el dd ayudante primero de estado mayor gefe del de esta división D. Jacobo Escario, que con su actividad, bizarría y conocimientos, no solo ha desempeñado completamente las funciones de su empleo, sino que ha providenciado oportunamente por sí quando las circuns tancias lo han axígido: igualmente incluyo á V. S. nota de los indi viduos que…</t>
  </si>
  <si>
    <t>…rría militar , que puede ser objeto de una recomendación. Igualmente pongo á la consideración de V. S. la buena conducta y desempeño de sus funciones del ayudante primero de E. M. D. Jacobo Escario, que me acompañó todo el día, y la del mayor del regimiento de infantería de Pravia D. Francisco Cabrera, quien salió gra vemente herido, habiendo tenido ya igual desgracia en.otra acción, en que se distinguió estando á mis órdenes. No puedo concluir este par…</t>
  </si>
  <si>
    <t>…ia D. Francisco Cabrera, comandante del batallon.de caz.ar dores de la coluna de ia izquierda, que fue gravemente herido; y lo,s ofi ciales de estado mayor los tenientes coroneles D. Jacobo Escario, D. Josef María Paniagua, y los capitanes D. Manuel Qbregoso y D. Josef Rendoq. ,,E1 8 en¡ la mañana V. E. reconoció por sí mismo Ja montaña de Larr run, y vista la imposibilidad de desalojar á viva fuerza ai enemigo de su ci ma, se sirvió disponer hiciera un…</t>
  </si>
  <si>
    <t>…mbargo de; que juzgo que V. S. mas que yo lo ,ha presencia do, como también el de,los ya citados brigadieres, y el del ayudante pri mero de estado mayor gefe del de e$t;a división D. Jacobo Escario, que con su actividad, bizarríay conocimientos no, solo ha desempeñado completadiente Us,Funciones de iu empleo, sino que ha providenciado oportunamen te por sí quatido ias circunstancias lo han exigido: igualmente incluyo á V. S. nota deMos individuos que po…</t>
  </si>
  <si>
    <t>Escñche, Joaquín</t>
  </si>
  <si>
    <t>Joaquín Escñche</t>
  </si>
  <si>
    <t>…do en Londres por D. Manuel Abella, oficial de la éecretaría de Estado, y secretario de Ja embazada extraordinaria de España en aquella corte; y traducido 'al verso castellano por D. Joaquín Escñche; un quaderno en octavo'mayor. Se hallará en la imprenta nacional i 4 rs. Los comentarios de Gayo Julio Cesar, traducidos al castellano por D. Manuel de Val bueña, catedrático de lós reales estudios de esta corte: segunda impresión» nuevamente corregida. Lleva…</t>
  </si>
  <si>
    <t>Escolar, Juan</t>
  </si>
  <si>
    <t>Juan Escolar</t>
  </si>
  <si>
    <t>…ordo , distinguidos de la expresada academia , á este la sabteneiicia de bandera; y para reemplazar la vacante que resulta de subté*' mente en ei tercer batallón por ei ascenso de D. Juan Escolar, ftá: nombrado S. A. á D. José Lori, sargento primero del citado quinto batallón de zapadores. En los seis batallones de infantería que componen la división de voluntarios de Navarra del mando del mariscal de campo D. Fran cisco Espoz y Mina, se ha servido la…</t>
  </si>
  <si>
    <t>Escorregadia, Alfonso</t>
  </si>
  <si>
    <t>Alfonso Escorregadia</t>
  </si>
  <si>
    <t>…idad á la constitución de la monarquía española, prestados por diferentes corporaciones é individuos. El 30 de Octubre felicitaron ál Congreso por haber sancionado la constitución D. Alfonso Escorregadia y D. Modesto Galvan. Ei mismo dia se presentaron á las Cortes los testimonios de haber jura do la constitución la ciudad de Valladolid, su universidad y cabildo, el Castillo de las Guardas, Cumbres del Medio , Alhajar , Almonte, Bollulle, Cartaya, Morales y Moron de la Frontera.…</t>
  </si>
  <si>
    <t>Escu, José Antonio</t>
  </si>
  <si>
    <t>José Antonio Escu</t>
  </si>
  <si>
    <t>…Góngora , D -Félix Miranda ,' D. FideL Boira , D. Ramón Elorrio, Jó. Joaquín Ferrér, D. Sebastian Ansa, I). Sebastian Goñi, D Fausto-* Lantler, D. Miguel Asíiz, D. José Apellaniz, D. José Antonio Escu dero. . ! (Se continuará.) id €M)ÍZk *EN LA IMPRENTA NACIONAL.</t>
  </si>
  <si>
    <t>Escudero, Isidro Sánchez</t>
  </si>
  <si>
    <t>Isidro Sánchez Escudero</t>
  </si>
  <si>
    <t>…l estipendio de los niños que asistan de los pueblos inmediatos. Quien quisiere hacer pretensión á dicha plaza remitirá los memoriales y demas papeles al secretario constitucional D. Isidro Sánchez Escudero, quien dará parte de ellos, f su votación será en el dia 30 del presenté mes. Mapa geográfico del teatro de la guerra de Francia con los aliados del Norte. Este es el mismo anunciado ya en una de las gazetas del año. anterior; pero como entonces las posicione…</t>
  </si>
  <si>
    <t>Escudero, Nicolás</t>
  </si>
  <si>
    <t>Nicolás Escudero</t>
  </si>
  <si>
    <t>…tribunal de Jus ticia , natural de la ciudad de Molina. Sr. D. ManueLManrique, canónigo de la santa iglesia catedral de Cuen ca , natural de la villa de Atienza. Suplente. Sr. Dr. D. Nicolás Escudero, canónigo dignidad de la santa iglesia ma gistral de Alcalá de Henares, natural de Tartanedo. Diputación provincial. i.° Sr. D. Jp?qu in; Montesoro, caballero de la real y distinguida orden española, de Cárlos ni* vecino de la ciudad de Molina. 2.0 Sr. JD. Fé…</t>
  </si>
  <si>
    <t>…os conductos quando nos escriban haber recibido la correspondencia de que carecían. En la gazcta níim. 21 del martes 27 dé julio se presentó al diputado su plente por Guad-alaxará D. Nicolás Escudero, canónigo dignidad de la san ta iglesia de Alcalá de Henares, como natural de Tarranedo; y no siéndolo sino de la villa de Baiconete, lo anunciamos á instancia del interesado para los efectos que le convengan. Capta del parte del general de la segunda divisió…</t>
  </si>
  <si>
    <t>Escurra, Miguel Fermín</t>
  </si>
  <si>
    <t>Miguel Fermín Escurra</t>
  </si>
  <si>
    <t>…, 200. D. Dámaso de Arias, 200. D Matine? Partido, 200. D. Martin Axamburu, 200. D. M afras I are a, 200. D. Toribio Acebal, secretario de gobier no, 200. D. José lio dirifo, 200. D. Miguel Fermín Escurra, 200. D. Miguel Cabe’lo, £00. D. Miguel Antonio Ar óla, 200. D. Fran cisco Maíz , 100 D. P&lt; dro M:guel I jibareen, 100. D. Femín Co ya, 100Í £1 conde Villa* do Fuente, 100. D. Luis A¿elmo L&amp;n*</t>
  </si>
  <si>
    <t>Esmercio, Josef</t>
  </si>
  <si>
    <t>Josef Esmercio</t>
  </si>
  <si>
    <t>…llos equipados á su costa. En seguida suplica promoción de D. Manuel Antonio Gordo á un ca ron al Exento. Sr. ministro de Manufacturas y co nonicato de la colegial de S. Felipe, á D. Josef Esmercio que e'evaoí á los pies del trono la expresión parsa, seminarista , presbítero. de sus sentimientos patrióticos. Para el de Benimodo, vacante por ascenso de Escriben de Maestrich que apenas acordó el D. Pedro Belau al curato de la Sollana, á D. Fer consejo mun…</t>
  </si>
  <si>
    <t>Esp, Fraxcisso</t>
  </si>
  <si>
    <t>Fraxcisso Esp</t>
  </si>
  <si>
    <t>…estará á disolver la. unión de los dos reynos, heredados de sus mayores, á los cuales; tiene igual amor.. ESP A®A. Urb as a 2$ de Mayo. Continúan los partes del mariscal de carneo D. Fraxcisso Esp»&amp; y Mina. Quinto. tfno de tos proyectos de Clausel para llevar á efecto su perse cución fue dexar una guarnición considerable en la villa de rúente la Reyna, bien atrincherada y fortificada, y un cuerpo avanzadode 50 hombres con un comandante en la de Mendigo…</t>
  </si>
  <si>
    <t>ESPAÑA, Ma</t>
  </si>
  <si>
    <t>Ma ESPAÑA</t>
  </si>
  <si>
    <t>…ubre de 1812.= Cecilio Samaniego. Firmado =el general comandante Dubreton. Para el de Baños de Riotobia al ex-franciscano D.F rancisco Sauz. Para el de Hornillos al ex-franciscano D. Ma ESPAÑA. nuel Robles. Para el de Zihuri al ex-premostratense D. Ju Madrid 7 de enera. lián González de Uriarte. Extracto de las minutas de la secretaría de Es Para el de Sojuela al ex-benedictino D. Benito tado. Galilea. En nuestro palacio de Madrid á j de enero Para…</t>
  </si>
  <si>
    <t>Espejo, Manuel</t>
  </si>
  <si>
    <t>Manuel Espejo</t>
  </si>
  <si>
    <t>…núm. 3.0 inserta una re su representación trágicamente, sí se considera que presentación hecha á nombre del canónigo de Cór por la ihismá constitución que han sancionado, ya doba D. Manuel Espejo al tribunal especial de debieran haberse disuelto, y dado lugar á la cele Guerra y Marina contra las inauditas tropelías del bración, de las ordinarias. Si bien hallados sus voca general Echevarri.” [Redactor general núm. $76'.) les con; su representación y s…</t>
  </si>
  <si>
    <t>Espeleta, José María</t>
  </si>
  <si>
    <t>José María Espeleta</t>
  </si>
  <si>
    <t>…ió ayer por desgracia de la nación y del exército, gefe estimable por sus vir tudes, y llorado de sus compañeros y de sus sííbditos. En tal estado, deseoso de animar las tropas el brigadier D. José María Espeleta, co mandante de aquella brigada, les dio el exemplo brillante de tomar una bandera y arrojarse al rio á la cabeza de los soldados, de los quales fue seguido con entusiasmo. Esta brigada se apoderó de los atrinche ramientos y casas de la parte baxa del pueblo…</t>
  </si>
  <si>
    <t>…el brigadier D. Diego del Barco: la primerj brigada en Oriuña y la segunda en Durando, de la misma división. Cuarta divi ion en Tolosa y pueblos inmediatos, que manda el b ig dk r D. José María Espeleta, interinamente. Quin ta división, que manda el mariscal de campo D. Juan Diaz Perder: la primera brigada de esta división se halla distribuida en ks pt eblos de Ir un* y Guetaria, y la segunda bridada en el bloqueo de Santoña. Sexta división , que manda el br…</t>
  </si>
  <si>
    <t>Esper, Vicente</t>
  </si>
  <si>
    <t>Vicente Esper</t>
  </si>
  <si>
    <t>…alcalde. D. Agustín Pascual, substituto segundo. D. Diego de Villa, substituto primero. Barrio de S. Pascual. D. Bartolomé Cano de Molina, substituto se D. Angel Sahagun, alcalde. D. Vicente Esper, substituto primero.gundo. Barrio de las Niñas de la Paz. D. Arias Gonzalo de Mendoza, substituto se D. Francisco Blanco, alcalde. gundo. D- Tomas Ximenez, substituto primero. Barrio de las Mercenarias. D. Carlos A riña, substituto segundo. D. Domingo Rcinoso…</t>
  </si>
  <si>
    <t>Esperan</t>
  </si>
  <si>
    <t>…o ? En que se hacen por quien no tiene po marzo. „ Pocas cosas, dice , me han causado tanta der bastante para executarlas, ni fuerza suficiente sorpsesa como La representación del señor Esperan para consolidarlas, y fuera de tiempo y de lugar. Si za , la única de las tres que he oido Uer hoi en las de propósito nos pusiésemos á analizar todas las cortes. Rccomiéndola á alguna buena alma para ruidosas disposiciones de las cortes de Cádiz, liallaque l…</t>
  </si>
  <si>
    <t>Esperanza, Mariano Martin</t>
  </si>
  <si>
    <t>Mariano Martin Esperanza</t>
  </si>
  <si>
    <t>…arcir semillas de sedición.” hayan de serla nuevas causas de males y desórde __ „ Impresos. Carta sobre la representación del nes , en vez de sacar de ellas la utilidad y provecho Sr. D. Mariano Martin Esperanza, vicario ca- - que se prometía y era de esperar. ¿Y en qué con pit ul.tr de Cádiz, leída en las cortes el dia 8 de siste esto ? En que se hacen por quien no tiene po marzo. „ Pocas cosas, dice , me han causado tanta der bastante para executarlas, ni fuerza su…</t>
  </si>
  <si>
    <t>Espert</t>
  </si>
  <si>
    <t>Gaceta de Madrid n.º 18</t>
  </si>
  <si>
    <t>…AÑA. domiciliados en Moubach, departamento del Roer, Madrid 17 de enero. en 30 de abril de 1812 una patente de importación .por 10 años por ja fabricación de hojas de florete.' El general Espert, gobernador de la provincia A Mr. Lacour, domiciliado en Paris, una con de Segovia, habiendo sabido el día 6 de este mes tinuación de la patente de invención que obtuvo en que la partida de Saornil, y parte de la del Em 1812 por su método de hacer molduras. p…</t>
  </si>
  <si>
    <t>Espí, Francisco</t>
  </si>
  <si>
    <t>Francisco Espí</t>
  </si>
  <si>
    <t>…Ies órdenes del maris cal de campo D, José Duran , salió de esta plaza para cooperar á las operaciones de la campaña. La del cuarto exéreito, al mando del- general de igual clase D. Francisco Espí#z. y Mina, sigue cubriendo la ciudad, y manio brando contra, el castillo. Hace tres días que el enemigo dirige sus fuegos de canon y obús: hacia las obras que se construyen, y aun adentro de la ciudad. N®*.-</t>
  </si>
  <si>
    <t>Espi, Joaquin</t>
  </si>
  <si>
    <t>Joaquin Espi</t>
  </si>
  <si>
    <t>…bal Marco, patrimonista presbítero. crito á una suma bastante crecida, volvieron des Para el de Aguacor, vacante por ascenso de pués ¿ doblarla , por manera que las subscripciones D. Joaquin Espi al curato de Tibí, á D. Mariano voluntarias, hechas en menos de 24 horas, basta Raíz , presbítero ex-regular. ron para llenar la oferta del consejo municipal. Para el de Muría, vacante por promoción de La ciudad de Amsterdan ofrece á S. M. un es- D. Juan Baut…</t>
  </si>
  <si>
    <t>Espiga</t>
  </si>
  <si>
    <t>…erales y extraordina rias procedieron estas el dia 6 del corriente á la elección de individuos que deben componer la diputación permanente de las mismas, y salieron electos i.° el Sr. Espiga , europeo: 2.° el Sr^Mendipla., americano: 3,°jel Sr. Creus, europeo: 4.°;el Sr.;Olmedo, americana: 5.? D. Josef Teodoro Santos, eu ropeo: 6.° el Sr. Larrazabal ,' de ultraoTar; y debiendo; decidir la suerte la elección del 7;° diputado entre..un europeo y ot…</t>
  </si>
  <si>
    <t>…junta» preparatoria de las que deben preceder á la instalación de las Cortes ¡ordinarias del 'año de 1813. Colocada dicha diputación al rededor d&lt;! 4a mesa del salón de Cortes, el señor Espiga, presidente, pronunció el si guiente, discurso: „ Todas las naciones conocieron bien presto la necesidad de poner límites al gobierno que habian formado para establecer el orden, la justicia y la seguri dad;-y Ja España, :narmenos sabia» delante; de sus Reyes…</t>
  </si>
  <si>
    <t>Espinosa</t>
  </si>
  <si>
    <t>…a, ei 4 de Junio acometió el alferez D. Miguel Casanova con 40 solda dos de Nueva-Vizcaya á 209 rebeldes , acaudillados por Cecilio González , que de resultas de su derrota por el capitán Espinosa se había retirado á las serranías del Nayarith, en el parege non braco Soquipaque, dio muerte á 25 de ellos, siendo uno ei cabecilla Gon zález, hirió muchos, dispersó completamente el resto, y tomó cuan* to la canalla había pillado. 34. E11 9 de Junio destacó…</t>
  </si>
  <si>
    <t>Espinosa, Benito</t>
  </si>
  <si>
    <t>Benito Espinosa</t>
  </si>
  <si>
    <t>…ida que la de un muerto y 3.contusos de piedra. 12. Picachos 19 de Abril de 1812. Cuatrocientos hombres re unidos de S. Blas, Tepic, Sonora y Aeapóneta, á las órdenes del ca pitán D. Benito Espinosa, atacaron la numerosa gavilla de rebeldes agolpada en el ventajoso parage de Picachos-, mataron S de ellos , é hirieron 200, según noticias de un. desertor , sin.mas pérdida que lade 2 muertos y aigunos contusos de piedra por parte de los nues tros; y habiénd…</t>
  </si>
  <si>
    <t>20. Encinos sobre la Sierra de May* de iSrz. El capitán comandante D. Benito Espinosa con un cuerpo de tropas de Sonora, reforzado con dos destacamentos del apostadero de S. Blas y Tepic, á cargo aquel del alférez de fragata-D. Mateo Plowes, y este al del capitán D. Juan Maldonano, atacó en la madrugada de este dia la gavilla de Cecilio Gonzál…</t>
  </si>
  <si>
    <t>8í437. En 13 de Junio, el capitán D. Benito Espinosa, déla divi sión de Sonora, al cargo del referido teniente coronel Urna, con su tropa y algún refuerzo de S. Bms y Tepic, ataco cerca de las Estan cias jurisdicción deMaloya, á ioo rebeldes, de los que mato 19, entre ellos al capitancillo Juan Luis y uno de su…</t>
  </si>
  <si>
    <t>Espo, Francisco</t>
  </si>
  <si>
    <t>Francisco Espo</t>
  </si>
  <si>
    <t>…o resulta que Napoleón se halla en el mayor apuro en que puede verse un conquistador. ESPAÑA. * _ , !' Puente la TLcynd 20 de Noviembre* Concluyan ios partes del mariscal de campo D. Francisco Espo% y Mina. 2.° „Excmo. Sr.: Estoy bien persuadido de que si la hambre , la necesidad y la escasez de todos los artículos no obligase á los enemi gos á hacer Salidas de Pamplona en busca de vituallas, jamas lo ve rificarían ? á no reforzarse considerablemente, m…</t>
  </si>
  <si>
    <t>…uniciones , y en los almacenes un abundante acopio de cebade y trigo. (Se continuará.) ESPAÑA. Puente lá Jleyna 20 ct Diciembre de 1812. Continúan ios partes del mariscal de campo D. Francisco Espo% y Mina. 3.° ,,El teniente coronel D. José Gorrlz me ha hecho saber el resultado de la acción que sigue : Mi general: En confor¿nidad á las órdenes que V. S. me dexó comunicadas al partir á Aragón , he obs'-rv^ io todos estos dias al enemigo de Pamplona. Una.…</t>
  </si>
  <si>
    <t>…rnador de su capital, le tiene en a misma situación en que al rey de España en Francia. ESPAÑA. Puente la Reyna 20 de Diciembre de 1812. Concluyen ios partes del mariscal de campo D. Francisco Espo% y Mina. 5 ° „E1 comandante de observación del punto de Lesaca me di ce con fecha de 9 do Diciembre desde Goizueta lo que sigue.— Mi general: el4 , repartida la munición á mis soldados y tomada uaa refacción de pan y vino , salí de Lesaca al anochecer, y pude…</t>
  </si>
  <si>
    <t>…das hasta la misma plaza, sin que hasta ahora haya llegado el pormenor de esta gloriosa acción ; los enemi gos no baxaban de 3000 hombres. Copia de una caria del mariscal de campo D. Francisco Espo% 7/ Mina. ,,Ei dia de ayer ataqué entre Lerin y Lodosa á una parte de la columna que mandaba el general Barbel, compuesta de 1000 hom-</t>
  </si>
  <si>
    <t>Espoleta, José</t>
  </si>
  <si>
    <t>José Espoleta</t>
  </si>
  <si>
    <t>…anto por la exactitud con que dió cumplimiento á las instrucciones que llevaba, como por el valor y orden militar con que estas fueron executadas, los coman dantes. de brigadas el brigadier D. José Espoleta, que unió con ta. to fruto el valor y. la inteligencia, el de la misma clase D. Diego Bar co, que verificó U subida dei monte Mandal con tanta celeridad como</t>
  </si>
  <si>
    <t>Esposa, Juan</t>
  </si>
  <si>
    <t>Juan Esposa</t>
  </si>
  <si>
    <t>…actual ecónomo de Catarroja. TEATRO. Para el de S. Bartolomé de Valencia, vacante En el de la Cruz se cxecutará la comedia titulada por por fallecimiento de D. Antonio Genoves, á D. Juan Esposa y tro no a un tiempo y mágico de Astracán; se Bautista Fabregat, cura párroco del Salvador de la cantará una tonadilla , se bailará el bolero, y se dará fin misma ciudad. con un sainete. Se cobrará de subida. A las cinco. EN LA IMPRENTA REAL.</t>
  </si>
  <si>
    <t>Espoz</t>
  </si>
  <si>
    <t>…ioneros, manifestándoles que él no hada la guerra á los pueblos, sino al tirano que los oprimía. Cádiz 27 de Agosto. Carta escrita desde Zaragoza á 4 de Agosto de este año, por el general Espoz, á un amigo suyo residente en esta. «Después de haber entrado en esta ciudad traté de apurar su castillo, llamado la Aljafana, al que puse sitio con las pocas piezas de artillería que tenia á mi disposición, y con las que conseguí de moler sus baluartes, y ca…</t>
  </si>
  <si>
    <t>Espoz, Francisco</t>
  </si>
  <si>
    <t>Francisco Espoz</t>
  </si>
  <si>
    <t>379</t>
  </si>
  <si>
    <t>…nario júbilo y salvas de airtiHería la noticia de haber levantado los franceses el sitio de Cádiz. Tirapu 31 de Enero,d~ 1813. V ? . - • Concluyen los partes dtl mariscal de campo D. Francisco Espoz - y Mina. ’• Tercero. ,,El.comandante de observación del punto de Lesáca me dirige el 'siguiente parte. — Mi general ; Según n^aRifesté á V S. en mi anterior, y con el objeto de castigar en lo posible al enemigo, me hallaba en esta villa con la partida de mi…</t>
  </si>
  <si>
    <t>Espsña, Caries de</t>
  </si>
  <si>
    <t>Caries de Espsña</t>
  </si>
  <si>
    <t>…n la-noticia, de la pérdida que experimentaren las tropas de su mando ; añadien do que estoy muy satisfecho del valor y atrevimiento que acredita ron las tropas de la división del general D. Caries de Espsña, y de las de este exército, que mandó el brigadier D. José Aymerich , no podiendo menos de recomendar á la bondad del Gobierno- superior la viuda del respetable capitán D. Juan Nebreda,. de la cual hace honorífica mención el general España. — Lo restante déla…</t>
  </si>
  <si>
    <t>Esquivel, N.</t>
  </si>
  <si>
    <t>N. Esquivel</t>
  </si>
  <si>
    <t>…eres que les corresponde ” Hablaron sobr,e esta materia los Sres. Mexía * Arguelles, Toreno , Ctéu$, Antillon , Pelegrinv, Galatravs, Porc.el y Dou.l™. Se leyó, urra exposición de D. N. Esquivel", en que presentaba al Congreso una memoria sobre ebmbdq de extinguir la deuda pública. Las Cortes la aceptaron con agrado. ú— Se levantó la sesión á las 11 y quarto. Dia 8. Se procedió á la discusión del presupuesto de gastos del estado presentado por la com…</t>
  </si>
  <si>
    <t>Esrrea, Juan ILmisía de</t>
  </si>
  <si>
    <t>Juan ILmisía de Esrrea</t>
  </si>
  <si>
    <t>…Válega y sus dos compañeros, 3 id. D. A:\tonio Ortiz de Taiamo, 3 id. O. José Francisco Miranda, 2 id. D. Jo^é Ig nacio 'PvJacios, 2 id. D Gaspar Rico. 2 id. D. José Medica, 2 id. D. Juan ILmisía de Esrrea, 2 id. D. Juan Gil, 2 id. D. Juan Anto nio d&amp;rriva, I id. i). Juan Hernández, i id. D. Antonio iiodrigsez Hernández, 1 id. D. Mateo Anta, Lid D. M;guel de Arto i a, 1 id. D. Fulgencio Antonio Zabala, 1 id. D. Francisco Antonio - Quiros, 1 id. D. Miguel Aljovi…</t>
  </si>
  <si>
    <t>Estalella, Gaspar</t>
  </si>
  <si>
    <t>Gaspar Estalella</t>
  </si>
  <si>
    <t>…coronel D. Pedro No'asco Ba sa; al sargento mayor D. Matías Cantero, que executaron cada uno escrupulosam.n:e las operaciones que les mandé: á los capitanes D. Juan Pa bia Prast, D. Gaspar Estalella y D. Francisco Maserts; al teniente D. Manuel Herrando y D. José Loscos: los subtenientes D. Alexo Valls y D, Juan Buenaventura Mateu: los sargentos primeros Pe dro Falcon, Justo ToU, José Borras y Agustín Alealde, y los segun dos José María Rodríguez é Ignacio García; el cadete D.…</t>
  </si>
  <si>
    <t>Estamos</t>
  </si>
  <si>
    <t>…Kutusow, que ha llegado poco después de ellos. Semlin 15 de febrero. Falta mucho para que este exército sea tan fuerte como publican los rusos. Según las noticias de Belgrado, un comandante Estamos bien persuadidos que no han pasado servio, que quería refugiarse en el territorio austría por esta' ciudad entre infantería y caballería , com- co del Banato para librarse de los habitantes de su prehendiendo- á la guardia imperial , mas que unos distrito,que…</t>
  </si>
  <si>
    <t>Este</t>
  </si>
  <si>
    <t>…Sin embargo, mes para pener caudales'á disposición de unos re me acuerdo de algunos pasages principales, que elec volucionarios. tivamente están "en el que me presentáis, especial D. Este pagaré quedó sobre mi cama en el mente los fuera de la tei% que oía repetir á cada momento de irse el general, y no lo he leído hasta asó en esta lectura, y el mariscal Augereau , so después de levantarme. re el que lúcela observación de que,yo habia ser P. B…</t>
  </si>
  <si>
    <t>…e por donde los alborotadores podían huir hacia el cerro de la Batea á Yurira. Ei resto de su división lo dividió en cuatro trozos, que fueron mandados por los tenientes coroneles D. Este ban Manera, D. Juan Miguel Ormaechea, el capitán D. Vicente Enderica, y el otro por ei mismo Iturbide. Luego que vieron los rebeldes marchar la división en todos rumbos, perdieron la firmeza que aparentaban, lo que observado por Iturbide, mandó atacar al mome…</t>
  </si>
  <si>
    <t>…ficó el dia 11, en que hecha por el señor coronel Casterás la distribución de fuerzas que tuvo por conveniente , dio la casua lidad que una pequeña coluna, mandada por el teniente coronel D. Este ban Andreu, que se dirigía desde S. Feliu de Pallerols hácia Olot, se encon trase con otra mucho mayor de enemigos, que desde Olot iban á S. Feliu por el mismo camino, y ae resultas se trabó la acción que se manifiesta en el siguiente parte, que el mismo teni…</t>
  </si>
  <si>
    <t>Este, Ántbh'ipjosef Kuiz Pa’dijbjJV</t>
  </si>
  <si>
    <t>Ántbh'ipjosef Kuiz Pa’dijbjJV Este</t>
  </si>
  <si>
    <t>…etas, £ 10 rs!, en rij-súc^ los dos quadernos. ' L ' Monqmeiito de gratitud' al pueblo de Cádiz con motivo'de dSsolversé“ías1''Coi*-' tes generales y extraordinarias: por el, Í&gt;rJ D. Ántbh'ipjosef Kuiz Pa’dijbjJV Este; precioso* escrito tiene por objeto perpetuar lasglrrWastfe'Cádfir, :¿ir chya; ^nó-.-sré* han establecido lás bases de la libertad españolad Ed atitor recorre desde Iá mas re mota antigüedad las particularidadessde eitfe pueblo^ célebre ; ' jMdéséend&amp;ímlbíf l…</t>
  </si>
  <si>
    <t>Esteban, Epifanio</t>
  </si>
  <si>
    <t>Epifanio Esteban</t>
  </si>
  <si>
    <t>…de ingenieros de los exércitos nacionales, plazas y fronteras ,á f), Joa quín Junoy , D. José Otero , D. Benito Canales , D. Tomas Cortés, D. Francisco Melero, D. Tomas Bao darán, D. Epifanio Esteban, D. Temas Terreiro, D. Manuel Ubiña, D. Juan Jaldon , D. Alexandro Buitrón , D. Gabriel Lobo , D. Femando Castro, D. Juan Areliano y D. Antonio Matamoros. También han sido examinados por la referida brigada, y promovidos á subtenientes del propio cuerpo, D. J…</t>
  </si>
  <si>
    <t>Esterhazy</t>
  </si>
  <si>
    <t>…ayor parte de ios gineies están ya montados y equipados, y se han unido al regimiento de húsares d¡ Kienmayer. En la misma asamb ea se resolvió la insurrección de la nobleza, y el conde Esterhazy, que la dirigid en 1809., está nombrado otra vez para comandante. BOLETINES DEL EXERCITO COMBINADO DEL NORTE DE ALEMANIA. Cuartel .general de Ley da 12 de Setiembre• El príncipe de la Corona transfirió ayer su cuartel general á este pueblo. Muchos de los ofic…</t>
  </si>
  <si>
    <t>Esterhazyí</t>
  </si>
  <si>
    <t>…po del duque de ¿ Regg io, y volvió á Dresde el 22. , h ; •; ¿ 8 de Julio* Entre las personas que han llegado aqui el j'de júlio hallarnos al CÓl^dc Kaunitz, que vino de Viena; ál príncipe Esterhazyí dé 1 Brándeis, caminando 2 Eatisbona; y al conde Collo.wrath de Gitschim,.que se dirige 4 Xoeplitz. • - ' * ;i ntrj Del 14* Aqui llegaron en la tardé dé! 1 * H bárqnAmstettenysple*^ nipbteníiario de Rjlsia, y el barón de Humboldf ¿ píeíTípoteneririo^de Ptu*.…</t>
  </si>
  <si>
    <t>Esteve, José</t>
  </si>
  <si>
    <t>José Esteve</t>
  </si>
  <si>
    <t>…2440 5789 2619 8997 A D. Francisco Carrasco, 3007 9080 3191 246 411 494 555 , O 801 y A. D. Ramón Ramirez, 4643 ■4873 134683 135109 30 1 Sres. Die hermanos, de Alicante. 2 '4874 A D. José Esteve, de Valencia. 5 6157 138764 ^ 3 4 D. José Saielles, de Valencia. ¿ 138714 S 5691 7229 ¿ 4 A D. José Baquer, de Valencia. * 6053 8263 £ 49 de 600 pesos. De 150. « f 177143 1S83S5^I I8ÍS50 .189855 181876 190086 182005 198888 184810 . 200307 20 &gt;A D. Ramón Bertr…</t>
  </si>
  <si>
    <t>Estherazy</t>
  </si>
  <si>
    <t>Gaceta de Madrid n.º 31</t>
  </si>
  <si>
    <t>…ontinúan estudiando Ja dicha tan grande quant» inesperada,.que nos ha cinco años, ftr.¿alen luego pjtfa oficiales de! exérci- hecho experimentar vuestro regreso á vuestro ímto. El príncipe Estherazy es el gefé de este «qerpo. peno. " ■ . "*• ” - " *• * ,, Señor: á la expresión franca de estos afectos , no añadiremos parabien.es inútiles á vuestra gloria IMPERIO FRANCES. sobre una campaña, que nada podía pintar mejor que la desesperación de vuestros enemi…</t>
  </si>
  <si>
    <t>Esthevazi</t>
  </si>
  <si>
    <t>…ritu. La insurrección de la Hungría se ha verificado como se pedía desear. La nobleza ha-marchado á campaña para servir en persona á la vista del Emperador, y lleva por su gefe al príncipe Esthevazi. El 5 ;da setiembre empezaron las operaciones navales contra Dantzick, y se esperaba mui pronto, la rendición de la plaza. Una gazeta de Berlín, qué extracta el Courier d’Angleterré, de 12 del corriente, pone el artículo siguiente----„ Por varías señales, asi…</t>
  </si>
  <si>
    <t>Estiiniga, Inocente Nicolás de</t>
  </si>
  <si>
    <t>Inocente Nicolás de Estiiniga</t>
  </si>
  <si>
    <t>…recio seis quartos. . , El Censor de abusos conocidamente'opuestos al esplendor y gloria de la Es paña: obra dividida en quadernos, que saldrán á luz dos veces : por el licenciado D. Inocente Nicolás de Estiiniga, abogado en Guadalaxara: quaderno primero. Se hallará en la librería de Ranz, calle de la Cruz ; en Alcalá en casa de D. Francis co de Vea Murguía, del comercio ; en Guadalaxara en la de D. Josef Qñez de l* Torre, del comercio, frente á la carnicería. Cada qu…</t>
  </si>
  <si>
    <t>Euge</t>
  </si>
  <si>
    <t>ITALIA. Milán jo de junio * Se anuncia como inui próxima la marcha de S. A. R, el príncipe Euge nio. Parte de su équipage ha salido ya para Yerona. ■ • O s ' FRANCIA. * Parts 5 de julio. S. M. la Emperatriz Reina y Regente ha.recibido deí exército las si guientes noticias: Ha llegado ,á Dresde el conde dé Metternich, ministro de Estado y de conferencias…</t>
  </si>
  <si>
    <t>Eugenio</t>
  </si>
  <si>
    <t>…ta electoral de la provincia de Madrid, celebrada con arreglo á lo prevenido en la Constitución en los dias 23 y . 24 de este mes., ha nombrado 1 :v. Pai^d diputados d Cortés. i.® D. Eugenio de la Peña, catedrático de medicina"del colegio nacio nal do S. Cárlos, individuo de la academia de la Lengua, y ministro de la junta de.Censura de la provincia. 2.0 . D. Mateo ^Norzagaray, abogado de ios tribunales nacionates y del colegio de Madrid. - . - r…</t>
  </si>
  <si>
    <t>…us nietos. Los puertos de Trieste y Fiume están de nuevo abiertos al comercio, bri tánico: El virei se ha visto obligado á tomar una nueva posición en la línea del Isonzo. j Pobre príncipe Eugenio! Bien pronto se verá reducido á ocul tarse detras del Mincio. Del § de noviembre. r Escriben de Deal que la esquadra holandesa tiene intención de venirse á nuestros puertos» y que la esquadra de S, M. Británica estacionadaen las Dunas ha ido á encontrar á la;…</t>
  </si>
  <si>
    <t>Eugercios, Manuel Martin</t>
  </si>
  <si>
    <t>Manuel Martin Eugercios</t>
  </si>
  <si>
    <t>…de esta capital, compuesto del Sr, D. Antonio de Ibarra« caba llero pensionado de la real y distinguida orden española de Garlos m , co ronel y comandante del arma, del licenciado D. Manuel Martin Eugercios, asesor, del doctor D. Alfonso de Cabia, abogado fiscal, y de D. Manuel Rubio de Villegas, escribano; se hace saber , de‘acuerdo con el señor co mandante- general interino de la provincia, y gobernador militar de esta pla za, á todos los que tengan que promov…</t>
  </si>
  <si>
    <t>Eúlow</t>
  </si>
  <si>
    <t>…táis este combate, y derramáis vuestra san brantarlos, no-pagaria con. solo un, destierro: ¿La óte por la Polonia, habíetwwtsalpicado con ella las verdad del hecho és que el señor general Eúlow islas mas remotas. Vuestros generales grabaron con ha salido con sus amigos á una casa de campo, en la punta de sus aceros en los duros granitos del la que ha pasado una temporada ¿estableciendo, su Cairo el .nombre .polaco, quando nadie se atrevía á salud, d…</t>
  </si>
  <si>
    <t>Eurivano, Ramón</t>
  </si>
  <si>
    <t>Ramón Eurivano</t>
  </si>
  <si>
    <t>…íaz, 1 id. D. D amingo Ximenez, i id. D. Boni facio Vivanco, 1-id. D. José Sarria, 1 id. D. Mariano Sarria, 1 id. D. Juan Antonio Aramburu, 1 id. D. José Francisco de Isasi, 1 id. D. Ramón Eurivano, 1 id. D. Ramón de Azcarate, 1 id. D. Fran cisco Abasólo, l id. D. Juan Panero, 1 id. D. Juan Mella, 1 id. D. Miguel Jáuregui, 1 id. D. Rosendo Gao, 1 id. D- Antonio Her rero, 1 id. D. Vicente López y U. Manuel del Valle, 1 id. D. To mas de la Casa y Piedra,…</t>
  </si>
  <si>
    <t>EuStis</t>
  </si>
  <si>
    <t>…general Arras nerle al poseedor actual. No se duda de que sean tróos se le ha nombrado secretario de la Guerra en los ingleses los que animan á los kurdos contra el reemplazo del doctor EuStis, que tenia hecha su di baxá de Bagdad , y se atribuye á sus sugestiones el misión: el capitán Williams Jones de Fiiadeitia suce que Ábdurahman-baxá, enemigo decidido de aquel, de á Mr. Hamilton en su qualidad de secretario haya encontrado asilo en la corte de…</t>
  </si>
  <si>
    <t>Evpiga, José</t>
  </si>
  <si>
    <t>José Evpiga</t>
  </si>
  <si>
    <t>…onformidad á lo dispuesto en los artículos 15 7 y 15 8 de la Constitución política de la monarquía, han nombrado para individuos de la diputación per manente de Cortes á los Sres. D. José Evpiga, diputado por la jun ta provincial de Cataluña; D. Mariano Mtndiola, que lo es por la rovincia de Queiétaro; D. Jayme de Creux , por la de Cataluña; &gt;. José Joaquín Olmedo, por la de Guayaquil; D. José TeodoroS Santos, por la de Madrid; D. Antonio Larrazabal,…</t>
  </si>
  <si>
    <t>Exército, Vauder-</t>
  </si>
  <si>
    <t>Vauder- Exército</t>
  </si>
  <si>
    <t>…Bilbao; el general Vandermaessen llegó este mismo día á Arciniega, y . ■ .Ministerio de Guerra. el general Dumoustier á Llodio; el 2 pasó aquel á Vitíasana, y este ¿'Arciniega. El general Vauder- Exército del norte de España. maessén permaneció los dias 3 y 4 en Villasana, Quando por. el mes de setiembre último el ge acopiando víveres, y juntando bueyes para llevar neral Catfarelli evacuó por algunos dias las costas de los á Santoña. La división Dumoustier lie…</t>
  </si>
  <si>
    <t>Expert</t>
  </si>
  <si>
    <t>…rticulares de los señores generales Devaux y Ex darse á 45. hombres espeados ó enfermos. Aquella pert de Latour, que me han asistido con sumo gus misma tarde envíe' la brigada del general Expert á to, y no han desperdiciado ocasión de rnaaife tar su Reus, y con la del general Devaux pasé á Cambrils. actividad ordinaria. „E1 dia 27 me trasladé al fuerte del Coll de Ba „Suplico á V. E. &amp;c. = Firmados conde Mau laguer, y le encontré en mui buen estado.…</t>
  </si>
  <si>
    <t>…e, y taluña. ‘-.I:volver á tomar el camino de Garriga. Por algún Gerona 18 de diciembre de 1812. momento concebí la esperanza de obligarlos á pe lear, y con este designio envié al general Expert al Excelentísimo Señor*. frente de s;ete batallones á ocupar á Villamayor, „ Después de la expedición del general Mauri disponiendo en Liná1 mis demás tropas, para qu* cio Mathieu al campo de Tarragona, de que he te estuviesen prontas si el enemigo aceptaba e…</t>
  </si>
  <si>
    <t>…encia resistió en 17 del ines último en e! puebln-de 'Monteílá, con solos 450 hombres de infantería, contra una brigada enemiga 'procedente de Puigccrdá, mandada por el acreditado general Expert, fuerte der 1300 infantes, 50 caballos y una pieza de artillería.. El resultado de la acción, que duró ocho hora\, fue hacer nulos los es fuerzos deí general enemigo, impedirle apoderarse dé 1‘almacén de trigo del rtinet, y manifestar el regimiento del Prínci…</t>
  </si>
  <si>
    <t>…or V dencb resistió en 17 del mes último en el pueblo de Monteliácon solos 450 hombres de infantería, contra uia brigada enemiga procedente de PuigcerdA, mandada por el acreditado general Expert, fuerte de 3300 infantes, 5^0 caballos y una pieza de artillería. £1 re ultado de h seden, que duró 8 horas, fué hacer nulos los esfuerzos del general enemigo, impedirle de apoderarse del almacén de trigo del Martinet, y manifestar el regimiento del Príncipe…</t>
  </si>
  <si>
    <t>Expert, Juan</t>
  </si>
  <si>
    <t>Juan Expert</t>
  </si>
  <si>
    <t>…ue presentaron á S. M. Entre estas era Ja de hierro forjado,y 160®quintales primera la de que conservase por su gobernador al de hierro en planchas , dan hoi dia mariscal de campo D. Juan Expert, cuyo zelo é 2.860,000 quintales de la primera integridad le hacían can recomendable. S. M. se materia y 400,000 quintales de la dignó acceder á esta súplica ; y para manifestar la segunda: es un aumento de la mi estimación que le merecen los funcionarios púb…</t>
  </si>
  <si>
    <t>Eyra, Juan</t>
  </si>
  <si>
    <t>Juan Eyra</t>
  </si>
  <si>
    <t>304 ^ á su llegada á la primera que en Beaijama se hallaban los enemigos; por lo cual dispuso al momento que eí teniente D. Juan Eyra con 12 caballos fuese á reconocerlo , ínterin él con su restante fuerza seguia su retaguardia, habiéndole pedido ir con el expresado Eyra el por ta-estandarte D.-Joaquín de Pía; pero antes de llegar á dicha villa vieron venir una guerrilla de caballería enemi…</t>
  </si>
  <si>
    <t>Ezcay, Matías</t>
  </si>
  <si>
    <t>Matías Ezcay</t>
  </si>
  <si>
    <t>IOS de, D. Manuel Ibañez, D. José López, D Prudencio Dallo, D. Ce lestino Ximenez , D. Fermín Al Aúnate, D. Angel Labiano, D. ber nardo ZaTo, D. Francisco Mtmuce, D. Pedro Mancho. D. Matías Ezcay, D. Félix Beroz, D. Bernardo Sonosiain , IT Mañano Ustarroz, D. Felipe Virtus, D. Joaquín Aquerreta, D. Fermín Josué, 1), Martin Ziarriz, D, Francisco Larrodé , D. Matías Alzorr z, D. J uan Ramón Arlegui, D. Bonifacio Jaso, D; Mvouel Sancho, D. Bonifacio Mart…</t>
  </si>
  <si>
    <t>Ezcurra, Miguel de</t>
  </si>
  <si>
    <t>Miguel de Ezcurra</t>
  </si>
  <si>
    <t>…D. Lorenzo de Arguiano, 1 id. D. Matías de Larreta, 3 id D. Manuel délos H¿ros, 2 id. D. Ma nuel déla Torre, 1 id. D. Manuel Garbea y Bulillo, 2 id. D. Ma nuel de Aramburu, í id. D. Miguel de Ezcurra, 1 id. D. Ramo* Martínez de Bartolomé, 1 id. D. Santiago Cachonfajro, 1 id. D. Tir so Estevanez, 1 id. D. Francisco Bosano , 2 id. D. José Gambini, 1 id. D. Juan de Perlica, 8 id. D. Dimaso de Arias, 6 id. D. Jacinto Xiraeno, 6 id. D. Manuel Ortiz de Villate,…</t>
  </si>
  <si>
    <t>Ezpeleca, Josef María</t>
  </si>
  <si>
    <t>Josef María Ezpeleca</t>
  </si>
  <si>
    <t>…yer por desgracia de la nación y del exército : gefe estimable por sus virtudes, y llorado por sus compañeros y de sus súbditos. En tal esta do, deseoso de animar á las tropas, el brigadier D. Josef María Ezpeleca, comandante de aquella brigada, les dio él exempio brillante de tomar una bandera, y arrojarse al rio á la cabeza de los soldados, de los quales fue se guido con entusiasmo. Esta brigada se apoderó de los atrincheramientos y casas de la parte baxa del pueblo…</t>
  </si>
  <si>
    <t>Ezpeleta, José María</t>
  </si>
  <si>
    <t>José María Ezpeleta</t>
  </si>
  <si>
    <t>los brigadieres D. Joan Dia« Porlier, D. José María Ezpeleta , Don Estanislao Sánchez Salvador, gefe de estado mayor dc*l cuarto exér— cito, y D. Antonio Rosefló; y de los coroneles Fuentes-Pita, co mandante de ingenieros, D. Juan Loarte , del regimiento de la Cons titución, y D. Juan Ugarte-Mendia. El mariscal de camp…</t>
  </si>
  <si>
    <t>…sión, se decidieron á dar la úl tima tentativa contra la izquierda de la indicada posición y la de Por tó, que sostenia con la segunda brigada de la tercera división el bri gadier D. José María Ezpeleta, y cerraba nuestra línea por aquella parte, atacando con dos columnas de infantería, que sostenían á un *in número de cazadores; y aunque llegaron á ocupar algunas barra cas del campamento que tenemos establecido en la cima del cerro, fueron cargados á la bay…</t>
  </si>
  <si>
    <t>Ézpeleta, Josef María</t>
  </si>
  <si>
    <t>Josef María Ézpeleta</t>
  </si>
  <si>
    <t>…to de suspensión se decidieron á dar la última ten tativa contra la izquierda de la indicada posición y la de Porto, que soste nía con la segunda brigada de la tercera división el brigadier D. Josef María Ézpeleta , y cerraba nuestra línea por aquella parre, atacando con dos co tonas de infantería , que sostenían á un sin número de cazadores, y aunque llegaron á ocupar algunas barracas del campamento que tenemos establecido én la cima del cerro, fueron cargados á la ba…</t>
  </si>
  <si>
    <t>Ezpeleta, Josef María</t>
  </si>
  <si>
    <t>Josef María Ezpeleta</t>
  </si>
  <si>
    <t>…riscal de campo Losada, que mandó el centro., y fue herido; del mariscal de campo D. Josef García Paredes; del comandante de artillería; de los brigadieres D._ Juan .Díaz Porlier, D. Josef María Ezpeleta, IX Estanislao Sánchez Salvador, gefe de estado mayor del quarto exército, y D. Antonio Rqselló^y délos caréneles Fpéntes-Pira, comandante de ingenieros, IX Juan Loarte, del regipiiento de -la Constitución , y Pon JlianfUgarte-Mendiq. , . El mariscal de campo…</t>
  </si>
  <si>
    <t>…riato, tanto por Ja exactitud con que dio cumplimientp á las instrucciones que llevaba , como por el orden militar con que estas ‘ fueron executadas: los comandantes de brigada el brigadier D. Josef María Ezpeleta , que unió con tanto fruto el ▼alor y la inteligencia; el dé la misma clase D. Diego Barco, que verificó la subida del monte Mandal con tanta celeridad como arrojo, puesto im portantísimo, en cuya pronta adquisición consistió en gran manera el éxito de las re…</t>
  </si>
  <si>
    <t>F, Ramón</t>
  </si>
  <si>
    <t>Ramón F</t>
  </si>
  <si>
    <t>…eron en movimiento las columnas, las de ataque precedidas por el batallón de cazadores reunido de cada una, que eu ia de la derecha mandaba el capitán de reales guardias Españolas D. Ramón F¡gueroa* y en la de la izquierda el sargento mayor de¿ regimiento de jpravia D. Francisco Cabrera. r» Los enemigos favorecidos del escabroso terreno que ocupabas hubieran podido resistir muy largo tiempo* si el arrojo y orden con que se hicieron les ataques no…</t>
  </si>
  <si>
    <t>Fá, Nicolás</t>
  </si>
  <si>
    <t>Nicolás Fá</t>
  </si>
  <si>
    <t>…. Gerónimo Castillon , maestre-escuelas de Huesca , natural de Ponzano , partido de Barbastro. 8.° D. Manuel Abella /oficial de 4a secretaría de Estado , natural de Za ragoza. 9.0 D. Nicolás Fá 'Miel, abogado ‘ del colegió ’de 'Madrid , natural de Puerto-Mingalbo, partido de Alcañiz.... . -.i ,, , ., Suplentes. i.° D. Pedro Aznar , cura de Hottaiezavnatural de Tabuetica*. •a;° D. Joaquín Almazan-, abogado' de:'Madrid, natural de Terríente, partida d…</t>
  </si>
  <si>
    <t>Fabeck</t>
  </si>
  <si>
    <t>…destaca- mentó del coronel Figner, que le mató mucha gente, le hizo mas de i® prisioneros, y cogió la mayor parte de su equipage.__ El general TJ’hielman, reunido á 80 cosacos del capitán Fabeck, hizo junto á Querfurth prisionesñeros á un coronel bávaro, á un teniente coronel francés, 40 oficiales y 500 soldados___ El exército de Blucher continuaba persiguiendo á los franceses según se iban retirando.----En la acción que el general Wittgenstein tu ro…</t>
  </si>
  <si>
    <t>…l capitán ruso Fabeck, de¿ cuerpo de5 general C ernicheíF, que había ya pasado el Elba, se adda: tó has-a Naumbi rgo, dende en contró al general Thidmanri con unos i© caballos. El capitán Fabeck, que solo teniu consigo So cosacos , atacó al enemigo en Querfurth , é hizo prisioneros á un corone’ b.varo, un teniente coronel francés, 40 oíi iales y 500 h rabíes. E.-tregó los soldados á un re gimiento de coicos del cuerpo de! genera: Thielmann, y envió t…</t>
  </si>
  <si>
    <t>Fabrega</t>
  </si>
  <si>
    <t>…de Prats, y con esta y la partida citada impuse á los enemigos, y precaucioné quanto los enemigos somatenes de la Manera y San Lorenzo de Serdás podían obrar contra la coluna dél comandante Fabrega. La tropa de Prats, su somaten, el de la Manera y comarca se habían empeñado en frustrar mis ideas; pero la bizarría de las primeras partidas que destiné, les hicieron‘desaparecer,’sÍn duda con bastante pérdida, quemo puedo puntualizarla; por nuestra parte co…</t>
  </si>
  <si>
    <t>Fábrega, Juan</t>
  </si>
  <si>
    <t>Juan Fábrega</t>
  </si>
  <si>
    <t>…V. S. para pasar al Ampurdan, salí de Vich el 20 con la primera brigada de mi división y 120 caballos de húsares de Cataluña, habiendo el día anterior hecho adelantar ai teniente coronel D. Juan Fábrega con 2^0 hombres del regimiento de Ausona, con el fin de que ocultando su marcha fuese á armar una emboscada á la guarnición de Besalú. El resultado cor respondió á la idea, según verá V. S. por el adjunto parte del ex presado gefe. En orden á mi marcha se exe…</t>
  </si>
  <si>
    <t>Fabrega, Juan</t>
  </si>
  <si>
    <t>Juan Fabrega</t>
  </si>
  <si>
    <t>…o el ganado posible, y se retirase con él al mismo Collpregó: yo con la restante tropa seguí la marcha hasta Coll de Ares, y de allí despedí al comandante agregado al pro visional D. Juan Fabrega con 200 hombres de su batallón , con orden de pa sar á Sta. Margarita y espalda del pueblo de la Manera, con el mismo obje tó e instrucción que el coronel comandante de Ausona. Con dos compañías de este regimiento y la de cazadores del Ampurdan tome la ruta p…</t>
  </si>
  <si>
    <t>933</t>
  </si>
  <si>
    <t>…el ganado posible, y se reti rase con él al mismo Coíipregó; yo con la restante tropa seguí la marcha hasta Coll de Ares, y de allí despedí al comandante agrega do al provisional D. Juan Fábrega con 200 hombres de su batallón,; con orden de pasar á Sta. Margarita y espalda del pueblo de la Ma nera con el mismo objeto é instrucción que el coronel comandante de Ausona. Con dos compañías de este regimiento y la de cazado res del Ampurdan tomé la ruta po…</t>
  </si>
  <si>
    <t>Fábrega, Margarita</t>
  </si>
  <si>
    <t>Margarita Fábrega</t>
  </si>
  <si>
    <t>…e en autos concurso de acreedores á la testamentaría de D. José Andrade, vecino que fué de la Habana, se manda citar y emplazar por término de cuatro meses á D. Francisco Sabugo , Doña Margarita Fábrega, D. Francisco Alegre y Doña Cayetana Rosier, para que por sí, sus apoderados , herederos y representantes acudan al tribunal á recibir las cantidades que se les han asignado en rateo, como acreedores á dicha testamentaría, en concepto que pasado di cho términ…</t>
  </si>
  <si>
    <t>Fabregas, Josef</t>
  </si>
  <si>
    <t>Josef Fabregas</t>
  </si>
  <si>
    <t>…Pedro del Rio, substituto primero. D. Josef Manuel Aynz Gardazabal, substituto D. Manuel Alba, substituto segundo. hamo de tas Sal.primero. D. Agustín Mlchel, substituto segundo. D. Josef Fabregas, alcalde. Barrio de S. Cayetano. D. Manuel Lucio Gutiérrez, substituto primero. D. Juan Represa , alcalde. D. Agustín Pascual, substituto segundo. D. Diego de Villa, substituto primero. Barrio de S. Pascual. D. Bartolomé Cano de Molina, substituto se D. Angel…</t>
  </si>
  <si>
    <t>Fació, Josef Antonio</t>
  </si>
  <si>
    <t>Josef Antonio Fació</t>
  </si>
  <si>
    <t>…cubren el camino real, sin duda para proporcionarse salvar la guarnición. Observado esto por el general interino de la primera división, mandó al ayudante segundo de estado mayor D. Josef Antonio Fació con las compa ñías de granaderos y cazadores de Cantabria á reforzar la de cazadores de Ciudad-Real,que se había visto precisada á abandonar el fuerte Principe por la superioridad con que se ha dicho fue atacada. Reunidas las tres compañías, les propone Fació…</t>
  </si>
  <si>
    <t>Fagel</t>
  </si>
  <si>
    <t>íheres que' débh llenar, &gt; dirigidos á trabajaf pitra cOnfceguireh objeto que ella desea, y á dedicarme á procurarla su prosperidad y dicha. &gt; . E¡ coronel Fagel os ¡i¡formará¡ del efecto que ha producido aquí la cón* docta dé la Holanda, y de que el príncipe Regenteysusrriinutrbs han lomado las medidas, necesarias para, ayu dataos con. tpdoi, Jdsmedios &gt;de&gt; que |&gt;uí dep'dispQaer, ,. y! en. breve experimentarán Jos ef…</t>
  </si>
  <si>
    <t>Fagnani</t>
  </si>
  <si>
    <t>Gaceta de Madrid n.º 7</t>
  </si>
  <si>
    <t>…montó la brecha antigua, y á pesar del fuego á quema ropa que se hacia á las dos bocas, nos obiigó á fuerza de VARIEDADES, repetidos esfuerzos á retirarnos detras de las cortá- El conde Fagnani, consejero de Estado, y gen duras, que 110 pudo tomar; pero al fin quedó due tilhombre de cámara de S M. el Rci de Italia, aca ño de Us brechas y del campo atrincherado. ba de publicar en Milán unas cartas, que se supo Se habia empezado un atrincheramiento de…</t>
  </si>
  <si>
    <t>Fajol</t>
  </si>
  <si>
    <t>…rdenes de Vandamme, se hallaba el dia 28 en Hollendoríf, y el 29 en Peterswalde, ocupando las montañas. El duqife de Treviso había tomado posición en los días 28 y 29 en Pirna. El general Fajol, comandante de caballería, ha cogido muchos prisioneros. El enemigo se retiró á las posiciones de Dippoldeswalde y At— tenberg: su izquierda seguia el camino de Plauen, y se retiraba por Tharaudt á Dippoldeswalde, no pudiéndolo verificar por el camino deFreyb…</t>
  </si>
  <si>
    <t>Falcó, Bernar do</t>
  </si>
  <si>
    <t>Bernar do Falcó</t>
  </si>
  <si>
    <t>…Martin’, abogado. =rLicenciado D. Ricardo Perez Ma reo. = D. Antonio Bernabeu, presbítero. = Licenciado D. Joaquín Moliner, abogado. z= Licenciado- P. Antonio"Colomer, abogado. = Sr. D. Bernar do Falcó , presbítero. = Sr. IL iXÍartiniatio- francisco, Pastor. = Licenciado 1&gt;. Tadeo Ignacio Gil, abogado. = Licenciado, I). Francisco Antonio.AguJló. = $r. D. Josef Miralles, canónigo.-sSr. D. Ramón Cubells. - . ' t Suplentes.A * Sr. D. Pedro Vicente Calvo % pres…</t>
  </si>
  <si>
    <t>Falconi, Francisco</t>
  </si>
  <si>
    <t>Francisco Falconi</t>
  </si>
  <si>
    <t>…tin de Almerza, 5 id. D. José de Aristnendi, 10 id. D. Gerónimo de Urriza, L id. D. To mas Gallegos, 6 id. IL Agustín Caldas, 1 id. D. Blas Camino, 1 id. D. Domingo Urquijo, 1 id. D. Francisco Falconi, I id. D. Francis co de Sagastaveitía„ id. D Francisco Valles, 2 id D. Francisco Ba llesteros, 1 id. D. Gregorio Fernandez* 1 id D. Julián García Mon_terroso, 1 id. D. Julián Perez, 2 id. D. Lorenzo de Arguiano, 1 id. D. Matías de Larreta, 3 id D. Manuel délo…</t>
  </si>
  <si>
    <t>Fane</t>
  </si>
  <si>
    <t>do del general Fane, del general Eong, del general Víctor Alten, la brigada de la caballería de la Casa-Reál con ¿1 sexto regimiento por tugués , y el cuerpo español de D. Julián Sánchez : poniendo igual mente en movimiento el 22 del corriente desde Fresneda el cuartel general.…</t>
  </si>
  <si>
    <t>…ierne aquel paísW1_J en nombre y con independeucia del rey, mientras que S. M. se halle despojado , como lo está en el dia, de toda ia autoridad en sus pro pios dominios. El mayor general Fane, que mandaba la caballería en el distrito de Kent, ha sido nombrado para ir al exército del lord Wellington en lugar del general Sir Síapleton Cotton , que vino á principios de este R es á restablecer su salud. Se cree que vayan también otros ge nerales á ree…</t>
  </si>
  <si>
    <t>…portugues: la segunda, la división ligera y la del mando r del conde de Amarante, la división española del general’ftlurilio-, y asimis mo los cuerpos de caballería 'del mando del general Fane,del general Long, del general Víctor Alten, la brigada de la caballería de la casa real, con el 6.° regimiento portugués, y el cuérpo español de D. Julián Sánchez; po niendo igualmente en movimiento el 22 del corriente desde Fresneda el quar^ tel general. ,,…</t>
  </si>
  <si>
    <t>Faris</t>
  </si>
  <si>
    <t>Gazeta de la Regencia de las Españas n.º 73</t>
  </si>
  <si>
    <t>…mos habitantes á la vista de las primeras tropas españolas que se presentaran á sus muros después de la acción de María... El 18 paso.la noche en La-Muela, y el 19 .en Cadréte. El barón Faris , cotnandánté de Zárlgozá , instruido de qüe se Aproximaban tíopas enemigas, sin saber el número ; mando; armar y' municionar ‘próntameñte todos' Vos Fondistas y péiuqüeros franceses y lósf afránPcesados, á fin de reforzar con esta buena gente su pequeña cólú…</t>
  </si>
  <si>
    <t>Fbrhakdo</t>
  </si>
  <si>
    <t>IIS2 articulo de oficio. La Regencia del reyno se ha servida expedir el decreta siguiente: D. Fbrhakdo vn» por la gracia de Dio* y por la Comtitncioa de la monarquía española, rey de las España*, y en su ausencia y cautividad la Regencia del reyno nombrada por las Cortes generóle* y extraordinarias, á todos los que. las presentes vieren y entendie ren , sabed:…</t>
  </si>
  <si>
    <t>Fbzgibhon</t>
  </si>
  <si>
    <t>…ernos , 27 srrgen os y 462 sóida tes, y ademas u. a bandera y 2 piezas de campaña. Las p?rticularida es de esta acción, que tan to honor hsc á lo&gt; I&amp;dios nues tros al ados como al teniente Fbzgibhon , por lá prest zs y reso lución con que se. apto.echó del aturdimiento que su ataque ha bía *. aunado en el enamigo, lo que leerá V. S. con igual satisfac ción que yo. Después de la sorpresa d¿l campo enemigo en Stoney Creok , á 6 del mes pasado , y de su sub…</t>
  </si>
  <si>
    <t>Fcntellas, Custodio</t>
  </si>
  <si>
    <t>Custodio Fcntellas</t>
  </si>
  <si>
    <t>…, no solo por la bondad de costumbres que le caracterizaba, síeg también por hallarlo dotado de las mas excelentes prendas mi litares : igual mente la del caplt&amp;a de la misma arma D. Custodio Fcntellas, que llevaba recibidas varias heridas , j que ha'muerto de la que recibió en la.acción al din siguiente. También han muerto 6 húsares y 27 caballos. Los capitanes Cavatina y Falcoa fueron heridos , igualmente que 30 húsares y 36 caballos. El capitán de flahqi…</t>
  </si>
  <si>
    <t>Fcrmi, Doa</t>
  </si>
  <si>
    <t>Doa Fcrmi</t>
  </si>
  <si>
    <t>…re , del regimiento de Ordenes Mi itares; D. Ramón Figueroa&gt; espitan de reales guardias Españolar, comandante del batallón, de cazadores de la columna de la derecha -y el teniente coronel Doa Fcrmi» Mendialdua, comandante del regimiento de* Generé; E&gt;. Jo sé María de Beza, teniente coro&amp;el comandante accidestal del regi miento segundo de Cata uña; el sargento mayor del regimiento de Bravia D. Francisco Cabrera, comandante del batallón de cazadores, de l…</t>
  </si>
  <si>
    <t>Fe</t>
  </si>
  <si>
    <t>…a, y la de Arequipa por el centro; pero todas estaban preci sadas á batirse por un cotío frente. En esta situación me puse n la cabeza de mis guerrillas con mi segando el teniente coronel D. Fe lipe de la Hera, y á marcha redoblada ataqué á los fusileros del bosque. EV enemigó rae recibió con un fuego muy vivo de artillería y fusil. No rompí el mío hasta que estuve á 25 pasos. Euro aces (1) Véase la gaceta anterior.</t>
  </si>
  <si>
    <t>Fé</t>
  </si>
  <si>
    <t>…s interesantes pliegos lleguen á las supe riores manos de V. E. Dios guarde á V. E. muchos ¿ños. Querétaro 22 de Abril de 1813. = Excmo. Sr. = Ignacio María Rebollo, ss Excmo. Sí. D. Fé lix María Calleja. Segundo. Excmo. Sr. i El día 5 del corriente recibí en Zamora drdeñ de mi general el señor mariscal de campo D. José de la Cruz para pa sar á Guanaxuato con el objeto de escoltar las platas desde aquella ciudad para la de Querétaro , y reci…</t>
  </si>
  <si>
    <t>…n una fuerza considerable, y en' dirección á CJieso S.mt i Eulalia. Luego supe que se halaba en este último lu gar; y conociendo que no era su ánimo penetrar á este güimo, mandé á D. Fe ix Cueva*&gt; teniente coronel del regimiruto de Femando-Vil, que con las compañías de cazadores fuese á atacar eu vanguardia que estaba á la izquierda de S.nta Eublia. Ai mismo tiempo marché el re gimiento de cazadores de Cataluña, al mando de tu "emente corone…</t>
  </si>
  <si>
    <t>Feblnand</t>
  </si>
  <si>
    <t>…le. zzL.de Borbon, cardenal de Scaia, ar zobispo de Toledo , presidente. = Pedro de Agar. = Gabriel Cis~ üar.szlLn Cádiz á 5 de Julio de 18x3. = A D. Juan Alvarez Guerra. Segundo. D. Feblnand© vii , por la gracia de Dios y por la Constitución de la monarquía española, rey de las Españas, y en su ausencia y cautividad la Regencia del reyno nombrada por las Cortes generales y extraordinarias, á todos los que las presentes vieren y entendie ren , sab…</t>
  </si>
  <si>
    <t>Febnando</t>
  </si>
  <si>
    <t>…la provincia; cuya entrega es imposible, poique ha» apurado todos los recursos. ARTICULO DE OFICIO. La Regencia del reym se ña servido expedir los decretos siguientes» Primero. ' D. Febnando vii, por la gracia de Dios y por la constitución de la monarquía española, rey de las Españas , y en su ausencia y cautividad la Regencia del reyno, nombrada por las Córtes genera les y extraordinarias, Á todos los que las presentes vieren y enten dieren, sab…</t>
  </si>
  <si>
    <t>Federi</t>
  </si>
  <si>
    <t>…or que asistió día.batalla. Mariscal de campo comandante general del centro D. Francisco Xavier Losada y Pol, iherido.; Brigadier comandante general interino de la quarta división D. Federi co Castañoo^&amp;eridov ; - . Brigadier; segundo gefe del estado mayor del exército D. Antonio Ro$elló,Jiendo. .,1 '■ Coronel gefe de estado mayor del centro D. Luis Laviña, herido. . Brigadier gefe;del estado mayor del exército Di. Estanislao Sánchez Sal vador,…</t>
  </si>
  <si>
    <t>Feenando</t>
  </si>
  <si>
    <t>…res, ademas de otros asesinatos, sa queos, incendios, y delitos de toda especie. ARTICULO DB OFICIO. La Regencia del reyno se ka servido expedir los decretos siguientes: Primero. „D. Feenando vil, por la gracia de Dios, y por la constitución de la monarquía españolé, rey de las Espadas , y ea su ausencia y cautividad la Regencia del reyno, nombrada por las Cortes genera, les y extraordinarias, á tod»s los que las presentes vieren y enten dieren ,…</t>
  </si>
  <si>
    <t>Fei</t>
  </si>
  <si>
    <t>Gaceta de Madrid n.º 17</t>
  </si>
  <si>
    <t>63</t>
  </si>
  <si>
    <t>…tes á sus negocios civiles y domésticos, para pro de la santa iglesia metropolitana de Burgos An-porcionar á sí y á sus familias una honrada subsis ronino Martínez, secretario. s= Sr. D. Fei¡xr Roxo,tencia, y coa tan prudente y cristiana conducta gobernador eclesiástico. EN LA IMPRENTA REAL.</t>
  </si>
  <si>
    <t>Feiixanjjo</t>
  </si>
  <si>
    <t>…y amor á la independencia nacional de los regentes, llevarán á cabo el absoluto cumplimiento de la constitución; de esta constitución, que como garante del trono de nuestro amado rey Feiixanjjo vn y de la libertad política de los españoles, es el ¿dolo de JS. — 8. 3VL suí jalecho de sinceridad de sentimientos de la Re gencia provisioaai del reyno, acepta su felicitación.” CA liliS ; EN LA IMPRENTA NACIONAL.</t>
  </si>
  <si>
    <t>Felín, Ramoa</t>
  </si>
  <si>
    <t>Ramoa Felín</t>
  </si>
  <si>
    <t>…isco Rodríguez de Ledesma, diputado por la provincia de Extremadura ; para Vice presidente el Sr. D. Gonzalo Herrera, diputado por la isla de Cu ba ; para primer secretario el Sr? D. Ramoa Felín , diputado por el Perú; para segundo el Sr. D. Miguel Antonio Zumsiacarregai, di putado por la provincia de Guipúzcoa; para tercero el Sr. D. Pedro Alcántara de Acosta, diputado por la isla de Cuba; y para cuarto el Sr. D. Antonio Díaz, diputado por la provin…</t>
  </si>
  <si>
    <t>Felipe</t>
  </si>
  <si>
    <t>…a alcalde ma mo su estandarte propio, mientras que toda ¡a bri yor y juez de primera instajicia de la villa de Vigada no merezca mayor muestra de confianza. naroz y su distrito; á D. Felipe tlernandez alcalde El señor barón Je Sant-Cvr, general de divi mayor juez de primera instancia del Escuna! v su sión , que hizo á estos cuerpos la entrega de dichas distrito, y á D. Miguel Gonza^z Gayoso alcalde banderetas, les dirieió ai mismo tiempo el sigu…</t>
  </si>
  <si>
    <t>Feliu, Ramón</t>
  </si>
  <si>
    <t>Ramón Feliu</t>
  </si>
  <si>
    <t>…ancisco Rodríguez de Ledesma, di putado por la provincia de Extremadura ; para vice-présidente el Sr. Don Gonzalo Herrera, diputado por la isla de Cuba ; para primer secretario el Sr. D. Ramón Feliu, diputado por el Perú; para segundo el Sr. D. Miguel</t>
  </si>
  <si>
    <t>Félix</t>
  </si>
  <si>
    <t>Gaceta de Madrid n.º 38</t>
  </si>
  <si>
    <t>…no del Emperador. : pudo seguirle e! alcance, y ha tenido que volver á Por el presidente, ausente, el general conde Guadalaxara, donde entró el dia 4-. Gassendi, Alexandro Alleht, barón Félix, el gene Estos dos encuentros han costado poquísima ral de Preval. ¿rdida al general Vichery , el qual ha recibido un alazo en un brazo. Se espera la relación circuns Decretos tntferiales. tanciada de estas acciones. En el-palacio de las Tullerías á 23 de dic…</t>
  </si>
  <si>
    <t>FenUndo</t>
  </si>
  <si>
    <t>6íó ARTICULO DE OFICIO, • La Regencia del reino se ha servido expedir el decreto siguiente : ‘ ‘Don FenUndo,vit, por la gracia de Dios y por la Constitución de la monarquía española , Reí de las Españas, y en su ausencia y cautividad la Regencia del reino nombrada por las Cortes generales y extraordinarias, á todos los que las presentes vieren y entendieren, sabed^…</t>
  </si>
  <si>
    <t>Fer</t>
  </si>
  <si>
    <t>…sta , presbítero. de sus sentimientos patrióticos. Para el de Benimodo, vacante por ascenso de Escriben de Maestrich que apenas acordó el D. Pedro Belau al curato de la Sollana, á D. Fer consejo municipal su oferta de 12 soldados de á ca nando Gómez, patrimonista, presbítero. ballo montados y equipados , se presentaron los ciu Para el de Benidoleig, vacante por promoción dadanos principales á satisfacer su contingente, re de D. Josef Alania á…</t>
  </si>
  <si>
    <t>…El 22 y 23 se presentó el enemigo á 7 leguas de aquí á robar: se cree que no hará ¿rente á nuestros exórcitcs. Cádiz 3*1 de Mayo. Áysr, dias de nuestro augusto y amado monarca el Sr. D. Fer nando vil, la corte se vistió de gala coa uniforme, y hubo salvas de mur y turra. La Regencia del reyno pasó con toda ceremonia ¿ las 12 de la marrana á cumplimentar á las Cortes, y vuelta al pala cio de la Aduana recibió al cuerpo diplomático, y numeroso con…</t>
  </si>
  <si>
    <t>…ponerse* el sol, y lucieron hasta que. oímos ruido de eawbir? «monees nos dirigí mó&amp;aipuntodóéde sonaba i A rhédia no* che me encontré ábordo^del Scafboraiigh, r manejado- por el almirante Fer* arier, á quien entregué uha x:arta, dirtgidaipor elígobiercro provisional á todos los comandantes deiosbuqncs deftsenilajq'üeise rcefóxia?»*mí 'respecto á lqs,;sueesosbque^ había úárevencíadov y etrpünfo á-los socorros qué neGesi*¿ taba. A cosa1 de la uná df…</t>
  </si>
  <si>
    <t>Ferette</t>
  </si>
  <si>
    <t>…ón de Marinville, chambelán y maestre de Ja nistro secretario de Estado interinóos Firmado =2 guarda, ropa de S M. duque de Cadora. a: Visto por nos vice-grí.nde elec Por el señor barón Ferette, ministro plenipo tor = Firmado ss Cirios Mauricio. tenciario de S. A. R. el gran duque de Badén, el barón de Leutruin , chambelán de S. A. R. Por S. E el gran maestre de ceremonias S. A. el príncipe Bernardo de Saxonia V\eimar, teniente TEATRO. coronel de la…</t>
  </si>
  <si>
    <t>Ferííardo</t>
  </si>
  <si>
    <t>…le saldrá falsa su predicción por la parce del Norte. (Diario de la Coruña de 6" de setiembre.) ARTICULO DE OFICIO. Regencia del reino se ha servido expedir el decreto siguiente: D. Ferííardo vit, por la gracia de Dios y por‘la Constitución de la monarquía española, Reí de las Españas, y en su ausencia y cautividad la Regencia del reino nombrada por las Cortes generales y extraordinarias, á todos los que las presentes vieren y ^entendieren, sabed…</t>
  </si>
  <si>
    <t>FERíTAsrDO</t>
  </si>
  <si>
    <t>…entendido para su cumplimiento , y dispondréis se im prima, publique y circule. = Está rubricado, ss En Cádiz á i.° de Mayo de 1813. = A D. Tomas José González Carvajal. Segundo. D. FERíTAsrDO vil, por la gracia de Dios y por la Constitución de la monarquía española, rey de las Españas, y en su ausencia y cautividad la Regencia del reyno nombrada por las Cortes generales y extraordinarias , á todos los que las presentes vieren y entendie ren , sabe…</t>
  </si>
  <si>
    <t>Ferkjuídq</t>
  </si>
  <si>
    <t>…=2X. de Barben, cardenal de Seala, ar zobispo de Toledo , presidente. == Pedro de Agar. = Gabriel Ciécar.—En .Cádiz á 8 de Setiembre de 1813.= A D. Antoaio Ca no Manuel. Segundo. D. Ferkjuídq vii, por la gracia de Dios y por la Constitucien de la m.onnrqoia española, rey de las Españss, y en su ausencia y cautividad la Regencia-del reyno nombrada por ks Córtes generales y extraordinarias, á todos los que las presente* vieren y entendie ren , s$bed…</t>
  </si>
  <si>
    <t>Fern</t>
  </si>
  <si>
    <t>…blicó en Dresde una orden para que los ra sos y prusianos no hagan fuego coutrcf los sazones. ARTICULO DE OFICIO. La Regencia del rcyno se ha servido expedir el decreto siguiente: D. Fern ando vii , por la gracia de Dios y por la constitución de la monarquía española, rey de las Espadas , y en su ausencia y cautividad la Regencia del reyno, nombrada por las Cortes genera les y extraordinarias, á todos los que las presentes vieren y enten diere…</t>
  </si>
  <si>
    <t>FéRnahijo</t>
  </si>
  <si>
    <t>…i Se continuará.) '* - PORTUGAL. r . . ■ &lt;■ ■ - , JLUbooi a de junio*. Éri-lesta corte- se fia celébrado con salVas de* artillería el’ aniversario def; día de- S. M/ 'Catóüca: el Sr. D. FéRnahijo vir, habiendo hecho los saludos acostumbrados á la hora de estilo, así el castillo de S. Jorge, de esta ciudad, como las esquadras inglesa y portuguesa Surtas en el puerto. Anteayer se hizo, a la vela/desde este puerto al de Argel una fragata de gnerra portug…</t>
  </si>
  <si>
    <t>Fernán</t>
  </si>
  <si>
    <t>…Rodriguex de Ricas. — Juan Páren Villamil. — £n Cádiz á li d# Febrero de 1813.-— A D. José Limonta. JLa Regencia provisional del reyno se ha servido expedir el decredo que sigue: D. Fernán no vti, por la gracia de Dios y parla constitución de la monarquía española, rey de las Empañas, y en su ausencia y cautividad la Regencia provisional del reyno vnombrada par las Cór te® generales y extraordinarias, á todos los que la3 presentes vieren y ente…</t>
  </si>
  <si>
    <t>Fernán, Joaá Posso</t>
  </si>
  <si>
    <t>Joaá Posso Fernán</t>
  </si>
  <si>
    <t>mo 24. D. Gerónimo Andrade, id. por 10, 120. D. Joaá Posso Fernán* de*, id. por 15, 180. D. Juan Amonio Miranda, íi. por 8, 96 D. Jo* sé Quiri&gt;ga,id. por 8. 93. D. J»ian Mnriie&amp;so, id. p:r 4, 48 D Juaa • Rtfymúndae, id por Ü, 96. D. Juan de Sapinos a, id. por 8, 9&amp;¡ D. José Roso, id. por 1, í2. D. Joaquín Martínez, id. por…</t>
  </si>
  <si>
    <t>Fernandez, Antonio</t>
  </si>
  <si>
    <t>Antonio Fernandez</t>
  </si>
  <si>
    <t>…Domingo Luis del Valle, D Vicente de la Encina, D. Francisco Preysler y Moreno, D José Segundo Izquierdo, D. Pedro Colmenares , D Pedro de la Cantolta, D José Nicolás ¿e Chimioni, D. Antonio Fernandez , D Juan Miguel Arrambi le, D. Antonio Arrambide, D, Antonio Gailuzo y D. Antonio de la Iglesia y Smith: igualmente ha promovido S. A. á coronel del referido cuerpo en la división de ultramar, al graduada y teuie»to etaronel del mismo D. José de la Fuente Pit…</t>
  </si>
  <si>
    <t>Fernandez, Francisco</t>
  </si>
  <si>
    <t>Francisco Fernandez</t>
  </si>
  <si>
    <t>…aciados por evitar una muerte horrorosa pasa»»ron á las banderas inglesas. Yo los he visto firmar Madrid i.° de enero de 18 rj. &gt;&gt; llorando su enganche atroz , ponerme por testigo D. Francisco Fernandez de la Colina, Baltasar »&gt; de la violencia que les hacían, y conjurarme á que Perez, Ramón Romano, Pelayo de Cos y Juan »&gt; aceptase sus promesas. Yo era prisionero y desPardo, habiendo contravenido á la orden del día w graciado como ellos; y no he podido hacer…</t>
  </si>
  <si>
    <t>Fernandez, Gregorio</t>
  </si>
  <si>
    <t>Gregorio Fernandez</t>
  </si>
  <si>
    <t>…as, 1 id. D. Blas Camino, 1 id. D. Domingo Urquijo, 1 id. D. Francisco Falconi, I id. D. Francis co de Sagastaveitía„ id. D Francisco Valles, 2 id D. Francisco Ba llesteros, 1 id. D. Gregorio Fernandez* 1 id D. Julián García Mon_terroso, 1 id. D. Julián Perez, 2 id. D. Lorenzo de Arguiano, 1 id. D. Matías de Larreta, 3 id D. Manuel délos H¿ros, 2 id. D. Ma nuel déla Torre, 1 id. D. Manuel Garbea y Bulillo, 2 id. D. Ma nuel de Aramburu, í id. D. Miguel de Ez…</t>
  </si>
  <si>
    <t>Fernandez, José</t>
  </si>
  <si>
    <t>José Fernandez</t>
  </si>
  <si>
    <t>…mente ai citado ayudante de estado mayor Fa ció , á los capitanes de cazadores de Cantabria y Ciudad-Real Don Romualdo Cortazar y D. Ceci.10 Aillon, al de granaderos de Canta bria D. José Fernandez, al cadete de Ciudad-Real, habilitado de oñeiri D. Francisco de Paula Viilalbs, que'fué herido, y al caza dor del mismo cuerpo, Gaspar Caballero, que lo fué igualmente de mucha gravedad sin quererse retirar, y á los demas oficiales y tropa que contribuyeron á…</t>
  </si>
  <si>
    <t>Fernandez, Josef</t>
  </si>
  <si>
    <t>Josef Fernandez</t>
  </si>
  <si>
    <t>…larmeníe al citado ayudante de estado mayor Fació , á los capitanes de cazadores de Cantabria y Ciudad-Real D. Romualdo Cortazar y D. Cecilio Avlfon, al de granaderos de Cantabria D. Josef Fernandez, al cadete de Ciudad- Real, habilitado de oficial, D. Francisco de Paula Villalba, que fue herido; y aí cazador del mismo cuerpo Gaspar Caballero , que lo fue igualmente de mu cha, gravedad, sin quererse retirar, y á los .demás oficiales y tropa que contri bu…</t>
  </si>
  <si>
    <t>Fernandez, Luis</t>
  </si>
  <si>
    <t>Luis Fernandez</t>
  </si>
  <si>
    <t>…r sus haberes en alivio de sus dignos hermanos, pues á costa ae su vida defienden á la mad re .patria. {Diario del gobierno de Salamanca.) El visitador general de tintes del reino D. Luis Fernandez, vecino de la ciudad.de Toledo, se propone reteñir, y prensar qualquier pieza de géneros de seda, lana, lencería, balbutinas y algodones, que por averías ó mal color no tengan fácil salida, dándolos un color perfecto, bien sea negro, azul tur quí ú otro qualq…</t>
  </si>
  <si>
    <t>Fernandez, Manuel</t>
  </si>
  <si>
    <t>Manuel Fernandez</t>
  </si>
  <si>
    <t>…Gabir Turtert. . . . . . . Id. ..... Prisionero. . Falleció. Fernando Galindo- .... Cartagena.id...... id................ Femando Garabano. . . . Caracas. . . u. Id&gt; . . . . . Dr. D. Manuel Fernandez. C urtagena. . Id. . Id.Id. .... . Manuel Matancero.............. Id..... Teniente. .... Marcos Ri bay..................... Casacas. .. . Id. Id................ F. Reynó. . •........................ Francés. . . Id. Id................. Manuel Echeona.........…</t>
  </si>
  <si>
    <t>Fernandez, Mariano</t>
  </si>
  <si>
    <t>Mariano Fernandez</t>
  </si>
  <si>
    <t>…rillas á la hora acostumbrada: ¿ eso de las 10 se presentó una corta partida enemiga hacia la casa de Grandal, hallándose la nuestra que manda el capitán de caballería de milicias D. Mariano Fernandez en la casa de Perez, distante cotno dos tiros de fusil dé aquella^: empezó, él fuego de ambas partes con algymas cortas escaramuzas: la enemiga huyó al fin hieia un bésqueciflo inmediato á la casa de Palacios : la nuestra la siguió has ta cerca dé dicho bosqu…</t>
  </si>
  <si>
    <t>Fernandez, Pedro</t>
  </si>
  <si>
    <t>Pedro Fernandez</t>
  </si>
  <si>
    <t>…Bautista Lagar. En el de Galicia á capitanes á D. Gabriel Sequeira y D. Alfonso Hernández Ea el de Navarra á ayudante á D. Juan Antonio Pardo; á tenientes á D. Francisco Lo zano y D. Pedro Fernandez, y á subtenientes á D. Bonifacio Ro dríguez , D. José Sánchez y D. Manuel de los Santos. En el de Ir landa á capitán ¿ D. Miguel Miangolarna; á ayudante á D. José Alba; á teniente á D. José Benet, y á subteniente á D. Felipe Negrete. En el cuerpo de ingeniero…</t>
  </si>
  <si>
    <t>Fernandez, Sebastian</t>
  </si>
  <si>
    <t>Sebastian Fernandez</t>
  </si>
  <si>
    <t>…te de sus oficíales y soldados, y que por lo mismo aae excusará recomendar su mérito. = Dios guarde á V. S. muchos años. Bernedo 15 de Mayo de 1813. = Marcelina Orda.~Sr. co ronel D. Sebastian Fernandez. = Lo que traslado á V. S. para que let sírva de gobierno . = Sebastian Fernandez. =Sr. general D. Francis co Espoz y Mina. — Y yo Jo paso al conocimiento de V. E. = Nues tro Señor guarde á V. E muchos años. Sos 16 de Mayo de 1813.= Excmo. Sr. = Francisco Esy…</t>
  </si>
  <si>
    <t>Fernando</t>
  </si>
  <si>
    <t>…n solemne Te Deiim, como se ha verificado, Con asistencia de un numeroso y lucido concurso. ARTICULO DE OFICIO. JLa Regencia del repto se ha servido expedir el decreto siguiente'. D. Fernando vii , por la gracia de Dios y por la Constitución -de la monarquía española, rey de las Españas, y en su ausencia y cautividad la Regencia del reyno nombrada por las Cortes genérales y extraordinarias , á todos los que las presentes vieren y entendie ren , sa…</t>
  </si>
  <si>
    <t>…putado secretario.^: Agustín Rodríguez Yaamonde, diputado secretario. = Dado en Cá diz á 13 de Abril de 1813. = A la Regencia del reyno.’* Fórmulas para las cartas de naturaleza. "D. Fernando vir, por la gracia de Dios &amp;c. (y si hubiese Regencia se pondrá el encabezamiento correspondiente), á todos los que las presentes vieren y entendieren, sabed: que habiendo acudi do á nuestra real persona (ó á la Regencia del reyno) D. N. N., natural de tal pu…</t>
  </si>
  <si>
    <t>15</t>
  </si>
  <si>
    <t>…o la oficialidad de aquellas como la tropa.” (Si guen varias recomer:daciom s.) ARTICULO DE OFICIO. Litt Regencia del reyno se ha servido expedir los decretos siguientes. Primero. D. Fernando vii , por la gracia de Dios y por la Constitución (lela monarquía española, rey de las Espadas, y en su ausencia y cautividad la Regencia del rey no, nombrada, por fas Córte» genera les y extraordinarias^- á todos los que las presentes'vieren y enten dieren,…</t>
  </si>
  <si>
    <t>…os—Joaquín* de Mosquera y Fgueroa. —Juan Vi lavieencio — Ignacio Rodrigue*', de Rivas. — Juan Perex Villamil. — En Cádiz á 10 de Diciembre; de 1812. — A D. José Limonta.” Segundo. D. Fernando vii , por la gracia de Dios y perla constitución; de la monarquía española, rey de las Españas, y en su ausencia.y cautividad la Regencia del reyhó,nombrada por las Cortes generales y extraordinarias, á todos los que las presentes vieren y enten* dieren, sabe…</t>
  </si>
  <si>
    <t>…secretario interino del despacho de la Guerra me dice coa fecha de 6 del corriente lo que sigue: ,,Excmo. Sr : EL Consejo de Regencia de España é Indias, ea nombre del Rey nuestro Sr. D. Fernando vi i, ha resuelto que la elaboración y venta del salitre y pólvora se desestanque en toda la península, y se supriman todas las trabas que se oponen á la fabri cación de una munición que tanta falta hace en el dia en los exércitos y plazas del reyno; queriend…</t>
  </si>
  <si>
    <t>62</t>
  </si>
  <si>
    <t>…—■ ,P¿dro Vtllacampi.—Exento. Sr. vioe-presidente y vocales de la jun ta superior de Aragón.” ARTICULO DE OFICIO. La Regencia del reyao se ha servido expedir el decreto siguientes D. Fernando vii , por la gracia de Dios y por la Constituciónde la monarquía española, rey de las Espadas, y en su ausencia y cautividad ia Regencia del rey no, nombrada por las Cortes genera-</t>
  </si>
  <si>
    <t>…tra\a, diputado por Extremadura; y para secretario el Sr. D. Agustin Rodríguez Bahamonde, diputado por Galicia. JLa Regencia del reyno se h a servido expedir el decreto siguiente, D. Fernando tii, por la gracia de Dios y por la constitución dé la monarquía española, rey de las Españas , y en su ausencia y cautividad la Regencia dél reyno, nombrada por las Cortes genera les y extraordinarias, á tocios los que las presentes vieren y enten dieren , s…</t>
  </si>
  <si>
    <t>…os limites en que ren es fundar en España una república; y que si es debieran contenerlos sus estrechas obligaciones para te descabellado proyecto tuviese la menor probabi- con ci Sr. D. Fernando vil. (1) Expresiones terminantes del presidente del con ilinstan en la sesión del dia 30 de diciembre de tifia. greso en la respuesta que dió á la arenga del lord Wt« (23 La Abaja número 17.</t>
  </si>
  <si>
    <t>…. Sr. — Francisco Espox y Mina. — Excmo. Sr. D. Gabriel de Mendizabal.” ARTICULO DE OFICIO. Con fecha de ayer se lia servido la Regencia del reyno expe dir el decreto siguiente. — D. Fernando vii , por la gracia de Dio» y por la constitución de la monarquía española, rey de las Espadas, y en su ausencia y cautividad la Regencia dei reyno, nombrada por las Cortes generales y extraordinarias. Atendiendo al celo, actividad y conocimientos con que lia…</t>
  </si>
  <si>
    <t>…ciembre último tuvo la primera audiencia de S. M. el emperador de todas las Rusias el Exemo. Sr. D. Eusebio Bar das y Azara, enviado extraordinario y ministro plenipotenciario del Sr. D. Fernando vii cerca de aquella corte; y al presentar sus credenciales fué recibido por el emperador del modo mas honorífico y lisonjero, manifestando así S. M. 1. el aprecio y distinción que hace del Gobierno que le ha enviado. Se presentó en seguida á las demás person…</t>
  </si>
  <si>
    <t>…D José de Salas Boxadors, diputado por Mallorca; y para secretario el Sr. D. Domingo Rus, diputado por Maracajbo. La Regencia del reyno se ha servido expedir el decreto siguiente• D. Fernando vii, por la gracia de Dios y por la constitución de la monarquía española, rey de las Españas , y en su ausencia y cautividad la Regencia del reyno, nombrada por las Cortes genera-* les y extraordinarias, á todos los que las presentes vieren y enten dieren, s…</t>
  </si>
  <si>
    <t>202</t>
  </si>
  <si>
    <t>…ento. —• Pedro de Agar, presidente. —Joa jum B ¿ke, ausente con licencia de las Cortes.—Gabriel Ciscar.— En Cádiz á 24 de Julio de 1811.— A D. José Antonio de Larrumbide, Segundo. D. Fernando vii , por la gracia de Dios , rey de España y do las l idias, y en su ausencia y cautividad el consejo de Regencia, autorizado interinamente, á toaos ios que las presentes vieren y en tendieren , sabed: Que en las Cortes generales y extraordinarias, congregad…</t>
  </si>
  <si>
    <t>…etos de las Cortes generales y extraordinarias relativos al restablecimiento del tribunal del proto-medícate, para que lleguen á noticia de todos y cesen aquellos abusos. Primere, D. Fernando vii, por la gracia de Dios, rey de España y de las Indias, y en su ausencia y cautividad el consejo de Regencia, autorizado interinamente, á todos los que las presentes vieren y en tendieren , sabed: Que en las Cortes generales y extraordinarias, congregadas…</t>
  </si>
  <si>
    <t>222 Tercero. D. Fernando vii, por la gracia de Dios y por la Constitución de la monarquía española, rey de las Españas, y en su ausencia y cautividad la Regencia del reyno, nombrada por las Cortes genera les y extraordinarias, á todos los que las presentes vieren y enten dieren, sabe…</t>
  </si>
  <si>
    <t>…squera y Figueroa. — No firma por hallarse en fermo , /&gt;. Ignacio Rodrigues de Rtvas. — Jugu Peres Viiktmil. — En Cádiz á 25 de Enero de 1813. - A D. José María Carvajal. Segundo. D. Fernando vii , por la gracia de Dios, y por la constitución de la monarquía española, rey de las España» , y en su ausencia y cautividad la Regencia del rey no, nombrada por las Cortes genera les y extraordinarias , á todos los que las presentes vieren y enten dieren…</t>
  </si>
  <si>
    <t>…ción el administrador de correos de Guadalaxara y sus dependientes. (Se continuará.) ' 0 ARTICULO DE OFICIO. * Lo Regencia del reyno se ha servido expedir el decreto siguiente : i D. Fernando vii , por la gracia ¿e Dios , y por la constitución de la monarquía española , rey de las Españas, y en su ausencia y cautividad la Regencia del reyno nombrada por i as Cortes generales y extraordinarias , á todos los que las presentes vieren y entendie ren,…</t>
  </si>
  <si>
    <t>GACETA DE LA REGENCIA DE LAS ESPAJÍAS DEL MARTES 9 DE MARZO DE 1819 •mm ARTICULO DE OFICIO. £.u Regencia del reyno se ha servido expedir el decreto siguiente, D. Fernando vii , por la gracia de Dios, y por la constitución de ia monarquía española, rey de las Españas, y en su ausencia y •cautividad la Regencia del reyno, nombrada por las Cortes genera» les y extraordinarias , á todos los que las presentes vieren y enten dieren,…</t>
  </si>
  <si>
    <t>241</t>
  </si>
  <si>
    <t>241 gues de Ricas. — Juan Perex VWamfl.—En Cádiz á 8 de Marzo de 1813.A D. Antonio Cuna Manuel. Segundo. D. Fernando vn,por!a gracia de Dios y por la constitución de la monarquía española, rey de la9 Españas , y en su ausencia y cautividad la Regencia del reyno, nombrada por las Cartea genera les y extraordinarias, á todos los que las presentes vieren y enten dieren , sabed…</t>
  </si>
  <si>
    <t>…ncontraron en los montes basta el lu gar de Yicorp, de donde salieron ei 5.’ , . ARTICULO DE OFICIO. La Regencia del reyno se ha servido expedir los decretos siguientes:. Frimiro. D. Fernando vii, por la gracia de Dios y per la Constitución de la monarquía española, rey de las Espadas, y en su ausencia y cautividad la Regencia del rey no, nombrada por las Cortes genera* íes y extraordinarias, á todos los que las presentes vieren y entea* dieren, s…</t>
  </si>
  <si>
    <t>…D. Francisco Salazar, diputado por Li ma ; y para secretario el Sr. D. Manuel Gojanes Balboa, diputado por León. Ial Regencia del reyno se ha servido expedir el decreto que sigue: D. Fernando vil, por la gracia de Dios, y por la constitución de la monarquía española, rey de las Espadas , y en su ausencia y cautividad la Regencia del reyno, nombrada por las Cortes genera les y extraordinarias, á todos los que las presentes vieren y enten dieren , s…</t>
  </si>
  <si>
    <t>310</t>
  </si>
  <si>
    <t>…aza, y pidió á los cuerpos revistados un estado de las pren das de que carecían. ARTICULO DE OFICIO. La Regencia del reyno se ha servido expedir los áte retos siguientes: Primero. D. Fernando vii, por la gracia de Dios y por la constitución de la monarquía española , rey de las Espadas, y en su ausencia y cautividad la Regencia provisional del reyno, nombrada por las Cor tes generales y extraordinarias, á todos los que las presentes vieren y enten…</t>
  </si>
  <si>
    <t>…e Charlottenburgo, adonde se había retirado nuestro monarca. Este atentado no produxo el efecto que se hubiau propuesto los franceses ; porque habien do sido avisado el rey por el príncipe Fernando, pudo huir á Potsdam con 2 ayudantes y 10 soldados de su guardia. De aquí partid para ia Silesia después de dar su bendición al príncipe real, y ha berle cedido el mando. Ei pueblo está tan furioso en consecuencia de estos sucesos y de la mala conducta de los…</t>
  </si>
  <si>
    <t>…Fuentes de Andalucía, y el ayuatamienía y juez déla de Mayrena. (Se continuará.) ARTICULO DE OFICIO. La Regencia provisional del reyno se ha servido expedir el decreto siguiente: D. Fernando vii , por la gracia de Dios, y por la constitución de la monarquía española, rey de las Españas , y en su ausencia y cautividad la Regencia provisional del rey no, nombra da por las Cor tes generales y extraordinarias, á tod©3 los que las presentes vie ren y…</t>
  </si>
  <si>
    <t>…la petición de los católicos, con todos los antecedentes, pasase á una •omisión. ARTICULO DE OFICIO. La Regencia del reyno se ha servido expedir los decretos que siguen: Primero. „D. Fernando vii , por la gracia de Dios y por la Constitución de la monarquía española, rey de las Españas , y en su ausencia y cautividad la Regencia del reyno, nombrada por las Cortes genera les y extraordinarias, á todos los que las presentes vieren y enten dieren , s…</t>
  </si>
  <si>
    <t>…ón á su instrucción y conocimientos. Tendreislo entendido , y comunicareis las órdenes á quienes corresponda.—En Cádiz ¿ 30 de Marzo de 1813.—A Don Antonio Cano Manuel. ■ Tercero. D. Fernando vii , por la gracia de Dios y por la constitución de la monarquía, rey de las Españas, y en au ausencia y cautividad la Regencia del reyno nombrada por las Cortes generales y extraor dinarias; atendiendo á las reiteradas instancias que le ha hecho Don Cristób…</t>
  </si>
  <si>
    <t>…uente de S. Andrés;-— Baga* dier gefe primero del estado mayor— Francisco Ferraz. ARTICULO DE OFICIO. La Regencia provisional del reyno se ha servido expedir el decreto que sigue: D. Fernando vii , por la gracia de Dios, y poi la constitución de la monarquía española, rey las Españas, y en su ausencia y cautividad la Regencia provisional del reyno,nombrada por las Cor tes generales y extraordinarias , á todos los que las presentes vieren y entendi…</t>
  </si>
  <si>
    <t>383</t>
  </si>
  <si>
    <t>383 ARTICULO DE OFICIO. La Regencia del reyno se ha servido expedir los decretos que siguen: Primero. D. Fernando vii , por la gracia de Dios y por la Constitución de la monarquía española, rey de las Espadas, y en su ausencia y cautividad la Regencia deí reyno, nombrada por las Cortes genera les y extraordinarias , á todos los que las presentes vieran y enten dieren, sa…</t>
  </si>
  <si>
    <t>413</t>
  </si>
  <si>
    <t>…permanecen aquí, j Boyer salió para su campo. To dos dicen que saldrán pronto para el libro. ARTICULO DE OFICIO. JLa Regencia del reyno se ha servido expedir el decreto que sigue: D. Fernando vii , por la gracia de Dios y por la constitución de la monarquía española, rey de las Españas, y en su ausencia y cautividad la .-Regencia del reyno , nombrada por las Cortes genera les y extraordinarias, á todos los que las presentes vieren y enten dieren,…</t>
  </si>
  <si>
    <t>…aris Couto-, diputado por el reyno de México; y para secretario el Sr. D. Fermín Clemente, diputado por Caracas. La Regencia del reyno se ha servido expedir el decreto que sigue z D. Fernando vii, por la gracia de Dios, y por la constitución de la monarquía española, rey de las Españas , y en su ausencia y cautividad la Regencia provisional del reyno, nombrada por las Cor tes generales y extraordinarias, á todss los que las presentes vieren y ente…</t>
  </si>
  <si>
    <t>461</t>
  </si>
  <si>
    <t>…o en movimiento, y su artillería pasaba por Despeñaperros el 29 del corriente. ARTICULO DE OFICIO. '♦é La Regencia del reyno se ha servido expedir los decretos que siguen Primero. D. Fernando vii, por la gracia de Dios y por la constitución de la monarquía española , rey de las Es pañas , y en su ausencia y cautividad la Regencia provisional del reyno, nombrada por las Cor tes generales y extraordinarias, á todos los que las presentes vieren y ent…</t>
  </si>
  <si>
    <t>…rcule. — L. de Borbon, cardenal de Scala, ar zobispo de Toledo , presidente. — Pedro de Agar. — Gabriel Ciscat\ — En Cádiz á 22 de Marzo de 1813. — A D. José de Liraonta; Segundo. D. Fernando vii , por la gracia de Dios / por la constiíucioa de la monarquía española, rey de las Españas, y en^su ausencia y cautividad la Regencia del reyno , nombrada por las Cortea genera las y extraordinarias , á todos los que las presentes vieren y enten dieren, s…</t>
  </si>
  <si>
    <t>471</t>
  </si>
  <si>
    <t>…rán para la Mancha. Se asegura que todas es* tas tropas se encaminarán á Alcaraz y Valencia. ARTICULO DE OFICIO. La Regencia del reyno se ha servido expedir el decreto qué sigilé: D. Fernando vir, por la .gracia de Dios y por la constitución de la monarquía española, rey de las'Españas , y en su ausencia;y cautividad la Regencia del reyno, nombrada por las Cortes genera les y extraordinarias, á todos los qtíe las presentes vieren y enten dieren, s…</t>
  </si>
  <si>
    <t>480</t>
  </si>
  <si>
    <t>…emigos de esta provincia se ha ce lebrado del mismo modo tan plausible y memorable suceso. * ARTICULO DE OFICIO. La Regencia del rey no se ha servido expedir el decreto siguiente: D. Fernando vii , por la gracia de Dios y por la Constitución ' de la monarquía española, rey de las Españas , y en su ausencia y cautividad la Regencia del reyno, nombrada por las Cortes genera les y extraordinarias , á todos los que las presentes vieren y enten dieren…</t>
  </si>
  <si>
    <t>503</t>
  </si>
  <si>
    <t>…e división, 26. De brigada, 38. Coroneles, 150. Tenientes coroneles, 250. Oficiales, 1000. ARTICULO DE OFICIO. * JLa Regencia del reyno se ha servido expedir el decreto siguiente: D. Fernando vii , por la gracia de Dios y por la constitución de la monarquía española, rey de las Españas , y en su ausencia y cautividad la Regencia del reyno, nombrada por las Cortes generales y extraordinarias , á todos los que las presentes vieren y enten dieren , s…</t>
  </si>
  <si>
    <t>511</t>
  </si>
  <si>
    <t>…el 26 de Abril, escoltado por 60 franceses &gt;_fué inteiceptado por una partida de patriotas. ARTICULO DE OFICIO. ha Regencia del reyno se ha servido expedir el decreto que sigue s D. Fernando vi i , por la gracia de Dios, y por la constitución de la mpBarquía española, rey de las Eapañas, y en su ausencia y cautividad la Regencia del reyno, nombrada por las Cortes genera les y extraordinarias , á todos los que las presentes vieren y enten dieren,…</t>
  </si>
  <si>
    <t>…ans , á la vista de nuestras autoridades, sin que hayan tomado providencia alguna para impedirla, y que mientras «1 Dr. Róbinson llevaba estas palabras ¿e paz á las provincias del rey Fernando vii, un ayudante del general Magie üegó á. N&amp;ioh boches é buscar fusiles, vestuarios , pólvora y municiones ; y coa la mayor presteza se ie procuraron 3 carros cargados de eilas en aquella plaza, que salieran ímn^duUameme para el Espíritu .Santo, en donde el…</t>
  </si>
  <si>
    <t>…que, tan felizmente, uneivá ambas-naciones, aliadas. ARTICULO DE OFICIO., V '.'d La Regencia del rey no se ka servido expedir los decretos siguientes! ■ • ; • Primero. -d',.' ■ * D. Fernando vii , por la gracia de Dios y. por la Constitución ’ * de la monarquía española:,-rey de, las Españas, y en su ausencia y cautividad Ja Regencia del rey 1^0 nombrada por las Cortes generales y extraordinarias, á todos los que las presentes vieren y entendió-1…</t>
  </si>
  <si>
    <t>…denal de Scala, ar-¿ zpbispp de Toledo, presidentes Pedro de, Agar.—Gabriel Ciscará Én Cádiz á 19 ,de Abril de 1813. = A D. Antonio Cano Manuel. • . ‘ ' ■ i . . v ;•&gt; • Segundo. í D. Fernando vil, por la gracia de Dios y por la constitución dé la monarquía española, rey de las E^pícñas, y en su ausencia y cautividad la Regencia del reyne , nombrada por las Cortes genera les y extraordinarias. Atendiendo á la utilidad que resulta*dé que el manejo d…</t>
  </si>
  <si>
    <t>…rigidas siem' pre en conocido beneficio y alivio del ciudadano. Madrid 3 de junio de 1813. ARTICULO DÉ OFICIO. La Regencia del reine se ha servido expedir el decreto siguiente : t D. Fernando vil,, por Ja gracia de Dios y por la constitución de , la monarquía española, Rei de las Españas, y en su ausencia y cautividad,¿a : Regencia del reino, nombrada por las Cortes generales y extraptdmarias, ^ -todos los que las presentes vieren y entendieren, s…</t>
  </si>
  <si>
    <t>…spañoles, que á pesar suyo manifestaban tarn-r bien el contento que no sentían. ARTICULO DE OFICIO. Z,a Regencia del reyno se ha servido expedir los decretos siguiente si Primero. D. Fernando vn, por la gracia de Dios y por la Constitución de la monarquía española, rey de las Españas, y en su ausencia y cautividad la Regencia del reyno nombrada por las Cortes generales y extraordinarias, á todos los que las presentes vieren y entendie ren , sabed…</t>
  </si>
  <si>
    <t>…de, Austria la dignidad de emper^do? JeAkinania. , . potetóÜ. ’f; Lisboa 2 de Junio. En esta corte se ha celebrado con salvas de artillería eLan merm arlo, del dia.de $. ,M. C. el Sr. D. Fernando vii , habiendo, hecho los .saludos acostumbrados á la hora de estilo, así el xastílfáAeA: ¡Jorge Ae, esta ciudad , como las ^cuadráis inglesa y portuguesai?una? «1 .puerto. : , *• 1 Antes de ayer se hizo á la. vela, desde este puerto al de A rgel, una fragata…</t>
  </si>
  <si>
    <t>…aviso cuidarán de fixarlo en los parages públicos acostumbrados. Madrid 13 de junio de 1813. ARTICULO DE OFICIO. Xa Regencia del reino se ha servido expedir el decreto siguiente : D. Fernando vii, por la gracia de Dios y por la constitución de I* monarquía española, Reí de las Españas, y en su ausencia y cautividad la Regencia del reino nombrada por las Cortes generales y extraordinarias, á todos los que las presentes vieren y entendieren, sabed:…</t>
  </si>
  <si>
    <t>…bre la conservación del orden publico en lo in terior, y sobre la seguridad exterior del estado. 2.0 Publicará las leyes y decretos de 13? Cortes, usando de la fórmula siguiente: „D. Fernando vii, »&gt; por la gracia de Dios y por la constitución de la monarquía española, Reí » de las Españas , y en su ausencia y cautividad la Regencia del reino nom» brada por las Cortes generales y extraordinarias, á todos los que las pre»sentes vieren y entendieren…</t>
  </si>
  <si>
    <t>ARTICULO DE OFICIO, f Regencia del reyno se ha servida expedir el decreto siguiente: D. Fernando vii , por la gracia de Dios y porcia Constitución de la monarquía española, rey de las Españas, y en su ausencia y cautividad la Regencia del reyno nombrada por las Cortes generales y extraordinarias , á todos los que las presentes vieren y entendie ren , sab…</t>
  </si>
  <si>
    <t>…IO. : f;. -j l : U :•.&gt;;&lt; i':t&gt; ■/.: •&lt;. ' ' " • • ‘ . . » , * r • » \ ^ ' “"‘t f'- ■&gt; f • #. 1 r • *• ¡ i . y Lít Regencia del rejtio sé ha servido expedir el decreto siguiente'. D. Fernando vii, por la gracia de £&gt;ios y. por la Constitución de la monarquía española , rey dé las Españas, y en* su ausencia y cautividad la Regencia del rey no nombrada por las Cortes genérale* y extraordinarias , á todos los qüe las presentes vieren y entendie ren ,…</t>
  </si>
  <si>
    <t>…vacuado á Onteniente. El cuartel general de nuestro.exército está ya en Xátiva. ARTÍCULO DE OFICIO. La Regencia del rey no se ha servido expedir los decretos siguiente x: Primero. D. Fernando vii, por la gracia de Dios y por la Constitueicn</t>
  </si>
  <si>
    <t>…cule. =X. de Borbon, cardenal de Scala , ar zobispo de Toledo, presidente. = Pedro de Agar.-=z Gabriel Cisc^r. = En Cádiz á io de Junio de 1813.=A D. Juan Alvarez Guerra. Segundo. D. Fernando vtt, por la gracia de Dios y por la Constitución de la monarquía española, rey de las Españas, y en su ausencia y cautividad la Regencia del reyno nombrada por las Cortes generales y extraordinarias , á todos los que las presentes vieren y entendie ren, sabed…</t>
  </si>
  <si>
    <t>…nder su obra por los, medios de defensa que señala la lei de la liber tad de imprenta. • A ARTICULOS DE OFICIO. La Regencia del reino se ha servido expedir el decreto qne(siguet 1 D. Fernando vil, por la gracia dé Dios y po.r la monarquía española, Rei de las Españas, y en su ausenaaf"jr|^of|yi^^|i</t>
  </si>
  <si>
    <t>…= L. de Barbón, cardenal de Scala, ar zobispo de Toledo, presidente. = Pedro de Agar.-=z Gabriel Cis car. z=. En Cádiz á 10 de Junio de 1813. = A D. Juan Alvarez Guerra. Segundo. D. Fernando vii, por la gracia de Dios y por la Constitución de la monarquía española, rey de las Españas, y en su ausencia y cautividad la Regencia del reyno nombrada por las Cortes generales y extraordinarias , á todos los que las presentes vieren y entendie ren , sabe…</t>
  </si>
  <si>
    <t>…ircule. = X. de Barbón, cardenal de Scala, ar zobispo de Toledo, presidente.=P&lt;?í/ro de Agar.zzGabriel Ciscara En Cádiz á 10 de Junio de 1813. = A D~ Juan Alvarez Guerra» Tercera* D. Fernando vii , por la gracia de Dios y por fa Constitucicn de la monarquía española, rey de las Españas, y en su ausencia y cautividad la Regencia del reyno nombrada por las Cortes generales y extraordinarias, á todos los que las presentes vieren y entendie ren , sabe…</t>
  </si>
  <si>
    <t>Gazeta de la Regencia de las Españas n.º 81</t>
  </si>
  <si>
    <t>…id , y sigue con el resto de sm tropa la misma di rección que llevan ios exércitos aliados. ARTICULO DE OFICIO. La Regencia del rey no se ha servido expedir el decreto siguiente*. D. Fernando vii, por la gracia de Dios y por la Constitución de la monarquía española, rey de las Españas, y en su ausencia y &lt;5autiv 1 dad la Regencia del rey*10 nombrada por has Cortes genérale*</t>
  </si>
  <si>
    <t>…este destrozado: pero no podemos hablar de ella hasta tanto que vengan las relaciones. ■ ' articulo de oficio. ' La Regencia del reino se ha servido expedir el decreto siguiente: D. Fernando vii , por la gracia de Dios y por la constitución de la mo narquía española, Rei de las Españas, y en su ausencia y cautividad ia Re gencia del reino nombrada por las Cortes generales y extraordinarias, á to dos los que las presentes vieren y entendieren , sa…</t>
  </si>
  <si>
    <t>…án llenas de nuestros compatriotas por no dar cumplimiento á los pedidos de esta infame raza. ARTICULO DE OFICIO. La Regencia del reyno se ha servido expedir el decreto que sigue: D. Fernando vit, por la gracia de Dios y por ia Constitución de la monarquía española, rey de las Es pañas, y en s.11 ausencia y cautividad la Regencia del reyno nombrada por las Cortes generales y extraordinarias, á todos los que las presentes vieren y entendie ren, sab…</t>
  </si>
  <si>
    <t>…1813. = d&gt;bastian Fernandez.^S^hot general D. Francisco Espoz y Mina.** {Se continuaran.) ARTICULO DE OFICIO. La "Regencia del rey no se ha servido expedir el decreto siguiente \ D. Fernando vii, por la gracia de Dios y por la Constitución de la monarquía española , rey de las Españas, y en su ausencia y cautividad la Regencia del reyno nombrada por las Córtes generales y extraordinarias, á todos los que las presentes vieren y entendie ren, sabed…</t>
  </si>
  <si>
    <t>…alabra del legítimo Soberano = Luis-----Hartwell i.° de febrero de 1813. (Morning-chronicle.) ARTICULO DE OFICIO. La Regencia del reino se ha servido expedir el decreto siguiente: D. Fernando vii , por la gracia de Dios y por la constitución de la monarquía española, Rei de las Españas, y en su ausencia y cautividad !a Re gencía del reino nombrada por Jas Cortes generales y extraordinarias, á todos los que las presentes vieren y entendieren, sabed…</t>
  </si>
  <si>
    <t>…e. = L. de Barbón cardenal de Scala , arzo bispo dé Toledo, presidente. = Pedro de Ag^r. = Grahriel Ciscar, zs. Eu Cádiz á ) de Julio de 1813. = A D. Juan Alvares Guerra. Segundo. D. Fernando vii, por la gracia de Dios y par Ja Constitución de la monarquía española, y en su ausencia y cautividad la Regen cia del reyno nombrada por las Cortes generales y extraordinarias, he tenido por conveniente separar dé la secretaría de listado á Don Pedro Labr…</t>
  </si>
  <si>
    <t>…o Rus, diputado secretario.cr .Manuel Goyanes, diputado secretario. = Señor secretario del despacho de ia Guerra/’ (,r. Decreto de las Cortes sobre la libertad de la imprenta (1). D. Fernando vii, por la gracia de Dios Rei de España y dé las Indias, y en su ausencia y cautividad el consejo, de Regenciaj^ autorizado interina mente, á todos- los que las presentes vieren y entendieren, sabed: que en .las Cprtes generales y extraordinarias congregadas…</t>
  </si>
  <si>
    <t>…diputado por la provincia de Goatemala; y para secretario el Sr. D. Francisco Ruiz Lorenzo, diputado por Córdoba. La Regencia del reyn§ se ha servido expedir el decreto siguiente: D. Fernando vii, por la gracia de Dios y por la Constitución de la monarquía española, rey de las Españas, y en su ausencia y cautividad la Regencia del reyno nombrada por fas Cortes generales y extraordinarias, á todos los que las presentes vieren y entendie ren , ss.be…</t>
  </si>
  <si>
    <t>…e perdieron los franceses un regimien ta- de- caballería, 30. cañones y muchos equipagesARTICULO) DE OFICIO.. La Regencia del rey-no- se ha servido' expedir el decreto sig;iientiv D. Fernando vil , por la gracia de Dios y por la Constitución^</t>
  </si>
  <si>
    <t>…os. ^Vfllencia/7 de julio de 1813. =r Excmo. Sr.=Xavier Elio.=Iixcmo.Sr. se cretario dwi dcspacho de la Guerra/' £4 Regencia del reina se kaservido dirigirme el decreto que sigues D. Fernando vii, por ía gracia de Dios y por la constitución de la •monarquía española * Rer de las Españas, „y en su ausencia y cautividad la ’ R egencia det reino nombrada por las Cortes generales y extraordinarias * ¿</t>
  </si>
  <si>
    <t>…nera de guerra en. esta ciudad..— El enemigo ha evacuado el fuerte de Alcañiz. ARTICULO DE OFICIO. La Regencia del reyno se: ha servido expedir los decretos siguientes'. Primero.. D. Fernando vil, por la gracia de Dios y por la Constitución de la monarquía española, rey de las' Espanas, y en su ausencia y cautividad la "Regencia del reyno nombrada por las Cortes generalei</t>
  </si>
  <si>
    <t>…uchinas. Habiéndose dirigido á las Cortes una petición para que no se disuelvan las actuales durante las presentes circunstancias, ni se reúnan las ordinarias hasta el regreso del Sr. D. Fernando vn: el Congreso por unanimidad de votos acordó rio haber lugar á semejante deliberación. Con este motivo el Sr. Qtíey propuso que no se dé cuenta de ninguna exposición de particula res ó corporaciones en que se pida la prolongación de estas Cortes mas allá de…</t>
  </si>
  <si>
    <t>…csiaot y 9© de galleta. Se ha cogido ademas una goleta cargada de comes tibles. ARTICULO DE OFICIO. Z*a Regencia del rey no se ha servido expedir los decretos siguientes\ Primero* D. Fernando vfl, por la gracia de Dios y por la Constitución de la monarquía española, rey de las Españas, y en su ausencia y cautividad la Regencia del reyno nombrada por las Cortes generales y extraordinarias , á todos ios que las presentes vieren y entendie ren , sabe…</t>
  </si>
  <si>
    <t>8z* Segundo. : D. Fernando vii, por la gracia de Dios y por la Constitnctoa de la monarquía española, rey de las Españas, y en su ausencia y cautividad la Regeaci3 del reyno nombrada por las Cortes generales y extraordinarias, á todos los que las presentes vieren y entendie ren., sabed…</t>
  </si>
  <si>
    <t>…por la provincia dé Góaternala; y para secretario el Sr. D.„EVán&lt;fisco Ruiz Lorenzo» diputado por Cprdoba.. La Regencia del reino se ha servido expedir el decreto siguiente i : í D. Fernando vii, por la gracia de Dios y por ia constitución de la mo-</t>
  </si>
  <si>
    <t>…mbién que Mina salía con dirección á Jaca; y que la división de Duran se dirigía á Tarragona. ARTICULO DE OFICIO. La Regencia del reino se ha servido expedir el decreto siguiente: D. Fernando vii , por la gracia de Dios y pcw la Constitución de la monarquía española, Reí de las Españas, y en su ausencia y cautividad la Regencia del reino nombrada por las Cortes generales y extraordinarias,^ todos los que las presentes vieren y entendieren, sabed:…</t>
  </si>
  <si>
    <t>…stanciado que V. S. se sirve pe dirme con fecha de ayer, psra que se muéstre al mundo lo que puede ia virtud, la visible protección del cielo á favor de la causa de nueitro rey el Sr. D. Fernando vii, y el castigo terrible que el orgulloso cartagenero ha. sufrido en el suelo Samarlo, admirable por su lealtad.y por sus generosos sacrificios. «La confianza que V. S se sirvió hacerme la última vez que es tuvo en este punto sobre las intenciones de los en…</t>
  </si>
  <si>
    <t>…e vistió la corte de gala, y la plaza y buques de bahía hicieron el saludo correspondiente. ARTICULO DE OFICIO. La Regencia del rey no se ha servido expedir el decreto siguiente*. D. Fernando vii, por la gracia de Dios y por la Constitución de la monarquía española, rey de las Españas, y en su ausencia y cautividad la Regencia del rey no nombrada por las Cortes generales y extraordinarias , á todos los que las presentes vieren y entendie ren, sabe…</t>
  </si>
  <si>
    <t>…o Sombiela, presidente. =ManueI Goyanes, di putado secretario..= Fermín de Clemente , diputado secretario. = Dado en Jpádiz. á 3 de julio de. 18.13.=. A la. Regencia del reino.. . D. Fernando vii , por la gracia de Dios y por la Constitución de la monarquía española,.Rei de las. Españas, y en su ausencia y cautividad la Regencia del reino nombrada por las Cortes generales y extraordinarias, á todos los que las presentes vieren y entendieren, sabed…</t>
  </si>
  <si>
    <t>…emente leer y escribir de corrido, y convendrá que tengan principios de gramática: esta enseñanza es enteramente gratuita. ARTICULO DE OFICIO. Circular del ministerio de Hacienda. D. Fernando vn, por la gracia de Dios y por la Constitución de la monarquía española, Rei de las Españas, y en su ausencia y cautividad la Regencia del reino nombrada por las Cortes generales y extraordinarias, á todos los que las presentes vieren y entendieren, sabed: q…</t>
  </si>
  <si>
    <t>…o continuar una guerra ruinosa , exponiéndolo todo á la extremidad contingente de las armas, respecto de unos pueblos que son y serán siempre fieles á nuestro legítimo soberano el Señor D. Fernando vii de Borbon. «Esperamos precisamente la contestación de V. S. para dirigir por ella nuestras operaciones. = Dios guarde áV. S. muchos años. Ibarra y Noviembre 19 de 1812. = El marques de Villa Orellana así Manuel Maten.ss Carlos Montufar. ss Señor coronel c…</t>
  </si>
  <si>
    <t>…tado por Ja villa de Madrid; y para secretario el Sr. D. Tadeo Joaquín Garate, diputado por la provincia de Puno. La Regencia del repto se ha servido expedir el decreto siguiente: D. Fernando vii , por la gracia de Dios y por la Constitución de la monarquía española, rey de las Españas, y en su ausencia y cautividad la Regencia del reyno nombrada por las Cortes generales y extraordinarias, á todos los qne las presentes vieren y entendie ren, sabed…</t>
  </si>
  <si>
    <t>…do patriotismo-----Quartel general de Vich 27 de julio de. 1813. = Fran cisco Gopons y Navia. ARTICULO DE OFICIO. La Regencia del reino se ha servido expedir el decreto siguiente: D. Fernando vii, por la gracia de Dios y por la Constitución de la monarquía española, Rei de las Españas, y en.su ausencia y cautividad la, Regencia del reino nombrada por las Cortes generales y extraordinarias, á todos los que las presentes vieren y entendieren, sabed:…</t>
  </si>
  <si>
    <t>…pal del cas tillo un oficial con 50 hombres. Cuartel general de Zaragoza 2 de Agosto de 1S13. ARTICULO DE OFICIO. La Regencia del reyno se ha servido expedir el decreto siguienter D. Fernando tii , por la gracia dé Dios y por la Constitución de la monarquía española, rey de las Esp&amp;ñas, y en su ausencia y cautividad la Regencia del reyno nombrada por lás Cortes generales y extraordinarias , á todos los que las presentes vieren y entendie ren , sab…</t>
  </si>
  <si>
    <t>…o dar oidos á nin guna proposición de paz que haga la Francia, mientras exista un solo sol■ dado francés en el territorio español-, y mientras no sea restituido á stt trono el Rei D. Fernando vii. Como Bonaparte preve que la Inglater ra no enviaría plenipotenciarios al congreso, á menos de que la España n® tuviese parte en él, pensó eludir la dificultad proponiendo que los insur gentes españoles (es decir, todo el pueblo español) tuviesen un minis…</t>
  </si>
  <si>
    <t>…última son que habia 18 cañones de á 24 colocados á tiro de pisto la de la puerta de tierra. ARTICULO DE OFICIO. X* Regencia del reyn9 se ha servido expedir el decreto siguiente** D. Fernando vii, por la gracia de Dios y por la Constitución de la monarquía española, rey de las Españas, y en su ausencia y cautividad la Regencia del rey no nombrada por las Cortes generales y extraordinarias, á todos los que las presentes vieren y entendie ren , sabe…</t>
  </si>
  <si>
    <t>…rgado todas las acémilas y carros necesarios para la conducción de víveres á los almacenes*. ARTICULO DE OFICIO. Z&gt;a Regencia del reym se ha servido expedir el decreto que sigue*, D. Fernando vii , por la gracia ¿o Dios y por la Constitución de la monarquía española, rey de las Españas, y en su ausencia y cautividad la Regencia del reyno nombrada por las Cortes generales y extraordinarias, á todos los que las presentes vieren y entendie ren , sabe…</t>
  </si>
  <si>
    <t>xco8 ARTICULO DE OFICIO. La Regencia del rey no se ha hervido expedir el decreto siguientex D. Fernando vii, por la gracia de Dios y por la Constitución /de la monarquía española, r?y de las Españas, y .en su ausencia y cautividad la Regencia del reyno nombrada por las Cortes generales y extraordinarias, á todos los qué las presentes vieren y entendie ren , sab…</t>
  </si>
  <si>
    <t>…iados. - Ei tren que ha servido para tomar á S. Sebastian, ha marchado todo sobre Pana piona. ARTICULO DE OFICIO. La Regencia del reyno se ha servido expedir el decreto siguiente: D. Fernando vii , por la gracia de Dios y por la Constitución de la monarquía española, rey de las Españas, y en su ausencia y cautividad la Regencia del revno nombrada por fas Cortes generale* y extraordinarias, á todos los que las presentes vieren y entendie ren , sabe…</t>
  </si>
  <si>
    <t>Nám. 124. 1023 GACETA EXTRAORDINARIA DE LA REGENCIA DEL MARTES 21 DE SETIEMBRE DE 1813. ARTICULO DE OFICIO. D. Fernando vii, por la gracia de Dios y por la Constitu ción de la monarquía española, rey de las Españas, y en iu au sencia y cautividad la Regencia del reyno nombrada por las Cor tes generales y extraordinarias, á todos los que las presentes vie ren y entendieren, sab…</t>
  </si>
  <si>
    <t>…Zsarcocclo, donde residía entonces la emperatriz reynante, y se ha lla acuartelado el regimiento, se colocase un altar, y contiguo á él en otro ángulo el retrato de nuestro amado rey Fernando "VII. Para que la familia imperial estuviese con la decencia y comodidad correspondientes, se dispuso una magnífica tienda de campaña, y junto á ella otra para las damas y caballeros que habían de asistir á la función : la cual determinó sabiamente el Excmo.…</t>
  </si>
  <si>
    <t>…; y aurame este se ma nifestaron enérgicamente los sentimientos de la mas pura amistad háein la España y demas naciones aliadas. Se repitieron loa brindis por suestro desgraciado rey Fernando, por el emperador de Rusia, por el rey y príncipe regente de la Gran-Bretaña, por el r*¿y de jas Des Sicilias, por ei príncipe regente de Portugal, por. el invicto lord Weilington y demas generales que se lian distinguido en esta glo riosa lucha. La emperatri…</t>
  </si>
  <si>
    <t>…mistad entre España y Suecia, ha resuelto la Regencia del reino se publique para satisfacción de to dos los españoles. En el nombre de la santísima é indivisible Trinidad. . S. M. D. Fernando vil, Rei de España y de las Indias &gt; y S. M. el, Réi.dé Suecia, igualmente animados del deseo,de establecer y asegupivlat, antiguas relaciones de amistad que ha habido entre sus monarquía^ ^haq nombrado para este efecto, á saber, S. M. Católica, y en su nombr…</t>
  </si>
  <si>
    <t>…agrado ministerio, han hecho tan dolorosa su pérdida, como ha rá grata y gloriosa su memoria. ARTICULO DE OFICIO. La Regencia del reyno sé ha servido expedir el decreto siguientes D. Fernando vii, por la gracia de Dios y. por la Constitución de la monarquía española, rey de las Españas, y en su ausencia y cautividad la Regencia del reyno nombrada por las Cortes generales y extraordinarias, á todos los que las presentes vieren y entendie ren , sabe…</t>
  </si>
  <si>
    <t>…a inesperada y tenaz resistencia le obligó á desistir de sn intento. ARTICULO DE OFICIO. La Regencia del rey no se ha' servido expedir los decretos siguientes; - : ¡ . Primero.. . D. Fernando yii , por la gracia de Dios y por la Constitución de la,monarquía española, rey de las Kspañas, y en su ausencia y eautiyidad la. Regencia del jreyno. nombrada por las Cortes generales y extraordinarias, á todos los que las presentes vieren y entendie ren , s…</t>
  </si>
  <si>
    <t>…l cuarto exército va detras de vosotros y de vuestros caudillos á enseñarles á ser soldados. ARTICULO DE OFICIO. La Regencia del rey no se ha servido expedir el decreto siguientex D. Fernando vii, por la gracia de Dios y por la Constitución de la monarquía española, rey de las Españas, y en.su ausencia y cautividad la Regencia del reyno nombrada por las Cortes generales y extraordinarias, á todos los que. las presentes vieren y entendie ren , sabe…</t>
  </si>
  <si>
    <t>…pués de la abdicación de Jaime n los ingleses volvieron á lla mar al trono á su Rei legítimo. ARTICULO DÉ OFICIO. La Regencia del reino se ha servido expedir el decreto siguiente: D. Fernando vii, por la gracia de Dios y por la Constitución de la</t>
  </si>
  <si>
    <t>…á los 80® de que habla el quinto boletín francés. ARTICULO DE OFICIO. La Regencia del reyno se ha servido dirigir al señor secretario del despacho de Marina el decreto siguiente : D. Fernando vii , por la gracia de Dios y por la Constitución de la monarquía española, rey de las Españas, y en su ausencia y cautividad la Regencia del reyno nombrada por las Cortes generales y extraordinarias: »Hallándose vacante la secretaría del despacho de Estado q…</t>
  </si>
  <si>
    <t>…ue en él concurren. — Tendréislo entendido , y dispon dréis lo necesario á su cumplimiento. = AD. Juan O-Donojú.” La Regencia del reyno se ha servido expedir el decreto siguiente: D. Fernando vii , por la gracia de Dios y por la Constitución dé la monarquía española, rey de las Espsñas, y en su ausencia y cautividad ia Regencia del reyno nombrada por las Cortes generales y extraordinarias, á todos los que las presentes vieren y entendie ren, sabed…</t>
  </si>
  <si>
    <t>…Cádiz , quienes hicieron los ho nores correspondientes, y la plaza los saludos de ordenanza. ARTICULO DE OFICIO. La Regencia del rey no se ha servido expedir el decreto siguiente: D. Fernando vii , por la gracia de Dios y por la Constitución de la monarquía española, rey de las Espuñas, y en su ausencia y cautividad la Regencia del reyno nombrada por las Cortes generales y extraordinarias, á todos los que las presentes vieren y entendie ren , sabe…</t>
  </si>
  <si>
    <t>IH4 ARTICULO DI OFICIO. La Regencia del reyno se ha servido expedir el decreto siguientes D. Fernando vii , por la gracia de Dios y por la Constitución de la monarquía española, rey de las Españas, y en su ausencia y cautividad la Regencia del reyno nombrada por las Cortes generales y extraordinarias, á todos los que las presantes vieren y entendie ren, sabed…</t>
  </si>
  <si>
    <t>593</t>
  </si>
  <si>
    <t>…á enseñarlas á ser sol-* dados. . f , , “ ¡ ARTICULO DE OFICIO, La "Regencia del reino se ha servicio dirigir al señor secretario del despa che de Marina el decreto siguiente;' .3 Don Fernando vil, por la gracia de Dios y por la Constitución de la monarquía española, Rei de las Españas, y en su ausencia y cautividad ia Regencia del reino nombrada por las. Cortes generales y extraordinarias: „Hallándose vacante la secretaria del despacho de Estado,…</t>
  </si>
  <si>
    <t>…de asombro al mismo lord Weiiington y á las demas tropas inglesas y portuguesas de su mando. ARTICULO DE OFICIO. La Regencia del reyno se ha servido expedir el decreto siguiente: D. Fernando vil, por la gracia de Dios y por la Constitución de la monarquía española, rey de las Españas, y en su ausencia y cautividad la Regencia del reyno nombrada por las Córtes generales y extraordinarias, á todos los que las presentes vieren y entendieren, sabed:…</t>
  </si>
  <si>
    <t>…sobre Sara 14 de octubre de i8^.rsHi brigadier gefe de estado mayor = Miguel Desmaisieres. ARTICULO DE OFICIO. ■ La Regencia del reino se ha servido expedir el decreto siguiente i Don Fernando vii, por la gracia de Dios y por- la Constitución de la monarquía española , Reí de las Fspañas, y en su ausencia ¡y cautividad la Regencia del reino nombrada por las Cortes generales y extraordinarias, á todos los que las presentes vieren y entendieren, sabe…</t>
  </si>
  <si>
    <t>…dido por el señor gefe político déla provinciaj y las autoridades civiles y militares. Las tropas desfilaron luego por delante de S. A., á quien hoi, con motivo del cumpleaños del Sr. D. Fernando vii, han felicitado los funcionarios públicos y los cuerpos militares, vistiéndose la corte de gala. Van llegando los miembros de la representación nacional que se hallaban en Cádiz, y otros de las provincias, entre ellos quatro dé Va lencia, siendo uno el se…</t>
  </si>
  <si>
    <t>1163</t>
  </si>
  <si>
    <t>…vinieron hace cinco años con el marques de la Romana * y después fueron he chos prisioneros. ARTICULO DE OFICIO. La Regencia del rey no se ha servida expedir el decreta siguientei D. Fernando vil, por la gracia de Dios y por la Constitución de la monarquía española, rey de las Españas , y en su ausencia y cautividad la Regencia del reyno nombrada por las Cortes generales y .extraordinarias, á todos los que las prest ntes vieren y entendie ren , sa…</t>
  </si>
  <si>
    <t>…ra secreta: i o el Sr. D. José María Gu tiérrez de Tera.ii) diputado suplen .e por Nueva- España. La Regencia del rey no se ha servido e espedir ios decretos siguiente si Primero. D. Fernando vn, por la gracia de Dios y por la Constitución de la monarquía española, rey de las Es pañas, y en su atasen--:-m y cautividad la Regencia del reyno nombrada por las Cortes generales y extraordinarias, á todes los que las pres.ntes vieren y entendie ren, sab…</t>
  </si>
  <si>
    <t>693 ARTICULO DE OFICIO. X4 Regencia del reina se ha servido expedir el decreto siguiente: Don Fernando vii, por la gracia de Dios y por la Constitución de la monarquía española, Rei de las España?, y en su. ausepcia y cautividad la Regencia del reino nombrada por las Cortes generales y extraordinarias, á todos los que las presentes vieren y entendieren, sabed:…</t>
  </si>
  <si>
    <t>…re en Brixen. Las tropas del emperador Francisco han recibido en Fiume grandes refuerzos.. ; APvTICULO DE OFICIO. La Regencia del rey no se ha servido expedir el decreto signunféi D. Fernando vií , . por la gracia de Dios y por la Constitución de; ^m.qíis*:q«te esp&amp;ño}a, rey de las ¿ Españ a» , y en sü ausencia y cautividad la Regencia dei rey no nombrada por las Córtes generales y extraordinarias, á todos los que las presentes vieren y entendiere…</t>
  </si>
  <si>
    <t>…s por la parte del Norte parece que se halla en Maguncia, y que Napoleón ha llegad© á. París. ARTICULO DE OFICIO. La Regencia del reym se ha servido dirigir el decreto que sigue % D. Fernando vii, por la gracia de Dios y por la Constitución de la monarquía española, rey de las Españas., y en su ausencia y cautividad la Regencia del reyno nombrada por las Cortes; generales y-extraordinarias, á todos los que las presentes vieren y entendieren,. Sébe…</t>
  </si>
  <si>
    <t>1344 ARTICULO DE OFICIO L* Regencia del reyno se ha servido expedir los decretos siguientes'. Primero, D. Fernando vii, por la. gracia de Dios y por la Constitución de la monarquía española, rey de las Españas, y en su ausencia y cautividad la Regencia del reyno nombrada p;:*r ias Cortes generales y extraordinarias, á todos los que las presentes vieren y entendieren, sabe…</t>
  </si>
  <si>
    <t>…enal de Sea la, arzobispo de Toledo, presiden* te. zz Pedro de Agar.zz Gabriel Ciscar. = En la Real Isla de León á 21 de Noviembre de 1813.=: A D. Manuel López de Araujo. Tercero. D. Fernando vii , por la gracia de Dios y por la Constitución de la monarquía española , rey de las Españas, y en su ausencia y cautividad la Regencia del reyao, nombrada por las Cortes generales y extraordinarias, á todos los que las presentes vieren y entendie ren , sf…</t>
  </si>
  <si>
    <t>…tra, y pondrá el resto en poder del comerciante que se le nombre en esta corte ó en Badajoz. ARTICULO DB OFICIO. La Regencia del reine se ha servid* expedir el decreto siguiente : Don Fernando vn, por la gracia de Dios y por la Constitución de la monarquía española, Reí de las Españas, y en su ausencia y cautividad la Regencia dél reino nombrada por las Cortes generales y extraordinarias, á tokos los que las presentes vieren y entendieren, sabed: q…</t>
  </si>
  <si>
    <t>…tugués á lo largo del Bidasoa , y fué rechazado al otro lado con pérdida considerable. \ .v ARTICULO DE OFICIO. La Regencia del rey no se ha servido dirigir el decreto que sigue 2 D. Fernando vii» por la gracia de Dios y por la Constitución de la monarquía española, rey de las Españas, y en su amencia y cautividad la Regencia del rey no nombrada por Jas Cortes generales y extraordinarias, á todos los que las presentes vieren y entendieren, sabed*,…</t>
  </si>
  <si>
    <t>…puesto ea grande spuro, y coatribuirá á acelerar la rendición do aquella impor tante plaza. ARTICULO DE OFICIO. La Regencia del rey no se ha servido expedir el decreto siguí, ntei D. Fernando vii, por la gracia de Dios y por b Constitución de la monarquía española, rey de las Españas, y en sa anuencia y</t>
  </si>
  <si>
    <t>835</t>
  </si>
  <si>
    <t>…y os con99 tieso que no pude dexar de sorprehenderme quando Duroc me dixo que «esperase.”/ ARTICULO DB OFICIO» • La Regencia del reino se ha servido expedir el decreto siguiente: Don Fernando vil, por la gracia de Dios y por la Constitución de la monarquía espaciólarRei de las Espanas, y en su ausencia y cautividad ;la Regencia del reino qombrada por las Cortes generales y extraordinarias, á •todos los que las presentes vieren y entendieren, sabed…</t>
  </si>
  <si>
    <t>13 77 Segundo,. D. Fernando vii, por la gracia de Dios y por la Constitución de la monarquía, española, rey de las Españas, y en su ausencia y cautividad da Regencia del reyno nombrada por las Cortes gene rale* y extraordinarias, á todos los que las presentes vieren y entendieren, sabed…</t>
  </si>
  <si>
    <t>…da exemplar, y por subscripción á 5 rs. ai mes. = Afectos de los españoles en celebridad de la toma de Pamplona, y conmemorando el dia 14 de octubre, cumpleaños de su amado Rei el Sr. D. Fernando vn. Se hallará en la librería de Matute, calle de las Carretas. El Músico xilguero, que trina dulce, y canta lisonjero. Nacimiento y villanci cos: por el autor deí Gallo vocinglero y anteriores. = El Secreto revelado, ó .Ma nifestación del sistema de los frac…</t>
  </si>
  <si>
    <t>…ejas para poner sus campamentos á cubierto de las salidas que ya temen. .................... ARTICULO DE OFICIO; La Regencia del reyno se ha servido dirigir el decreto que sigue x D. Fernando vii , por la gracia de Dios y por la Constitución de la monarquía español**, rey de las España*, y en su ausencia y cautividad la Regencia dei reyno nombrada por las Córtes generales y extraordinaria? , á todos los que las presentes vieren y entendieren, sabe…</t>
  </si>
  <si>
    <t>…or=.Josef María González, capitán secretario de la capitanía general y gobierno militar. ARTICULOS DE OFICIO. La Regencia del reino se ha servido dirigirme el decreto que sigue: . Don Fernando vil, por la gracia de Dios y por la Constitución de (a monarquía española, Rei de las Españas, y en su ausencia y cautividad la Regencia dei reino nombrada por las Cortes generales y extraordinarias, á tod js los que las presentes vieren y entendieren, sabed:…</t>
  </si>
  <si>
    <t>…io español las destructoras tropas del tirano de la Eu ropa que tan pérfidamente la invadió. ARTICULO DE OFICIO. La Regencia del reyno se ha servido expedir el decreto siguiente*. D. Fernando vii , por la gracia de Dios y por la Corst.tuciou de la monarquía esp.m la , rey de las España , y en su ause.itia y cautividad la Regencia del reyno, nombrada por las Cortes generales y extraordinarias, á todos ios que las presentes vieren y entendie re», sa…</t>
  </si>
  <si>
    <t>…tros gloriosos trabajos para volar en bre ve á nuevos triunfos, hasta que conseguida la total libertad y absolu ta independencia de nuestra patria, y asegurado el trono de nuestro rey Fernando, podáis á la sombra de los laureles teñidos con vuestra sangre gozar en el seno de vuestras familias el premio de vuestras fa tigas. Soldados: Mientras haya Espsña, la campana de r8i3 excitará el reconocimiento y admiración de los españoles; y el nombre dei e…</t>
  </si>
  <si>
    <t>…denal de Scala, arzo bispo de Toledo , presidente. = Pedro de Agar. =r Q-ah riel Ciscar. = En la Isla de León á 24 de Noviembre de 1813. = A D. Francisco de Paula Osorio. Segundo. D. Fernando vii, por la gracia de Dios y por la Censtitucion de la monarquía española, rey de las Españas, y en su ausencia y cautividad la Regencia del reyno, nombrada por las Corres genera les y extraordinarias, á todos los que ías presentes vieren y entendie ren , sab…</t>
  </si>
  <si>
    <t>…ues de Peñañor, y las torres de las iglesias, que estabas iluminadas en sus castro caras. ' ' ARTICULO DE OFICIO. La Regencia del reyno se ha servido expedir el decreto siguientes D. Fernando vií , por la gracia de Dios y por la Coastltudon de ía monarquía española $ rey de las España* , y en su ausencia y cautividad la Regencia del reyno, nombrada por las Cortes g&amp;asr-les y extraordinarias, á todos los que las presentes vieren y entendie ren, sab…</t>
  </si>
  <si>
    <t>Fernatidó</t>
  </si>
  <si>
    <t>…a 8cc. = Fitmado= Diego Cieñe. ■’ ; -'i * ■ u. . • \ » . :. * o . : • • -. ; ' . í( . « - ARTICIÍLO.DE.OFICK), La Regencia ‘del reino-, se ha servido expedir el decreto siguiente: Don Fernatidó vti ,: por la gracia de-Dios y por da Constitución de la ttionarqu^ española-,^ R*éi :,de las Españas , y-¡en su átiséhclay cautividad la Regencia del reltlb tiohfbrada ppffias' Cortes- generales y extraordinarias , á lodos 1ÓS quedas presentes vieren'y enten…</t>
  </si>
  <si>
    <t>Ferradas, José Ramón</t>
  </si>
  <si>
    <t>José Ramón Ferradas</t>
  </si>
  <si>
    <t>…secretario de campaña el teniente coronel D. Felipe Prados, mi ayudante de campo el teniente coronel D. Joaquín Montufar, los capitanes D. Leonardo Bonet y D. Domingo Manso , y el teniente D. José Ramón Ferradas, han llenado plenamente mis deseos. «El comandante general de ingenieros mariscal de campo D. Ma nuel Zappiño, el brigadier comandante general de artillería D. Agus tín García Carrasquedo , el coronel mayor general de la misma arma D. Matias Ferraz, y el brig…</t>
  </si>
  <si>
    <t>Ferradas, Josef Ramón</t>
  </si>
  <si>
    <t>Josef Ramón Ferradas</t>
  </si>
  <si>
    <t>…secretario de campaña el teniente coronel D. Felipe Prados, mi ayudante de-campo el teniente coronel D. Joaquín Montufár, los capitanes D. Leonardo Bónet y I&gt;. Domingo Manso; y el teniente D. Josef Ramón Ferradas han llenado‘plenamente mis deseos. ,,'El comandante general de ingenieros mariscal de campo D. Manuel ZappiñQ, el brigadier comandante general de artillería D. Agustín García Car— rasquedo, el coronel mayor general de la misma arma D. Matías Férrea, y</t>
  </si>
  <si>
    <t>Ferrara, Miguel</t>
  </si>
  <si>
    <t>Miguel Ferrara</t>
  </si>
  <si>
    <t>…S. sibles á la seducción que al miedo, se limitaron á contener al enemigo con algunas bombas y grana Ñápales ti de diciembre. das , y esperaron con serenidad el ataque. El 17 á El señor Miguel Ferrara , benemérito en las las 9 de la noche, siendo esta de las mas obscuras, ciencias químicas por diferentes métodos útiles que unos gritos espantosos parecieron anunciar el mo ha encontrado, acaba de reducir á suma sencillez el mento del asalto, y toda la guarni…</t>
  </si>
  <si>
    <t>Ferraz, Francisco</t>
  </si>
  <si>
    <t>Francisco Ferraz</t>
  </si>
  <si>
    <t>…de- 300 la nuestra. Es digna de elogio la serenidad é inteligencia con qae mandó la. acción desde su Llegada ai campo de batalla, por disposición deí Excmo. Sr. gene ral en gefe,d brigadier D. Francisco Ferraz, gefe interino, de estado ma yor ? lo son* también el coronel agregado al estado mayor de la división ma llorquína D. Santiago Orelly, que estuvo como voluntario, por la bizarría t*uc' demostró- en la carga qu.e hizo con elesquadrou de.Ubrkj.ue, en la que:</t>
  </si>
  <si>
    <t>…este crítico momento en que el enemiga se consideraba ya vence dor, y en el caso de poner en execucion su primer proyecto, llegó el gefe interino del estado mayor del exército el brigadier D. Francisco Ferraz á la cabeza del batallón de granaderos del General, á quienes el mismo general en gefe había mandado repasar el rio para reforzar la división. Los cuerposde esta , animados, con la vista de tan oportuno auxilio y de tan bizarroscompañeros, que volaban en su s…</t>
  </si>
  <si>
    <t>…del Ebro con unos 4© hombres, y atacó á la tercera división de dicho exér cito. El cuque dei Parque destacó tropas á las órdenes del gefe in terino de estado mayor de su exército D. Francisco Ferraz desde la orilla derecha, y el enemigo foé rechazado con grande pérdida. Parece que las tropas se portaron en esta ocasión notablemente bien; y el duque del Parque aplaude altamente Ja conducta de su ge fe de estado mayor. ='Dios guarde á V. E. mucho5, años. L…</t>
  </si>
  <si>
    <t>Ferraz, Matías</t>
  </si>
  <si>
    <t>Matías Ferraz</t>
  </si>
  <si>
    <t>…res del exército Jy algunos trabajadores paisanos) , como fueron subidas á ella con rapidez las 6 piezas de artillería que coloco en la misma el coronel mayor general de esta arma D. Matías Ferraz, perfectamente ay udado por el teniente coronel del propio cuerpo Don José Saravia, y el sargento mayor D. Bartolomé Gutiérrez y demas oficiales subalternos: á las 8 horas de empezada la batería hacían fuego las piezas situadas en ella, y el acierto de su dir…</t>
  </si>
  <si>
    <t>Ferraz, Matias</t>
  </si>
  <si>
    <t>Matias Ferraz</t>
  </si>
  <si>
    <t>…eneral de ingenieros mariscal de campo D. Ma nuel Zappiño, el brigadier comandante general de artillería D. Agus tín García Carrasquedo , el coronel mayor general de la misma arma D. Matias Ferraz, y el brigadier subinspector de infantería del exér cito D. Félix Prat, han asistido á mi inmediación en todas estas ope raciones. «Para que V. E. pueda enterarse m-jor del mérito contraído por cada uno tengo el honor de incluirle adjunto Jos partes que me li…</t>
  </si>
  <si>
    <t>Férrea, Matías</t>
  </si>
  <si>
    <t>Matías Férrea</t>
  </si>
  <si>
    <t>…general de ingenieros mariscal de campo D. Manuel ZappiñQ, el brigadier comandante general de artillería D. Agustín García Car— rasquedo, el coronel mayor general de la misma arma D. Matías Férrea, y</t>
  </si>
  <si>
    <t>Ferrer, Mariano</t>
  </si>
  <si>
    <t>Mariano Ferrer</t>
  </si>
  <si>
    <t>…a inmediata, y que diesen lugar á ensi llar los caballos. Salieron en busca de los rebeldes 25 carabineros de Sierra-Gorda, y 20 lanceros de Querétaro, todos al mando del ca pitán D. Mariano Ferrer; quien se portó como se esperaba. Estre • chados por Ferrer se pusieron en fuga ordenada, y le hicieron frente por tres veces; y al fin combatieron como media hora, y se decidió la pelea á favor de los patriotas, á las 7 de la noche, junto al pue blo de Corne…</t>
  </si>
  <si>
    <t>Ferrer, Raymnndo</t>
  </si>
  <si>
    <t>Raymnndo Ferrer</t>
  </si>
  <si>
    <t>…e se emplearon en esta operación. »E1 general España recomienda á los brigadieres Barrutel, Carrol y Vives, comandantes de los respectivos di tritos del bloqu o, al de igual clase D. Raymnndo Ferrer, comandanta del tercer batallón de reale» Guardias Españolas, y á los gefis, oficiales y tropa, tanto de la primera división dei tercer exército como de la egundít del cuar to, que e tí á sus órdenes , y que en e ta ocasión dieron nuevas pruebas de su decidid…</t>
  </si>
  <si>
    <t>Ferro</t>
  </si>
  <si>
    <t>…s 7 , se lee : „Que un prínYa están nombrados los profesores de medicina »cipe, vacunado diez años há en Viena de .Ausque han de examinar, todo lo que tenga relación »tria por el doctor Ferro, hábil médico y partid acon el magnetismo animal, y han principiado á ha »» rio acérrimo de la vacuna, se halla ahora atacado cer sus observaciones. »&gt;de la viruela común.” Como este artículo solo puede influir en la in SAXONIA. quietud del público, poco inst…</t>
  </si>
  <si>
    <t>Ferroni, Josef</t>
  </si>
  <si>
    <t>Josef Ferroni</t>
  </si>
  <si>
    <t>…gundo. D. Ignacio Salgado, substituto segundo. , Barrio denlos Caños del. Peral y Santa Alaría. Barrió de Santa C ruz. D. Tomas Azardiiia, alcalde. D. Cristóbal Vicuña , alcalde-, D. Josef Ferroni, substituto primero. D. Manuel Valentín García , substituto primero. D. benito Trigo, substituto segundo. D. Agustin de la Calle, substituto segundoBarrio del Buen Suceso, QUARTEL de palacio. D. Casimiro Ipoly , alcalde. Barrio de S. Nicolás. D. Francisco Per…</t>
  </si>
  <si>
    <t>Fessajt</t>
  </si>
  <si>
    <t>…idad imperial, Al señor Steenhouwer, capitán, culpable de «Serán castigados con la pena de muerte y compacidad con el ex-general Malet, unánimemente. « confiscación de bienes.” Al señor Fessajt, teniente, culpable de compli art. Lxxxvni. «Hai atentado luego que un cidad con el.ex-general Malet, unánimemente ; « acto se lia cometido ó principiado para llevar á Al señor Reguier , teniente , culpable de com « efecto qualquicra de estos crímenes, aun qu…</t>
  </si>
  <si>
    <t>Feunañdo</t>
  </si>
  <si>
    <t>…de ver expulsado de esta ciudad al tirano francés Pedro Labatut, que gobernaba las armas de Cartagena^ y domi naba nuestra plaza ; y hoy se ha jurado á nuéstr^rey y señor natu ral D. Feunañdo vii por este vecindario y sel de los pueblos in mediatos : la pi-j zú se halla escasa de pertrechos ¿ porque el francés á Su retirada procuró extraer todo lo que pudó.: sus lanchas caño nera#» y bongos existen todavía en la costa combatiendo los pueblos deGsy…</t>
  </si>
  <si>
    <t>Fexnawdo</t>
  </si>
  <si>
    <t>…ció párá resguar dó de las expediciones que envíe por aquellas costas. P, ^ Ouía política de las España* para el afio de 1813, con el retrato al frente de mj&amp;btrdarnado Rpf el Sr, D. Fexnawdo yir. ,d.é J$drben, Véndese está y Ja del año anterior en U librerla de Qutroga, cadle d? UsCarrctaa, junto á Ja fonda, del An gel, á 24 rs, la primera y ¿ rú,ia.spgunda- bJ editor recomI$ndaal público la lec tura del apéndice que Ha impreso en esta, corte., y…</t>
  </si>
  <si>
    <t>Fhruando</t>
  </si>
  <si>
    <t>1238</t>
  </si>
  <si>
    <t>1238 ARTICULO DE OFICIO. La Regencia del reyno se ha servido empedir el decreto siguiente', D. Fhruando vii y por la gracia de Dios y por la ConstitneiGB de la monarquía española, rey de las Espartas, y en so ausencia y ciutividad la Regencia del reyno nombrada por las OSrtes generales y extraordinarias, á todos los que las presentes vieren y entendie ren, sabe…</t>
  </si>
  <si>
    <t>Fi, Ramón</t>
  </si>
  <si>
    <t>Ramón Fi</t>
  </si>
  <si>
    <t>granaderos de la brigada, distinguiéndose en esta ocasión el batallón de ca zadores de la coluna y su bizarro comandante el coronel D. Ramón Fi gueroa. „ Echados los enemigos de casi todáJa montaña de Lamín, se guarecie^ ron en su cima, peñascosa é inaccesible ,por la mayor parte de su circunferí rencia: intenté un ataque por mi izquierda, vista la imposibilidad de veril earlo por el frente; pero fue…</t>
  </si>
  <si>
    <t>Fian</t>
  </si>
  <si>
    <t>Donativo, suscripción o relación nominal</t>
  </si>
  <si>
    <t>…te.— Pedro de Ágar.— Gabriel Cis car. — En Cádiz á 16 de Marzo de 1813. —A D. Pedro Labrador. Donativo para auxilio de la valiente división navarra el mando del ma riscal de campo D. Fian cisco Espoz y Mina. D. Martin y D. Miguel Osambela, 6000 ps. fs. D. Juan Bautista Oy&amp;rzabal y D. Pedro Abadía, 1000. D. Antonio y IX José Matías Eiizalde, 500. D. Francisco Xavier Izcue, 500. D Juan Bautista Errea, 500 D. .Loan Pcrtica, 500. D. José Arizmendi…</t>
  </si>
  <si>
    <t>Fíardon</t>
  </si>
  <si>
    <t>…y el sufrimiento tenaz, del vecindario. Acometido el fuerte en 9 de mayo por las tropas del brigadier D. Juan Martin , que se apoderó de la tesorería y equipases, y dió muerte al barón Fíardon, sufrió la ciudad otro horroroso saqueo durante la lucha: repuesta nuevamente la guarnición enemiga en mayor número, cargó sobre el vecin dario ta subsistencia,con el aditamento de una enorme contribución de35.0© reales , de los que se hicieron efectivos con…</t>
  </si>
  <si>
    <t>Fiáríaní, Juan Santos</t>
  </si>
  <si>
    <t>Juan Santos Fiáríaní</t>
  </si>
  <si>
    <t>…eón Mafia Xinaeua, id. por b, 935. D. Manuel Menacho, id. por 6, 72. Di Manuel de los H id. por S, 96. D.'Mariano Car ranza , id. por 8,96. D. Nicolás Git.ierres, id. p; r 8, 96*. D. Juan Santos Fiáríaní, i i. por 4, 48. ü. Aa'ouío Mora, id. por 4, 48. D. Faustino López, id. por 12, 144 D. Francisco Al Tares Calle* .ron, id. por 8, 9#. D. Ambrosio A!bajar, id. p rS, 96 D. Francia©o Antonia Iharbia, id. pnr'S , §S. D. Juan M-io.uel Campo blanca, id. por 8,96.…</t>
  </si>
  <si>
    <t>Fíegueyra, Tomas de</t>
  </si>
  <si>
    <t>Tomas de Fíegueyra</t>
  </si>
  <si>
    <t>…soldado Andrés Bueno, que con otros 2 hizo prisionero á un sar gento enemigo; á todos los que recomienda particularmente el ex presado gefe de la brigada, y á su ayudante interino D. Tomas de Fíegueyra, teniente del regimiento de ia Corona, que pasó el puen te para comunicar órdenes en lo mas vivo del fuego; y yo lo hago á V. S. esperando se servirá hacer presente su mérito al Excmo. Sr. general en gefe, debiendo recomendar también al coronel D. Ma nuel de…</t>
  </si>
  <si>
    <t>Fifisoh, Vicente</t>
  </si>
  <si>
    <t>Vicente Fifisoh</t>
  </si>
  <si>
    <t>…de e*l Real de Tem .scaltepec , da parte que el di:: anterior la compañía de cazadores de su batallón, y Ja tropa de caballería, man ds das una y otra por el teniente de cazadores D. Vicente Fifisoh , había ©airado en Ámatepec, donde tomó 4 cañones, 7 escopetas, 3 ¡n&lt;fi</t>
  </si>
  <si>
    <t>Figner</t>
  </si>
  <si>
    <t>…izo prisioneros un general, tres coroneles y 1200 soldados con ocho cañones. También anuncian que el duque de Ragusa en retirada fue atacado y perseguido por el destaca- mentó del coronel Figner, que le mató mucha gente, le hizo mas de i® prisioneros, y cogió la mayor parte de su equipage.__ El general TJ’hielman, reunido á 80 cosacos del capitán Fabeck, hizo junto á Querfurth prisionesñeros á un coronel bávaro, á un teniente coronel francés, 40 ofic…</t>
  </si>
  <si>
    <t>…a visto obligado por las circunstancias á retirarse con precipi tación v pérdida. - ; . ’ En la retirada del 8 fue asacado en Hoyeswerd eí cuerpo dé Ragusa por ei destacamento-del coronel Figner, de las guardias rusas. Este, al fren te de 800 caballos persiguió al citado duque hasta Konigsbruck: mito mu cha gente, de su retaguardia, é hizo 1© prisioneros Siguiendo en su alca ce sin detenerse, Mego á encontrar el bagage, cogió la mayor parte de él, ma…</t>
  </si>
  <si>
    <t>…bligado por las circunstancias á retirarse con precipitací n y con pérdida. En la retirada del 8 fué atacado el cuerpo del duque-de Ragusa, tn Hoyers, erda por el destacamento dei coronel Figner , de las.</t>
  </si>
  <si>
    <t>Figueras, Salvador</t>
  </si>
  <si>
    <t>Salvador Figueras</t>
  </si>
  <si>
    <t>…bras, que ésten en esta á di-posición del señor general. - Pqco -sa tisfecho el capitán con su presa , mando que los 5 húsares con 6o infautvS , al mando del. subteniente de Guias D. Salvador Figueras,</t>
  </si>
  <si>
    <t>Figueroa, José Vázquez</t>
  </si>
  <si>
    <t>José Vázquez Figueroa</t>
  </si>
  <si>
    <t>…de todos, y no puedo menos de recomendarlos á Y. É. en esta ocasión. Dios guarde á Y. E. machos años. Montevideo 31 de Diciembre de 181 2 —Exemo. Sr.—Miguel de la Sierra.-*-Excmo. Sr. D. José Vázquez Figueroa.” El Sr. duque de Ciudad-Rodrigo ha dirigido al secretario inte rino del despacho de la Guerra los oficios siguientes: Primero. „Excmo. Sr.: Tengo el honor de participar á V. E. que los ba tallones de Mataré y Ausona, correspondientes al primer éxército, atac…</t>
  </si>
  <si>
    <t>Figueroa, Ramoa</t>
  </si>
  <si>
    <t>Ramoa Figueroa</t>
  </si>
  <si>
    <t>…día por la derecha de'la encrespada montaña Larruó. ,, Dispuse para el objeto que'tas tres compañías dé cazadores de mi bri gada, al mando del capitán de reales Guardias Españolas D. Ramoa Figueroa, sostenidas por el resto de ella, atacasen los puestos del enemigo; lo que verificaron con una intrepidez superior á todo elogio.• Como el terreno es de mui difícil acceso, los enemigos se defendían cbñ tesón, retirándose de altara en- altura, de las que1 fue…</t>
  </si>
  <si>
    <t>Figueroa, Ramón</t>
  </si>
  <si>
    <t>Ramón Figueroa</t>
  </si>
  <si>
    <t>…dante el brigadier D. Joaquín Urbina, y compañía de granaderos de la brigada, distinguiéndose en es ta ocasión el batallón de cazadores de la columna , y su bizarro co mandante el coronel D. Ramón Figueroa. «Echados los enemigos de casi toda la montaña de Larrun, se guarecieron en su cima peñascosa é inaccesible por la mayor parte de su circunferencia : intenté un ataque por mi izquierda , vista la im posibilidad de verificarlo por eí frente, pero fue en vano *…</t>
  </si>
  <si>
    <t>…: el señor general Latorre, los señores brigadieres D. José Aymerich,, D. Miguel de Alcega y D. Juan Dowme, los c* rondes D. Alejan dro Hore , del regimiento de Ordenes Mi itares; D. Ramón Figueroa&gt; espitan de reales guardias Españolar, comandante del batallón, de cazadores de la columna de la derecha -y el teniente coronel Doa Fcrmi» Mendialdua, comandante del regimiento de* Generé; E&gt;. Jo sé María de Beza, teniente coro&amp;el comandante accidestal del re…</t>
  </si>
  <si>
    <t>…me limito á recomendar á V. E. al mariscal de campo D. José An tonio Latorre, al brigadier D. José Aymerich , al coronel D. Alexandro Hore, al capitán de reales guardias Españolas D. Ramón Figueroa , y al sargento mayor del regimiento de Pravia D. Francisco Ca brera. , /i «Adjunto tengo el honor de incluir á V- E. el estado (rfim. $.°) de nuestra pérdida que no ha dexado de ser de alguna consideración por las dificultades que se han tenido que vencer. «…</t>
  </si>
  <si>
    <t>…día por la derecha de la encrespada montaña Larrun. w Dispuse para el objeto que las tres compañías de cazadores de mi brigada r al mando dtl capitán de reales guardias Españolas Don Ramón Figueroa, sostenidas por el resto de ella atacasen los pues tos de! enemigolo que verificaron con una intrepidez superior á; to« do elogio. ,,Como el terreno* es de muy dificiL acceso, los enemigos se defendían con tesón retirándose de altura en altura , de las que fu…</t>
  </si>
  <si>
    <t>…l señor general • Latorre, los señores brigadieres D. Josef Aymerich , D. Miguel de Alcega y D. Juan Downie, los coroneles D; Alexandro Hore, del regi miento de Ordenes Militares; D. Ramón Figueroa, capitán de reales Guar dias Españolas, comandante del batallón de cazadores de la coluna de. la de recha; el teniente coronel D. Fermín Mendialdua, comandante del regi miento del General; D. Josef María de Beza, teniente coronel comandante accidental del reg…</t>
  </si>
  <si>
    <t>…limito á reco mendar a V. E. al mariscal de campo ;D. Josef Antonio Latorre, al briga dier D. Josef Aymerich, al coronel D. Aiexandro Hore, al capitán de reales Guardias Españolas D. Ramón Figueroa , .y al sargento mayor del regimien to de Pravia D. Francisco Cabrera. - „ Adjunto, tengo?‘el: hqqor de ínciuir á V*. jE&gt;- el estado (num. 5.0) de nuestra pérdida,:que no ha dexado de ser de alguna consideración por las dificultades que se han tenido que venc…</t>
  </si>
  <si>
    <t>Figueroa, Rarnoii</t>
  </si>
  <si>
    <t>Rarnoii Figueroa</t>
  </si>
  <si>
    <t>…las gracias que el Gobierno quiera ai pensarles. Las compañías de cazaiores se portaron bizarramente dándo les exemplo sus dignos oficiales, y su comandante accidental el coroüvl D. Rarnoii Figueroa las dirigid con ei mayor tiuo y pe¿icía,,</t>
  </si>
  <si>
    <t>Figuerss, Salvador</t>
  </si>
  <si>
    <t>Salvador Figuerss</t>
  </si>
  <si>
    <t>…uchos al filo de las espadas y bayonetas, que les persiguieron hasta el mismo foso de la ptaza. — Recomiendo al señor general en gefe el capitán D. Francisco Damon, el subteniente D. Salvador Figuerss, y á ios demás oficiales y tropa que dieron á Suehet usa nueva prueba de que no eetá seguro fuera de las mura * lias de sus fuertes. s= Dios guarde á V. S. machos años. Vicarisas 11 de Octubre de 1813. = El coronel comandante de la segunda brigada primera div…</t>
  </si>
  <si>
    <t>Fiiadeitia, Williams Jones de</t>
  </si>
  <si>
    <t>Williams Jones de Fiiadeitia</t>
  </si>
  <si>
    <t>…e la Guerra en los ingleses los que animan á los kurdos contra el reemplazo del doctor EuStis, que tenia hecha su di baxá de Bagdad , y se atribuye á sus sugestiones el misión: el capitán Williams Jones de Fiiadeitia suce que Ábdurahman-baxá, enemigo decidido de aquel, de á Mr. Hamilton en su qualidad de secretario haya encontrado asilo en la corte de Persia. Poc del departamento de la marina , y se dice que Mr. fin , á fuerza de intrigas han causado algunas hos Gallatin…</t>
  </si>
  <si>
    <t>FiJengeii</t>
  </si>
  <si>
    <t>…; el Croad JitentioH, grandes sucesos que se le siguieron. Convenia tam capitán Sombell, con 28 pasageros; y los Nueuos- bién limpiar á los primeros tiempos de nuestra his amigos, capitán FiJengeii, con 64 pasageros. toria de aquella tez de barbarie que les aplicaron los escritores de Roma, y juzgar por el valor de P aimboeuf 2 de marzo. sus acciones á nuestros mayores, mas bien que por Ha arribado á la rada de S. Nazario la goleta la vana preocupación…</t>
  </si>
  <si>
    <t>Fike</t>
  </si>
  <si>
    <t>…in, con fecha del 23 de ,,Tengo.algunos fundamentos para creer que la noviembre, anuncia que el dia xy del misino por prudencial habia dictado el consejo que me dieron la noche el coronel Fike con un destacamento «leí los oficiales superiores de mi exército sobre no ar regimiento 15.0 hizo una correría por lo interior riesgarse á pasar de dia claro con x ;co hombres so del territorio ingles , penetrando hasta la distancia lamente á un punto donde n…</t>
  </si>
  <si>
    <t>Filispla, Vicente</t>
  </si>
  <si>
    <t>Vicente Filispla</t>
  </si>
  <si>
    <t>…uvo en el real de Sultepec el teniente co ronel D. Santiago Mora, comandante de aqael panto, y el ataque que el 29 del mismo dio el bizarro teniente de cazadores del ñxo de México D. Vicente Filispla, á la reunión de rebeldes pintos de Tierra-Caliente, situados en la barranca del Salí trillo. — El primero dice que ios rebeldes, en numero como de 1® hombres, se presen taron por tres puntos, amenazando por el uno un ataque falso, para introducirse con dos v…</t>
  </si>
  <si>
    <t>Fíngal</t>
  </si>
  <si>
    <t>…igo va derrotado» Oxalá queden á nuestra espalda la felicidad y el sosiego.” El día 15 del pasado se celebró en Dublin una junta general de los católicos de Irlanda, presidida por lord Fíngal, en que se resol vieron varios puntos. Uno de ellos filé que se presente una petición al Pr íncipe Regente á fin de que S. A. se sirva interponer su media ción en favor de ios que profesan la religión católica en Irlanda; su plicándose á este fpi al lord Dono…</t>
  </si>
  <si>
    <t>Finí, Bernatdino</t>
  </si>
  <si>
    <t>Bernatdino Finí</t>
  </si>
  <si>
    <t>…os de ambos par tidos alentaron con su exem; lo á los nuestros en los mayores peli gros, y lo mismo hizo el padre capellán de la Corona Br. D. Fran cisco Bravo y el cara de Cuenco D. Bernatdino Finí , á los patrotas y valientes D. Francisco Irazabal, D.-José María Arañe bia y D. Raymundo Zaragoza , que acompañan á esta división y le son muy útiles; y al cabo de Ía Corona Vicente Barragán , que acom pañó á pie gran tiempo á ía caballería en el alcance. Re…</t>
  </si>
  <si>
    <t>Fio</t>
  </si>
  <si>
    <t>…de campo gefe de la primera división D. Joaquín Vi-rúes, y el de igual clase D. José Antonio Latorre, me recomiendan con empeño al soldado distin..uldo del regimienta de N .varra Don Fio encio Alrernuy, herido de c.m ide aci m , y cuyo l e ma .0, ayu dante mayor del mismo cuerpo, lo fui también: suplico á V. E. ten sa á bien recomendar‘o á S. A. para que se di ne ascenderle á subte ier,te, pues que á mas lleva tres años d; buenos servidos en…</t>
  </si>
  <si>
    <t>Fischer</t>
  </si>
  <si>
    <t>…, gran cruz de la orden de la Espada. Según noticias fidedignas, el conde Oírlos Molki ha salido de dicha capital con pliegos de grande importancia para el emperador Alexandro. El teniente Fischer salió también dos dias há de esta ciudad para Londres con pliegos importantes. No se duda ja que se verificará inmediatamente la paz con In glaterra , y que un cuerpo de nuestras tropas se reunirá al exército ruso. La vanguardia del exército sueco, compuesta…</t>
  </si>
  <si>
    <t>Fita, Vicente</t>
  </si>
  <si>
    <t>Vicente Fita</t>
  </si>
  <si>
    <t>47</t>
  </si>
  <si>
    <t>47 eia; el ministro del supremo tribunal de justicia D. Vicente Fita ; la ciudad de Chinchilla, sus corporaciones y comunidades ; los religio sos y monjas de Fregenal; las de Villanueva de los Infantes , su" vi cario y clero ; la ciudad y cabildo de Málaga , con los grandes y tí tulos residente- en ella ; Xerez de los Caballer…</t>
  </si>
  <si>
    <t>Fitz</t>
  </si>
  <si>
    <t>…ir Jorge Murray me ha ayudado mucho en la formación del plan de ataque, y en llevarse á efecto, asi como el ayudante general el honorable sir Eduardo Pakeuham, el teniente coronel lord Fitz. Roy Somerset, el de igual clase Campbell, y todos los oficíales adictos á mi persona, igualmente que S. A. S. el príncipe de Oran ge. „La artillería que tuvimos en acción nos fue de grande utilidad; y no puedo elogiar suficientemente la destreza y actividad…</t>
  </si>
  <si>
    <t>Fitz-William</t>
  </si>
  <si>
    <t>Gaceta de Madrid n.º 14</t>
  </si>
  <si>
    <t>…bilis. y por otro la de la Jmlattdia. Dirigiéndose á él, se descubre después de una corta navegación un es CAMARA. DE IOS tORES. trecho inclinado al Sud, que tiene el nombre de El conde Fitz-William observó que el docu Cattegat; comunica con el mar Báltico, y separa mento que se publicó en la gazeta del dia anterior, la jutlandia, que es una parte de los estados de Di relativo á la revocación de las órdenes del consejo, namarca, de la Escama, provincia l…</t>
  </si>
  <si>
    <t>Fitzcibbon</t>
  </si>
  <si>
    <t>…cen muchos elogios, y yo le estoy parti cularmente agradecido por lo bien que se ha portado en esta ocasión. A la llegada del destacamento del regimienio núm. 4^ á las órdenes del teniente Fitzcibbon , de la compañ a ligera dei 8.° , de dos com pañías cel 104 á las órdenes deí mayor de Harén , y de la caballería provincial, mandada por el capitán Hall , y a estaba rendido todo. A la conducta del teniente Fitzgibbon, que por su destreza hizo capitu lar , s…</t>
  </si>
  <si>
    <t>Fitzgerald</t>
  </si>
  <si>
    <t>…y de la trepa, tanto inglesa como portuguesa, fué tal que mereció toda mi aprobación. «El mayor general Pringle con la brigada del mayor general Walker, á las órdenes del teniente coronel Fitzgerald del regimiento núm. 6o de infantería, sostenida por el 34 ingles y 34 portugués, se opuso con el mayor denuedo á la subida del enemigo á la cum bre del monte en la izquierda de la posición, rechazándole repeti das veces; y sin embargo de no poder finalmente i…</t>
  </si>
  <si>
    <t>…as. »Estoy particularmente satisfecho de la conducta del mayor ge neral Pringle en esta ocasión, como también de la del coronel Ash worth , del coronel O-Callaghan, y del teniente coronel Fitzgerald del regimiento num. 60 de infantería; de todos los comandantes de brigadas que estuvieron á las órdenes de dicho mayor general, é igualmente del teniente general conde de Amarante, y del brigadier general Costa, que fue herido. Tengo la honra &amp;c. = R. Hill P.…</t>
  </si>
  <si>
    <t>Fitzgibbon</t>
  </si>
  <si>
    <t>…gera dei 8.° , de dos com pañías cel 104 á las órdenes deí mayor de Harén , y de la caballería provincial, mandada por el capitán Hall , y a estaba rendido todo. A la conducta del teniente Fitzgibbon, que por su destreza hizo capitu lar , se d; be atribuir la entrega deí destacamento americano. Estoy muy agradecido ai mayor Harén pór su marcha rápida paitó hallar se en el punto déi ataque, y por la execucion de las disposiciones que tenia concertadas con…</t>
  </si>
  <si>
    <t>Fitzglbbor</t>
  </si>
  <si>
    <t>…oronel Bbsho^p,y deseo que se tenga en consideración el parte que da sobre la conducta de los ofici les y demas i-divi imos. que manda, pues me&gt;éten md e'ogics, y especialmente el teniente Fitzglbbor», deí regim iento 49 , q:e rr.ar d bi lii corto destacamento que obro de concierto con los indios. V- E. verá per la re ación del teniente corr nev Bisshopp ía destreza con que propuso la copitclr.cion, á que debe at i huirse la ren , icion dwl destacamento a…</t>
  </si>
  <si>
    <t>Flecher, Sir Rícirdo</t>
  </si>
  <si>
    <t>Sir Rícirdo Flecher</t>
  </si>
  <si>
    <t>…do gran de.'El teniente general Sir Jámés Lécth , que se había unido dos dias antes al exército, y el mariscal de campo OsivaId fueron des graciadamente heridos en la brecha, y el coronel Sir Rícirdo Flecher muerto de una bala de fusil á la salida de las trincharas. Con la muerte de este oficial, y la del teniente coronel Cr&amp;wford, del</t>
  </si>
  <si>
    <t>Fleyres, Felipe de</t>
  </si>
  <si>
    <t>Felipe de Fleyres</t>
  </si>
  <si>
    <t>1361</t>
  </si>
  <si>
    <t>…, y que las dos columnas suyas de reserva, colocadas en las alturas inmediatas á ellas sostenían su retirada, llegó el gefe interino de la primera briga da de la segunda división D. Felipe de Fleyres ccn el regimiento de U. ton la, y dos piezas de artillería de montaña, y mandando aquel gefe que la compañía de granaderos de Ultonia -avanzase al fu¿go, y montasen en el reducto de la derecha las dos piezas de ar tillería, tiraron á los enemigos &lt;; ó ó tiros…</t>
  </si>
  <si>
    <t>Flioj</t>
  </si>
  <si>
    <t>899</t>
  </si>
  <si>
    <t>…ras que de este modo viene á ser una empresa muy aventurada para el ene migo cualquiera ataque que intente contra el general Reche, que cubre el camino real que paB&amp; por Elda. „E1 general Flioj0on un cuerpo compuesto de 4 batallones y 300 caballos, ocupa á Yecla, y comunica con el general Roche. nEn consecuencia de esta concentración del éxército aliado el /•</t>
  </si>
  <si>
    <t>Flores, Joaquín Arias</t>
  </si>
  <si>
    <t>Joaquín Arias Flores</t>
  </si>
  <si>
    <t>…a el valor .del capitán de Guanaxuato D. Pedro Otero , que después de la herida de Ménica tomó el mando y empeñó de nuevo la tropa hasta el pie del para peto: el capitán de Zamora D. Joaquín Arias Flores , y al teniente del batallón Americano D. José Martin, que con el piquete de su cuerpo se portó bizarramente, como también los cuerpos de Marina y Veracruz. E11 efecto, salió el señor Olazabal de Xalapa con la tropa de su mando y 3 piezas de artillería, figur…</t>
  </si>
  <si>
    <t>Flores, Mariano</t>
  </si>
  <si>
    <t>Mariano Flores</t>
  </si>
  <si>
    <t>…el mas vigilante, activo é intrépido; sn segundo D. Car los Samborainy D. Casimiro Figueroa, que fué voluntario á la descubieita desde el principio de la acción. Mis ayudantes el capitán D. Mariano Flores , y el teniente D. Juan Manuel de la Fuente, es tuvieron á mi lado, y llevaron mis órdenes con la mayor puntuali dad. El capitán graduado D. Marcos Llamas, que agregué á mis edecanes, no se me separó un momento , y me proporcionó su ca ballo en un lance bien…</t>
  </si>
  <si>
    <t>Flores, Matías</t>
  </si>
  <si>
    <t>Matías Flores</t>
  </si>
  <si>
    <t>…la gavilla de Cecilio Gon zález, después de haber recorrido varios puntos de la sierra sin en contrar al enemigo , y castigado al pueblo de Dolores en que se ha bía dado muerte al general Matías Flores y 2 patriotas , regresando ya para el mismo real, de donde había salido, avistó un pelotón de rebeldes en la barranca de las Norias, los batió matando 2 5 de ellos, y dispersó el resto por los montes. 4. Real de Sta. Teresa Marzo 30 de 1812. En el mismo ofici…</t>
  </si>
  <si>
    <t>Flores, Rafael</t>
  </si>
  <si>
    <t>Rafael Flores</t>
  </si>
  <si>
    <t>…ntes y diarios sucesos de los cuerpos volantes de-todos los puntos por evitar prolixidad. 1. Sierra de Comanja 2j de Marzo de 1812. El comandante de patriotas de la villa de Lagos D. Rafael Flores, en parte de 28 de Marzo del corriente año, dio aviso á esta superioridad que la gavilla de 80 insurgentes que saquearon el rancho de Juache, llevándose gran porción de ganado caballar y mular, dando muerte á una muger, é hiriendo á otra gravemente, filé comp…</t>
  </si>
  <si>
    <t>…. D. Pedro Lu is Nápolt, alcalde. D. Santiago de la Peña, substituto segundo. D. Migue! Oquendo,substituto primero. Barrio de la Buena-Dicha. D. Angel de Sata, substituto segundo. D. Rafael Flores, alca,Je. Barrio de la Latina. D. Manuel Gómez Delgado, substituto primero. D. Toaquin González de Castro, alcalde. D. Itid ro Castelas, substituto segundo. d. r vancisco Verdejo, substituto primero. Barrio de S. Placido. D. Juan Hermoso Daza, substituto segu…</t>
  </si>
  <si>
    <t>…5 , hizo 17 pri sioneros , incluso uno de los Gómez, y les tomó algunas armas, mon turas y 50 caballos. 11. ; Lagos ig cié Abril de 18/2. El comanditóte de patriotas de esta villa D. Rafael Flores sorprehendió en la hacienda del Salto á 100 bandidos mandados por Villalobos, mató 10 de la chusma; hi rió porcipn de ellos » hizo 14 prisioneros, entre ellos el cabecilla, les tomó 36 caballos ensillados , y algunas lanzas y armas de fuego, sin otra pérdida…</t>
  </si>
  <si>
    <t>…y les tomaron algunas cabezas de ganado caballar y vacuno, sin mas pérdida que la de 2 soldados heridos levemente de flecha. 47. En 13 de id., el comandante de patriotas de Lagos D. Rafael Flores, recorriendo con su partida las haciendas y altos de Ibarra, Sta. Bárbara y sierra de Comanja, en persecución ae algunas gavillas enemigas, dio muerte á 12 insurgentes, hizo 8 prisioneros, y les re presó 1200 cabt-zas de ganado menor y 300 caballos y muías, q…</t>
  </si>
  <si>
    <t>Florian</t>
  </si>
  <si>
    <t>…e CarabancheK Drgttcrn, insignes por los crímenes que cometieron esta banda se componía de 60 hombres i caballo y en el tiempo de nuestra revolución. Se embarcaron 30 de á pie: el capitán Florian mandó á sus bravo» en Plimouth á principio de noviembre, y desde cazadores cargar sobre ellos, entrando á galope en allí llegaron á la bahía de Quiberon, donde perma el pueblo: lefc bergantes montaron á caballo eu des necieron á bordo cinco ó seis dias sin at…</t>
  </si>
  <si>
    <t>…pa Ellos exercen un dominio despótico sobre las justi ra perseguir los restos de la banda de Garrido. El cias de los pceblos: ellos en Un á fuerza de insul intrépido é infatigable capitán Florian ha seguido á tos y tropelías hacen á los pueblos desear ta vuel los bergantes sin permitirles descanso, y logró dar-' ta de los enemigos les alcance el dia 26 de enero en- el pueblo de San ¡ Me horrorizo al contemplar los tristes efectos Juan de la Nava. Don…</t>
  </si>
  <si>
    <t>Florian, Francisco</t>
  </si>
  <si>
    <t>Francisco Florian</t>
  </si>
  <si>
    <t>…endable el desempeño de la ardor del ánimo .con que se concibe y defiende una compañía de cazadores de Zamora , á las órdenes opinión con mas ahinco y acaloramiento que ella de su capitán D. Francisco Florian. merece, y exige el orden de las cosas. En todas las Esta compañía ha encontrado cerca de Villa- investigaciones en que se emplea la. razón humana franca de la Sierra la banda de Ramón García, puede encontrarse fanatismo; y á la manera que nombrado el Toro. S…</t>
  </si>
  <si>
    <t>Foi</t>
  </si>
  <si>
    <t>cha de jas presentes quieran salir ó salieren de nues- Ayer i.° de enero al Jleaar el general Foi i la UQs.estados-para- pam.¿-cxtrangw»»4Xta.saUi ss jafer; I EEua.de.'Eara supo que hamaun el pueblo aa hom servarán los reglamentos' ya existentes, sino que bres de á caballo de la partida de Marquinez, que ademas ordenamos que todos ellos pidan á la regen h…</t>
  </si>
  <si>
    <t>Foix</t>
  </si>
  <si>
    <t>…rcitos del Mediodía y Centro, de quat.ro divisiones de infan tería, toda la caballería del exército de Portugal, y de algunas de las tropas del exército del Norte. La división del general Foix , del exér~ cito de Portugal, estaba en las inmediaciones de Bilbao: el general' "Cláuset,. que -mandaba el. exército del-Norte,, estaba-cerca de Logro ño con una división del exército de Portugal, mandada, por el gene ral Turpin , y ía división del general B…</t>
  </si>
  <si>
    <t>…tos del mediodía y centro , de quatro divisiones de infantería, todo la ca-m ballería del exército de Portugal, y de algunas de las tropas del exército&gt; del norte. La división del general Foix, del exército de Portugal, estaba en Jas inmediaciones de Bilbao: el general Clausel , que mandaba el exército i del norte, estaba cerca de Logroño con una división del exército de Portu-o gal , mandada por el general Turpin , y. la división del general Bande…</t>
  </si>
  <si>
    <t>…e sigue. j,He- recibido, un parte del coronel Eonga y fecha de 22, en que me informa haber tomado seis piezas de artillería ,á; un destacamento de tro pas enemigas, que mandaba el general Foix, en1 la retirada que este hacia por el camino real de' Mondragon. ; „ Creo haber informado á V. E. por mi oficio del 24 que el 23 había 'destacado al&gt;teniente, general: sir .Tomas, G^aham por la izquierda con direc ción á Tolpsa para exécutar jas operaciones-…</t>
  </si>
  <si>
    <t>…la margen derecha del mismo rio, en una fuerte altura á la espslda de Ainhoue y sobre la montaña Mondarin, que cubre la avenida á aquella villa. Tenia una división man dada por el general Foix en Saint Jeaa de Pied de Porte, á la que se unid una divbion del exército de Aragón, mandada por el ge neral París, cuando en 7 de Octubre último la izquierda del alia do pasó el Bidasoa. La división del gen eral Foix se reunid á ios que ocupaban U altura ¿ l…</t>
  </si>
  <si>
    <t>…margen derecha del mis ma rio, en una fuerte altura á la espalda de Ainhoue y sobre la montaña Mondarin, que cubre la avenida á aquella villa. Tenia una división, manda da por el general Foix , en Saint Jean de Pied de Porte, á la que se unió una división del exército de Aragón , mandada por el general París, quando en 7 de octubre último la izquierda del aliado pasó el Vidasoa. La división del general Foixise reunió; á los que ocupaban la altura…</t>
  </si>
  <si>
    <t>Foixise</t>
  </si>
  <si>
    <t>…Porte, á la que se unió una división del exército de Aragón , mandada por el general París, quando en 7 de octubre último la izquierda del aliado pasó el Vidasoa. La división del general Foixise reunió; á los que ocupaban la altura á la espalda de Ainhoue quando. sir Rolando HiU pasó al valle de Bastan. „ El enemigo; no contento con la fuerza con que la naturaleza dotó es ta posición, fortificó el todo de ella, y particularmente su derecha, la que</t>
  </si>
  <si>
    <t>Folsels</t>
  </si>
  <si>
    <t>filé atacado el general Folsels por una columna enemiga, compueita de batallones de infantería y el regimiento de la Reyna, que avan zaron de Kramburg con 2 cañones y 2 obiises. Después de una ac ción reñida de 4 horas fué obligado el enemigo á retirarse. Distin guióse particularmente el re…</t>
  </si>
  <si>
    <t>Fon, Francisco</t>
  </si>
  <si>
    <t>Francisco Fon</t>
  </si>
  <si>
    <t>…e Julio de 1813 Por Antonio Paredes á favor de D. Felipe Sola y Busquet, valor de D. Claudio Romero : quien sepa su paradero podrá avi ar en Cádiz á dicho Romero, y en ViUanueva á D. Francisco Fon tañe Has. CADIZ : IMPRENTA NACIONAL 1 1813.</t>
  </si>
  <si>
    <t>Foneerrada, P. Joséf Cayetano</t>
  </si>
  <si>
    <t>P. Joséf Cayetano Foneerrada</t>
  </si>
  <si>
    <t>Gazeta de Madrid bajo el Gobierno de la Regencia n.º 74</t>
  </si>
  <si>
    <t>…de su presidente, vice presidente, y del mas antiguo de sus secretarios, han sido elegidos para presidente el Sr. D. Francisco Tacón ¿diputado por Murcia; para vice-presidente el Sr. P. Joséf Cayetano Foneerrada, diputado por Nueva-España, y para secretario el Sr. Jpscf María Gutierres de Teran * diputado suplente por Nueva-España, La Regencia del reino Je ha servido expedir el decreto siguiente; Pon Fernando vil* por la gracia de Píos y por la Constitución de la mon…</t>
  </si>
  <si>
    <t>Fonolitas, Dionisio</t>
  </si>
  <si>
    <t>Dionisio Fonolitas</t>
  </si>
  <si>
    <t>…é Luizaain , D. Francisca Ardaiz, D. José Díaz, D Antonio Abadía, D. Nicolás Soriano, D. Bernardo Moliner, D. Manuel Llera, D. José Perulan, D. Ray» mundo Marqués, D. José Gorriz, D. Dionisio Fonolitas, D. Can» dido Zunzarren * D. M:guel Quartero , D. Juan Urzaniqui, D. Ruerto Rajum, D. Manuel López, D. Agustín Munarriz, D. Juan Sliutista fnd'.iusti, D. Pedio López de Baylo, D. José García, D. Andrés Diaz y D. Félix Quitarte. Igualmente se ha servido S. A.…</t>
  </si>
  <si>
    <t>Fonranelii</t>
  </si>
  <si>
    <t>…gran juez ministro de la Jus &lt;jei Prcgel. ticia, conde Lnóri i el ministro .de lo Interior, GAVIERA. conde Vaccari ; -el ministro de Hacienda, conde Trina; el ministro de Guerra , conde Fonranelii; el Hurembrrg ty de enera. ministro del Tesoro, conde Barago; el consejero La* cartas de. Bohemia ¿¡conque se aseguraba secretario de Estado, conde Stfige.lí; conde B?rgennr^tfncBte qu¿ un correo qué acababa de llegar nardi, conde Maestri, Bargnani, L Giovio,…</t>
  </si>
  <si>
    <t>Fontanilías, José</t>
  </si>
  <si>
    <t>José Fontanilías</t>
  </si>
  <si>
    <t>…tres veces romper por mi derecha atacando el reducto que cubrían la compañía de gra naderos de Leales, tercera y cuarta de fusileros de ídem al mando del teniente coronel graduado D. José Fontanilías, capitán del mis mo cuerpo, no pudieron penetrar ni conseguir ninguna ventaja por la serenidad, valor, é intrepidez con que aquellas tropas sostuvieron y defendieron aquel punto batiéndolos siempre, ‘ conociendo los re feridos enemigos que el tínico fruto que…</t>
  </si>
  <si>
    <t>Forcelíc, Ramón</t>
  </si>
  <si>
    <t>Ramón Forcelíc</t>
  </si>
  <si>
    <t>…ista Viana, 20. D. Vicente de los Toyos, 20 D. Juan Llano, 17. D José Perez déla Mata, 7. D. José Herrera, 17. D. Gerónimo Vivanco, 10. D. Manuel Ibañ?z, 10. Don Rosendo Gao , 10. D. Ramón Forcelíc 5o, 10. D. Gaspar Gorruehano, 10. El conde San Pascual, 25. D. Martin y D. M guel Ventura Oáambela, por su {demento hecho con calidad de reintegro , á causa de la precipitada salida del baque, 2309. — T tal, 20000. Ademas los Sres. D. Ignacio y D. Manuel de S…</t>
  </si>
  <si>
    <t>Forja, Miguel Pereira</t>
  </si>
  <si>
    <t>Miguel Pereira Forja</t>
  </si>
  <si>
    <t>…zen tendrá por objeto observar ios designios de Murat. (Ob servador de Asturias.) Madrid fgi de julio. El señor duque de Ciudad-Rodrigo en oficio dirigido al excelentísimo’ señor,;D. Miguel Pereira Forja? desde su qnartel general de Orcoyen, con fecha de 2Ó de junio, dice entre otras cosas jo que sigue. j,He- recibido, un parte del coronel Eonga y fecha de 22, en que me informa haber tomado seis piezas de artillería ,á; un destacamento de tro pas enemigas, qu…</t>
  </si>
  <si>
    <t>Forja, Miguel Pereyra</t>
  </si>
  <si>
    <t>Miguel Pereyra Forja</t>
  </si>
  <si>
    <t>…ersas con jeturas , se embarcó últimamente en las Dunas para las costas de Holanda. PORTUGAL. Lisboa 4 de Mnyo, Oficio del mariscal general duque de la Victoria (lord Wellmgton) &amp; D. Miguel Pereyra Forja%, de su cuartel general de Fresneda á 28 de Abril de 1813. „Dsspues que dirigí á V. E. mi oficio anterior de 21 del cor riente , el enemigo no ha hecho movimiento alguno de importan cia , y sus tropas permanecen acantonad as casi en los mismos puntos que indi…</t>
  </si>
  <si>
    <t>…PORTUGAL. Lisboa 2 de agosto. Extracto de un oficio del Exento. Sr. mariscal general duque de la Vic toria , dirigido desde su quaríel general de Lesaca en i£&gt; de julio al Excmo. Sr. D. Miguel Pereyra Forja z j y parte dado al mismo por el general Grakam. Construimos una batería de quatro piezas de á 18 contra un convento que dista como 600 vara6 de las obras de la plaza de S. Sebastian,'que el</t>
  </si>
  <si>
    <t>Forjas, Miguel Pereyra</t>
  </si>
  <si>
    <t>Miguel Pereyra Forjas</t>
  </si>
  <si>
    <t>178</t>
  </si>
  <si>
    <t>…abandonó vilmente, entregán dolos á una destrucción cierta en medio de los mayores peligros. PORTUGAL. Lisboa 9 de Febrero. • j Oficio del general marques de Wtllington dirigido á D. Miguel Pereyra Forjas, desde su cuartel general de Fresneda á 3 de Febrero de 1813. ,,No tongo noticia de que se haya hecho alteración alguna en las posiciones de los cuerpos enemigos que se hallan al frente de esté exército, desde que dirigi á V. E. mi oficio de 27 del último mes…</t>
  </si>
  <si>
    <t>Forjaz, Miguel Fereyra</t>
  </si>
  <si>
    <t>Miguel Fereyra Forjaz</t>
  </si>
  <si>
    <t>…• PORTUGAL. 'Lisboa 28 de Agosto. Oficio del mariscal general, duque de la Victoria {lord VVellington), dirigido desde su cuarteL general de Le saca, con fecha de 18 de Agosto, ¿í D. Miguel Fereyra Forjaz. »El destacamento enemigo del mando dél general París, que ha bía permanecido en Jaca desde su retirada del Ebro , sanó de aque lla plaza en la noche del 11 del corriente, y se retiró á Francia^ dexando allí una guarnición de 800 hombres. E^ta fuerza faé ata…</t>
  </si>
  <si>
    <t>Forjaz, Miguel Pcreyra</t>
  </si>
  <si>
    <t>Miguel Pcreyra Forjaz</t>
  </si>
  <si>
    <t>…que ser pueda. Y en testimo nio y validación de io sobredicho hicimos extender la presente, fir mada por Nos , sellada con el sello grande de las- armas reales, y. refrendada por D. Miguel Pcreyra Forjaz, del consejo de S. A. R., teniente general de sus reales exércitos, y secretario de ios negocios: de marina , exirangeros y de guerra. Dado en Lisboa en el p: lacio del Gobierno á 13 de Judo del año del nacimiento de nuestro Señor Je sucristo de 1813. = El ob…</t>
  </si>
  <si>
    <t>Forjaz, Miguel Pereira</t>
  </si>
  <si>
    <t>Miguel Pereira Forjaz</t>
  </si>
  <si>
    <t>6</t>
  </si>
  <si>
    <t>…lquier modo que sea. Y en testimonio y seguridad de I© sobredicho hicimos extender la presente, firmada por nos, .sellada con el sello grande de las armas reales, y refrendada por D. Miguel Pereira Forjaz, del consejo de S. A. R., teniente general de sus reales explí citos , y secretario de ios Negocios de marina, extrangeros y de guerra. Dada en Lisboa en el palacio del Gobierno á 13 de julio del año del naci miento de nuestro Señor Jesucristo de 1813. = El o…</t>
  </si>
  <si>
    <t>Forjaz, Miguel Pereyra</t>
  </si>
  <si>
    <t>Miguel Pereyra Forjaz</t>
  </si>
  <si>
    <t>333</t>
  </si>
  <si>
    <t>…o, del Moskwa y del Berezyna. — El mariscal duque de Elchiñgtn” PORTUGAL. Lisboa 23 de Marx o. El Excmo. Sr, mariscal general marques de Torres-Yedras en oficio dirigida al Excmo. Sr. D. Miguel Pereyra Forjaz desde su cuartel general de Fresneda á 17 de este mes , dice lo siguiente. „No ha habido movimiento alguno de importancia. Las tropas enemigas que pasaron el Ezla, se han vuelto á retirar. „Después de dirigir á V. E. mi anterior oficio, recibí partes del coro…</t>
  </si>
  <si>
    <t>Fourber</t>
  </si>
  <si>
    <t>…Deleau, y 300 hombres del regimiento 47.0, partió reserva detras; pero tres compañías de volteadores y llegó á dicho lugar á las cinco de la mañana, y 2í caballos, mandados por el capitán Fourber, donde sorprehendió y cercó á la expresada partida, del 117.°, bastaron para desalojarlo de esta posición, de la qual han muerto quantos quisieron oponer al aunque inui fuerte, y hacerle retirar hasta Xixona, guna resistencia, y se han ahogado en el Cea todos…</t>
  </si>
  <si>
    <t>Fournier</t>
  </si>
  <si>
    <t>…o generales , y loS coroneles de sargentos. Este esquade 500 á 600 prisioneros, y lo retuvo fuera del ti dron sagrado, mandado por el general Groúchy, y ro de caños del puente. El general Fournier dio báxó las órdenes del Rei de Ñapóles, nó perdía de una hermosa carga de caballería. - vista al Emperador en todos los movimientos. ' El exército de Volhynia ha padecido mucho en S. M. no ha gozado nunca de mejor salud* el combate de Beresina. El’duque de R…</t>
  </si>
  <si>
    <t>Foy</t>
  </si>
  <si>
    <t>…a. La división Lon ga, dirigiéndose á Mondragon, encontró al enemigo en aquel pueblo, io arrojó de él después de un combate, haciéndole 90 prisioneros , y causán dole pérdidas. El general Foy fue herido en el pecho levemente. La división Longa se estableció en Mondragon. El 23 marché de Eseoriaza con ánimo de llegar á Vnlareal; pero supe en Mondragon que el enemigo, con una fuerza de 8 á 10® hombres de las di visiones La Foy, Sarrut y las guarnici…</t>
  </si>
  <si>
    <t>…con el enemigo en los días 24 y 25 de Junio, las que según he visto después, parece que han sido mas serias de lo que yo creía al tiempo de escribir á V. E. el 26 del pasad©. «El general Foy tenia consigo, ademas de su división del exército de Portugal, las guarniciones de Bilbao, Mondragon y Tolosa, que componían una fuerza considerable. Me causa una verdadera satis facción el ver que las tropas españolas y portuguesas mencionadas en el parte de…</t>
  </si>
  <si>
    <t>…iaza. La división Longa, dirigiéndose á Mondragon, encontró al enemigo en aquel pueblo, lo arrojó de él después de un combate, haciéndole 90 prisioneros, y causándole pérdidas: el general Foy fue herido en el pecho levemente. La división Longa se estableció en Mondragon. «El 23 marché de Escoriaza con ánimo de llegar á Villareal; pe ro supe en Mondragon que el enemigo, con una fuerza de 8 á ie® hombres de las divisiones La-Foy, Sarrut y las guarni…</t>
  </si>
  <si>
    <t>…enemigo en los dias 24 y 25 de junio, las que, según he visto después, parece que han sido mas se rias de lo que yo creía al tiempo de escribir á V. E. el 26 del pasado (1). „ El general Foy tenia consigo , ademas de su división del exército de Portugal, las guarniciones de Bilbao, Mondragon y Tolosa, que componían una fuerza considerable* Me causa una verdadera satisfacción el ver que las tropas españolas y portuguesas mencionadas en el parte de…</t>
  </si>
  <si>
    <t>…otro la do, todo retardo en enviarlo y en el establecimiento de este cuerno -de exército en Navarra, puede ocasionar el .golpe mas funesto á íos exércieos franceses en España. El general Foy debe haber co-menzado el sitio de Castro. Re celo no tenga bastante fuerza al efecto , y he escriro al general Sar rut que vuelva á Orduña mientras dure el sitio de la plaza, y sea 'tomada, á no ser que baya escasez de víveres en las plazas de la lí nea de Bu…</t>
  </si>
  <si>
    <t>…e Portugal , en suma, todas las fuerzas francesas disponibles por aquella parte, ex cepto un cuerpo opuesto á Mina, el de Ciausel cortado por una hábil maniobra del Lord, y el del general Foy; se ve palpable mente la grandísima importancia de esta victoria. Si la pérdida del enemigo no fué tan grande como podría esperarse después de tan completa derrota, debe atribuirse á la naturaleza del terreno, que no permitía á la caballería sacar las ventaja…</t>
  </si>
  <si>
    <t>Fr</t>
  </si>
  <si>
    <t>…primero. D. ManueL Casado, substituto segundo. D. Manuel de Castro, substituto segundo. Barrio de Doña María de Aragón. Barrio de las Descalzas Re ates. D. Josef Cañedo, alcalde. D. Fr..neÍsco de 1 ruegas, alcalde. D. Félix Bener, substituto primero. D. Francbco L..yin , 'substituto primero. D. Manuel Urbina , substituto segundo. D. Juan Torre , substituto segundo. Barrio de ¡a Encarnación. Barra de les ring. íes D. Ramón García Muñoz , alc…</t>
  </si>
  <si>
    <t>937</t>
  </si>
  <si>
    <t>…a* bel, que habla establecido la Inquisición en sus estados de Castilla, sufrió la persecución mas rigurosa por los inquisidores de Córdoba; habiendo experimentado la misma suerte D. Fr. Bartolomé de Car* tanza , arzobispo de Toledo; el P. Fr. Luis de León ; el venerable Avila ; el P. Sigüenza: y otros muchos varones eminentes en santi dad y sabiduría. A vista de esto, no debe reputarse per una parado* xa decir , que la ignorancia de la reli…</t>
  </si>
  <si>
    <t>326</t>
  </si>
  <si>
    <t>…al de otro r uevo atentado de Suchet. La nación conoce ya por su patriotismo denodado y sus cualidades eminentes , para'desempeñar dignamente el objeto de esta lucha patriótica, á D. Fr. Aseado Nebot, o el Fray* le, comandante de la partida ó columna volante de este nombre. Los repetidos escarmientos que lian sufrido las tropas de Suchet y varios de sus gefes por las disposiciones y talentos militares de este nuevo guerrero, le obligaron á d…</t>
  </si>
  <si>
    <t>90</t>
  </si>
  <si>
    <t>…Ni la virtud ni la doctrina ponían á cubierto á-ios hombres que mas sobresalían en ellas de la irregularidad de aquel stetema' pues mas 'adelante el Venerable arzobispo deñGrááada D. Fr. Fetnafido de Talávera, confesor de la Reina Católica Doña Isabel, qué había establecido la inquisición en sus estados de Castilla, sufrió la persecución^ mas rigurosjr por los inquisidores-de Córdoba; habiendo experimentado la misma suerte D. Fr.¿ Bartolomé-…</t>
  </si>
  <si>
    <t>Fraa</t>
  </si>
  <si>
    <t>…. ;»Todo lo que tengo el honor de hacer saber á V. S. para su i a» 4eligencia y gobierno. — Dios guarde á V. S. muchos años. Anies 1.® de Enero de 1813. —Juan José Cruchaga. — Sr. general D. Fraa* jmsco Espoz y Mina." .Segunda» ,,121 coman ríante del cuarto escuadrón me hace saber lo siguiente! Mi general: Hasta el dia 8 poT la mañana permanecí en Vinefar, y -desde este pueblo pasé al de Zaydin con todo el escuadrón. El 9 salí á las 4 de 1* mañana, y…</t>
  </si>
  <si>
    <t>Fran</t>
  </si>
  <si>
    <t>…dos compañías del batallón de Baza y situadas en el mas de Morató , con el objeto de impedir la comunicación con la plaza; y su bri llante conducta la verá V. E por el paite de su comandante D. Fran cisco Pradas, que á la letra copio. ,,Siguiendo las instrucciones de Y. S. situé en el mas de Mo ral ó las compañías de cazadores y segunda habiendo construido parapetos para sostenerse en caso de ser atacados. Los enemi gos de la plaza, sospechando al ver un…</t>
  </si>
  <si>
    <t>…ex-trinitario calzado Don migo en el fuerte de S. Miguel. Habiendo cesado el Manuel Vigil. fuego de fusil casi al mismo tiempo en ¡os diferen Para el de Hervias al ex-franciscano D. Fran*tes puntos de ataque, se vio con la luz del dia que cisco Alcalde. los había evacuado, y que babia incendiado el al Para el de Arnedillo á D. Miguel Domingo del macén de la ciudad, donde habían quedado muchos Pozo, capellán de dicha villa. efectos á la retira…</t>
  </si>
  <si>
    <t>…, sargento primero del citado quinto batallón de zapadores. En los seis batallones de infantería que componen la división de voluntarios de Navarra del mando del mariscal de campo D. Fran cisco Espoz y Mina, se ha servido la Regencia del rey no hacer la promoción siguiente ; á coroneles efectivos á O. José Gorriz y D. Se bastian Fernandez: á teniente coronel y comandante de batallón á D. Ramón Ulzurran y D. Joaquín de Pablo : á primeros sargen…</t>
  </si>
  <si>
    <t>…Don Pedro Oses* D José María Subirán , D. Miguel Tartas , D. Manuel Baztan ¿ D. Agustín Oro, D. José Joaquín Ározatena, D. Domingo Chávame, D. Agustín Mora, D. Juan Cruz Larrondo, D. Fran cisco Peralta, D. Manuel Salaberri, D. Dámaso Landa, D. Atanasio Diez, D. Bartolomé Comas, D. Ildefonso Mayo, D» JVLguql Ormachea, D Joaquín Sánchez, D José Migueltorena D Diego Gayarre, D. Fermín San Martin,*O. José Arozarena, D. Angel Esca lada, D. Víctor P…</t>
  </si>
  <si>
    <t>…Cebadua; á ayudantes á D. Francisco Moñones , D. León Amedo, D. Manuel Mecolalde y D. Atanasio Mendivil: á tenientes á D. An drés Berrueta, D. Mariano Sauz, D. Juan Ignacio Noain, D. Fran cisco Azcarate , D. Martin Antonio Laquidaia , D Santos Ayerra, D. Tomas Ayerra, D Juan Esteban Alemán, D. León Mayo, D. Aniceto Unciti y D. Sebastian íso : á alféreces á D. Nicolás Sada, D. Lucas Munarriz, D. Francisco Ruiz , D. Cristóbal Pereti, D. Mariano…</t>
  </si>
  <si>
    <t>…quedando en poder del enemigo 10 prisioneros. Todo lo que tengo el honor de hacer saber á V. S. para su gobierno Dios &amp;c Puente la Reyna 19 de Diciembre de 1812. — José Gorrit. — Sr. D. Fran cisco Espoz y Mina.” 7.° „Con fecha de 25 del corriente me avisa el capitán D. Ma tías Ilzarbe , encargado del punto de Lesaca , haberse apestado en la carretera de Irun con el objeto de sorprehenden el correo de Fran cia ; y que habiendo llegado la vanguardi…</t>
  </si>
  <si>
    <t>…rvar aquella misma unidad de gobierno iglesia catedral de Segorve. = Dr. D. Antonio Loza que la mantiene en su ser, y sin la que este cuer no, canónigo decano-y presidente. = Dr. -D. Fran po iría al través de los acontecimientos humanos. cisco Guimerá, canónigo, re Dr.D. Antonio Vale ,, Enrre otras puede servir dp (jsemplo, de edi ro, canónigo-curado secretario. = Señores curas, ficación y consuelo (a diócesis de Segorve. Privada vicarios y re…</t>
  </si>
  <si>
    <t>…afras I are a, 200. D. Toribio Acebal, secretario de gobier no, 200. D. José lio dirifo, 200. D. Miguel Fermín Escurra, 200. D. Miguel Cabe’lo, £00. D. Miguel Antonio Ar óla, 200. D. Fran cisco Maíz , 100 D. P&lt; dro M:guel I jibareen, 100. D. Femín Co ya, 100Í £1 conde Villa* do Fuente, 100. D. Luis A¿elmo L&amp;n*</t>
  </si>
  <si>
    <t>…ti, 50. D. Pedro Larrañ ga, 25 D. Julián Psraz, 25 O. José Osorio, 25. D. Miguel Jáaregui, 25. D Juan Mella, 95 O. Alonso Ronero, 25. 13 Domingo Ufqu’jo. 25 1). José Oétolasa, 25. D. Fran cisco Muían Rodrí guez , 25. D Manuel Julián G rájales, 20. D. D «mingo Car dan , 20. í). Juan Matías (ribarren, 20. D. Gerónimo Urriza, 20. D. Joaquín M ^riiuez. S\ D. Juan Bautista Viana, 20. D. Vicente de los Toyos, 20 D. Juan Llano, 17. D José Perez déla…</t>
  </si>
  <si>
    <t>…ivanco, 1-id. D. José Sarria, 1 id. D. Mariano Sarria, 1 id. D. Juan Antonio Aramburu, 1 id. D. José Francisco de Isasi, 1 id. D. Ramón Eurivano, 1 id. D. Ramón de Azcarate, 1 id. D. Fran cisco Abasólo, l id. D. Juan Panero, 1 id. D. Juan Mella, 1 id. D. Miguel Jáuregui, 1 id. D. Rosendo Gao, 1 id. D- Antonio Her rero, 1 id. D. Vicente López y U. Manuel del Valle, 1 id. D. To mas de la Casa y Piedra, 6 id. D. Martin de Guisasola, 6 id. D. Jo s…</t>
  </si>
  <si>
    <t>…...................... ........... 22990 Por otra que entregó Doña Ana Tor En el de otras 120 fanegas que libró res á D. Roque de los Ríos............ 60 el señor prefecto central D. Fran Por la que se lia -recogido en la de cisco Teran á cuenta de las que manda del jubileo de las Quarenta corresponden á los hospitales en las horas y cepo del hospital de mu— 6‘3 fanegas destinadas por S. M. pa geres.......... .................... .................…</t>
  </si>
  <si>
    <t>…tambor y 13 soldados, algunos de ellos también heridos. » El sargento mayor Calva elogia la conducta de sus oficiales y tropa, v hace particular mención del subteniente de Mataró D. Fran cisco Brotons . que alcanzo y mato á uno de ios franceses ántes de entrar en la torre, á 2 cazadores de Palma, que no nombra, quienes voluntariamente se ofrecieron y emprendieron allanar las puertas, sufriendo una lluvia de piedras, maderos y otros efectos qu…</t>
  </si>
  <si>
    <t>…ha debido detenerse por las cortaduras hecha* en el camino, según V. S. me insinuaba. — Dios guarde á V. S. muchos años. Artajona 3 de Mayo de 1813 .rz Miguel Marín Irivarren.—Sr. general D. Fran cisco Lspoz y Mina. = Y yo lo elevo al conocimiento de V. E. para que lo haga al de S. A. para su satisfacción. = Nuestro Señor guarde á V- E. muchos años. Sangüesa 5 de Mayo de 1813. = Framisté JZsjjoz y Mina. = Excmo. Si*. JD. Francisco Xavier Cas-taños.” '…</t>
  </si>
  <si>
    <t>…la consulta que en su vista hizo el tribunal espede.Guerra,y Marina con fecha 13 de mayo último; se han.servido re solver, accediendo á la solicitud de esta interesada: i&gt;° que á Doña Fran cisca, O-Gon se íe considere todo ei sueldo que su marido debía gozar en ca lidad de comandante del, batallón del General, á cuya, cabeza, murió lleno de gloria; pagándose por el erario.nacional; la. diferencia entre la pensión de sar gento mayor que tiene ya…</t>
  </si>
  <si>
    <t>…n del Rio, cargaron varias veces la retaguardia y siempre fueron rechazados; desde allí á Xalapa no tuvo novedad la expedición. 60. JE1 teniente coronel y comandante de Tulaneingo D. Fran cisco de las Piedras, con fecha de 28 de Julio, remitió el par te que le habia dado D. José Antonio del Callejo, espitan gra duado de milicias de México, en que dice que el 24 del mismo mes había salido con 10 infantes mentados , 15 dragones y otros tantos pa…</t>
  </si>
  <si>
    <t>…s caminos, ó cualquier partida sin oficial, y que no lleve pasaporte impreso, se la prenda y conduzca Igualmente á este cuartel general. Huarte i.° de Julio de 1813.5* Alava.zsSt. D. Fran cisco Espoz y Mina. Por un correo extraordinario que paso ayer por esta capital coa dirección á Cádiz, sabemos que la plaza de Pamplona se halla en ei mayor apuro; y nos persuadimos que tanto esta como la de S Se bastian se rendirán muy pronto, pues las notic…</t>
  </si>
  <si>
    <t>…ídem del de cazadores ; D..Pedro S.olis y D. Juan Martínez, subtenientes de granaderos,; D. Josef Heros» ídem,de ca zadores; D. Esteban Islafoyo, D. Josef Tejada, D. Jdsef Caña y.D. Fran cisco Vargas, subteniente del segundo de Asturias; I&gt;. Josef Rico, capi tán, y D. Juan de Odoqui, teniente del de Guadalaxara; D. Juan Loarte* coronel; D. Antonio Villegas y D. Antonio Martínez, tenientes; D. Luis •Alcalá, subteniente del de la Constitución;…</t>
  </si>
  <si>
    <t>un división de! primer exército español. = José Manso^Sr. D. Fran cisco de Colorís y Navía. Coruña ap de Setiembre. Ac.b* de entrar en esta bahía una fragata inglesa , que salid de :me el 8 de Julio, conduciendo á su bordo 280 soldados y 5 ofi ciales esp. ñoles, que habiendo desertado de los exéreitos franceses, se acogiero…</t>
  </si>
  <si>
    <t>…celeridad como arrojo, puesto im portantísimo, en cuya pronta adquisición consistió en gran manera el éxito de las restantes operaciones; y-los coroneles D. Rafael de Goicoch'ea-, D. Fran cisco Piasencia y D. Josef María Carrillo Albornoz, que tuvieron el mérito de guiar á sus. tropas á la victoria con tanta resolución cbmo buen orden. El gefe del estado mayor mariscal de campo D. Estanislao Salvador y to dos los oficiales de su cuerpo se port…</t>
  </si>
  <si>
    <t>…egos, que auxiliando indistintamente á ios de ambos par tidos alentaron con su exem; lo á los nuestros en los mayores peli gros, y lo mismo hizo el padre capellán de la Corona Br. D. Fran cisco Bravo y el cara de Cuenco D. Bernatdino Finí , á los patrotas y valientes D. Francisco Irazabal, D.-José María Arañe bia y D. Raymundo Zaragoza , que acompañan á esta división y le son muy útiles; y al cabo de Ía Corona Vicente Barragán , que acom pañó…</t>
  </si>
  <si>
    <t>…us fuertes. s= Dios guarde á V. S. machos años. Vicarisas 11 de Octubre de 1813. = El coronel comandante de la segunda brigada primera división del primer exército = Josí Manso, s Sr. D. Fran cisco Xavier Cabanes.es Es copia. = Cabanes. Mmdrid 12 de Noviembre. Han pasado el Vidasoa muchas tropas, infinitos cañones , cami sas embreadas y otros artículos , lo que induce á pensar que las mi ras del Lord son contra Bayona, y que no está muy léjos el m…</t>
  </si>
  <si>
    <t>…ra, cuyo tot¿l no puede sa berse aun por hallarse enterradas en las ruinas, de donde se van sa cando unas útiles y otras no. . •«Ha mandado este sitio- el ayudante de estado mayor D. Fran cisco del Rey, la artillería el reniente coronel de esta anua D. Ga briel de Torres , y el .batsdon de ligeros de Soria era la tí opa de fusil que había; he hecho trasladar este cuerpo á Benicarió , tanto para equiparlo cuanto par* estrechar nías la guarnició…</t>
  </si>
  <si>
    <t>…chuna de S. M. el emperador de Austria p ra que se sepa en vuestro psis, y á lo que me conduce el amor sincero que piof so á la ca beza de mi familia, mi augusto primo y cuñado el emperador Fran cisco de Austria, y el ínteres particular que siempre he tenido por vuestra valerosa nación, la cual con mucho dolor he vi¿to oprimida tanto tiempo há por un gobierno destructor de vuestra felicidad. Es te es para vosotros el momento decisivo de cooperar á vu…</t>
  </si>
  <si>
    <t>…Porlier, la primera brigada de esta división se halla distribuida en los pueblos de Irun y Guetaria, y la segunda brigada en el bloqueo de Santoña. Sexta división , que. manda el brigadier D. Fran cisco Longa, en Briviesca y pueblos inmediatos. Séptima división, que manda el mariscal de campo D. Josef Garcés Marcilla, en la guarnición de la plaza de S. Sebastian, y dos cuerpos de la misma división en el bloqueo de Santoña. Octava división, que manda el…</t>
  </si>
  <si>
    <t>Fran, Tedro</t>
  </si>
  <si>
    <t>Tedro Fran</t>
  </si>
  <si>
    <t>…tiró con la baxa de 300 nombres entre muertos, y heridos la mayor parte de estos. Un coronel murió al dia siguiente de resulta de sus heridas. La mia fue deL capitán de caballería D. Tedro Fran cés , muerto; del capitán de cazadores del primero D. Felipe Navascues , herido, y en igual estado el teniente D.Mariano Cliver 3? el sub teniente D. Francisco Gurpide, 3- de 33 soldados heridos 3’ 7 muer tos , 5 caballos muertos de bala de cañón 3^ 6 heridos…</t>
  </si>
  <si>
    <t>Franca, Pablo</t>
  </si>
  <si>
    <t>Pablo Franca</t>
  </si>
  <si>
    <t>…no Raqpedano, D. Mariano Amorós, D. Manuel Rodrigo, D. Gregorio Lagarda, D. José García, D. Antonio Ortíz, D. An gel Martínez, D. Antonio Blesa, D Fermín Fabiano, D. Pedro Garrea, D. Pablo Franca, D. Antonio Santos, D. Manuel Uría^ D. Bernardo Uriz, D. Geferino Galindo y D. Seraíin Ockoa. CADIZ ; EN LA IMPRENTA NACIONAL.</t>
  </si>
  <si>
    <t>FRANCES, IMPERIO</t>
  </si>
  <si>
    <t>IMPERIO FRANCES</t>
  </si>
  <si>
    <t>Gaceta de Madrid n.º 142</t>
  </si>
  <si>
    <t>El conde de Liverpool responde.¿1 noble lord IMPERIO FRANCES. íjue nadie desea ritas, que sus colegas'.y iLel que je establezca un cartel para el cange mutuo de prisio Parts i i ¿tí 'abf'tl. neros; pero no depende de eilos d que la nación Continuación de los documentes anexos al informe no goce de este alivio de ios; m…</t>
  </si>
  <si>
    <t>Francés, Pedro</t>
  </si>
  <si>
    <t>Pedro Francés</t>
  </si>
  <si>
    <t>…ntes de escuadrón á D. Miguel María Iribarren y D. Manuel Garrea: á sargento mayor á D. Claudio Ich^so : á capitanes á D. Ramón Echeverría , D. Lo renzo Mauleon, D. José Clemente, D. Pedro Francés, D. León Iriarte, D. Pedro Viilarroya, D Domingo Josué y D. Diego Cebadua; á ayudantes á D. Francisco Moñones , D. León Amedo, D. Manuel Mecolalde y D. Atanasio Mendivil: á tenientes á D. An drés Berrueta, D. Mariano Sauz, D. Juan Ignacio Noain, D. Fran cisco…</t>
  </si>
  <si>
    <t>Francheo</t>
  </si>
  <si>
    <t>…a A estos desracamemos de cazadores se les importe de la apuesta, y entre ¡os concurrenies empleará por sus batallones y regimientos respecti eran mas de notar los Exeinos. Sres. D. Francheo vos en el servicio de las tropas ligeras. Su exercicio Xavier Castaños y marques de Monsalud , y el ordinario será aprender bien el manejo de sus ar Sr. D. M'guel Lastarvia , gefie político. El ór. Cas mas. No harán servicio interior en las guarnicio taños di…</t>
  </si>
  <si>
    <t>Francia, Liicotíe de</t>
  </si>
  <si>
    <t>Liicotíe de Francia</t>
  </si>
  <si>
    <t>…s para Peñ afiel. Ea el mismo dia llegaron á las inmediaciones de esta ciudad unos 1200 hombrea de la división del general Lafoy, y pasaron á Cigales sin detenerse. El 26 llegó el general Liicotíe de Francia con pliegos para el intruso, que no debieron serle muy satisfactorios, según lo que se incomodó : también llegaron 5 correos , y en uno de ellos la noticia de haber sido nombrado general de división el barón de la Marti niere. El 27 nada ocurrió; y ea todos e…</t>
  </si>
  <si>
    <t>Francis</t>
  </si>
  <si>
    <t>…é de Aristnendi, 10 id. D. Gerónimo de Urriza, L id. D. To mas Gallegos, 6 id. IL Agustín Caldas, 1 id. D. Blas Camino, 1 id. D. Domingo Urquijo, 1 id. D. Francisco Falconi, I id. D. Francis co de Sagastaveitía„ id. D Francisco Valles, 2 id D. Francisco Ba llesteros, 1 id. D. Gregorio Fernandez* 1 id D. Julián García Mon_terroso, 1 id. D. Julián Perez, 2 id. D. Lorenzo de Arguiano, 1 id. D. Matías de Larreta, 3 id D. Manuel délos H¿ros, 2 id. D.…</t>
  </si>
  <si>
    <t>…D. Francisco Nnñez G tgo , id. p ,r 8, 96. D. Manuel Pri mo,.id. p#r 8, 96. D. Juan José Rabio, id. por 4, 48. D Jaan Bau tista Visa», id. por 4,48. O. J.: ss Ganó, id. por 4, 48 D. Francis co' Pende, id. por 4,48. I). José Saadago Aguirre, id. por 10, 129. D B as Ignacio de Tellexia, id. par 10, 120. D. Ignacio S obrado, id. por 25,303. I), José Antonio de la Piedra, id. p &gt;r 12, 144. Doa J¿an Freyre, id. por 10, 120. í). Juan Alonso , id. por…</t>
  </si>
  <si>
    <t>…hos años. Bernedo 15 de Mayo de 1813. = Marcelina Orda.~Sr. co ronel D. Sebastian Fernandez. = Lo que traslado á V. S. para que let sírva de gobierno . = Sebastian Fernandez. =Sr. general D. Francis co Espoz y Mina. — Y yo Jo paso al conocimiento de V. E. = Nues tro Señor guarde á V. E muchos años. Sos 16 de Mayo de 1813.= Excmo. Sr. = Francisco Esyoz y Mina. = Excmo. Sr. D, Francisco Xavier Castaños.” Duodécimo, • . "Glauseí, después de algunas marchas…</t>
  </si>
  <si>
    <t>…las órdenes del mariscal de campo D. Josef Duran, salió de esta plaza para cooperar á las operaciones de la campaña. 1 La del quarto exército, al mando del general de igual clase D. Francis co Espoz y Mina, prosigue cubriendo la ciudad, y maniobrando contra el castillo. , Hace tres días que el enemigo dirige sus fuegos de cañón y obús háeia las obras que se construyen, y aun adentro de la ciudad. Nos han enviado algunas granadas y balas rasas, q…</t>
  </si>
  <si>
    <t>…os veces : por el licenciado D. Inocente Nicolás de Estiiniga, abogado en Guadalaxara: quaderno primero. Se hallará en la librería de Ranz, calle de la Cruz ; en Alcalá en casa de D. Francis co de Vea Murguía, del comercio ; en Guadalaxara en la de D. Josef Qñez de l* Torre, del comercio, frente á la carnicería. Cada quaderno sé vende á tres rs., j se publicarán dosen^cada mes. Toda la obra constará de 28 quadernos , como lo expresa el del número…</t>
  </si>
  <si>
    <t>…orona, principalmente dirigido por su reco mendable comandante-D. Francisco Ealanzat, habiendo llegado los prime ros á las piezas ei teníeute IX F rancísco Driquet, el subteniente D. Francis co Goqz^lez y el granadero Andrés Castro, juntamente con el sargento pri mero del regimiento de Rivero Josef Fernandez Cienfuegos, á quien seguía el cabo Antonio Rugo. Inmediatamente se presentó el teniente de Volun tarios de Asturias D. Nicolás Barrosa, que…</t>
  </si>
  <si>
    <t>Francisco</t>
  </si>
  <si>
    <t>…están completando loa exérciios con las nuevas levas en Hungría y estados hereditarios, al mismo tiempo que se reúnen tropas ; por todo lo cual, hay algu nas esperanzas de que el emperador Francisco vuelva por su ho nor, pues sus súbditos están dispuestos á sacrificarse por no verá su monarquía tan dependiente de la Francia, que hace sacrificarlos contra sus amigos los rusos. Se asegura que el lord Walpole ha marchado hácia las fronteras de Austria á con…</t>
  </si>
  <si>
    <t>…, lantamos k decirles ti sitio en que desembarca los cazadores de Zamora, en número de 2; hom ron el íámóso general con sus edecanes, y á mani bres, mandados por-su bravo ca pitan D. Francisco festarles los'nombtes de tan ilustres personages. Florian, sorprehendiévon en el pueblo de Grajos 5á ,,El supuesto general es De bar, antiguo dwuan, banda de Garrido, conocida también baxo el nom y ios llamados coroneles «on ios bandido» Droz y bre de esquadr…</t>
  </si>
  <si>
    <t>139</t>
  </si>
  <si>
    <t>139 ESPAÑA. Santiago 10 de Enero, Parte del coronel D. Francisco hongo al Excmo. Sr. D. Gabriel de MenM,Tühr.l. „Exorno. Sr.: Tuve la honra de hacer un pequeño bosquejo á V. E. desde' -Barcina deí' Monte, del plan que meditaba pat a íbcgniodor al enemigo oor e-dos irises, ínterin V. E coa superiores atenciones en oíros lo…</t>
  </si>
  <si>
    <t>…n presentido. Debo elogiar el sufrimiento de los solda dos en í-u marchas, no menos que su valentía al frente del enemi go. D os &amp;c Echaurí 19 de Noviembre de 1812. — José Gañiz.— Sr. D. Francisco E^poz y Mina,” 4.a yFA ; Ho A rugo n puesto á mis órdenes llamaba mi atención, y con el objeto de organizar su sistema militar, me dirigí á él con dos batallones y 100 caballos, debiendo ademas reunir ei cuarto es cuadrón que opera en aquella parte. Hacia dias…</t>
  </si>
  <si>
    <t>…uen esta D. Josef López Pintado, alcalde. do: quedos almacenes estaban abundantemente pro D. f'btéban Pardo, substituto primero.' vistos de. efectos de- vestuario, de armamentos y D. Francisco de la Carrera , substituto segundo. de municiones de guerra: que una brigada de ca Barrio de Santo Tomas. ■ ballería, compuesta de dragones y Cazadores, de D. Vicente Ambrosio Aguirrc, alcalde. fuerza de 2® caballos , se halla en-Dantzick ba D. Josef Carí Vid…</t>
  </si>
  <si>
    <t>Gaceta de Madrid n.º 71</t>
  </si>
  <si>
    <t>…icado hoi , se .pagarán por cada caballo para el Por decreto de 9 del mismo S. M. se ha servi uso de los. coraceros 400 francos, y .350 trancos do nombrar al presbítero ex-regular D. Francisco por los'que se destinen para los dragones. Hurtado, prior que fue del convento de Aguas-vi vas, para el beneficio del núm. t.° titulado de San * -y -, • ' ESPAÑA. ' * ta Margarita, vacante en la iglesia parroquial de Carcaxente. Gerona *ri de diciembre. Los,…</t>
  </si>
  <si>
    <t>…envió un cañón de k 4 al parapeto del Calvario que custodiaban 20 patriotas, porque los rebeldes despreciaban el fuego de nuestra fusilería. A las (i salió el coronel de Castilla D. Francisco de fívia por el parapeto d* loa Barros con 200 hombres d® su bizarro batallón, y aunque tuvo algunas desgracias, consiguió desaloj ir ales enemigos* de sus mejores po siciones , caurándolea una pérdida -considerable. En seguida esa-'’ prendió el designio de t…</t>
  </si>
  <si>
    <t>…tablemente, no reputará aventurados unos-cálculos fundados en datos tan positivos. * &gt; &gt;( ^ ^ - PuentelaReina Gde abril, ^ ■■ ^ y ■ ■ 1 ■ * &lt; e-, ‘ ^ ' Parte del mariscal de campo D. Francisco, ■ ‘ Esjjqz y Mina ' al t Exentó.• r . * Srr[. 1&gt;. Francisco Xavier Castaños ,, Excmo. Sr. t el comandante de observación del punto de Verá me .dice lo siguiente. Mi general, hai cosas que parecen imposibles á primera vista, si se gradúan los medios y circuns…</t>
  </si>
  <si>
    <t>…teniendo presente e! mérito que contraxo con la compañía cíe cazadores de mi regimiento. = Dios guarde á "V. S. muchos años. Vandalios 16 de Mayo de 13n. =. Antonio Oro. r= Señor general D. Francisco lispoz y Mina. = Y yo lo traslado á V. E. para su inteligencia. ■= Nuestro heno? guarde á V. E. mu chos años. Luesia 18 de Mayo V 1813. — Francisco Espoz y Mi~ np, s Excmo. Sr. D. Francisco Xavier Castaños.” [Se continuarán.) Burgos 4 de j*iio. Partes del gen…</t>
  </si>
  <si>
    <t>FrancíScó</t>
  </si>
  <si>
    <t>…jt- ts: Obrería de Castillo, ‘(guando riñen las comadres se descubren las verdádés. 1^sté’^a{iiél* contíéhe' diís Representaciones hechas en 2 ,y 10 de mayo de este anó déf i Bí^á D. FrancíScó4 quartos. • • •' - 1 íw - ¿ 1 ^ Mecanismo del arte de la imprenta’: obra útil para los que le exerzan por las instrucciones que se dan para su mas perfecta execucíon, como asimismo para los autores,queise les dfrczcaumprimir: por D. Juan Josef Sigíienza y Ver…</t>
  </si>
  <si>
    <t>…de la Torre por preferencia en las clases de geometría y táctica; D. Tomas Benitez, en la de táctica; D. Dionisio Gisb-.’rt y D. Maittn de Villota en las de aritmética y álgebra; D. Francisco da La a en las de aritmé tica y ordenanzas, y D. Juan Saborido^ por su extraordinaria apli cación en ordenanzas y aritmética. ARTICULO DE OFICIO. Habiendo procedido las Cortes generales y extraordinarias en la sesión de 24 del corriente á la renovación de su presid…</t>
  </si>
  <si>
    <t>942</t>
  </si>
  <si>
    <t>942 ARTICULO DE OFICIO. El general en gefe del primer exército D. Francisco de-Copons y Navia ha dirigido al señor secretario del despacho de ia Guerra el parte siguiente: «Excmo. Sí-:-Tengo ei honor de acompañar á V. E., para que se sirva elevarla á noticia de.S. A. la Regencia del reyno, copiadel parte de la bridante acción que ha…</t>
  </si>
  <si>
    <t>…os. Con efecto, k&gt; ha verificado con toda su guarnición á las 11 en punto de esta mañana, según lo manifiesta el oficio que el coman dante general de las tropas de esta "provincia D. Francisco físpoz y Mina ha dirigido a su gefe político en estos términos: &gt;» *cabo de conceder una capitulación honrosa ai comandante francés de esta pinza. A las 1 * de esta mañana debe desfilar delante de mis tropas la guarnición francesa de h misma, á quien he conce…</t>
  </si>
  <si>
    <t>Se ha recibido hoy un correo de Suecia; las cartas con fecha del 17 dicen que el príncipe real (Bernadotte) tuvo una conferencia con el emperador Aiexandro , el rey de Pruda y el emperador Francisco; y se asegura que los aliados instaron al ultimo soberano para que to mase el título de emperador de A?emaniai. La expedición que salió hace algunas semanas de este país llegó á Gottenburgo: según algunas cartas, Jas tropas que fueron en ella de bían dar la v…</t>
  </si>
  <si>
    <t>…iano Portillo recomienda á Rozas, á los dragones de S. Cárlos y á los patriotas de Ixtlahuaea , que le acompañaron. 68. El teniente coronel y comandante de las armas de Tulancingo D. Francisco de las Piedras, con fecha de 30 Setiembre ha dado cuenta de haber aplicado el indulto á Máximo Antonio Flor y sus hijos , y al cabecilla Isidro Morales, quienes se ofrecieron ha cer una correría contra los rebeldes; efectivamente lo verificaron, hicieron * 4…</t>
  </si>
  <si>
    <t>…ón importante. Bilbao T X de Setiembre. Ayer se ha recibido de oficio, por la vía de Santander, el rom pimiento deí armisticio. El Austria se ha declarado contra la Fran cia, y el emperador Francisco ha tomado nuevamente ei título y dignidad de emperador de Alemania : ha enviado 90$ hombres á Italia y 50® para que se reúnan á los aliados. - Ei tren que ha servido para tomar á S. Sebastian, ha marchado todo sobre Pana piona. ARTICULO DE OFICIO. La Regencia…</t>
  </si>
  <si>
    <t>…ción de guerra del emperador de Austria con tra la Francia el día 10 de Agosto próximo pasado, y que se co municó, ;í la una de la madrugada del 11 por medio de una nota del mismo emperador Francisco, y un manifiesto de los motivos de esta declaración: é inmediatamente se remitieron á Prajm los pasaportes para los plenipotenciarios franceses con órdenes de que partiesen al instante. Lord Cathc3rt se encaminaba hacia Pra ga, en cuya ciudad teman el 13 sus…</t>
  </si>
  <si>
    <t>…ustríacos mas de medio millón de hombres armados entre las tropas regladas y la mi licia: se advierte una prodigiosa actividad en el apresto de víveres y municiones; y en suma, el emperador Francisco se muestra resuel to á sostener en esta coalición eí lugar distinguido que corresponde tula antigua dignidad de sn casa. El objeto de sn noble determina ción es el restablecer el antigao equilibrio de Europa, destruido por la ambición tiránica de Bonapaite, y…</t>
  </si>
  <si>
    <t>…Agustín Girón. 5= S¥. D.'Lúis'M'iinpífen.p ^ - , PRIMER EXERCITO NACIONAL. Quartel general de Esparraguera 2 de octubre. ORDEN GENERAL. \ El señor general en gefe de este exército D. Francisco dé Copons y Nasvia tiene la satisfacción de ver que en qualquier punto y de qoaíquier mudo en que las tropas que forman el exército de su mando se empeñan con Iqs enemigos, los resultados son siempre ventajosos,, siempre correspondientes ja la grandeza de la…</t>
  </si>
  <si>
    <t>…la hizo el regimiento de voluntarios de la Corona principalmente dirigido por su recomendable comandante JD. Francisco Balantzat, ha biendo llegado los primeros á dichas piezas el teniente D. Francisco</t>
  </si>
  <si>
    <t>1195</t>
  </si>
  <si>
    <t>1195 El cuerpo sorprehendído fué de 900 hombres como se ha dicho; pe ro los 3 q, que son croaros de tropa reglada , manifestaron querer servir á su soberano el emperador Francisco, y así estos 300 entra ron separados tambor batiente, con sus armas y bagsges. Entre los prisioneros hay bastantes artilleros y olida les italianos. PRUSIA. Berlín 6 de Setiembre. Según el parte de oficio del general Langeron, ía pérdida de! enemigo en ia bat…</t>
  </si>
  <si>
    <t>…sde á Magdeburgo. En la Italia los alemanes atacaron el i.° de Octubre á lo* fran ceses en Advlsberg.:La:división francesa se hallaba el 20 de Setiem bre en Brixen. Las tropas del emperador Francisco han recibido en Fiume grandes refuerzos.. ; APvTICULO DE OFICIO. La Regencia del rey no se ha servido expedir el decreto signunféi D. Fernando vií , . por la gracia de Dios y por la Constitución de; ^m.qíis*:q«te esp&amp;ño}a, rey de las ¿ Españ a» , y en sü ause…</t>
  </si>
  <si>
    <t>…e dicho auto , comparezcan por sí ó sus apoderados á deducir sus acciones ante los referidos señores jueces de primera ins. tancia D. Tadeo R.icp en la ciudad de Murcia, ó ante el Sr. D. Francisco dé Assin en .esta corte, y por las escribanías citadas; en inteligencia de que'pasado dicho término/les parará el perjuicio que haya lugar. ; ? Por muerte de D. Ramón de Olaeta, coronel que fue del regimiento de Vo luntarios de Castilla , han quedado algunos…</t>
  </si>
  <si>
    <t>…9. El emperador Alexandro entró en Francfort el día 5 , acompa ñado de artillería, caballería y la guardia, en medio de las aclama ciones del pueblo. , ' Al día siguiente entró el emperador Francisco, y ambos monar cas se dirigieron á la catedral. Se supone que Bonaparte escapó para el Rhin con 5 0^ hombres. Se reunía en Francfort el grueso del exército, y estará en breve pronto para las operaciones ulteriores. Se esperaba por momentos ea Francfort al rey…</t>
  </si>
  <si>
    <t>Francisco, Juan</t>
  </si>
  <si>
    <t>Juan Francisco</t>
  </si>
  <si>
    <t>…bispado de Búrgos, hijo legítimo de D. Santiago y Doña Antonia Serrano Ayala, difuntos, que lo fueron de !a misma, y á ios que han salido mostrándose partís D. Julián, D. Melehor, D. Juan Francisco y Doña Manuela de Aparicio, her manos, como sobrinos carnales del citado D. Antonio Zaldua; por lo que se cita, llama y emplaza á todas y qualesquiera otras personas que puedan tener derecho i sus bienes, á fin de que en el término de 20'dias, contados de^de 31 del pasado, acudan ante…</t>
  </si>
  <si>
    <t>FranciscoXabcrda</t>
  </si>
  <si>
    <t>…ía, gefes, oficia e&gt; y tropa han llenado sus deberes á toda’ mi satisfacción. Todos á qual mas se haa distinguido, pero los tenientes coroneles. Cuevas y Baza, y el sargento mayor D. FranciscoXabcrda han te nido con los oficiales qBe-nandaoaii.ocasicn.de hacer sobresalir su valor, y IX Florencio Ceruti en el puntual desempeño de las funcio nes de gefe de estado mayor que exerce en la brigada E11 una de las cargas de la caballería han acreditado su'serenid…</t>
  </si>
  <si>
    <t>Franciscp</t>
  </si>
  <si>
    <t>…as,.pútridas, malignas, contagiosas y pestilente*, traducido poreiDr.Doa Antonio Lavedan: dos tomos en 4.0 en rústica á 42 rs. ? Observaciones sobre el pulso. Obra postuma del Dr. D. Franciscp1 Solano de Luque: segunda edición: un tomo.en 4.0 Se hallará en dicho jlcspachojá 19 rs. en pasta. Se hallan vacantes los partidos de médico.y cirujano de la villa de Camarena, provincia de Toledo, distante nueve leguas, de. esta corté, y cinco de* Toledo: su…</t>
  </si>
  <si>
    <t>Franco, Pedro</t>
  </si>
  <si>
    <t>Pedro Franco</t>
  </si>
  <si>
    <t>…resbítero. Leyéndose el boletin 29.“ en V-een, distrito de Para el de Benexama , vacanre por fallecimien Cleves, entre una concurrencia mui numerosa de to de D. Joaquin Perales, á D. Pedro Franco, vi los vecinos se levantó el maire*, y dixo con entu cario de Sueca. siasmo : ,, La pérdida de estos caballos es nada para Para el de S. Juan de Euova, vacante por pro »&gt; S. M., porque no pueden agorarse ios que hai ea moción de D. Mariano Sans, al presbíter…</t>
  </si>
  <si>
    <t>Fránconi</t>
  </si>
  <si>
    <t>Gaceta de Madrid n.º 96</t>
  </si>
  <si>
    <t>…n la mayor intre prusiano, sin que hayan podido hasta ahora pose pidez por los legionarios de la provincia á las orde sionarse de ningún puesto fortificado en. todo el cur ñes del capitán Fránconi, y por un destacamento so del Vístula. dé la compañía escogida de Giula, mandado por el Quaiquier'a que lejos del teatro de la guerra, y señor Juliis. sin conocer el carácter de los rosos, ley ese-los diex últimos boletines de sus operaciones, creería- que IM…</t>
  </si>
  <si>
    <t>Fre</t>
  </si>
  <si>
    <t>…a larganerse en comunicación con su flanco derecho. del canal de Oginski, y dexó abandonados á los La división Bianchi tomó el camino de Rusthana, y la siguió la brigada del mayor general Fre paisanos muchos centenares de carros del enemigo. La pérdida total del coronel Scheiter en estalich , y poco después el séptimo cuerpo del exérci expedición ha sida mui corta; consiste por lo queto grande , que venia de Brzesc con la trigésima se toca á los d…</t>
  </si>
  <si>
    <t>Fre, Sir G.</t>
  </si>
  <si>
    <t>Sir G. Fre</t>
  </si>
  <si>
    <t>GRÁN-BRETAÑ A. Londres r$ de Octubre*. COLONIAS*. . . • i ’Do'tvning-Street j de Setiembre*. El conde Bathnrst recibid un oficio del teniente general Sir G. Fre— ▼ost, barone:e , cuyo extracto es el siguiente:. Kingston y en el Cañada superior , gde Julio de i8ig. Tengo el honor de remitir á V* S. copias de las cartas del co ronel Vicente; y dei teniente coronel Bissiiopp , y los papel s que vienen adjuntos, que cond…</t>
  </si>
  <si>
    <t>Frecow</t>
  </si>
  <si>
    <t>…. Uno de mis primeros cuidados* era cortar la comunicación del enemigo con la ciudad, y el descuido que tuvo este en cerrar una de sus puertas me facilitó mi idea, logrando que el coronel Frecow acometiese por aquel punto á la retaguardia de las tropas que marchaban hacia el quadro, y las persiguiese hasta la artillen*. Al mismo tiempo el coronel Wlassaw, á quien liabia hecho adelantar con dos regimientos, esperando sorprehender al ene migo, atacó po…</t>
  </si>
  <si>
    <t>Freemantie</t>
  </si>
  <si>
    <t>…vado cuantos se han empleado en ía acción. Tengo la honra &amp;c.z=i?. II. Monbray Cuarto. »ÉI capitán Tayíor, del navio Apolo, participa en oficio de 1-6 de Febrero último- al contra-almirante Freemantie la toma de las islas Augusta y Curzola, en el Adriático, por un destacamento de tropas á las, órdenes del coronel Robertson, sostenidas por los mari neros y soldados de marina del Apolo : al mismo tiempo comunica el apresamiento del corsario Esperanza y de 4…</t>
  </si>
  <si>
    <t>…os Gañones, 6 iba cargado de granos y harinas para Corfú, por los botes del Cerberot á las órdenes de los tenientes de Lafosse y Montagu. «En el segundo eíicío, dirigido ai contra-almirante Freemantie, comunica la toma de ía cañonera francesa la Veloz; la cual con un cañón de 18 y 22 hombres de tripulación, se encaminaba á Otranto, á fia de tomar allí dinero para p3gar las tropas de Corfú: igualmen te da cuenta de la toma de un gran barco apresado por los…</t>
  </si>
  <si>
    <t>Freemantle</t>
  </si>
  <si>
    <t>…o gobierno no lo consentirá’ , á pesar de todos los gritos del comer cio. ( Courier d'Angleterre dét iq, de setiembre.) Mesma 28 de julio. Sabemos ipor cartas particulares- que el almirante Freemantle entró en la rada de Fiuine el 3 de este mes con una fragata y una corbeta; y habiendo desembarcado algunas tropa?, tomó posesión de la</t>
  </si>
  <si>
    <t>Freementle</t>
  </si>
  <si>
    <t>Gaceta de Madrid n.º 9</t>
  </si>
  <si>
    <t>…n venido En su discurso á la cámara de los comunes le aquí para desembarcar ea las costas deDalmacia se da gracias por su prontitud en conceder los socor han vuelto á Pajertno. El almirante Freementle pa ros necesarios j y aunque siente por una parte gra sará mañana á reconocerá Venecia y otros puertos: varla con nuevas cargas, aguarda por otra que una después volverá á Palermo. - . perseverancia en la disputa actual conducirá á los " Las últimas noticias…</t>
  </si>
  <si>
    <t>Freíre</t>
  </si>
  <si>
    <t>…contra S. Sebastian , cuya plaza estará pronto en disposición de nuevo ataque. —.Hoi ha salido el ge neral Castaños para.Lesaca , y en el camino entregará el mando del exército al general Freíre.—-. Se sabe casi con certeza la continuación de la guerra del Norte; y hai confianza de que el Austria se declare contra la Francia. •«.__Según los estados que ha recibido el Lord, constará el todo de los exér citos del Norte en la primera campaña de 400® hom…</t>
  </si>
  <si>
    <t>Freire</t>
  </si>
  <si>
    <t>…ito ocupan la derecha del Ebro, y la división tercera del mismo y los cuerpos de los generales Villacampa y Duran ocupan la izquierda. El dia 30 del mes próximo pasado trasladó el general Freire su quartel general á Irun----- El ataque que en la gazeta anterior indicamos que habría el dia 28 por los puntos de Roncesvalies y Lesaca, no se ha verificado. _ En dicho dia 30 continuaba el fuego contra S. Sebastian, cuyas murallas y aun el tejado del casti…</t>
  </si>
  <si>
    <t>Gazeta de Madrid bajo el Gobierno de la Regencia n.º 39 (extraordinaria)</t>
  </si>
  <si>
    <t>…dos muertos y 1260 heridos. Las bayonetas del quarto exército suplieron la artillería de que carecíamos por el punto de Irun, sufriendo el destrozo que producía la dei enemigo. El general Freíre perdió uno-ó dos caballos. Pomparte de los enemigos solo se sabe por ahora que el general La-Martiniete quedó gravemente he rido:, y murieron dos gefes de brigada, dos coroneles, cinco co mandantes, muchos oficiales y millares de soldados.. Soult habia ofreci…</t>
  </si>
  <si>
    <t>Freiré</t>
  </si>
  <si>
    <t>…echa en Lesaca el 2. Es relativo árda rendición de laJplaza -de S. Sebastian,» y .4^a victoria,conseguida ,px&gt;r Jas. tropas .debiJUárto.ejército el, dia ,31 de. a__ El segundo del general Freiré -al; secreta rio, de Guerra, dándole, la misma ;yie$oriai ^Elrterceeoídebseñor duque ¡de Ciudad-Ro-&gt; 4f.lg9gaÍ5pl9pftñaiifiq¡ lg&gt;sparte$ qyé,.de la rendición de S* Sebastian y de &amp;Sn3^9fiP$¿^t3§í yjJfcde: ¡agpsto y. i.0 *de setteúíbt-e,| Jet habían dado los,…</t>
  </si>
  <si>
    <t>…e continúa en fortificar incesantemente nuestra línea, á fin de evitar que ha ga otra tentativa en favor de la guarnición de Pamplona----- Se espera que ademas de la promoción del general Freire á teniente general se premiará el mérito de otros gefes y subalternos que se distinguieron en la acción del 31. El pueblo de Irun ha manifestado generalmente su gratitud al referido general por haber elevado á noticia del gobierno su generosa y patriótica con…</t>
  </si>
  <si>
    <t>…ció aquella ren¿ dicion. ■ Según escriben de Irun el día 21 cogieron los aliados» todos los piquetes de escucha que el enemigo estaba colocando por la noche en aquella línea; y ei general Freire estuvo en peligro porílbaberse aproximado»solo sin fuerfca qué le defendiese. Parece qué Continúa lloviendo, y que;Té nota al’gu^ na escasez de víveres—- Lord Wellirígton nb «esa de dar disposicionesFéflt virtud de las que han pasado^ ya el Vidasoa algunos tr…</t>
  </si>
  <si>
    <t>Freire, Manuel</t>
  </si>
  <si>
    <t>Manuel Freire</t>
  </si>
  <si>
    <t>…las baterías ; y han mani festado en toda ocasión aquel espíritu que es característico á la marina britá nica. No puedo aplaudir suficientemente la conducta del mariscal "de campo D. Manuel Freire, general en gefe dei quarto exército español, quien mien tras tomaba todas las disposiciones convenientes para las tropas de su mando, daba un exemplo de la bizarría, que imitada por los generales, gefes y ofi ciales de los regimientos, aseguró el próspero éx…</t>
  </si>
  <si>
    <t>Freíre, Manuel</t>
  </si>
  <si>
    <t>Manuel Freíre</t>
  </si>
  <si>
    <t>…aunque los franceses lo pintan de otro modo. —_ Ha llegado á Suecia un parlamentario dinamarqués. . '1 La Regencia del reino, atendiendo á los distinguidos Servicios det gene ral D. Manuel Freíre, y anteriores recomendaciones hechas en su favor por el Excmo. Sr. duque de Ciudad-Rodrigo, particularmente por lo que se ha señalado en la ultima acción de 31 de agosto, se ha servido promoverte á teniente general, sin perjuicio de premiar también como corre…</t>
  </si>
  <si>
    <t>Freírre, Manuel</t>
  </si>
  <si>
    <t>Manuel Freírre</t>
  </si>
  <si>
    <t>…padecido; pero tengo la felicidad de añadir que en las demas partes de estos cuerpos no se há experimentado grande pérdida. - . . • 1 „ Las tropas españolas del mando del teniente general D. Manuel Freírre se portaron admirablemente bien, envolviendo y apoderándose de los -.atrincheramientos que el enemigo tenia sobre las alturas con gran destreza y bizarría; y esroi mui reconocido á los tenientes generales Freire y Gralaanr, y á los oficiales de estado mayor d…</t>
  </si>
  <si>
    <t>Frelich</t>
  </si>
  <si>
    <t>…diciembre en las cercanías de Pruszana. La “mando del destacamento, y trató de volver por Lohiczyn; pero también se encontró este puntoretaguardia, á las órdenes del mayor general barón Frelich, hizo prisioneros en Horodetska dos oficia ocupado por el enemigo. Cortado por todas partes, no halló otro medio para salvar su destacamentoles y 30 hombres, y cogió óo carros. Un destacaque el de romper por Lohiczyn á todo riesgo.mentó de los caballos ligero…</t>
  </si>
  <si>
    <t>Fremant</t>
  </si>
  <si>
    <t>…oceden tes de Burgos , cuyo número y objeto no habia aun averiguado. He tratado después de hacerlo , y hallé que en él y pueblos inmediatos, estaban 4000 hombres á las órdenes del general Fremant haciendo) requisiciones, y cometiendo los excesos y tropeles que en seme jantes casos acostumbran. ,,La protección que he prometido á todos lo» pueblos de la de marcación que V E. se ha dignado concederme, y el amor singu lar que les profeso, me decidió en sn…</t>
  </si>
  <si>
    <t>Frenando</t>
  </si>
  <si>
    <t>…el emulador de vuestras virtudes = Juan Downie.== Sevilla 28 de agosto de 1813. . 1 • ’ \ ' 1 ARTIGALO DE OFICIO. La Regencia del reine se ha servido expedir el decreto siguiente: D. Frenando vii, por la gracia de Dios y por la Constitución de la monarquía española, Rei de las Españas, y en su ausencia y cautividad la Regencia del reino nombrada por las Cortes generate? y extraordinarias, á todos los que las presentes vieren y entendieren, sabed:…</t>
  </si>
  <si>
    <t>Fresnel</t>
  </si>
  <si>
    <t>…de llegar i$© prisioneros, y su número se aumenta cada instante. Entre ios prisioneros se ha Han dos generales Moreli y Avesani, y 280 oficiales. = Firmado ==Fresnel (1), (1) Este general Fresnel manda ahora en gefe el cuerpo austríaco y bávaro en defecto del general Wrede. (_ JW&amp;ta reductor portugués,") ■</t>
  </si>
  <si>
    <t>Fresno, Francisco</t>
  </si>
  <si>
    <t>Francisco Fresno</t>
  </si>
  <si>
    <t>…del primero cántabro; D. Silvestre Hidalgo, teniente coronel; D. Bernardo Alvarez, D. José Tai la y D. Manuel Mendez, capitanes; D. Vicente Noriega,D. Francisco Xavier Alva rez y D. Francisco Fresno , tenientes ; D. Sebastian Sánchez, Don Félix Arenal, D. Juan José Paz y D. Luis Ortiz Falla, subtenientes dei de Laredo; D. José Castrejon, teniente, y D. Vicente de la Tórnente., subteniente del de tiradores de Cantabria; D: Buenavent&amp;ra Tomasa, teniente co…</t>
  </si>
  <si>
    <t>Fressinet</t>
  </si>
  <si>
    <t>…enier, nal aventajan mucho á las del enemigo, y vuestras llegó á Nuremberg entre los di as. 19 y 20. Esta, armas son mejores que las suyas. Los soldados de brigada, mandada por el general Fressinet, y com— -Jian parre ancianos son por , que la mayorlínea f,ucstaigera franceses,de los regimientosva á acantonarse14.” y 22.?provisionalmente,de infantería de asado mejores sus años las nocivo clima en el ndias occidentales, y no es creíble que os resistan en…</t>
  </si>
  <si>
    <t>Freyre</t>
  </si>
  <si>
    <t>…o contra S. Sebastian, cuya plaza estará pronto en disposi ción de nuevo ataque. — Hoy ha salido el general Castaños para Lesaca, y en el camino entregará el mando del exército al general Freyre. Escriben de Vitoria, con referencia á un general nuestro , que el día 2 del corriente estaba el Lord preparándose para atacar á los franceses en Echalar, pueblo que dista legua y media de Letaca. El general Freyre llegó á Vitoria el día 4 á las siete de la m…</t>
  </si>
  <si>
    <t>…eneral; de todos los oficiales de estado mayor, y de mi familia. Remito á V. E. estos detalles por el tenien te del regimiento de dragones de Madrid D. Tomas Domiguez, ede cán del general Freyre; y ruego á V. E. me permita recomendarle á su protección. s= Dios guarde á V. E. muchos años. Lesaca 2»de Setiem bre de 1813.“ Wellingten, duque de Ciudad Rodrigo. = Excmo. Sr. D. Juan Odonojti. = Es copia” Núm. 2.® Parte del general en gefe del cuarto exérci…</t>
  </si>
  <si>
    <t>…os muertós^y 1260 heridos. Las bayonetas del cuarto exército suplie ron la artillería de que carecíamos por el punto de Irun, sufriendo el destrozo que producía la del enemigo. El general Freyre perdió uno ú dos caballos. Por parte de los enemigos solo se sabe por aho ra que el general La Martiniere quedó gravemente brido: y mu rieron 2 gefes de brigada, 2 coroneles, 5 comandantes, muchos ofi ciales y millares de soldados. Soult había ofrecido á e. t…</t>
  </si>
  <si>
    <t>Freyre, José María</t>
  </si>
  <si>
    <t>José María Freyre</t>
  </si>
  <si>
    <t>…os por los cuerpos de Doyle, Union y Legión* que defendían el punto, y las compañías de cazadores de los dos últimos, que solo se hallaban allí reunidas, al mando de sus capitanes D. José María Freyre y barón Quistorp, se conduxeron con la mayor bizarría. A la propia hora, la de León y primera de fusileros de este cuerpo, que mandaba su teniente coronel D. Juan Vázquez Qnevedo, con el batallón ingles num. 5^7, fueron cargadas en su posición de Vet earlos,…</t>
  </si>
  <si>
    <t>Freyre, Manual</t>
  </si>
  <si>
    <t>Manual Freyre</t>
  </si>
  <si>
    <t>…del centro : había tres brigadas de artillería inglesa, con esta pgrte dtlexército , 3 cañones de montaña con el general Girón, y 3 mas con el general Cáríos Alten.. „El teniente general D. Manual Freyre marchó en dos colum nas desde las alturas de Mandalé hacia Ascain con el fin -de-apro vecharse de cualquier movimiento que el enemigo pudiese hacer desde la dereeh: dé su posición hüeis su centro ; y el teniente ge neral Sir Juan Hope, con la iz quierda del e…</t>
  </si>
  <si>
    <t>Freyre, Manuel</t>
  </si>
  <si>
    <t>Manuel Freyre</t>
  </si>
  <si>
    <t>Gazeta de la Regencia de las Españas n.º 117 (extraordinaria)</t>
  </si>
  <si>
    <t>973</t>
  </si>
  <si>
    <t>…ADO 11 DE SETIEMBRE DE 1813. ARTICULO DE OFICIO. La Regencia del reyno acaba de recibir un extraordinario del Sr. duque de Ciudad-Rodrigo y del general en gefe del coarto exercito D. Manuel Freyre; y por no dilatar al público la satis facción que deben causarle las interesantes noticias que ha traído, ínterin se insertan en la gaceta dei Gobierno tes partes y estados de pérdidas, ha mandado S. A. que por esta extraordinaria se ha ga saber que la plaza…</t>
  </si>
  <si>
    <t>…. El señor secretario del despacho de la Guerra ha recibido pee extraordinario los siguientes partes del señor duque de Ciudad Ro drigo , y del general en gefe del cuarto exército D. Manuel Freyre. Noia. i.® Parte del señor duque de Ciudad-Rodrigo. »Excmo. Sr.: Se renovó el fuego cent a la, plaza de S. Sebastian el 26 de Agosto último, y se dirigió contra las torres que flanquea* la cortina de la cara del E.; contra el medio baluarte situado sobre el á…</t>
  </si>
  <si>
    <t>…rte de sus fuerzas en el campo de Uróque; ío que dió motivo para creer que haría una tentativa para socorrerla plaza. «Tres divisiones del cuarto exército español, mandadas por el general D. Manuel Freyre, ocupaban las alturas de S. Marcial y el pueblo de Irun, cubriendo y protegiendo la avenida de S. Sebas tian por el camino real: estas tropas estaban sostenidas por la pri mera división de infantería, británica del mando del mariscal de cam pó Howard, por la…</t>
  </si>
  <si>
    <t>…en fes baterías; y han manifestado en toda Ocasión aquel cspfrLtu-que es característico á la marina británica. No pu^do aplaudir sufic-Littemente la conducta del mariscal de campa D. Manuel Freyre, general en gefe del enano exército español, quién* mientras tomaba» todaí'iás disposiciones convenientes para las tropas de su mandó duba uii éxempio de la bizarría, que 'imitada por los generales, ge fes y oficiales de los regimientos', aseguró el prósperoi…</t>
  </si>
  <si>
    <t>…uchos años. Lesaca 2»de Setiem bre de 1813.“ Wellingten, duque de Ciudad Rodrigo. = Excmo. Sr. D. Juan Odonojti. = Es copia” Núm. 2.® Parte del general en gefe del cuarto exército D. Manuel Freyre. }, Excmo. Sr.: El 31 del mes próximo pasado al amanecer pasaron los enemigos el Bidasoa en fuerza por los vados delante de la cañada de Soroya , haciendo replegar nuestros puntos avanzados. Se re~ unieron y formaron sus masas en un cerro pequeño de esta part…</t>
  </si>
  <si>
    <t>…umnas eran mandadas por el mariscal de campo Hay, por el honorable coronel Groviíle, el mariscal de campo eí honorable Eduard Stopford y el de la misma clase Howard; y el teniente general D. Manuel Freyre dispuso que la parte del cuarto exército español, baxo sus inmediatas órdenes, pasase en tres co lumnas por los vados de la parte arriba de donde lo pasaron las tro pas anglo-portnguesas; cuyas columnas se componían de las briga das del mando de los brigadier…</t>
  </si>
  <si>
    <t>…y ha padecido; pe ro tengo ia 'felicidad :de añadir que en las demás partes de estos cuer pos no se ha experimentado grande perdida. » Las tropas español is dei mando del uniente general D. Manuel Freyre se port roa admirablementé bien, envolviendo y apoderán dose de los atrincheramientos que el enemigo tenia sobre las aburas, con gran destreza y bizarría; y estoy muy reconocido á los tenien tes generales Freyre y Graham, y á los oficiales de estado mayor de…</t>
  </si>
  <si>
    <t>1304</t>
  </si>
  <si>
    <t>…l de campo Anson. en el ataque de Sarre y centro de las alturas. «Aunque, la paite, mas brillante de éstas operaciones no cupo^ en suerte á los tenientes generales Sir Juan Hope y D. Manuel Freyre, tengo fondados motivos para estar satisfecho del modo con; que dirigieron y conduxeron sus tropas, en la parte que se puso&gt; á su cargo. «Nuestra, pérdida, aunque sensible, no. es tan grande como po—* día esperarse si se considera lo fuerte de las posiciones…</t>
  </si>
  <si>
    <t>…ibTe hacer otros movimientos, viéndome en la necesidad de di ferir nuestras operaciones sucesivas hasta la mañana siguiente. El enemigo evacuó á Aseaia por la tarde, y el teniente general Don Manuel Freyre lo ocupó; y durante la noche evacuaren toda» sus obras y posiciones en frente de S. Juan de Luz, retirán ose á Vidart, y destruyendo todos los puentes del baxo Nivel e. El teniente general Sir Juan Hope, con la izquierda del exército, los siguió tan luego com…</t>
  </si>
  <si>
    <t>…o: .había tres brigadas de artillería ingresa con esta parte del exército, tres cañones deonón— taña con el general Girón, y tres mas con ei general Cárlos Altén.i r; „E1 teniente general D. Manuel Freyre marchó en dós cólutias;dqsdelasí alturas de Mándale hacia Ascain, con el fin de aprovecharse de qiíalquier movimiento que el enemigo pudiese hacer -desde la derecha de su posición</t>
  </si>
  <si>
    <t>…ible hacer otros movimientos, viéndome en la necesidad de diferir nues tras operaciones sucesivas hasta la mañana siguiente. El enemigo evacuó á Ascain por la tarde,-y el teniente general D. Manuel Freyre lo ocupó; y durante la noche evacuaron todas sus obras y posiciones enfrente de S. Juan de Luz, retirándose á Vidart, y destruyendo todos los puentes del baxo Nivelle. El teniente general sir Juan Hope, con la izquierda del exército, los siguió tap luego como…</t>
  </si>
  <si>
    <t>…scal de campo Anson en el ataque de Sarre y centro de las alturas. „ Aunque la parte mas brillante de estas operaciones no cupo en suerte á los tenientes generales sir Juan Hope y D. Manuel Freyre, tengo funda dos motivos para estar satisfecho del modo con que dirigieron y conduxexon sus tropas en la parte que se puso á su cargo. «Nuestra pérdida, aunque sensible, no es tan grande como podia espe rarse , si se considera lo fuerte de las posiciones que…</t>
  </si>
  <si>
    <t>Friant</t>
  </si>
  <si>
    <t>…da de jas cosas en la Pomeranía sueca, envió allí el rey ai general Eagelbrechien Gomo parlamentario ; pero habiendo recibido prontamente la noticia de no haber querido el general conde Friant oir al general sueco, ni siquiera responder por escrito á la carta queje dirigió, juzgó 8. M. que por sistema querrían mantener á Ja Suecia en la ignorancia de los negocios generales, y aun de ios particulares suyos. „A posar de todas las precauciones tomadas…</t>
  </si>
  <si>
    <t>…orilla izquierda del Oder desdé Stetin hasta Custrin. - • Francfort 24 de. febrero. AUSTRIA. Han llegado á esta ciudad S. E. el mariscal du que de Istriá, y los señores generales conde Friant, Vtena i.° de marzo. barón Pernety y Bercké'un. Ha llegado á esta capital el señor general con de de V\ atzdorf, ministro de S. M. el Rei de Sa- GRAN BRET AÑ A. xonia cerca de nuestro Soberano. Londres ¡ de marzo. t SAXONIA. PARLAMENTO BRITANICO. Leipsick 24…</t>
  </si>
  <si>
    <t>…— El conde Grouchy. — El conde Nansouty. — El conde Valence. — El conde S. Germán. De infantería: el conde Labor de. — El conde Loison. — El conde Bonnet. — El conde Molitor. — El conde Friant. — El conde Legrand. Los polacos, reducidos á 15$, están en Pirna, mandados por el príncipe Poniatowsky, y la caballería por el general Dombrousky.. ESPAÑA. Vinar o z 16 de Setiembre. El 13 por la noche atacó Sucliet con 20® hombres á la tercera' división de…</t>
  </si>
  <si>
    <t>…EL duque de Tarento marchó adelante con 5© tiradores, á las ór-d denes del general CUarpentier: la caballería del general Sebastiani, la divi-: síon de la guardia , mandada por el general Friant, y la caballería de Iaf guardia antigua los seguían : el resto del exército marchaba á retaguardia. El enemigo había situado seis batallones en la villa de Ruekeugem con</t>
  </si>
  <si>
    <t>…, y poco después en completa derrota. A las cinco de la.t-arde hizo el enemigo un esfuerzo por su derecha para desembarazar la izquierda, y dar á esta tiempo de repararse (1). El general Friant etnió dos batallones de la guardia antigua á una quinta--situada sobre el camino viejo de Hanau. Al punto se arrojó ai enemigo de su ventajosa posición: su derecha , obli(¡) Pava srr cErto esto debe ser falsa la completa derrota que indica. Aunque es difícil…</t>
  </si>
  <si>
    <t>Frías, Miguel de</t>
  </si>
  <si>
    <t>Miguel de Frías</t>
  </si>
  <si>
    <t>…eñores D. Eugenio García, natural de Yuncidlos, de esta provincia, arcediano de Cartagena. Dr. D. Josef Zorrilla de la Rocha, natural de Arenas, vicario del Puen te del Arzobispo. D. Miguel de Frías, del Corral deAlmaguer, hacendado. Lie. D. Benito Saenz González, de Toledo, abogado de los tribunales nacionales. D. Luis Luxan y Monroi, de Arenas, hacendado. " Y para suplentes d los señores Lie. D. Josef Ramón Romeral, de la Peraleda de Garvín, párroco de…</t>
  </si>
  <si>
    <t>Friedrickstadt, Riedinger y</t>
  </si>
  <si>
    <t>Riedinger y Friedrickstadt</t>
  </si>
  <si>
    <t>59</t>
  </si>
  <si>
    <t>…mostrando intenciones de atacar. El mayor general Weljaminow recibió orden de retirarse en tal caso á su primera posición , y el teniente general Lewis, que mandaba el cuerpo del coronel Riedinger y Friedrickstadt, tuvo orden de aproximarse á Riga y tomar posición en la orilia derecha del Duna, en tanto que el mayor general Weljaminow debía defender ía izquierda. De este modo quedaba la ciudad en perfecta seguridad; pero el enemigo no juzgó acertado arriesgar un ataque…</t>
  </si>
  <si>
    <t>Frimont</t>
  </si>
  <si>
    <t>…de la plaza, á la que no observa bona, nuevo ernbaxador del Emperador de los fran mas que un poco de caballería ligera enemiga. ceses , tuvo su primera audiencia, en la que pre El general Frimont y el príncipe Poniarowslcy sentó sus cartas credenciales. ocupaban siempre la misina posición sobre el Filica. Los dos embaxadores pasaron en seguida á ha Stettin, Custriii y Glogau estaban en el mismo cer la visita de estilo, uno de despedida y otro de estad…</t>
  </si>
  <si>
    <t>…que nos hallamos duelos deRachstadt, Lienz, Viílach y Caristad, y'que el día 26 del corriente estaba para entrar en Fiume la vanguardia del general Radiojevich. En Vülach tomó el general Frimont 20 piezas de artillería. El enemigo tenía su posi ción en Tarvis y Laybach. - Concluye la relación mencionada con que el día 28 el batallón de la frontera francesa de Szluiner se vino deserrado á nuestro campo con todos sus oficiales, completamente armado, y…</t>
  </si>
  <si>
    <t>Frochot</t>
  </si>
  <si>
    <t>123</t>
  </si>
  <si>
    <t>123 Documento* y declaraciones relativa* al exf&gt;sm.t oficial, ,á,.,quien tuve, por secretarIo-.ú empleada en diente del suior conde Frochot. las oficinas deíseñor.conde HiilliaFy que'Stípé des-! pues era él oficial pagador ó q ua r t el-macsrrede la:’ " '■ ' HTJMERO I. ■’ - , décima cohorte. : Declaración de los hechos que han .pasado á mi n En guaneo al comandante bien percibí que és-' presencia…</t>
  </si>
  <si>
    <t>…este pre parativo. •. A,fes .siete y media 4? h miñan? fue Mr. Cluis Ya íbamos á retirarnos quando entró en la sala ¿ casa de Afr. Sjaylnier á decirle que JS. E. habia si el seów conde Frochot, y admirado de vernos ha do arrestado* y conducido i h cárcel pública. blar en estos términos con el coronel, llevó á Mr'. Mr. Soulujer preguntó inmediatamente por or Saulnier al hueco de una ventana, y le preguntó den de qyié/i. se jiabia hechp esta, prisión…</t>
  </si>
  <si>
    <t>…hendiendo en los mismos un reembolso preciso de tres Continúan ios documentos y declaraciones relati millones del principal de la deuda pública. En los vas al expediente del señor conde Frochot. ingresos se halla incluida una suma de 85.850000 dolars, recibida á'cuenta de los empréstitos autori JÍUMERp VI. zados por las actas de la última sesión. La totalidad Copia del interrogatorio hecho el aj de octubre de la suma obtenida en pago de préstamos as…</t>
  </si>
  <si>
    <t>…do junto á Mr. FfoMalet f 1 Es la misma que os comunicó el supuesto chor. general? P. ¿Y en efecto habéis enseñado uno y otro'al D. Sí; la misma es*, la reconozco por la que señor conde Frochot? se me leyó , á lo menos en parte; pues al prin D. No estoi cierto sí le enseñé el pagaré; pero cipio , estando en la cama arropado, no la tomé en sí de que saqué de mi bolsillo los dos documentos, la mano, y luego, después de algunas preguntas que y bien reg…</t>
  </si>
  <si>
    <t>…videncias violentas solo os preyenian retira-me con mucho pinero* y ¿o me he aprovechado ros ai quartel , vos vacilabais y consultabais «otór*de tales .ocasiones. ces con el señor,conde Frochot; ¿acasoerais tan es P, ReFeridme todas las particularidades que os crupuloso para poner en execucion las infames,ór sucedieron desde iaisalída de esros sugetos á vuestra den es de unas gentes desconocidas ? . , . Vasa hasta que llegasteis á la casa consistori…</t>
  </si>
  <si>
    <t>…go IMPERIO FRANCES. por el camino de Prutzana. París *4 de diciembre. PRUSIA. Continúan los documentos y declaraciones relati Berlín 1.° de diciernbre. vas al expediente dél señor conde Frochot. El cuerpo de reserva mandado poi el general Loison se dirige de Tilsir á Wilna. XUMERO VII. En el discurso de octubre han pasado por las inmediaciones de Danrzick 1 &lt;¡ regimientos de infan Copia de los interrogatorios hechas el t$ y i 6 de tería para incorpo…</t>
  </si>
  <si>
    <t>…e sus deberes como Parts a4 dt diciembre. primer magistrado municipal de la primera ciudad Continúan los documentos y declaraciones relati del imperio. vas al expediente del señor conde Frochot. Dio crédito con demasiada ligereza á una noti cia funesta y falsa; somero ix. No despreció, como era debido, con energía las Consejo de Estado. notificaciones ilegales y las criminales órdenes que el gefe de la cohorte Soulier le venia á comunicar; Sección d…</t>
  </si>
  <si>
    <t>…brió la discu Iterlc, de Bellcville y de Brurn. sión sobre el conjunto de hechos y circunstancias El señor presidente participó á la sección el ob que tenían relación con el señor conde Frochot en jeto de su reunión; leyó una copla de la carta del el asunto del 23 de octubre: después de lo qual, señor duque de Cadora al señor secretario general para llegar á fixar la opinión de cada uno de los del consejo con fecha de 21 de este mes, por la qual mie…</t>
  </si>
  <si>
    <t>…o, le recha zaron , habiéndole causado considerable -daño. Concluyen los documentos y declaraciones relati Con la noche cesó el fuego; pero al amanecer vas al expediente del señor conde Frochot. del dia 16 se dirigió el enemigo hacia Tecchio, donde se hallaba anclado todo el convoi. Al pri HUMERO xn. mer movimiento el teniente Prisco, comandante de los legionarios. mandó tocar generala; pre Sección de Marina. ' 1 ’paráronse "para el ataque, y se pla…</t>
  </si>
  <si>
    <t>…espués de haber exa Vichery salió el dia t.° de febrero en busca del ene minado los documentos relativos á la conducta del migo,.! quien alcanzó cerca de Médinacefi, y aquel señor conde Frochot en la mañana del 23 de octu mismo dia hubo una acción, en que quedó prisio bre de 1812 , nero todo el batallón de Voluntarios de Madrid con Es de dictamen de que la conducta del señor dos banderas, una de las quales pertenecía al regi conde Frochot ha sido pu…</t>
  </si>
  <si>
    <t>Frvnpi</t>
  </si>
  <si>
    <t>263 Bj.tr rio df lar CpanA diría. B ¡rrio de jesus Nazareno. D. Pedro Pescador, alcalde.. D. Benito Olmeda, alcaide. D. Frvnpi co Pando,, substituto primero. . D. Calixto Vi!! dva, substituto profiero. •D. Pablo,Marquiep, substituto segundo. ; D. Felipe Monasterio, substituto segundo. Barrio (te la puerta de Sigovia. Barrio de Pinto. D. Francisco Vives, alcalde. D. Ju an Icnacio Berr…</t>
  </si>
  <si>
    <t>Fs, Francisco</t>
  </si>
  <si>
    <t>Francisco Fs</t>
  </si>
  <si>
    <t>839</t>
  </si>
  <si>
    <t>…ceses que se han pasado, sigue obstina da, prefiriendo al rendirse, el morir, envuelta en las ruinas del edi ficio. Cádiz 6 de Agosto»Mx tracto de tina carta del mariscal de campo D. Francisco Fs— paz y Mina d un amigo suyo residente en esta plaza, pecha en Zaragoza á 18 de Julio* El 8 ataqué al general París en’ sus posiciones de Zaragoza; le causé una pérdida de 500 á 600 hombres; y de resultas levantó el campo el 9 entre 10 ó n de la noche , voland…</t>
  </si>
  <si>
    <t>FsntíAttrx</t>
  </si>
  <si>
    <t>X2£0 ARTICULO DE OFICIO. La Regencia del reyno se ha servido dirigirme el decreto que sigue: D. FsntíAttrx? vn, por la gracia de Dios y por ¡a Constitución de la monarquía española , rey de las Espadas, y ea su ausencia y cautividad la Regencia' del reyno nombrada por las Cortes generales y extraordinarias, á todos los que las presantes vieren y entendie ren , sab…</t>
  </si>
  <si>
    <t>Fsrhando</t>
  </si>
  <si>
    <t>…n hecho ayer salvas de artillería en esta plaza y tn in bahía, y se ha-cantado, d Te Deum. ARTICULO DE OFICIO. La Regencia del rey na se ha servido dirigirme el decreto que sigue: D. Fsrhando vii , por la gracia de Dios y por Ja Constitución de la monarquía española , rey de las Españas, y en su ausencia y cautividad la Regencia del. reyno nombrada por las Coi tes generales y extraordinarias, á todos los que las presentes vieren y entendie ren, sa…</t>
  </si>
  <si>
    <t>Fuente</t>
  </si>
  <si>
    <t>…olante se ocupase en su persecución y pesquisa; que se ofreciesen con repetición duros escarmien tos en las personas del primer aprecio público* como es notoriamente sabido con el señor Fuente, digno magistral de aquella catedral; que cercada Va lencia por el exército de Suchet, ocupada la Mancha alta por una división al mando del general Montbrum, é interceptadas por todas partes las avenidas de Cuenca, el miserable vecindario * marcado ya con el…</t>
  </si>
  <si>
    <t>Fuer, Juan</t>
  </si>
  <si>
    <t>Juan Fuer</t>
  </si>
  <si>
    <t>…Prm.i-pe un oficial, un sargento y 6 soldados heridos y un toldado prisionero. Nota. Lo^ cficiaies heridos son el capitán de Zapadores D. Bal tasar Vidal, el teniente del Príncipe D. Juan Fuer, y prisionero el de la misma ctese.de artillería D. Francisco Lostau.= Montallá iS de Setiembre de 1813. zz. Salvador Valencia. s= Es copia. ~ Miguel Sarasa. = Es copia. = Cabanes. ARTICULO DE OFICIO. El Sr duque de Ciudad-Rodrigo da parte al Sr; secretario d…</t>
  </si>
  <si>
    <t>Fuertes, Miguel Alexo</t>
  </si>
  <si>
    <t>Miguel Alexo Fuertes</t>
  </si>
  <si>
    <t>6uj Se dará la enseñanza de principios matemáticos y de arquitectura por el profesor y consiliario D. Francisco de Paula Vega; y la de dibuxo por el maestro D. Josef Aimeida, y D. Miguel Alexo Fuertes, educado en la mis ma escuela. Madrid 2$ de octubre, La gazeta de la Regencia de 14 de setiembre próximo pasado inserta un parte del señor duque de Ciudad-Rodrigo, fecha 22 de agosto anterior, en que manifiesta á la nación y al gobierno ser una calumnia el pá…</t>
  </si>
  <si>
    <t>Fuitíf</t>
  </si>
  <si>
    <t>…aquín de Mosquita y Fig aeran.—Juan ViilaviceHfúo. —Ignacio Rodrigue* ■ ds Rivas.—Juqn Peres Vill&amp;mti. — Ea Cádie á 9 de Noviembre de 1812. — AD. An« orno Cano Manuel/* Segundo. , D. Fuitíf an»o vil, por la gracia de Dio» y por la Constitución de la monarquía '.española, rey de las Empañas, y en su ausencia y cautividad la Regencia del reyno, nombrada por las Górtes genera les y exíraordínfirias, á todos loa que la^-presentes;vieren!y cuten» die…</t>
  </si>
  <si>
    <t>Fulg</t>
  </si>
  <si>
    <t>…. O Sebastian Corrínarefc,50. D. Antonio León, 50. D. Juan y D. M g-id Viña, 50. D Andrés Sánchez Quiroz , 50. D. Antonio Bbras, 50. D Francisco Nnaez, 50. D. Manuel Odrinsola, 50 D. Fulg í c o Z avala, 50. D. Vicente Aborta, 50. D. Francisco Sagasti, 50. D. Pedro Larrañ ga, 25 D. Julián Psraz, 25 O. José Osorio, 25. D. Miguel Jáaregui, 25. D Juan Mella, 95 O. Alonso Ronero, 25. 13 Domingo Ufqu’jo. 25 1). José Oétolasa, 25. D. Fran cisco Muían…</t>
  </si>
  <si>
    <t>Fulton</t>
  </si>
  <si>
    <t>…la primera ocasión para remitirlos á V. S., y espero poder enviar al mismo tiempo la bandera tomada á los americanos, para ponerla á los pies do S* A. R*. el príncipe Regente. „El capitán Fulton, mi ayudante, tendrá la honra de entregar este pliego. El mismo podrá dar á Y. S. noticias de Desehe sobre elestado de las provincias canarienses de S. M. ¡i . .,,Ocho compañías de las levantadas en Glengary están en mar cha para reforzar el Alto-Canadá. Teng…</t>
  </si>
  <si>
    <t>G, Aiexandro</t>
  </si>
  <si>
    <t>Aiexandro G</t>
  </si>
  <si>
    <t>…tán D. Joaquín Alristur, que mandaba un piquete de caballería, sa le proporcionó la ocasión de distinguirse particularmente; y asi á este oficial, como á su compa ñero ti teniente coronel D. Aiexandro G onzakz los juzgo a cree do• res á la consideración ds V . JE. „La pérdida del enemigo consiste mayormente en su caballería, la que fué cargada vadas veces por los lanceros alemanes. Por nues tra partir no pussm de 10 ios muertos y heridos, contando entre loa…</t>
  </si>
  <si>
    <t>G, Federico</t>
  </si>
  <si>
    <t>Federico G</t>
  </si>
  <si>
    <t>…res á D. Isidoro IrachMta, D. Martin de Yoldi, D. Martin Gastón, D. Vicente Pe- rez, D; Pedro Osta, D. PrudencLoBujandayD- José Orduna,D. An gel El vial de. D- Marianos Jlundain , D. Federico G billón , D. Luis Ganuza, Fan^ rancisco Ilundáin, D. Florencio Olabé ,&lt;D. Francisco Antonio Asuran D. Tomás Zubiri, D. Pedro Miguel Salvador , Don Prudencio Cortazar , D. Celedonio Gómez , D. Juan Braulio Diaz, D. Patricio Calvete, D. Serafín Zaráquiegui, D. M…</t>
  </si>
  <si>
    <t>G, Francisco Nnñez</t>
  </si>
  <si>
    <t>Francisco Nnñez G</t>
  </si>
  <si>
    <t>…o A!bajar, id. p rS, 96 D. Francia©o Antonia Iharbia, id. pnr'S , §S. D. Juan M-io.uel Campo blanca, id. por 8,96. D. Mateo Gona z, id. por 8, 96, O. Rain .ai Qrtiz , id. por 8,96 D. Francisco Nnñez G tgo , id. p ,r 8, 96. D. Manuel Pri mo,.id. p#r 8, 96. D. Juan José Rabio, id. por 4, 48. D Jaan Bau tista Visa», id. por 4,48. O. J.: ss Ganó, id. por 4, 48 D. Francis co' Pende, id. por 4,48. I). José Saadago Aguirre, id. por 10, 129. D B as Ignacio de Tell…</t>
  </si>
  <si>
    <t>G, Manuel</t>
  </si>
  <si>
    <t>Manuel G</t>
  </si>
  <si>
    <t>…nda, 100. I). Miguel Arneta,50. D. Martin y D. J.ian Bautiza Estevecorena, 59. D. Ran&amp;on del Valle, 50. D. Rara el Ló pez, 50. D. Félix Balegi, 59. D. Juan Francisco M -toado, 50. D. Manuel G.j»m&lt; z Zuazo, 50. D. To-ms Jurado, 50. O Sebastian Corrínarefc,50. D. Antonio León, 50. D. Juan y D. M g-id Viña, 50. D Andrés Sánchez Quiroz , 50. D. Antonio Bbras, 50. D Francisco Nnaez, 50. D. Manuel Odrinsola, 50 D. Fulg í c o Z avala, 50. D. Vicente Abort…</t>
  </si>
  <si>
    <t>G-.rc, Juan</t>
  </si>
  <si>
    <t>Juan G-.rc</t>
  </si>
  <si>
    <t>…Caandia, id. por 8, 96. 1). Jo ;é Corrales, id. por 8, 9.5. D. Maaus’- Domínguez, ii. por 0,72. 1). Miguel Rodríguez, id. por 25; 300. D. Juan Bautista Garata , por una vez , 200. D. Juan G-.rc a de Ponte, id., 100. D. Mariano Vázquez de la Riva, id., 100. I). Manuel Vázquez de la Riva, id., 100. D. Manuel Luciano Ló pez, id.,, 100. D. Sergio Quintaiio^ id., 1Ó0..D. Francisco Noya,id., 625. D.. Manuel de Labirrera. id., 12. Son 79385 ps. fs. Lima y…</t>
  </si>
  <si>
    <t>G-Coa, Francisca</t>
  </si>
  <si>
    <t>Francisca G-Coa</t>
  </si>
  <si>
    <t>…trucción y alimentos. De orden de 5. M. lo comunicamos á V. E. para que la Regencia del reyno disponga su cumplimiento; y devolvemos adjunto el expediente, relativo á ia expresada Doña Francisca G-Coa. 2= Dios guarde á V. E. muchos años. Cádiz 14 de Julio de 1813. sr Fermín de Clemente , diputado secretario- = Ma nuel Goyanes , diputado secretario. =5 Señor secretario del Despaeh© de la Guerra.” CADIZ : IMPRENTA NACIONAL: 1813,</t>
  </si>
  <si>
    <t>G-Donojú, Juan</t>
  </si>
  <si>
    <t>Juan G-Donojú</t>
  </si>
  <si>
    <t>…viento favorable, y perdiéndose de vista el; i.° del corriente. = Dios guarde á V. E. muchos años. Villadiego 13 de ju nio de i8i3.=W'elliagton &gt; duque de Ciudad -Rodrigo.=Excmo. Sr. D. Juan G-Donojú.” CADIZ: IMPRENTA NACIONAL: 1813.</t>
  </si>
  <si>
    <t>G-Donojú, Tomas</t>
  </si>
  <si>
    <t>Tomas G-Donojú</t>
  </si>
  <si>
    <t>…atalla en la clase de edecán mió, y se ha conducido con la bizar ría é inteligencia que acostumbra; los mariscales de campo D. Luis Wimpífen , y el inspector general de infantería D. Tomas G-Donojú, y los oficiales de estado mayor del exército español constantemente me han prestado la asistencia que les Ha sido posible durante estas operaciones; y me valgo de esta oportunidad para manifestar lo sa-</t>
  </si>
  <si>
    <t>Ga</t>
  </si>
  <si>
    <t>…tigada que está , y del mal camino y estación en que tiene que an dar. — Dios guarde á V. E muchos años. Santa G idea y Diciembre 10 de 1812. Excmo. Sr.—Francisco de hong$.—Excmo. Sr. D. Ga briel de Mendizabal.”</t>
  </si>
  <si>
    <t>…inas, de donde se van sa cando unas útiles y otras no. . •«Ha mandado este sitio- el ayudante de estado mayor D. Fran cisco del Rey, la artillería el reniente coronel de esta anua D. Ga briel de Torres , y el .batsdon de ligeros de Soria era la tí opa de fusil que había; he hecho trasladar este cuerpo á Benicarió , tanto para equiparlo cuanto par* estrechar nías la guarnición de Peniscola, que de algunos dias á esta paite hade mas continuas…</t>
  </si>
  <si>
    <t>Ga, Ana</t>
  </si>
  <si>
    <t>Ana Ga</t>
  </si>
  <si>
    <t>…spital de mujeres de esta ciudad, á ios 112 años de edad, María í guacia Losado , na tu. a ¿3 las orillas del Jordán, negr&lt;i libre, que había sido esclava de D. Juan.' Lozano y de Doña Ana Ga nót ales. Adquirida sa libertas! casó con Juan Veas, negr© iga&amp;lmentc libre, d.-i que no consta si tuv© hijos. Ea 10 de Noviembre de este año se presentó en e hospital sin otra enfermedad que ei estado de debilidad a que la habían reducido' la edad y la falta…</t>
  </si>
  <si>
    <t>Ga, F. X.</t>
  </si>
  <si>
    <t>F. X. Ga</t>
  </si>
  <si>
    <t>…o al pueblo español para el justo aprecio de todo buen ciudadano. Cuartel general del primer exército 27 de Junio de 1813. = Por ausencia del ayudante general gefe de estado mayor D. F. X. Ga banes rs Antonio Puig "1 Zaragoza está libre de enemigos: estos la abandonaron á la una de la noche pasada volando un arco del puente; nuestras valientes tropas han eztrado en ella ; las autoridades de la provincia vuelan á felicitarla, y las demostraciones d…</t>
  </si>
  <si>
    <t>Ga, Manuel de</t>
  </si>
  <si>
    <t>Manuel de Ga</t>
  </si>
  <si>
    <t>…................... 2000 entregó por disposición del Excmo. Por otra que entregó un bienhechor, Sr. marques de Almenara, ministro sin manifestar su nombre, á dicho de lo Interior, D. Manuel de Ga contralor.................. .......................... 300 IO vina............................................ ........... 22990 Por otra que entregó Doña Ana Tor En el de otras 120 fanegas que libró res á D. Roque de los Ríos............ 60 el señor prefecto…</t>
  </si>
  <si>
    <t>Ga-</t>
  </si>
  <si>
    <t>…durante la noche; pero en los dias si puesto tomar algún descanso en la posición dfcLapi- guientes 17 y 18 los cuerpos ausrriáCó 'y saxon l« nica. Repentinamente la vanguardia del general Ga- acosaron en su retinada hacia Rudhia y Swislocz. blentz se vió atacada por el enemigo que ocupaba Los saxones pudimos sólo alcanzar %ú retaguardia, los bosques inmediatos, de donde á pesar de un con- Sue en un encuentro con la cabatleríá'del general tinuo fue…</t>
  </si>
  <si>
    <t>Gabanes</t>
  </si>
  <si>
    <t>…ción distinguida. = Por aosencu del general de brigada&gt; barón del imperio, gefe del estado mayor del exército él ayudante comandante segundo gefé=: Firmado—Vivier*?= Sr. .ayudante general Gabanes, gefe del. estado, mayor, del primer exército es-, pañol. 'V ! : íi . r.:p :?í.' -:&gt;b ■ .i, Todo lo que ha querido el Señor general jen gefe! 4e este exército Don ■ X1) ¿Y podrá dec irse viendo esto que jra se extinguiendo en los franceses el principio revolu…</t>
  </si>
  <si>
    <t>Gablentz</t>
  </si>
  <si>
    <t>…AftLAMGH.IO BRITASICO. interceptado en.SIouga. Los rusos atacaron con casi toda su caballería la izquierda de la posición del Cámara de los pares. séptimo cuerpo; y convencido, el general Gablentz ' Se? fon de t go de novfombre. de ío importante que era su conservación, se^resol El conde de Longford, uno de lo* pares de vió á atacar al enemigo» á pesar de tener triplica</t>
  </si>
  <si>
    <t>Gaceta de Madrid n.º 73</t>
  </si>
  <si>
    <t>…traído tará dirigirse contra Dantzick; pero la guarnición noticias de nuestro cuerpo de exército. La vanguar de esta "plaza cuenta 3°®- hombres, sin entrar en dia, mandada por el general Gablentz, tue ataca este número muchas partidas sueltas, que se h;^n da e1 1 x de este mes por quatro regimienros de co ido- recogiendo, y de las que se van i íorniar pi sacos y' dos de dragones , sostenidos por un peque quetes de ataque para las- salidas. ño cuerpo d…</t>
  </si>
  <si>
    <t>Gabriel</t>
  </si>
  <si>
    <t>293</t>
  </si>
  <si>
    <t>…er bata llen en Tafaila: la caballería en Uterga y Muruzaval; y un batallón de Arehaya en Fuente en Aragón. Alcántara 10 de Mcrzo. Partes del coronel I), Francisco Langa al Excmo. Sr. D. Gabriel ds Mendizabal. Primero* clones desanclares y Armiñon. En efecto, á la una de Ja. noche del 12 es i aban ya formados y preparados les batallones para mar* CiiW liar— al £--------------------------primerocuando7 — llegóCJ la noticia de queM. habían abandonado s…</t>
  </si>
  <si>
    <t>Gadea, Bartolomé</t>
  </si>
  <si>
    <t>Bartolomé Gadea</t>
  </si>
  <si>
    <t>…cura de Novele. postura acuda ante S. S. y citada escribanía, en donde Para el de Vinalese, vacante por muerte de se admitirá la que hicieren siendo arreglada. D. Carlos Soler, á D. Bartolomé Gadea, actual ecónomo de Catarroja. TEATRO. Para el de S. Bartolomé de Valencia, vacante En el de la Cruz se cxecutará la comedia titulada por por fallecimiento de D. Antonio Genoves, á D. Juan Esposa y tro no a un tiempo y mágico de Astracán; se Bautista Fabregat,…</t>
  </si>
  <si>
    <t>Gaéiido, Francisco</t>
  </si>
  <si>
    <t>Francisco Gaéiido</t>
  </si>
  <si>
    <t>…n es^le^foq vecinos, su do tación 8S&gt; rs. anuales/ pagados*por meses, y ademas otros emolumentos: los pre tendientes dirigirán sus memoriales a! secretario del mismo ayuntamiento. D. Francisco Gaéiido /presbítero, colector de lá parroquial de santa Cruz de esta villa de Madrid, desea sáber el paradero de D. Andrés Maclas Hurtado, ca pellán retirado de exército, que residía pocos años hace en Xerez de los Caballe ros, pueblo dé sii nacimiento; ;y quando est…</t>
  </si>
  <si>
    <t>Gaiina, Próspero</t>
  </si>
  <si>
    <t>Próspero Gaiina</t>
  </si>
  <si>
    <t>…o Vaidés y el subteniente D. Ramón del Rio del propio cuerpo. Los tenientes del segundo de Asturias D. Pedro Cobian y D. Benigno Hernández, y el subteniente del de la Constitución D. Próspero Gaiina.</t>
  </si>
  <si>
    <t>Galdamez, José Santiago</t>
  </si>
  <si>
    <t>José Santiago Galdamez</t>
  </si>
  <si>
    <t>…140 muías y caballos, los mas enjillados. El vencedor no tuvo mas pér dida que la de 5 caballos heridos de bala, y 3 despeñados por los ▼oladeros. 44. En i.Q de Agosto, el espitan comandante D. José Santiago Galdamez con 130 hombres de tropas de provincias internas y pa triotas de Zacatecas, atacó y derrotó en la hacienda de Xalpa á mas de 1© bandidos, acaudillados por el nombrado brigadier Carranza, Hernández y otros cabecillas; dexó tendidos en el campo de 48 á 50 cadáv…</t>
  </si>
  <si>
    <t>Gales</t>
  </si>
  <si>
    <t>Gaceta de Madrid n.º 134</t>
  </si>
  <si>
    <t>…Edmeads'desde el afro de t8oo : antes de esta último en la cámara: de los lores-. asociación'asistía á la/casa y familia de la princesa de EL público sabrá sin duda con gusto que lord Gales desde su arribo de Charlton á Black-Heatb» Wellington ha declarado que estaba completamen Por el enes de abril de 1S01 me oonlirio la princesa te, satisfecho de tos esfuerzos que ha.hecho en In título auténtico de cirujano-de S. A. R,;; y desde glaterra eligo…</t>
  </si>
  <si>
    <t>Galindo, Geferino</t>
  </si>
  <si>
    <t>Geferino Galindo</t>
  </si>
  <si>
    <t>…a, D. José García, D. Antonio Ortíz, D. An gel Martínez, D. Antonio Blesa, D Fermín Fabiano, D. Pedro Garrea, D. Pablo Franca, D. Antonio Santos, D. Manuel Uría^ D. Bernardo Uriz, D. Geferino Galindo y D. Seraíin Ockoa. CADIZ ; EN LA IMPRENTA NACIONAL.</t>
  </si>
  <si>
    <t>Gallardo</t>
  </si>
  <si>
    <t>…as establecimientos, y á su vuelta vendrán el ministro Arribas y otros empleados. Este infame ministro ha escrito * se le prevenga su alojamiento en misa del marques de Lozoya: su secretario Gallardo solo pide una buena cama, perqué tienen que venir muchos huéspedes. Lezaeta, Zrrate y otres ímpleedos aquí tienen ya empaquetado, y el comandante de la pb za vende sus efectos. El 18 se aviz ó que regresaba el intruso y el conde de Erlon, y se mandaron preven…</t>
  </si>
  <si>
    <t>Galli</t>
  </si>
  <si>
    <t>…l mismo teniente coronel Mangino, diri giéndose á Ti zapan el alto, atacó y derrotó completamente otra ga villa de 600 insurgentes que infestaban aquel pueblo é inmediacio nes. El capitán Galli, reunido al mismo cuerpo volante, persiguió con un destacamento de caballería é infantería montada á los fugiti vos hasta la laguna; de Chalapa, en donde se ahogaron casi todos los que escaparon de la matanza hecha por todo el camino. De los que huyeron por l…</t>
  </si>
  <si>
    <t>Galli, Aíagin</t>
  </si>
  <si>
    <t>Aíagin Galli</t>
  </si>
  <si>
    <t>…los extractos de los partes de Nueva-España. 2 í . Santa Rosa, jurisdicción de Tamazula, Mayo 14 de 1812, Ti coronel D. Manuel del Río, el teniente coronel D. Manuel Aran do y el capitán D. Aíagin Galli, con sus respectivas divisiones , batie ron en la cañada de Sta. Rosa la gavilla de 2© rebeldes de á cabalio y crecido número de infantes, que al abrigo de 5 cañones de b.roní j , y apostados en una altura ventajosa tuvieron la temeridad de reíbiirles; pero á…</t>
  </si>
  <si>
    <t>Gallitzia</t>
  </si>
  <si>
    <t>…os y dragones cargaron á las columnas de infantería del modo m:s extra rdinario. Ei general Diebzetsch , oficial de mucho mérito, se di tinguió par ti cu lar me ate ; y también el príncipe Gallitzia, que salió he lio del ataque Una bala de artillería le llevó un br^zo al conde Osternv nn, al anochecer: también fue herido el general que mandaba í©;&gt; coracero?. La importancia de la bizarría de estas tropas se aumenta cuan do se comidera que si ne hubieran…</t>
  </si>
  <si>
    <t>Gallitzin</t>
  </si>
  <si>
    <t>…cuerpo de infantería ligera,y el segundo de caballería,,vien do que el cu erpo man dado por el mariscal Davoust se acercaba á Krasnoi, destacó para este punto al teniente general príncipe Gallitzin. Conociendo el enemigo que se le estrechaba por todos lados, comenzó á defenderse ; pero nuestra artillería hizo una mortandad horrible en sus filas. Napoleón fué testigo de la batalla, y sin espe rar al éxito de,ella, huyó con toda su comitiva á la aldea de…</t>
  </si>
  <si>
    <t>…ls en el círculo de Kenigsgraetz..Han llegado de -Breslau; á Praga el ip de. junio los príncipes Jablonowsks y Lubonierski ; ei príncipe Wolkouski y varios correos rusos ei 11; el príncipe Gallitzin,,¿ayu dante de campo del Emperador Atexandro, el 12, y el dia 13 liego'el prín cipe Poniatowski de Braudels. Ei príncipe í$chwartzemberg salió de Praga para Gitschin el 12 con uno de sus ayudantes de campo. Francfort xj d? junio. Aquí tenemos uriá numerosa gu…</t>
  </si>
  <si>
    <t>Gallo, José</t>
  </si>
  <si>
    <t>José Gallo</t>
  </si>
  <si>
    <t>…, sin que hubiese por nuestra parte la menor pérdida, á pesar del fuego que todos hicieron en un prin cipio. Esta pardda , compuesta la mayor parte de jurados, iba man dada por el capitán D. José Gallo y otro oficial español. 2. ° Informado el 27 del mismo de que 57 franceses habían sali do de la guarnición de Medina con dirección á Valladolid, mandé al citado ayudante mayor D. Angel Domínguez que los persiguiese y atácese con 30 caballos escogidos, lo que…</t>
  </si>
  <si>
    <t>Gambini, José</t>
  </si>
  <si>
    <t>José Gambini</t>
  </si>
  <si>
    <t>…Ma nuel de Aramburu, í id. D. Miguel de Ezcurra, 1 id. D. Ramo* Martínez de Bartolomé, 1 id. D. Santiago Cachonfajro, 1 id. D. Tir so Estevanez, 1 id. D. Francisco Bosano , 2 id. D. José Gambini, 1 id. D. Juan de Perlica, 8 id. D. Dimaso de Arias, 6 id. D. Jacinto Xiraeno, 6 id. D. Manuel Ortiz de Villate, 4 id. D. José Rodolfo, 4 id. D. Antonio León, 4 id. D Paulino Domínguez, 3 id. D. Martin de Aramburu, 3 id. D. Francisco Vázquez de Usieda, 2 id.…</t>
  </si>
  <si>
    <t>Gamboa, Agustín</t>
  </si>
  <si>
    <t>Agustín Gamboa</t>
  </si>
  <si>
    <t>…or su mano del ntodo si guiente: á los cadetes D. Gregorio Brochero, D. Nicolás Campo,* D. Diego María Calatrava, D. José Valdemoros , D. Pascual de la Puente, D. Juan de Morales, D. Agustín Gamboa, D. José Rayo y Cortés, D. Antonio González y D. Pedro Abello, un exemplar á cada uno de un tratado de trigonometría y geometría práctica poj* su aprovechamiento en aritmética y álgebra : á les c,: de tés D. José Beltran , D. José María Gormayo, D. José Ruiz,…</t>
  </si>
  <si>
    <t>Gamboa, MáhuéJFernañdéz</t>
  </si>
  <si>
    <t>MáhuéJFernañdéz Gamboa</t>
  </si>
  <si>
    <t>…dme ataría de 0. Jüád‘!Í|ánuél Ferñahdék Vallejb,;párá qué eh: el término déf r ¿J dias acudan 'á □lár 'dcl derecho qúé-Tes asista ante él señor juez letradO- de primera instancia Don MáhuéJFernañdéz Gamboa, y escribanía del número del cargó'de D. Vicente dela Costa , que empezaron á correr desde el 14 del corriente. ; i ; - . ,. ; &gt; üí-i Nuevo periódico titulado Atalaya de Ia Mancha en Madrid. Como ya sq detr ratnó por, esta capital un jirospecto que abráza él;…</t>
  </si>
  <si>
    <t>Gamboa, Mahúel Fernandez</t>
  </si>
  <si>
    <t>Mahúel Fernandez Gamboa</t>
  </si>
  <si>
    <t>…p ' , - • ' rs, en rústica. de la imprenta nacional, á 4 ' ! . I * ' ■' : ^ -■ • r i ‘ ■ ’ f - . ii }•’.'&lt; ^ —---- ;— ----- 1........— ---- ——■ .. ' T” —j"".';;i Por él juzgado de D. Mahúel Fernandez Gamboa,;1.*juez letrado de primera ins tancia de esta villa, se cita, llama y emplaza á los parientes y dfemas personas qué puedan tener derecho á los bienes que hayan quedado por fallecimiento de D.Josrf Arroyo García, natural que fue de la villa cF¿ la Narilla de…</t>
  </si>
  <si>
    <t>Gamboa, Manuel Fernandez</t>
  </si>
  <si>
    <t>Manuel Fernandez Gamboa</t>
  </si>
  <si>
    <t>…be que todos los hombres que han debido su eleva ción á los exércitos, han perecido siempré á manos de los generales. (Couritr d' Angteterre d¿l 24 de agosto.) En la audiencia del Sr. D. Manuel Fernandez Gamboa, juez de primara ins tancia en esta villa, y escribanía del número de D. Ramón de Milla Cubilar, se hallan radicados autos por el Fallecimiento abintestato de María Morejon: cual quiera oerv-ra que tenga ó pueda tener algún derecho á sus bienes, lo-deducirá a…</t>
  </si>
  <si>
    <t>…een, Diez-pot Salamanca, Isturiz] por Cádiz, Galvan Escudero por Extremadura,- Domínguez Solis por idem,J Arango por Cuba, Gerasa por Sevilla, y Peña por Madrid. Por el juzgado de D. Manuel Fernandez Gamboa , juez letrado de primera ins-‘ tanda de esta villa, se cita, llama y emplaza á los parientes y demas personas que presuman tener derecho á lo» bienes quedados por fallecimiento del Líe. D. An drés González de Gómez, ábogado tjtíe' fue de los realas consejos…</t>
  </si>
  <si>
    <t>…denal de Scala, arzobispo de Toledo, presidente. = Pedro de Agar. “Ga briel Ciscar. = En Cádiz á 4 de setiembre de 1813. = A D. Antonio Cano Manuel/’ .En virtud de providencia del Sr. D. Manuel Fernandez Gamboa, juez de pri mera instancia de esta villa, refrendada del escribano del número D. Ramón de Milla Cuchar, se cita, llama y emplaza á todos los que se creyeren con* derecho'» la he/eheia abintestato de María Morejón, vecina de la misma, por término de 15 dias,…</t>
  </si>
  <si>
    <t>Gami, Antonio</t>
  </si>
  <si>
    <t>Antonio Gami</t>
  </si>
  <si>
    <t>…el comercio» de Madrid. •4.0 D. Román Corona , natural y hacendado en Yebra. '5*° D. Josef del Valle Salaba r, natural de Fuenlabrada, y abogado del colegio de Madrid. Suplentes. »D. Antonio Gami* , ministro del suprimido consejo de «Indias. D. Juan Josef López Merlo y Adán. ARTICULO'DE 0*1010. Rbgéoerál eugefe del segundo exército ha dirigido por extraordinario al Señor secretario del despacho de’la Guerra el parte siguiente: „.Excmo. Sr.: los enemig…</t>
  </si>
  <si>
    <t>Ganuza, Luis</t>
  </si>
  <si>
    <t>Luis Ganuza</t>
  </si>
  <si>
    <t>…ta, D. Martin de Yoldi, D. Martin Gastón, D. Vicente Pe- rez, D; Pedro Osta, D. PrudencLoBujandayD- José Orduna,D. An gel El vial de. D- Marianos Jlundain , D. Federico G billón , D. Luis Ganuza, Fan^ rancisco Ilundáin, D. Florencio Olabé ,&lt;D. Francisco Antonio Asuran D. Tomás Zubiri, D. Pedro Miguel Salvador , Don Prudencio Cortazar , D. Celedonio Gómez , D. Juan Braulio Diaz, D. Patricio Calvete, D. Serafín Zaráquiegui, D. Miguel Senosiain, D. José…</t>
  </si>
  <si>
    <t>Gao, Rosendo</t>
  </si>
  <si>
    <t>Rosendo Gao</t>
  </si>
  <si>
    <t>…iiuez. S\ D. Juan Bautista Viana, 20. D. Vicente de los Toyos, 20 D. Juan Llano, 17. D José Perez déla Mata, 7. D. José Herrera, 17. D. Gerónimo Vivanco, 10. D. Manuel Ibañ?z, 10. Don Rosendo Gao , 10. D. Ramón Forcelíc 5o, 10. D. Gaspar Gorruehano, 10. El conde San Pascual, 25. D. Martin y D. M guel Ventura Oáambela, por su {demento hecho con calidad de reintegro , á causa de la precipitada salida del baque, 2309. — T tal, 20000. Ademas los Sres. D.…</t>
  </si>
  <si>
    <t>…sé Francisco de Isasi, 1 id. D. Ramón Eurivano, 1 id. D. Ramón de Azcarate, 1 id. D. Fran cisco Abasólo, l id. D. Juan Panero, 1 id. D. Juan Mella, 1 id. D. Miguel Jáuregui, 1 id. D. Rosendo Gao, 1 id. D- Antonio Her rero, 1 id. D. Vicente López y U. Manuel del Valle, 1 id. D. To mas de la Casa y Piedra, 6 id. D. Martin de Guisasola, 6 id. D. Jo sé Matías de Elizalde, 2 id. D. Antonio Saenz de Tejada, 2 id. D. Manuel de Santiago, 1 id. D. Martin y D.…</t>
  </si>
  <si>
    <t>Gar, Juan</t>
  </si>
  <si>
    <t>Juan Gar</t>
  </si>
  <si>
    <t>…a. Quien quisiere hacer pos tura á dichos efectos acuda en el término de 1 5 dias ante el señor jú. z de primera instancia D. Francisco de Assin, por la escribanía de provincia de D. Juan Gar rido, que se admitirán ias que se hicieren siendo: arregladas. Retrato del Emperador de todas las Rusias, copiado de un original hecho cu Petersburgo por el mejor fisionomista. Se hallará en la librería de Viilareal y en Ja de Gómez , calle de las Carretas, á…</t>
  </si>
  <si>
    <t>Gar, Manuel</t>
  </si>
  <si>
    <t>Manuel Gar</t>
  </si>
  <si>
    <t>…Gracia y Justicia D. Antonio Cano .Manuel queda por ahora suspen so del exercicio de este encargo á consecuencia de la orden de las Cortes de fecha de ayer, he venido en nombrar á D. Manuel Gar cía Herreros para que se encargue interinamente del despacho de la propia secretaría en consideración al mérito , instrucción y demas cir cunstancias que en él concurren. — Tendréislo entendido , y dispon dréis lo necesario á su cumplimiento. = AD. Juan O-Don…</t>
  </si>
  <si>
    <t>Gar-, Juan Ignacio de</t>
  </si>
  <si>
    <t>Juan Ignacio de Gar-</t>
  </si>
  <si>
    <t>…bienhechor por medio de Por una de D. Jaime Mendez........... 1800 Amonio Alonso.................................. iSco Por otra de Doña JosefaMoreno...... 24 Réditos. Por otra de D. Juan Ignacio de Gar- Por los de una escritura de imposi doqui .................................................... 5° ción en la compañía de paños cor Por otra de D. Francisco Antonio de respondientes al año de 1812......... 3000 Ibarreche........................................ 300…</t>
  </si>
  <si>
    <t>Gara</t>
  </si>
  <si>
    <t>118</t>
  </si>
  <si>
    <t>…ha tenido tiempo para conferenciar al gunas horas en Wilna con el duque de Bassano , examinar las forti ficaciones de Praga en Yarsovia, tratar allí con el conde Polccki, y con el conde Gara y ei rey de Saxonia en Dresde. En conclusión Bonaparte se ha arruinado en esta campaña, y se Irada destituido de recursos con que reparar tan grandes pérdidas. Llegó, pues, el momento oportuno de hacerla paz ; no con él, sino con tedas las demas potencias de…</t>
  </si>
  <si>
    <t>Garat</t>
  </si>
  <si>
    <t>…l Adour, ó si se reti rará sin parar hasta el Garons, pero las gentes opin&amp;n por esto úl timo. El barón Hilierj gobVrna *or de la 11 divkion miikar, ha sido en viado al Temple. El conde Garat y otros 6 ú tí senadores , han sido arrestades. Ei conde de la Bisbal llego ayer, y pasa á verse con el Lord duque de Ciudad-Rodrigo. Arisp es destinado al exército de Smstt, y se cree sea por razón del xo que tendrá en los viscos, siendo él mismo vasco. Sopo…</t>
  </si>
  <si>
    <t>Garata, Juan Bautista</t>
  </si>
  <si>
    <t>Juan Bautista Garata</t>
  </si>
  <si>
    <t>…. AguAin Rodrigues, id. por 8, 90. D. Manuel Caandia, id. por 8, 96. 1). Jo ;é Corrales, id. por 8, 9.5. D. Maaus’- Domínguez, ii. por 0,72. 1). Miguel Rodríguez, id. por 25; 300. D. Juan Bautista Garata , por una vez , 200. D. Juan G-.rc a de Ponte, id., 100. D. Mariano Vázquez de la Riva, id., 100. I). Manuel Vázquez de la Riva, id., 100. D. Manuel Luciano Ló pez, id.,, 100. D. Sergio Quintaiio^ id., 1Ó0..D. Francisco Noya,id., 625. D.. Manuel de Labirrera.…</t>
  </si>
  <si>
    <t>Garate, Tadeo Joaquín</t>
  </si>
  <si>
    <t>Tadeo Joaquín Garate</t>
  </si>
  <si>
    <t>r 0 12 tecas ; para více-presidente ¿1 Sr. D. Mariano Villodas, diputado por Ja villa de Madrid; y para secretario el Sr. D. Tadeo Joaquín Garate, diputado por la provincia de Puno. La Regencia del repto se ha servido expedir el decreto siguiente: D. Fernando vii , por la gracia de Dios y por la Constitución de la monarquía española, rey de las Españas, y en su ausencia y cautividad la Regencia del rey…</t>
  </si>
  <si>
    <t>Garay, Ramón</t>
  </si>
  <si>
    <t>Ramón Garay</t>
  </si>
  <si>
    <t>…ontinúan los extractos de los partes de Nueva-España. 8 , 9 y 10. Mesa de Tierra Blanca, entre Jalpa y Tabascos 10 de Abril de 1812. El teniente de milicias de provincias internas D. Ramón Garay tuvo en principios de este mes tres gloriosas accio^ «es contra los rebeldes. En la primera, cercado por multitud de ellos, se abrió paso por catre la chusma con los ico hombres de su man*»</t>
  </si>
  <si>
    <t>Garcés, Ignacio</t>
  </si>
  <si>
    <t>Ignacio Garcés</t>
  </si>
  <si>
    <t>…l; el cual se hará extensivo a los regidores D. Martin José de Echave y D Manuel Quintano y Valera, al síndico procurador ge neral D. Juan Eitéban de Cueto, al regidor provisional D. Ignacio Garcés, y al asesor del ayuntamiento D. José Ignacio Zavala, que por entonces no fueron comprehendidos en la gracia, en la cual no se incluye al teniente coronel D. José Cevailos, presidente del ayuntamiento, por estar prohibida en la milicia la creación de dis tinc…</t>
  </si>
  <si>
    <t>Garchicoff</t>
  </si>
  <si>
    <t>…a dirigido un numeroso cuerpo d las montañas de nuestra izquierda , que favorecían su plan dé ata que; pero el general Millaradowitch estaba preparado aquí, habiendo des tacado al príncipe Garchicoff y ai conde Asterman con 10 batallones de tro pas ligeras, y un gran cuerpo de cosacos con artillería correspondiente, á las órdenes del coronel Davidow, para que ocupasen dichas alturas. ,, Después de un vivo tiroteo en este punto y un cañoneo distante en nue…</t>
  </si>
  <si>
    <t>Garchikoíf</t>
  </si>
  <si>
    <t>…in había dirigido gruesos cuerpos á las montañas de nuestra izquierda que favorecían su plan de ataque; pero el general Miilaradowitch estaba preparado aquí, habiendo destacado al príncipe Garchikoíf y al conde Asterman con 10 batallones de tropas ligeras, y un gran cuerpo de co sacos con artillería correspondiente, á las órdenes del coronel Davidovv , para que ocupasen dichas alturas. «Después de un vivo tiroteo en este punto, y un cañoneo dis tante en n…</t>
  </si>
  <si>
    <t>García</t>
  </si>
  <si>
    <t>…e haciendo fuego sin intermisión por espacio de 4 horas, con el que intimido de tal modo á la canalla, que hu yó con precipitación llevando muchos heridos, entre eüos al nom brado general García, que murió poco después de la acción. De los 18 soldados solo hubo 2 heridos de bala. (Se continuaran.) Vit h 8 de Ju lio. El general en gefe del primer exército ha recibido el parte si guiente del barón ele Eróles. «En cumplimiento de la orden de V. S. para…</t>
  </si>
  <si>
    <t>…irse en las lomas del camino del valle, lo cual visto por el Sr. Negrete, mando luego ocupar las altu ras del Sur que separan dicho valle de Yurira; esperando que lá di visión del Sr. García "Conde llegase por el norte y este, según el plan convenido. Pero los obstáculos que retardaron el arribo de esta fuerza dieron lugar á la evasión de la canalla por el Oeste. El 16 reunidos ya los 2 gefes de divisiones de los a exércitos del centro y de la re…</t>
  </si>
  <si>
    <t>…n del Sr. García Page, para que por medio del Go bierno se excite á los literatos españoles á escribir en su propio idioma para mayor difusión de las luces é ilustración común. El señor García mostró h importancia del objeto de su proposición, indicando algunos puntos que de mandaban esclarecimiento, entre ellos el modo de proveer á las sillas episco pales vacantes; y recordó que las reformas piden ánimos preparados, para que el legislador mas bené…</t>
  </si>
  <si>
    <t>García, Andrés</t>
  </si>
  <si>
    <t>Andrés García</t>
  </si>
  <si>
    <t>…Regencia del rey no se ha servido conferir la tenencia vetera na de la primera compañía del primer batallón del regimiento de in fantería de milicias disciplinadas de la Habana á D. Andrés García, subteniente agregado ai regimiento de infantería de México. CADIZ : IMPRENTA NACIONAL : 1813.</t>
  </si>
  <si>
    <t>García, Antonio</t>
  </si>
  <si>
    <t>Antonio García</t>
  </si>
  <si>
    <t>…an servido expedir el decreto siguiente; ,,Las Cortes generales y extraordinarias , teniendo presente la constancia , el valor y el patriotismo del sargento primero de caballe ría D. Antonio García , natural del Presno en Cástropol en Asturias; y atendiendo al mérito singular que se encuentra en el conjunto de acciones de este defensor de la patria, enumeradas en la gaceta de la R egencia del sábado 30 de Enero del corriente año, decretan: l.° La Regenc…</t>
  </si>
  <si>
    <t>García, Eugenio</t>
  </si>
  <si>
    <t>Eugenio García</t>
  </si>
  <si>
    <t>…s de agosto, con arreglo á la Constitución política de la mo narquía española, ha hecho los nombramientos siguientes. Para diputados d las próximas cortes ordinarias d los señores D. Eugenio García, natural de Yuncidlos, de esta provincia, arcediano de Cartagena. Dr. D. Josef Zorrilla de la Rocha, natural de Arenas, vicario del Puen te del Arzobispo. D. Miguel de Frías, del Corral deAlmaguer, hacendado. Lie. D. Benito Saenz González, de Toledo, abogado…</t>
  </si>
  <si>
    <t>García, Francisco</t>
  </si>
  <si>
    <t>Francisco García</t>
  </si>
  <si>
    <t>…rtolomé de la misma ciudad á iisra salida, sostenida por las baterías que hadan I). Felipe García y Soto. al caso, tuvo el mismo éxito que las precedentes, Para el de Aldeanueva á D. Francisco García y en eüa hicimos cinco prisioneros. del Valle é Izquierdo, beneficiado de la villa de En todo el dia se han observado muchos movi Villaoslada, en la misma diócesis. mientos sobre las alturaJ al frente del camino de Para el de Auto! al ex-dominico D- Ambrosio…</t>
  </si>
  <si>
    <t>García, José</t>
  </si>
  <si>
    <t>José García</t>
  </si>
  <si>
    <t>…tas, D. Can» dido Zunzarren * D. M:guel Quartero , D. Juan Urzaniqui, D. Ruerto Rajum, D. Manuel López, D. Agustín Munarriz, D. Juan Sliutista fnd'.iusti, D. Pedio López de Baylo, D. José García, D. Andrés Diaz y D. Félix Quitarte. Igualmente se ha servido S. A. promover en el regimiento de caballeril ligera húsares de Navarra de la misma división á teniente coronel á D. Juan José Cnlchaga; á comandantes de escuadrón á D. Miguel María Iribarren y D.…</t>
  </si>
  <si>
    <t>García, Josef</t>
  </si>
  <si>
    <t>Josef García</t>
  </si>
  <si>
    <t>…sticos, Román no se adelantó Jo bastante para que nues nombramos para el curato de Santiago el Real de tras minetas hiciesen estrago; se acordó pues no la ciudad de Logroño al Dr. D. Josef García del darlas fuego, y hacer otra, nueva salida para hacer Valle é Izquierdo, beneficiado de Villaoslada. otras dos rúas. Para el de S. Bartolomé de la misma ciudad á iisra salida, sostenida por las baterías que hadan I). Felipe García y Soto. al caso, tuvo el m…</t>
  </si>
  <si>
    <t>García, Josef Agapito</t>
  </si>
  <si>
    <t>Josef Agapito García</t>
  </si>
  <si>
    <t>372 , D. Melchor García Nuñoz, abogado, vecino de Hoyo-quesero. D. Josef Agapito García, cura de Mesegar. D. Juan Manuel Bazan, vecino de Arévalo. D. Lorenzo Rodríguez, vecino de Viüaraayor. Suplentes. D. Santiago Perez, abogado, vecino de Can deleda. D. Josef Bautista Brochero, labrador, vecino de Avila. D. Bernardino Jaén, vecino de Navamorqíi…</t>
  </si>
  <si>
    <t>García, Manuel</t>
  </si>
  <si>
    <t>Manuel García</t>
  </si>
  <si>
    <t>…sión, con varios heridos; la nuestra consiste en 3 muertos, un prisionero y 12 heridos , sién dolo el teniente D. Juan Antonio Ambrona, que mandaba la cuarta compañía, y el cadete D. Manuel García, este de gravedad.—» Dios guar le á V. S. muchos años. Talamanca l.°de Abril de 1813 — Antonio Martin. — Sr. brigadier D. Juan Martin ei Empecinado, comandante general de ía quinta división del Begundo exército.5 ♦ 1 CADIZ; EN LA IMPRENTA NACIONAL.</t>
  </si>
  <si>
    <t>…a , publique y circule. ~ X. de Barbancardenal de Scala, arzo bispo de Toledo, presidente. = Pedro de Agar —Gabriel Ciscar. = En la Is'a de L -on á 12 de ce Noviembre ¿e i8i^.s= A D. Manuel García. Herreros.</t>
  </si>
  <si>
    <t>García, Manuel Valentín</t>
  </si>
  <si>
    <t>Manuel Valentín García</t>
  </si>
  <si>
    <t>…segundo. , Barrio denlos Caños del. Peral y Santa Alaría. Barrió de Santa C ruz. D. Tomas Azardiiia, alcalde. D. Cristóbal Vicuña , alcalde-, D. Josef Ferroni, substituto primero. D. Manuel Valentín García , substituto primero. D. benito Trigo, substituto segundo. D. Agustin de la Calle, substituto segundoBarrio del Buen Suceso, QUARTEL de palacio. D. Casimiro Ipoly , alcalde. Barrio de S. Nicolás. D. Francisco Peralta, substituto primero. D. Mariano del Portil…</t>
  </si>
  <si>
    <t>García, Mariano</t>
  </si>
  <si>
    <t>Mariano García</t>
  </si>
  <si>
    <t>…dier segundo gefe de Estado-mayor del cuarto exército Di Antonio Roselló; el de igual clase D. Federico Ca tañen, gefe de la piimera brigada de la cuarta 'divisióny el subteniente D. Mariano García, ¡ayudante d^ ordenes del gefe,de E^tádo-mayor; el ayudante gene-rafdei mismp D. Luis Jbsvina, ágefe del de las^tVopás del centro fué contuso dos? veces. r. . . Nutn. 3.0 Parte del Sr. duque de Ciudad-Rodrigo. r!f»Excmo. Sr. : Incluyo4 V. E. el piarte que he…</t>
  </si>
  <si>
    <t>…gundo gefe de estado mayor del quarto exército D. Antonio: Roselló ; el de igual elase^D. Federico Castáñon * gefe de la primera brigada de.laPquarta divi-í sion:*y:el subteniente D. Mariano García ayudante de, órdenes deXgéfe de ^tadoTnaycr; el ayudante general del.'mismo D. Luis La viña,dgefe del de i,as'tropíasideh¿entro, fue contuso dos veces. : • • ■:&gt;, , L k . j Parte del señar duque de Ciudad-Rodrigo. „Excmo. Sn: incluyo á - V. E. el. parte que h…</t>
  </si>
  <si>
    <t>García, Miguel Jnsef</t>
  </si>
  <si>
    <t>Miguel Jnsef García</t>
  </si>
  <si>
    <t>…ría Ana Rosell, vecina que fue de esta corte, para que e» el tér mino de 30 diaa, contados desde del corriente, comparezcan á deducir sú dere cho por la escribanía de provincia de D. Miguel Jnsef García de la Madrid; és» inteligencia de que pasado dicho .térapino, se procederá á lo que haya lugar,;sin mas emplazamiento. , - , En la librería de Barco, calle de la Cruz, yen la de Quír^ga, calle de las Car retas, casa de la fonda del Angel, se vende la obra lit…</t>
  </si>
  <si>
    <t>García, Santiago</t>
  </si>
  <si>
    <t>Santiago García</t>
  </si>
  <si>
    <t>…de esta corte: dos tomos en 4.0 á 36 rs. en pasta y 26 en rústica.Elementos de patología externa, por L. C. P. Aubin , miembro de muchas sociedades médicas de París, traducido por D. Santiago García, académico de número de la real academia* médica dé Madrid ,y Bárcélcmá, médico" de la real irelusa i dos tomos en 4.0 a 34' rs. en pasta y 24 en rústica. Se hallarán en lalibréría de Millasa, frente' á la de Postas. y ; . Aviso importante á los albéytarest u…</t>
  </si>
  <si>
    <t>García, Victoriano</t>
  </si>
  <si>
    <t>Victoriano García</t>
  </si>
  <si>
    <t>Gazeta de la Regencia de las Españas n.º 51</t>
  </si>
  <si>
    <t>421</t>
  </si>
  <si>
    <t>…s. Kcjno&amp;a y marzo 16 de 1813.-— Francisco Solazar” Idem 16 de Marzo. El mismo Sr. comandante general ha recibido con fecha de 29 del corriente el siguiente oficio dirigido por el Sr. D. Victoriano García desde Gijon. „En este momento , que son las 11 de la mañana , acaba de en trar en este puerto el quechemarin nombrado nuestra Señora de la Antigua, procedente de Castro , de donde salió ántes de ayer 27 al anochecer, y su patrón Matías de Jáuregui, que ss me…</t>
  </si>
  <si>
    <t>García-Herrero</t>
  </si>
  <si>
    <t>…a infracción de Constitución. ' Se empezó la lectura del dictámen de la comisión extraordinaria de ma yorazgos sobre las proposiciones hechas en las Cortes, extraordinarias por el Sr. García-Herrero, y adiciones del Sr¿ Calatrava. La comisión propone Cn el primero de los once artículos á que redúcela informe, que se extinga toda vinculación cuya renta no llegue á 3® ducados, quedando en calidad de libres los bienes de que se componga. Leyéronse seis de a…</t>
  </si>
  <si>
    <t>GarcíaiS, María</t>
  </si>
  <si>
    <t>María GarcíaiS</t>
  </si>
  <si>
    <t>…s batallones, ó de otros cuerpos en que se haya presen* tado, que en obsequio de la humanidad se sirvan avisar su paraderb á su afigida madre, dirigiendo la carta 4 esta'capital á Doña María GarcíaiS. Martin, callé del .Nuncio, núm. 3 , casa.del conde de Maceda, quarto segando. i ' : ? Formulario ,de los juicios de conciliación,; retención de efectos y demás en que los alcaldes constitucionales pueden totyar providencias provisionales &amp;c. Se hallará; eh l…</t>
  </si>
  <si>
    <t>Gardazabal, Josef Manuel Aynz</t>
  </si>
  <si>
    <t>Josef Manuel Aynz Gardazabal</t>
  </si>
  <si>
    <t>…, substituto segundo. Barrí) de Gu traías Españolas. Barrio de la Hu rta del Bayo. D. Pedro Petez, alcalde. D. Felipe Santintregui, alcalde. D. Pedro del Rio, substituto primero. D. Josef Manuel Aynz Gardazabal, substituto D. Manuel Alba, substituto segundo. hamo de tas Sal.primero. D. Agustín Mlchel, substituto segundo. D. Josef Fabregas, alcalde. Barrio de S. Cayetano. D. Manuel Lucio Gutiérrez, substituto primero. D. Juan Represa , alcalde. D. Agustín Pascual, su…</t>
  </si>
  <si>
    <t>Garde, Pedro</t>
  </si>
  <si>
    <t>Pedro Garde</t>
  </si>
  <si>
    <t>…tario interino de la comandancia de armas de la plaza de Tudela, y de la 'info'nniicion sobre ei parte, que con tra el alcalde de" esta ciudad' dio Ana María Rada, á la partida de D. Pedro Garde, en presencia- &lt;áe un oficial de S. M. B. , el dia 28 de Junio último , recibida por el Sr. D. Miguel de Astiz, espitan de la quinta compañía'del quinto regimiento de la di-visión de Navar ra, y comandante de armas de la expresada plaza: certifico y doy fe qu…</t>
  </si>
  <si>
    <t>Garlos</t>
  </si>
  <si>
    <t>…iciones del qüartb exército español son las siguientes: la división que manda el señor Moriiio en las in mediaciones de Pamplona. Segunda división, que manda el mariscal de cam po D. Garlos de España, de guarnición ea la plaza de Pamplona. Tercera división, que manda interinamente el brigadier D. Diego del Barco, la pri mera brigada en Orduña, y la segunda en Durango, de la misma división. Quarta división en Tolosa y pueblos inmediatos, que manda el briga…</t>
  </si>
  <si>
    <t>Garp</t>
  </si>
  <si>
    <t>…penden* cia y libertad. Londres 11 de Diciembre. Aldea de Tskashnik 9 de Noviembre. — El general conde Wittgenstein participa á S. M. I. lo siguiente : „Habiem!o enviado ai mayotr general Garp con una partida á las orillas del Duna con el objeto de ocupar á Witepsk, me participa que el dia 7 á las 7 de la mañana, á pesar de un vivo fuego y de un obstinado combate con el enemigo, se apoderó de aquella ciudad con el auxilio del Todopoderoso. El enemi…</t>
  </si>
  <si>
    <t>Garrafeuech, Juan Bautista</t>
  </si>
  <si>
    <t>Juan Bautista Garrafeuech</t>
  </si>
  <si>
    <t>…árroco de Benifairo de Valdigña. á caballo, montados 5 armados y equipados} la ciu- Para el de Quttretondeta, vacante por muerte cjad de Maguncia ha dado 2; ; los comunes de su de D. Juan Bautista Garrafeuech, á t&gt;. Joaquín distrito 60 , y la pequeña ciudad de Wormes cinco. Sans , seminarista , presbítero. ÍI consejo municipal de Rotterdam arma y equi Para el de Golledeta de Chiva, vacante por fa pa á 50 soldados de caballería} Verdua á 10 ; JLi- llecimiento de D.…</t>
  </si>
  <si>
    <t>Garrea, Pedro</t>
  </si>
  <si>
    <t>Pedro Garrea</t>
  </si>
  <si>
    <t>…Pereti, D. Mariano Raqpedano, D. Mariano Amorós, D. Manuel Rodrigo, D. Gregorio Lagarda, D. José García, D. Antonio Ortíz, D. An gel Martínez, D. Antonio Blesa, D Fermín Fabiano, D. Pedro Garrea, D. Pablo Franca, D. Antonio Santos, D. Manuel Uría^ D. Bernardo Uriz, D. Geferino Galindo y D. Seraíin Ockoa. CADIZ ; EN LA IMPRENTA NACIONAL.</t>
  </si>
  <si>
    <t>Garrido</t>
  </si>
  <si>
    <t>…cinco momlmente heri que desembarcó el general trance» fabricado en In- dos , y recogieron 23 caballos ensillados El teriie»{'larerra, y se le prendió con sus dos cómplices en te coronel Garrido se ha escapado sin sombrero ni a casa donde moraban. armas: su ayudante mayor Buenaventura Suñon „Se cogieron en poder de Debar, que fue afu lia sido muerto : todos los bagage» y papeles dé silado el día 23 de noviembre, varios informes cir esta banda han sid…</t>
  </si>
  <si>
    <t>Garrido, Fernando</t>
  </si>
  <si>
    <t>Fernando Garrido</t>
  </si>
  <si>
    <t>…es sin permitirles descanso, y logró dar-' ta de los enemigos les alcance el dia 26 de enero en- el pueblo de San ¡ Me horrorizo al contemplar los tristes efectos Juan de la Nava. Don Fernando Garrido, teniente que produce la tolerancia de estos monstruos 1; Qué coronel, comandante de esta partida, ha sido he entusiasmo, qué concepto de ia dignidad de su pro cho prisionero: de 15 soldados que se hallaban con fesión podrán formar los valientes y verdaderos…</t>
  </si>
  <si>
    <t>Garrido, Juan</t>
  </si>
  <si>
    <t>Juan Garrido</t>
  </si>
  <si>
    <t>438</t>
  </si>
  <si>
    <t>…nos se les señala, acuEl primero trata de los Hunos, de las empresas y dan ante su señoría, y por Ja escribanía de provincia ds derrota de aquel atroz Atila, que quiso ser haraaao D. Juan Garrido, por sí ó au procurador, con poder azote de Dios, y‘el segundo de Clovis, verdadero bastante á deducir su derecho en el juicio de testamen fundador de la monarquía francesa. taría que en ella pende; con apercibimiento'de que pa Inspirado por Clotilde el Monar…</t>
  </si>
  <si>
    <t>594 . Ei Sr. D. Francisco de Assin, juez de prime"*» instancia en esta corte , que co noce de ia testamentaría de D. Isidoro Weis, radicada en la escribanía de provin cia de D. Juan Garrido, ha estimado se celebre junta general de todos sus acreedo res é interesados, señalando para ella el dia 28 de noviembre próximo, á las nueve, 4é la mañana, en Ja c.asa del señor juez, mandando que por este medio se avise i todos los referidos acreedores é in…</t>
  </si>
  <si>
    <t>Garrido, Manuel</t>
  </si>
  <si>
    <t>Manuel Garrido</t>
  </si>
  <si>
    <t>…olo, 2 id. D. Miguel Fernando Ruiz, 2 id. D. Andrés Sánchez Quiros, 2 id. D. Francisco de Paula Calvo, 2 id. D. Pedro Juan de Olasagarri, 2 id. D. Juan Ignaoio de Mndizabal, 2 id. D. Manuel Garrido, 2 id. D. Esteban Cardona, 2 id. D. Nicolás Cameruaga, 2 id. D. Francisco Fernandez Ziesa, 1 id. D. Manuel Barreda, 1 id. D. Alonso Candamo, 1 id. D Benito Cristi, 1 id. T). José de San Martin y Blanco , l id D~ Martin Cortiguera, 1 id. D. Manuel López Díaz,…</t>
  </si>
  <si>
    <t>Garrido, Pedro</t>
  </si>
  <si>
    <t>Pedro Garrido</t>
  </si>
  <si>
    <t>…na, substituto primero. D. Josef Vinuesa , substituto segundo. QUARTEL DEL BARQUILLO. Barrio de S. Antón. QUARTEL DE SAN* ISIDRO. Barrio de Mira el Rio. D- Josef Miñones, alcalde. D. Pedro Garrido, substituto primero. D. Gil Antonio Laguna, alcalde. D. Francisco González, substituto primero. D. Ratael Guiri, substituto segundo. D. Josef Llorca , substituto segundo. Barrí) de Gu traías Españolas. Barrio de la Hu rta del Bayo. D. Pedro Petez, alcalde. D.…</t>
  </si>
  <si>
    <t>…n decretado lo siguiente: 91 Las Cortes generales y extraordinarias, á consecuencia de ha ber consultado ei supremo tribunal de Justicia , con motivo de la súplica interpuesta por D. Pedro Garrido , D. Isidoro Sauz de Velasco y D. José ViÜanueva , magistrados de la audiencia de Sevilla, y D M nmel de Siles, juez tercero de primera instancia de la mis ma ci idad , sobre haberles declarado comprehendidos en e! art. 7, cap. I.° del decreto de 24 de Marzo…</t>
  </si>
  <si>
    <t>Garro, Nicolás de</t>
  </si>
  <si>
    <t>Nicolás de Garro</t>
  </si>
  <si>
    <t>…reunidos,* pro cedieron á puerta abierta á la nominación de los citados señores alcaldes, re gidores y procurador síndico; y salieron electos para alcaldes el conde de Morezuma y,D. Nicolás de Garro, marques de las Hormazas: para regido res conde de Sáceda, D. Ramón de Angulo, D. Joséf de Tejada Ruiz, D. Antonio Landaiuce, D. Josef Hernández Martínez , D. Santiago1 de las Rivas, D. Josef de las Barcenas, D Tomas Púertolas; y para procurador síndico gener…</t>
  </si>
  <si>
    <t>Gaseo, Francisco Fernandez</t>
  </si>
  <si>
    <t>Francisco Fernandez Gaseo</t>
  </si>
  <si>
    <t>…carral, y residente en Madrid. 1 ' , Del partido de Alcalá. i.° D. Manuel Anchuelo, vecino de Anchuelo. 2.0 D. Felipe Perez Valle , cura dé la villa de Camarina de Esteruelas. 3.0 D. Francisco Fernandez Gaseo, vecino de Daganzo de arriba. ARTICULO DE OFICIO. Al señor secretario del despacho de la Guerra se ha comunicado por los secretarios de las Cortes generales y extraordinarias la resolución siguiente : „Las Cortes generales y extraordinarias, habiendo tomado e…</t>
  </si>
  <si>
    <t>Gaspar</t>
  </si>
  <si>
    <t>…1 Ehz Roy Spmerset j el teniente coronel Campbell y los oficiales adictos á’; &lt; /i*-:::» (mi persona. • ;í ; ,, Remito á V\ E. este pliego por el coronel ayudante !de estado mayor D. Gaspar dé Goicoecheá ,r y recomiendo á este oficial á íá protección de V. E.rsDios guarde á V. E. muchos años. San Estéban i.° de agosto de 1813.== Wellington , duque de Ciudad-Rodrigo.” P. D. „He omitido informar á V.E. en el cuerpo dee^tá relación, que las tropas…</t>
  </si>
  <si>
    <t>Gassendi</t>
  </si>
  <si>
    <t>…bemos las ma Documentos relativos d la alianza.yores obligaciones por los servicios que nos ha he cho en las mas criticas circunstancias. A. NUM. 1. Al conde Chasseloup-Laubat, al conde Gassendi y al conde San-Marsan, consejeros en nues Copia de un despacho de Mr. de San-Marsan. tro consejo de Estado. Deseamos que nuestro con Berlin 24 de marzo de 181 r. sejo vea en esta distinción acordada á tres de sus Tuve la satisfacción de comunicar á V. E. que…</t>
  </si>
  <si>
    <t>Gastañon</t>
  </si>
  <si>
    <t>…hando al enemigo por el ca mino real de Francia, y lo ha desalojado de todas las posiciones que había tomado ; y el dia de ayer, una brigada del exército de Gali cia del mando de! general Gastañon, ataco y arrojo á los enemigos del otro lado del Bidasoa por el puente de Irun. El enemigo man tuvo todavía un puesto en una casa fuerte de piedra, que sirve co mo de cabeza de puente, y algunas tropas en varias casas con as pilleras á la derecha del Bidasoa;…</t>
  </si>
  <si>
    <t>Gastell, Manuel Ramón</t>
  </si>
  <si>
    <t>Manuel Ramón Gastell</t>
  </si>
  <si>
    <t>…illegas y D. Antonio Martínez, tenientes ; Don Luis Alcalá, subteniente dei de la Constitución; D. Mariano Castell, teniente coronel; D, José Rio-mayor, capitán; D* Nicolás Collar D. Manuel Ramón Gastell , D. José María Hernández y D. José .efe Paga, tenientes; D. Ventura Nogueyra y D. Laureano Iriarte, sub tenientes del de voluntarios de la Corona; D. Andrés Parga, ayudan te ; D. Ramón Suero Díaz , y D. Francisco Saigado, tenientes , el</t>
  </si>
  <si>
    <t>Gastón, Antonio</t>
  </si>
  <si>
    <t>Antonio Gastón</t>
  </si>
  <si>
    <t>…. Francisco Éspox y Mina. A tenientes de fusileros á D. Francisco Retana, D. Agustín Men* dioroz, D. Juan Francisco Guelbenzu , D. Joaquín Diez, D. Do mingo Zaídna, D. José Buesa, D. Antonio Gastón, D. Tomas Otochoreua , D. Antonio Alvarez , D. Manuel Sesé , D Martin Martínez, D. Antonio Laso y D. José Moriones: á subtenientes de granade ros y cazadores á D. Fermín Izu , D Sebastian Echarte , D. Mariano Oliver, D Dionisio Antoñana, D. Antonio Andia, D.…</t>
  </si>
  <si>
    <t>Gastón, Martin</t>
  </si>
  <si>
    <t>Martin Gastón</t>
  </si>
  <si>
    <t>…Joaquín Mezquiriz, D. Santiago Arizavala, Dj Ildefonso Zizur, D.José Pinilla y D. Pedro Brull .* á tenientes de granaderos y. cazadores á D. Isidoro IrachMta, D. Martin de Yoldi, D. Martin Gastón, D. Vicente Pe- rez, D; Pedro Osta, D. PrudencLoBujandayD- José Orduna,D. An gel El vial de. D- Marianos Jlundain , D. Federico G billón , D. Luis Ganuza, Fan^ rancisco Ilundáin, D. Florencio Olabé ,&lt;D. Francisco Antonio Asuran D. Tomás Zubiri, D. Pedro Migue…</t>
  </si>
  <si>
    <t>Gath</t>
  </si>
  <si>
    <t>…estaban cargados de efectos de .artillería. Esta empresa se ha executado sin la menor pérdida. Décimo y undécimo. n Finalmente, el mismo vice-almirante ha remitido dos oficios del capitán Gath del navio de S. M. Cerbero, sus fechas 2p de Enero y 13 de Marzo últimos. « En el primero, dirigido al espitan Hoste de la Bacante, se par ticipa el apresamiento de un barco que montaba dos Gañones, 6 iba cargado de granos y harinas para Corfú, por los botes…</t>
  </si>
  <si>
    <t>Gathca</t>
  </si>
  <si>
    <t>…astniz) "3t-: 1 de ;té lumbre.- " Secretaria, de Negocios extranjeros 23 de setiembre. {. El vizconde, de Castlereagh ha recibido los siguientes ¡oficios enviadospor Mr. Thornton, lord Gathca.*t\ .yí-si^iCiirlps. Stewart de§de Juterbocla y Topiitz con fecha de 31 de agosto,y¡il.? y.;8:de,setiembre.; f ' 1 ^ — -' ' pHhrero; ' "r ; ;--:' : - - •• . • ■ ■■ , :■ ■ •: : ■ • &gt; : ri V.v .. Juterbwh &amp; de setiembre. Milord;ca$ial momento,de enviaros mi ofi…</t>
  </si>
  <si>
    <t>Gaudin</t>
  </si>
  <si>
    <t>…de caballería; le di alcan ce á la una de la tarde, y para las 4 de la misma ja tenia en mi po der 635 prisioneros y 30 oficiales, y degollado ei resto de la colum na , excepto el coronel Gaudin y 3 iras, que aunque heridos, lo graron fugnrse por la velocidad de sus caballos. Lodosa l.°. de Abril de 1813 — Espoz y Mina” Carpió 12 de Abril. Las tropas enemigas que se hallaban en Burujos, Torrijas y pueblos inmediatos hasta Sta. Cruz, se retiraron toda…</t>
  </si>
  <si>
    <t>515</t>
  </si>
  <si>
    <t>…pues, la satisfacción de que me rindiesen las armas 635 soldados, 28 oficiales y 14 asis tentes. El resto de la columna ha^ta los 1100 todos quedaron en el campo, á excepción del coronel Gaudin que mandubí la columna, quien , aunque herido, pudo fugarse por la velocidad de su caballo, como tan inmediato á Lodosa, siguiéndoles dos mas, que son los únicos que quedaron con vida. Ademas de les fusiles de los prisio neros y muertos, quedaron en mi poder…</t>
  </si>
  <si>
    <t>…lo de Villareal, avanzaba con su exército hácia Burgui en socorro de Abbé: con Claussel llegaron los generales Vandermasen, Barbot y Taupin. Desmichels mandaba la caballería, y el coronel Gaudin una columna de infantería. Entonces fué cuando 14© hombres reunidos entraron en el valle: Abbé baxó á Roncal, visitó á mis heridos y enfermos, y tuvo alguna consideración con</t>
  </si>
  <si>
    <t>Gaudln</t>
  </si>
  <si>
    <t>…necer en el Ampurdan para observar los movimientos del mariscal Suchet por esta parte de la Junquera, me vi en el dia 2 t atacado por 2© infantes y 300 caballos, á las órdenes del general Gaudln: Dispuse mis tropas, e&amp;yo número inferior no componía sino 800 iníame-s y '-130 caballos, cdñ el ob jeto de retirarme; mas no me fue posible-, y h acción se empeño sin que rerla ni rehusarla. El fuego1 se trabó vivísimo de una y otra parte; ha du rado seis ho…</t>
  </si>
  <si>
    <t>Gaüi, Magín</t>
  </si>
  <si>
    <t>Magín Gaüi</t>
  </si>
  <si>
    <t>…su .completo .ex terminio. .26. Habiendo tenido la osadía un pelotón de 300 rebeldes de ¡asaltar en la noche del 20 de Mayo al-tercer cuerpo volante de este exército, al mando del capitán D. Magín Gaüi , en el pueblo de Tecuitatlan, fué rechazado después de una resistencia dfe 3 horas con gran pérdida de heridos y 5 o muertos, dexando en el pueblo bas tante número de caballos. 27. En 15 de Mayo el comandante de la división patriótica de Mascota D. Juan José…</t>
  </si>
  <si>
    <t>Gautier</t>
  </si>
  <si>
    <t>…del jddehúsa- res de los exércitos, con arreglo á las disposiciones re- y de! 26.~ de caladores para procurar sorprehen- del decreto imperial de 21 de enero de 1811, y derlos. El general Gautier ¡e hizo sostener por tres queriendo remover inmediatamente todo obstáculo compañías escogidas del i ty.° be dexó una parte de que impida llenar tan interesante objeto; la infantería para guardar ei vado de Almendra, y Hemos decretado y decretamos lo siguiente…</t>
  </si>
  <si>
    <t>Gavidia, Francisco</t>
  </si>
  <si>
    <t>Francisco Gavidia</t>
  </si>
  <si>
    <t>…id D. M;guel de Arto i a, 1 id. D. Fulgencio Antonio Zabala, 1 id. D. Francisco Antonio - Quiros, 1 id. D. Miguel Aljovin, 1 id. D. Ignacio González, 1 id. D. José Ri bera, 1 id.. D. Francisco Gavidia, 1 id. D. Juan Bautista y D. Mi guel de la V ña, 1 id.- DJ usé Aibarado, 1 id. D. Melchor í&amp;chaustegnl, 1 id. D. Francisco Montes, I id. D. Sebastian Compare!, 1 id. D. A i tordo D: ñho, 1 i i. D. Francisco Ambrosi, 1 id¿ La archicofradíade Ntra, Sra. del Ros…</t>
  </si>
  <si>
    <t>Gay, Mariano</t>
  </si>
  <si>
    <t>Mariano Gay</t>
  </si>
  <si>
    <t>…istancia del campo de batalla, p=sra que pudieran emprenderlo de nuevo, y me sirviesen de refresco. El segundo batallón ha tenido de pérdida 6 muertos, en tre este? el subteniente D. Mariano Gay arre, de la de cazadores , el teniente D. Bartolomé Comas , de la segunda de fusileros , y ei sub teniente D Martin Zi&amp;urriz , de la quinta , 16 heridos y 8 contusos. Las dos compañbs del sexto b&gt;tallón han tenido 10 heridos. La mento la pérdida del valiente…</t>
  </si>
  <si>
    <t>Gaya, Ramón</t>
  </si>
  <si>
    <t>Ramón Gaya</t>
  </si>
  <si>
    <t>…orv la consideración mas distinguida. =sCaspe y junio 18 de 1813.= Ramón Gayan. Número 4..0 —.Contestación del comandante francés. Señor comandante general de las tropas en Casj&gt;e D. Ramón Gaya¿:rhq tenidp ej honor de recibir vuestro oficio con fecha d,e,hoj, y á su contenta ción digo: mis, tropas v yo tenemos los mismos sentítnientps que tuve. e( honor de manifestar á v. b. en mi oficio de ayer 17 del corriente. Tengo el, honor de saludar á V. S. c…</t>
  </si>
  <si>
    <t>Gayan</t>
  </si>
  <si>
    <t>…e su pequeña cólúmt11a de 2© hombres; con 100 caballos que tenia disponibles. Salió de la ciudad descubriendo sus avanzadas entre el Abejar y el anti guo monásterio de Sta. Fe. El coronel Gayan, satisfecho del valor desussoldados, presin tió desde luego la victoria, mandando á lo£ cazadores y camllería de su mando dar úna carga á las guerrillas francesas. Rechazadas estas y perseguidas, arrastraron con su precipitada fuga las colui*-</t>
  </si>
  <si>
    <t>…lla 24 de Junio de 1^13. = Exorno. Sr. rr Francisco Bspoz y Mina, s= Excmo.. Sr. duque de Ciudad-Rodrigo.” (ÓV continuaran.) Id. ío de Aposto. El dia 8 del corriente se entregó al coronel Gayan la guarní clon</t>
  </si>
  <si>
    <t>Gayan, Ramón</t>
  </si>
  <si>
    <t>Ramón Gayan</t>
  </si>
  <si>
    <t>…s correrías, y sacrificar coil sus cuantio sos pedidos á los pueblos. Una brigada de la división de Soria, compuerta de algunos bata1 Iones1, ál'ínari.dQ del ¿órorí.el de Cariñena D. Ramón Gayan, tieiTé’ có’gidós loé ¿aniinos dé Zaragoza desde Alagon hasta Belchite. S'é5gun escribe dicho coronel cop,techa emCuarte del 20 del que rigé, determinó acercarse á la capital Con el ñn de dilatar el corazón de sus dignísimos habitantes á la vista de las prime…</t>
  </si>
  <si>
    <t>…s 12 de este dia voi á volar la primera, sino tratáis de rendiros»:^Ya os, saluda con la consideración mas distinguida» | r / &gt; Número 2°__ Contestación, det comandante delfuerte. Sr. D. Ramón Gayan ,, comandante de la división de Caspe i he leída cón mucha atención su oficia con fecha del dia de hoi: mis sentimientos y los de mi guarnición son coma sigue 1 16- años de servicio, -grandes ba tallas , Ocho heridas mayores me han enseñado'ú moriri éti'nti p…</t>
  </si>
  <si>
    <t>…en Genevilla, Cabredo y Maraño 11. Esta mudanza proviene de haber sabido que entraron ayer tarde ea Vitoria nuestras tropas. Calatayud 23 de Jume, Extracto de un parte del eoronel D. Ramón Gayan d la jimtét superior de Aragón. wExcmo. Sr.: Siguiendo el plan que me propuse y manifesta ba á V. E. en mi anterior, antes de dar fuego á la mina, que con mucho trabajo conseguí se hiciera en el convento de S. Juan, inme diato á este fuerte, y que también ocu…</t>
  </si>
  <si>
    <t>Gazan</t>
  </si>
  <si>
    <t>…El general Clausel después de haber recorrido la Guipúzcoa, se dirigió á Bilbao, y desde allí faé &amp; atacar á Castro. Aquí no se esperan refuerzos de Francia. Madrid 3 de Abril. El general Gazan se halla autorizado para recoger todas las con* tribuciones de esta provincia debiendo entregar al erario el sobrante de lo que necesite para su exército. Antes de ayer se verificó la entrega de la fábrica de pólvora del Retiro al exército del mediodía. El es…</t>
  </si>
  <si>
    <t>484</t>
  </si>
  <si>
    <t>484 componen la división cíe Villat que va destinada á Salamanca: igual número de fuerzas marcharon por Villacastin á Segovia y Arévalo, entre las que iba el general Gazan. Id. 9. Anoche vino la artillería de la división de Viliat y un re gimiento de dragones , y esta mañana han salido para Salamanca. A medio dia salieron para Francia los oficiales y soldados de que se habló el dia 6. Id. 12. Va marchando hácia Francia el exérc…</t>
  </si>
  <si>
    <t>…s y las fuertes posiciones que ofrece, pa rece que estaban determinados á mantenerse, con cuyo fin habian reunido en él tres divisiones del exército del mediodía á las órdenes del general Gazan. El teniente general sir Rolando Hiü, habiendo sido retirado del bloqueo de la plaza dé Pamplona , consiguió no obstante desalojarlos de todas sus posi ciones en los días 4» 5 y 7 del corriente, con d&gt;s brigadas de infantería bri tánica y una portuguesa de la…</t>
  </si>
  <si>
    <t>Gazm</t>
  </si>
  <si>
    <t>…as y las fuertes pcsiciones que ofrece, parece que estaban determinados á mantenerse; con cuyo fin habían reunido en él tres divisiones del exército del mediodía á las órdenes deí general Gazm. El teniente general Sir Rolando HUI, habiendo sido retira do del bloqueo de la plaza de Pamplona, con iguió no obstante des alojarlos de todas sus posiciones en los dias 4, &gt; y 7 del corriente, con dos brigadas de infantería británica y una portuguesa de la…</t>
  </si>
  <si>
    <t>Gcguet</t>
  </si>
  <si>
    <t>…n Lesaca. Supe que en Sara , Bastan y Santestevan se tramaba un plan de destrucción de mi partida, y para esto el 26 al anochecer se movieron contra mí 7 ©o hombres desde Sara. El general Gcguet, que los mandaba ei&gt; Bastan, había salid© con igual número de Elizondo á Azpilcueta; su pian se dirigía á que al amanecer los de Sara llegasen á vera, y los de Bastan á Echalar, quienes á breve rato de haber andado se en contraron con mis avanzadas en la ferr…</t>
  </si>
  <si>
    <t>Gcthin</t>
  </si>
  <si>
    <t>…de la artillería y provisiones cogidas, y me temo que las listas de la pérdida y sufrida no puedan ser muy exactas (*). Segunda P. D. He omitido mencionar ia bizarra conducta del teniente Gcthin del 11 regimiento, agregado á ingenieros, que con duxo una brigada portuguesa al asalto., y quitó la bandera enemiga del muro. = A S. E. el Feld-mariscal marques de Wellington. (*) Estas listas 6 estado de la perdida se publicara en la gateta siguiente. CADIZ…</t>
  </si>
  <si>
    <t>Gdfékimo</t>
  </si>
  <si>
    <t>…te tuvo un oficial y 7 soldados muertos que se vieron, y nosotros 2 soldados muertos y un herido: salieron 70 hombres de;l regimiento de la Albüéra al mandó del co ronel del mismó D. Gdfékimo ^ailanoj- qÜe séJ situaron á la izquierda dé lá panaderí a dé Sierra á tiro largo dé cañón dé la plaza, sin que tuviésen novedad alguna, por hallarse el enemigó muy distante, y no haber vuelto á acercarse mas. Hoy se han visto en los diferentes encuentros qu*…</t>
  </si>
  <si>
    <t>Gdrtgora, Francisco Antonio de</t>
  </si>
  <si>
    <t>Francisco Antonio de Gdrtgora</t>
  </si>
  <si>
    <t>144 . ...ci¿i D. Francisco Antonio de Gdrtgora en 27 del mismo, se ha servido mandar presentar para sa renovación y abono de intereses en el término de tres meses los vales reales de 600 pesos, de 300 y de t de 1.° de setiembre1 de 1808 , que por las extraordinarias circunstancias de la guerra no pudie ro…</t>
  </si>
  <si>
    <t>Gdy, José Manuel de</t>
  </si>
  <si>
    <t>José Manuel de Gdy</t>
  </si>
  <si>
    <t>Gazeta de la Regencia de las Españas n.º 26 (extraordinaria)</t>
  </si>
  <si>
    <t>…ración de aquella casa de moneda y bt'neo de res cates , ha quedado una competente guarnición en las cabezas de provincia y pueblos de consideración, á cuyo fin el general en gefe D. José Manuel de Gdy eneche estableció su residen • cía en dicho Potosí, haciendo adelantar la vanguardia cqra-</t>
  </si>
  <si>
    <t>Ge, Diego</t>
  </si>
  <si>
    <t>Diego Ge</t>
  </si>
  <si>
    <t>…petirá por otros conductos , para p evenir le , como lo hago, que luego que reciba esta órd n reúna inmedia tamente su tropa y la de la división que estaba al cargo del bri gadier D. Diego Ge reía Conde, la cual supongo quedaría á las ór denes de V. S., ó del teniente coronel Iturvide , y que de aten— diei do cualquiera otro objeto, marche sin tíHjtcion á Que étaio á rec¿b r c\ c tado convoy, á menos que detdr el punto en que Vh S. se h lie no enc…</t>
  </si>
  <si>
    <t>Gefe</t>
  </si>
  <si>
    <t>…catedral de Ciudad-Rodrigo; y á D. Martin Hinojosa, catedráti co de prima de leyes jubilado de dicha universidad: este último en calidad de suplente. i *.). ii '...... ; •. * . El señor Gefe político de esta provincia, de acuerdo con el mui Üustrd Ayuntamiento constitucional de esta capital, ha dispuesto que el domingo 8 del corriente se celebre la junta electoral de partido en la iglesia de las mon jas de Constantinopla; lo que se anuncia al púb…</t>
  </si>
  <si>
    <t>…barraya, respondiendo dig namente á la excitación que hace á los ayuntamientos cossítitucionales el soberano decreto de las Cortes sobre escuelas de agricultura, ha manifestado al señor Gefe político, que había erigido un gimnasia de agricultura práctica , y que solo solicitaba la aprobación de la Diputación provine al para ciertos gastos meseras, como luces, y la compra del semsnario de agricultura. El señor Gefe político paso esta exposición á…</t>
  </si>
  <si>
    <t>…vite la triste suerte á que se expondrían los infractores de esta prohibición. Dios guarde á V. S. muchos años.=Reai Isla de León 23 de noviembre de 1813 .= Juan Alvarez Guerra. = Sr. Gefe político de* la provincia de Madrid." Se halla vacante la escuela de primeras letras de la villa de Roa, partido de Bórgos: su dotación consiste en 200 ducados anuales, que se cobran de los propios de esta villa. Ademas la paga mensual de los niños, qúe cada…</t>
  </si>
  <si>
    <t>Geiavert, Mariano</t>
  </si>
  <si>
    <t>Mariano Geiavert</t>
  </si>
  <si>
    <t>…onio Matamoros. También han sido examinados por la referida brigada, y promovidos á subtenientes del propio cuerpo, D. J03Ó Roldan, guardia del real cuerpo de guardias de CoTps, y D. Mariano Geiavert, cadete del regimiento de infantería de Cuba. CADIZ: EN LA IMPRENTA NACIONAL*</t>
  </si>
  <si>
    <t>Gengora, Cristóbal de</t>
  </si>
  <si>
    <t>Cristóbal de Gengora</t>
  </si>
  <si>
    <t>…se im prima , publique y circule. — L, de Borbon , cardenal de Sc&amp;la, ar zobispo de Toledo , presidente. — Pedro de Agar. — Gabriel Cis car. — En Cádiz á Ib de Marzo de 1813. — A D. Cristóbal de Gengora.” Confuye la lista de los individuos del comercio de Lima que se han suscrito para mantener soldados en el exército del Desaguadero. D. F*\ncisco de Inda, 3 hombres por un año. D. Rafael López, 3 Ídem. D. Félix Válega y sus dos compañeros, 3 id. D. A:\tonio O…</t>
  </si>
  <si>
    <t>Genoves, Antonio</t>
  </si>
  <si>
    <t>Antonio Genoves</t>
  </si>
  <si>
    <t>…á D. Bartolomé Gadea, actual ecónomo de Catarroja. TEATRO. Para el de S. Bartolomé de Valencia, vacante En el de la Cruz se cxecutará la comedia titulada por por fallecimiento de D. Antonio Genoves, á D. Juan Esposa y tro no a un tiempo y mágico de Astracán; se Bautista Fabregat, cura párroco del Salvador de la cantará una tonadilla , se bailará el bolero, y se dará fin misma ciudad. con un sainete. Se cobrará de subida. A las cinco. EN LA IMPRENTA REAL…</t>
  </si>
  <si>
    <t>Germán, S.</t>
  </si>
  <si>
    <t>S. Germán</t>
  </si>
  <si>
    <t>…tros generales comandantes de divisiones en Alemania son los siguientes : De caballería: el conde_Latónr-Maubourg.— El conde Grouchy. — El conde Nansouty. — El conde Valence. — El conde S. Germán. De infantería: el conde Labor de. — El conde Loison. — El conde Bonnet. — El conde Molitor. — El conde Friant. — El conde Legrand. Los polacos, reducidos á 15$, están en Pirna, mandados por el príncipe Poniatowsky, y la caballería por el general Dombrousky..…</t>
  </si>
  <si>
    <t>Gerónimo</t>
  </si>
  <si>
    <t>…s. Una carta de Segovia, Techa 7 del corriente, dice también, con referencia a un progio recién llegado^ie Aranda','que los franceses siguen el camino de Burgos: que la partida dé D. Gerónimo. Merino con 4© hombres , la de Padilla con i2&gt; hombres , y la de Borbon con 900 forman una línea desde el Duero hastaLerma, hallándose el primero eri este punto, el segundo enGu* miel y el tercero en Roa. Jlepresenékcion qu¡e el general D. Francisco Espoz y M…</t>
  </si>
  <si>
    <t>…que se hallaba situado en Heiligernstadt; hizo un mo vimiento lateral, pasó por Sanderhausen, y llegó el día 29 por la tarde á Mulhausen. Desde aquí marchó en un día á Cassel. Él rey Gerónimo tuyo noticia dos horas antes de su llegada. Habiendo embestido la ciudad por todos lados, mandó que aco metiesen los cosaco» y húsares de Izum á 1 s batallones enemigos, situados en Rettenhausen con 6 piezas de artillería. Se dio una bri llante carga, se les…</t>
  </si>
  <si>
    <t>Gh.zs.bal, Juan José de</t>
  </si>
  <si>
    <t>Juan José de Gh.zs.bal</t>
  </si>
  <si>
    <t>7.7* IESPAKA. México 4 de 'Marzo. El b rigadier D. Juan José de Gh.zs.bal participa ni señor vlrey • desde Xalapa , con fecha de 16 de Febrero último , su expedición á Veracruz y regreso á acuella viíla, cuya, relación substancial es como sigueDepositadas las platas-en el fuerte de Perote siguió el señor Olazabtl á Xalapa, procuran…</t>
  </si>
  <si>
    <t>Gholmonde-</t>
  </si>
  <si>
    <t>…lacio de Windsor á 30 de abril de 1796. menor tacha de doblez, os lo prevengo, y acompa Señora: - • ■ ño una copia de la carta que al Reí escribo. Como „ Habiéndome manifestado el lord Gholmonde- en este momento no tengo otro protector que S. M., ley que queréis os especifique por escrito (1) el á él solo me dirijo; y si mi conducta mereciese sa modo cómo debemos vivir juntos, procuraré ha aprobación , á lo menos en algún modo quedaré cerlo con quinto…</t>
  </si>
  <si>
    <t>Gi</t>
  </si>
  <si>
    <t>…ford, por los amistosos consejos y asistencia que me ha prestado en to das ocasiones durante nuestras últimas operaciones, „Tampoco debo omitir el hacer mención de la conducta del general Gi rón, que manda el exército de Galicia, quien hizo una marcha forzada desde Orduña , y^e halló en el campo de batalla pronto á sostener al teniente ge-&lt;</t>
  </si>
  <si>
    <t>…erecha, mandada por Saehen, á Cainenz; la iz quierda , á las- órdenes de Langeron, á Neustadt, en la-desembocadura de Bohemia; y el centro, a í mando dé York, á Bischoffwerdér. El general Gi rar d , comandante de fiúestra guardia avanzada, le siguió con rapidez, é hizo algunos priíjoneros (i), fi) Debe adtnírómos seguramente moderación en los franceses. Sin duda tena mui estudiada esta retirada, pues no ciexaron millares de carros abandonados; ma…</t>
  </si>
  <si>
    <t>Giardoni, Joaquín</t>
  </si>
  <si>
    <t>Joaquín Giardoni</t>
  </si>
  <si>
    <t>…stituto segundo. D. Antonio González , substituto segundo. Barrio ae Bueña-Vista. D. Cayetano-de Soto, alcalde. CUARTEL DE SAN GERONIMO. D. Gieg&lt;’;¡,&gt; Sánchez, substituto primero. D. Joaquín Giardoni , substituto segundo. Barrio de las Trinitarias. Barrio a l Hospicio. D. Martin Enseña , alcalde. D. Bernardo Delgado, alcalde. D. Ramón González Quitos, substitut&lt;Jprimero. D. Luis González, sub ¡ñuto primero. D. Pedro Malo, substituto segundo. D. Lorenzo Ri…</t>
  </si>
  <si>
    <t>Gib.ss</t>
  </si>
  <si>
    <t>4/6 \ ■ ! -V ‘ f El mayor general Gib.ss. desembarcó e.njStralsund con un cuerpo ..de ^3® ingleses. - ' - :'f; V- .-r... -*v - ,*** ES general barón Aldreuitz es gcfe del estado mayor del exército aliado del norte de Alemania,* y tiene á sus órdenes al mayor gfenfcrai barón Tarvast y al conde Gustav…</t>
  </si>
  <si>
    <t>Gibbs</t>
  </si>
  <si>
    <t>…ordenes 13® suecos, 13® prusianos y 13® mecklemburgceses *&amp;c. Algunos cuerpos separados, que pertenecen al exército del conde de Tauenzien, bloquear, á Custrin y Stettin. El mayor general Gibbs ha desembarcado en Stralsund con un cuerpo de 3© ingleses. El general barón de Aldrenitz es el gefe del estado mayor del exército del norte de Alemania, y tiene á sus órdenes al mayor ge neral barca de Tarvast y al conde Gustavo Lownilesshn, ccmo ayu dantes g…</t>
  </si>
  <si>
    <t>Gieg</t>
  </si>
  <si>
    <t>…, substituto primero. D. Mariano Yoldi, substituto segundo. D. Antonio González , substituto segundo. Barrio ae Bueña-Vista. D. Cayetano-de Soto, alcalde. CUARTEL DE SAN GERONIMO. D. Gieg&lt;’;¡,&gt; Sánchez, substituto primero. D. Joaquín Giardoni , substituto segundo. Barrio de las Trinitarias. Barrio a l Hospicio. D. Martin Enseña , alcalde. D. Bernardo Delgado, alcalde. D. Ramón González Quitos, substitut&lt;Jprimero. D. Luis González, sub ¡ñuto pr…</t>
  </si>
  <si>
    <t>Giílespie</t>
  </si>
  <si>
    <t>…eliare que ios ruaos pasaron el Vístula, y que habiendo» dexa do fuerzas suficientes para ei bloq ue o de D&amp;nízik y de Tliorn,, avanzaban para el Oder con parte de su exéreito. El coronel Giílespie, comandante de las tropas inglesas en Java,, da cuenta con fecha de 95 de Junio último desde Djecjocarta, de; una gloriosa victoria conseguida por un cuerpo de 1000 hombres* entre ingleses e indios, contra 17000 reunidos por el sultán dé Bjec-' je carta , qui…</t>
  </si>
  <si>
    <t>Gil</t>
  </si>
  <si>
    <t>…mas antiguo de Jos poetas ita Juan Ruiz habia compuesto su poema desde la prisión lianos Dante Alhigieri, ni menos existe memoria algu que sufrió por órden de! arzobispo de Toledo D. Gil na de cierta fe sobre la poesía francesa hasta Alano de de Albornoz. Charretier, 100 años posterior al Dante. Queda pues demostrado un origen común á las poe Aunque en los estrecho* límites de una nota no ca sías de los europeos meridionales, y queda visto qu…</t>
  </si>
  <si>
    <t>Gil, Juan</t>
  </si>
  <si>
    <t>Juan Gil</t>
  </si>
  <si>
    <t>…lu M^ría Ferror, 100. D Ignacio Sobrado, 100. D. Juan del Valle Ponga, 100. D. J ose Correa, 100. D. Juan Bautista Sarraoa, 103. D. S ¡bidíaa Ugardza, 100. D. Manuel Vállate, 100. D. Juan Gil , 100. D Lo renzo Machiianda, 100. I). Miguel Arneta,50. D. Martin y D. J.ian Bautiza Estevecorena, 59. D. Ran&amp;on del Valle, 50. D. Rara el Ló pez, 50. D. Félix Balegi, 59. D. Juan Francisco M -toado, 50. D. Manuel G.j»m&lt; z Zuazo, 50. D. To-ms Jurado, 50. O S…</t>
  </si>
  <si>
    <t>…. D. A:\tonio Ortiz de Taiamo, 3 id. O. José Francisco Miranda, 2 id. D. Jo^é Ig nacio 'PvJacios, 2 id. D Gaspar Rico. 2 id. D. José Medica, 2 id. D. Juan ILmisía de Esrrea, 2 id. D. Juan Gil, 2 id. D. Juan Anto nio d&amp;rriva, I id. i). Juan Hernández, i id. D. Antonio iiodrigsez Hernández, 1 id. D. Mateo Anta, Lid D. M;guel de Arto i a, 1 id. D. Fulgencio Antonio Zabala, 1 id. D. Francisco Antonio - Quiros, 1 id. D. Miguel Aljovin, 1 id. D. Ignacio…</t>
  </si>
  <si>
    <t>Gil, Miguel</t>
  </si>
  <si>
    <t>Miguel Gil</t>
  </si>
  <si>
    <t>…co Cuba, alférez real D. José Zavala, alguacil mayor D. Pablo Ignacio Arca? a, alcalde provisio nal D. José Míralles, y regid* res D. Manuel Uibina, D. Francisco Xavier Irsniguin, D. Miguel Gil y D. Ignacio Xavier de Emasabel; el cual se hará extensivo a los regidores D. Martin José de Echave y D Manuel Quintano y Valera, al síndico procurador ge neral D. Juan Eitéban de Cueto, al regidor provisional D. Ignacio Garcés, y al asesor del ayuntamiento D. José Ignacio Zavala, que por e…</t>
  </si>
  <si>
    <t>Gil, Tirso</t>
  </si>
  <si>
    <t>Tirso Gil</t>
  </si>
  <si>
    <t>…tero. pies quadrados superficiales, con diferentes habitacio Para el de Sella, vacante por fallecimiento de nes, tasadas en 210311 rs. vn. Quien quisiere hacerD. Josef Martínez, á D. Tirso Gil, cura de Novele. postura acuda ante S. S. y citada escribanía, en donde Para el de Vinalese, vacante por muerte de se admitirá la que hicieren siendo arreglada. D. Carlos Soler, á D. Bartolomé Gadea, actual ecónomo de Catarroja. TEATRO. Para el de S. Bartolom…</t>
  </si>
  <si>
    <t>Gilí</t>
  </si>
  <si>
    <t>…1000 hombres* entre ingleses e indios, contra 17000 reunidos por el sultán dé Bjec-' je carta , quienes ocupaban una posición regularmente fortificada y guarnecida de cañones. El coronel Gilí espíe embistió el palacio atrin cherado del Sultán, y en pocas horas le tomó por asalto, quedando este prisionero, y disperso ei exército de 17000 hombres. La pér dida de los ingleses faé solo de 90 hombres , y la del enemigo muy considerable El coronel Gille…</t>
  </si>
  <si>
    <t>Gillespie</t>
  </si>
  <si>
    <t>…as le tomó por asalto, quedando este prisionero, y disperso ei exército de 17000 hombres. La pér dida de los ingleses faé solo de 90 hombres , y la del enemigo muy considerable El coronel Gillespie quedó herido en um brazo. Las navios de S. M. el Acasta y el Poictiexs han apresado; al cor» gario americano el H* raid de 18 cañones, y la fragata Southampton á la corbeta americana Yixen: Sir J. B. Warren avisa también la pre sa de 3 corsarios p -queños de…</t>
  </si>
  <si>
    <t>Gaceta de Madrid n.º 93</t>
  </si>
  <si>
    <t>…lido del Krattan (asi se llama demuestra que el país está mui exasperado contra SU palacio.) por la puerta que mira al oriente. El nosotros, y que no podremos mantenernos en él si coronel Gillespie, escoltado por 50 dragones y en no por medio de la fuerza. Al fin del asalto fue he compañía de su estado mayor, salió á hacer un re rido gravemente en un brazo el coronel Gillespie, conocimiento hasta la tirantez de lá muralla de la primer comandante de nues…</t>
  </si>
  <si>
    <t>Gilman, Antonio</t>
  </si>
  <si>
    <t>Antonio Gilman</t>
  </si>
  <si>
    <t>…les interesan. Elementos de geometría con notas, por A. M. Legendre , miembro del insti tuto nacional de Francia , y de la sociedad real de Londres , trsducidos al castella no por D. Antonio Gilman: un tomo en 4.0 con láminas. Véndese en la libiería de Arribas, calle de las Carretas. Tratado de las fiebres perniciosas intermitentes, por J. L. Alibert, médico del hospital de S. Luis, miembro de la sociedad de la Escuela, y de la de medicina de París, aso…</t>
  </si>
  <si>
    <t>Giñó</t>
  </si>
  <si>
    <t>…descrip propuesta, ¿pie'no debe dilatarse. - y ción del calabaza donde se hallaba el reo. Hizo ’ Mas por otra parte no debe parecemos extra está'adición, que también se aprobó, el señor Giñó, antes sí mui natural y verosímil, que las pre raldo.” [Redactor general núm. 576.) sentes corres generales y extraordinarias concluyan - El'articulista español núm. 3.0 inserta una re su representación trágicamente, sí se considera que presentación hecha á n…</t>
  </si>
  <si>
    <t>Giot</t>
  </si>
  <si>
    <t>…bían refugiado en los montes se entregaron esta mañana en Peterswalde. (Eí general Stew&amp;rt dice en su oficio que fueron hechos prisioneros, ademas de los generales mencionados, el general Giot, Itimberg, el príncipe d« Reus; y que se cogieron 60 piezas, ioS prisioneros, 6 banderas, y todo ei estado mayor de Vandamme quedó también prisionero.) Las guardias rusas y la caballería tuvieron nueva ocasión de distinguirse. El cuartel general estaba en Top…</t>
  </si>
  <si>
    <t>Gipt</t>
  </si>
  <si>
    <t>…habían refugiadoájps montes, se han empegado esta mañana en Piterswalde. (El general Stevvart en su.oficio.dice quq adegi^ts.dft los dos generalesméferidos se cogid prisioneros al general Gipt;,.Itiajijbergi al.;prjncipé,de. Reuss, todo el estado mayo^de Varyáflmme y con 6b pie?as; de artillería y seis banderas, ): Las guardhts ru^tó yr lo caba lee ría tuvieron nueva ocasión de distinguirse/ El quqrttel general estaba en &lt;Tqplitz el 30, y ha perman…</t>
  </si>
  <si>
    <t>Giran, Pedro Agustín</t>
  </si>
  <si>
    <t>Pedro Agustín Giran</t>
  </si>
  <si>
    <t>…la. división li gera los atrincheramientos que el.enemigo tenia'en el puerto de .Vera, sos tenido por la división española del uñando del brigadier Longa; y el maris cal de campo D. Pedro Agustín Giran atacó los atrincheramientos y pues tos que el enemigo tenia en la montaña llamada LerRhune, inmediatamente sobre la derecha de la divisiou ligera, con el exército dé reserva de Anda lucía-El coronel Gockburne del regimiento británico num. 5a.0, que man-r daba…</t>
  </si>
  <si>
    <t>Girard</t>
  </si>
  <si>
    <t>…municadas por Bonap&amp;rte á su esposa, debe suspenderse el jai cíe en cuanto al resultado. Lo cierto es que según esta misma relación sospechosa, murieren el mariscal Bessi^res y el general Girard, habiendo quedado heridos olios 3 generales; que el centro del exéreii o francés cedió al ímpetu de les aliados ; que en consecuen cia se desbandaron algunos batallones, aunque parece volvieron á re unirse ; que Bonaparte escaseaba mucho de caballería, pues á…</t>
  </si>
  <si>
    <t>…cuperarle, y lo consiguió. La batalla abrazaba una línea de dos leguas, cuoierta dé fuego, humo y polvareda. A todas partes acudian el príncipe de Moskwa, el general Son rían y el general Girard, haciendo frente á qualquier punto en que era necesaría su presencia. El general Girard, aunque herido de muchos balazos, CO En estos tres últimos períodos sacamos en consecuencia que Napoleón qui so destruir el plan de los generales rusos; que nxvpud &gt; logra…</t>
  </si>
  <si>
    <t>…vió refuerzos Bonaparte para reparar las pérdidas y sostener ;í Ney. Kaya fué tomado y retomado, porque después de decir que quedaba en poder del enemigo, añade la relación que el general Girard tuvo orden de recobrarla , y que lo fue efectivamente. Bonar parte, hallándose acosado con tanta energía en aquel punto, envió órdenes á Beauharnois para dar el ataque mas fuerte por la izquier da, y á Macdonald para distraer á los aliados del centro hacia la…</t>
  </si>
  <si>
    <t>…unicadas por Bonaparte á su esposa, debe suspenderse el juicio en quanto al resultado. Lo cierto es que, según esta misma relación sospechosa , murieron el mariscal Bessieres y el general Girard, habiendo quedado heridos otros tres genera les ; que el centro del exército frailees cedió al ímpetu de los aliados; que en consecuencia se desbandaron algunos batallones, aunque parece volvieron á reunirse; que Bonaparte escaseaba mucho de caballería, pues…</t>
  </si>
  <si>
    <t>…so después de tantas marchas forzadas. El coronel Bckendorff pasó por medio del enemigo el 27 por la noche, y se situó en Gorzke. Es probable que los débiles restos del cuerpo del general Girard, que se retiran'hácia Magdeburgo, caigan en nuestro poder. Lo que hace honor á las tropas del general Hórschfeld son las marcnas forzadas qué hicieron inmediatamente después de la acción. - Las: tropas de la nueva leva manifestaron un grande valor. ¡Tanto pue…</t>
  </si>
  <si>
    <t>…s prisioneros. Se nos han pasado muchos oficiales' franceses, y se les ha incorporado á nuestras tropas. El general Czernicheíf con sus cosacos ocu;pó á Belzig la noche del 26. El general Girard, que se había detenido en Lubnitz para pasar allí la noche, fue atacado repentinamente, y se trabó cerca de Belzig una acción mui viva, que no le permitió conservar la ciudad. El mismo 26 volvió á Níemeck de Dahme el coronel Kreust con su regimien to de cabal…</t>
  </si>
  <si>
    <t>…poj y tenia delante de sí á los rusos , que cubrían la posición de Tleusberg, y los prusianos, que se extendían por la derecha sobre el camino de Leignitz. En el momento en que el general Girard desfilaba por la izquierda sobre Niederau apareció en aquel punto una coluna de 25© prusianos. Mandó atacar los en medio de los acantonamientos de su antiguo campo, y fueron forza dos en todas partes. Los prusianos intentaron varias cargas de caballería, y to…</t>
  </si>
  <si>
    <t>…su cuartel general á esta plaza el 26 de Agosto.— El cuerpo del general Hmchfeldt estaba apostado ei 26 entre Be kan y Golzow , donde esperaba cortar la retaguardia del cuerpo del general Girard, que se encaminaba desde Ziessar á Bruck; pero el enemigo pasó con tanta precipitación, que no pudo aquel efectuarlo. El 25 , 2 oficiales y 104 soldados enemigos, de diferentes nacio nes , fueron conducidos á Potsdam: todos ellos se dexaron hacer pri sioneros…</t>
  </si>
  <si>
    <t>…s. Algunos oficiales franceses se han pasado á nosotros, y han sido incorporados con nuestras tropas. Ei general Czernichefif ocupó á Belzig en la noche del 26 con sus cosacos. Ei general Girard que se detuvo en Lubnitz con ánimo de pasar la noche, fue allí sorprehendido; de resultas hubo una acción muy viva cerca de Beizíg, y el general francés no pudo mantenerse en posesión del pueblo. EI 2Ó volvió á Niemeck el coronel Krus con su regimiento de cab…</t>
  </si>
  <si>
    <t>…enemigo: el coro nel Benkendorf se adelantó a este en la tarde del 27 , y entró en Gorzke- Es probable que no escape uno de los enemigos, excepto los cortos resto'; del cuerpo del general Girard, que se hallan hácia Magdeburgo y Wnemberg. Lo que mas honor hace al cuerpo del general Hirschfeldt, son</t>
  </si>
  <si>
    <t>…etín. Coarte! general de Belitz 30 de Agosto. El Príncipe real trasladó hoy á este pueblo su cuartel general. Según todas las noticias recibidas por los prisioneros del cuerpo del general Girard, fué este muerto en la acción del 27. Eí general Rutlitz recibió una fuerte contusión en el hombro, y manifestó mu cho valor y talento. A todas horas se hacen prisioneros, y las tropas persiguen vivamente al enemigo. El general Borstel ocupa á Zinna y Juterbo…</t>
  </si>
  <si>
    <t>…lo siguiente: Por noticias de oficio recibidas anoche sabemos que antes de ayer c~gió el teniente general Hirschfeldt 7 cañones y 2$ prisioneros del cuerpo francés que mandaba el general Girard en las inmeilaciones de Behóg. Pocas horas antes de esta acción había tenido otra muy glo riosa contra las mismas tropas el pecerel conde CzernischefF, derrot ndoLs completamente la caballería, y quitándoles un canon y 5©* ginetes. — Todo el btgage de este cu…</t>
  </si>
  <si>
    <t>Giren, Pedro Agustín</t>
  </si>
  <si>
    <t>Pedro Agustín Giren</t>
  </si>
  <si>
    <t>…fecho merecerán sn alta aproba ción. Dios guarde á V. S. muchos años. En Francia ocupando los campamentos sobre Zara á 9 de Octubre de 1813. ~ José Aymeríeh. = $r. general en gefe D. Pedro Agustín Giren. = Es copia con</t>
  </si>
  <si>
    <t>Girenj</t>
  </si>
  <si>
    <t>…l gobierno del señor duque de Ciudad-Rodrigo, con fecha de 9 del cor riente en Lesacas al que acompañan los del gene.alFreire, que lo es en gefe del.quarto exército español, y del general Girenj que manda interinamen te. Ja reserva de Andalucía. Resulta de ellos que el exército aliado pasó el Vddasoa el 7 , desalojando á los enemigos en aquel dia y e! siguiente de sus posiciones, y estableciéndose en el territorio francés. Se temaron 10 cañolies , tr…</t>
  </si>
  <si>
    <t>Girón</t>
  </si>
  <si>
    <t>…or el camino real de Bribiesca y Miranda; en eL ínterin el. todo del exéreito de Jos aliados ha hecho hoy un movimiento hácia Ja izquierda; y los cuerpos de Galicia del marido del general Girón, y la izquierda del exéreito aliado anglo-portugués, ai .mando del teniente general Sir Tomas Graham, pasarán mañana*: esper.oi, el Ebro por los puentes de Rocamunde y S« Martin. = Du rante los días 9, 10 y 11 D. Julián Sánchez manifestó mucha activi dad, sob…</t>
  </si>
  <si>
    <t>…nerales Rock y Anson, marcharon el 20 á'Murguía, de donde salieron siguiendo el camino reai de Bil bao á Vitoria. También, tenia consigo la división del -coronel Loar ga, y la del general Girón que había estado destacada sobre la iz quierda del exército, considerando el estado de cosas'baxo otro as&lt;7 pecto ; fue llamado, llego á Orduña el dia 2®, de ckmde salid aque lla .mañana para el campo de balaba para hallarse pronto á sostener al teniente gene…</t>
  </si>
  <si>
    <t>…sford por les amistosos con sejos, y asistencia que me ha prestado en todas ocasiones durante nuestras ultimas operaciones.„Tampoco debo omitir el Hacer'mención de la conducta del general Girón que manda el exercito de Galicia, quien hizo una mar cha forzada desde Orduña , y se hallo en el campo de batalla pronto á sostener al teniente general Sir Tomas Graham. Frecuentemente he sido obligado, y he tenido motivo para llamar la atención del Go bierno…</t>
  </si>
  <si>
    <t>…m , estaba allí, se retiró hacia la Guar dia, y después ha marchado en la dirección de Tudeia de Ebro. ,, Es probable que el enemigo siga su retirada á Francia. ,, He destacado al general Girón con el exército de Galicia en persegui miento del convoi que salió de Vitoria en la mañana del 20 ; y espero qué le alcan^rá antes que llegue á Bayona. „ Tei\go el honor de incluir copia del parte que el general Copons me da de una Btillante acción, que tuvo…</t>
  </si>
  <si>
    <t>…enerales Rock y Anson , marcharon el 20 á Murguía, de donde salieron, •siguiendo el camino real de Bilbao á Vitoria. También tenia consigo la di visión del coronel Longa, y la del general Girón, que había estado destaca da sobre la izquierda del exército, considerando el estado de cosas baxo otro aspecto; fue llamado, llegó á Orduña el dia 20, de donde salió aquella ma ñana para el campo de batalla para hallarse pronto á sostener al teniente geral s…</t>
  </si>
  <si>
    <t>721 nes ligeros alemanes de la brigada de guardias, y de una división es pañola del general Girón , continuaban avanzando por la calzada: dos. batallones españoles y uno portugués , que formaban una columna se parada por da izquierda del camino, pasaron prontamente la izquier da de la ciudad. &gt;»E1 general Bradford y los batallones de línea alemanes cayero…</t>
  </si>
  <si>
    <t>…a izquierda y derecha del valle si guieron á Yasnndo, y-las tropas se reunieron en Villafiatíca , adon de llagaron igualmente en el discurso de la. tarde la Cabeza ¿el cuer po dei general Girón, y todo el del coronel Lor.ga. t»A la mañana siguiente-(del 25 ) evacuó el enemigo á Alegría , y como había tomado una posición muy fuerte entre este pueblo y Tolosa , cubriendo el cami.no de Pamplona, el cuerpo español del co-.ronel Loriga marchó por Alz hác…</t>
  </si>
  <si>
    <t>…tiraban, al mando del general Foix, Re itere tambiéit que él'coronel Lbíígá le había auxiliado -para éstá Operación, é igualmente aós bátaííóries défexército dé Galicia-,1 que 'el general Girón le 1 ‘había dexadó párFel ataqué de la ciudad.' Segpp papelesjde'Cadiz , que sé refieren a'uM carta‘de un capitán ingles, ía^fuerzas,.enenjj¿^s que.,entraron, ^h. esia jjccibn ás'cendián- a ) Ó 60 hom bres',.,y, el. general'Grahjam $aiió hé'ridó cíe laybatall…</t>
  </si>
  <si>
    <t>…s de la izquierda y derecha dél valle siguieron &amp; Yasundo, y las tropas se reunieron en ViUafranca, adonde llegaron igual mente en el discurso de la tarde la cabeza del cuerpo del general Girón, y todo el del coronel Langa. „ A la mañana siguiente (del 25) evacuó el enemigo á Alegría, y como habla tomado una posición mui fuerte entre este pueblo y Tólosa, cubrien do el camino de Pamplona, el cuerpo español del coronel Longa marchó por Alz hácia Liza…</t>
  </si>
  <si>
    <t>…nemigo, formados en la iianura contigua á la ciudad; entre tanto la coluna compuesta de los batallones ligeros alemanes de la brigada de guar dias , y de una división española del general Girón, continuaban avanzando por la calzada: dos batallones españoles y uno.portugués, que formaban una coluna separada por la izquierda del camino, pasaron prontamente la iz quierda de la ciudad. , „ El general Bradíord y los batallones de línea alemanes cayeron s…</t>
  </si>
  <si>
    <t>IU general Girón se'ha encargado del inaodo del exército de Andalucía. Sabemos que la linea que ocupan los exércitos aliados está perfectamente fortificada ; y anunciamos con la mayor satisfacción que por las activas pre videncias deí gobierno reciben ya nuestros exércitos to…</t>
  </si>
  <si>
    <t>…punta de las bayo netas de la valiente tropa del bloqueo. Ultimamente se sabe que han limpia do todas las minas, y que reina el mayor descontento en la guarnición. Proclama que el general Girón ha dirigido d los franceses. Soldados: la guerra en que ahora estáis empeñados no es ya una guer ra nacional; es el resultado de la loca ambición de vuestro Emperador, que quiere avasallarlo todo. La España tenia íntima amistad con la Francia; Napoleón lá ha…</t>
  </si>
  <si>
    <t>113&lt;» Madrid /2 de Octubre. Proclama que el general Girón ha dirigido d ios franceses. Soldados: la guerra en que ahora estáis empeñados no es ya una guerra nacional; es el resultado de ia loca ambición de vuestro em perador, que quiere avasallarlo todo. La España tenia íntima amistad con la Francia; Napoleón la ha…</t>
  </si>
  <si>
    <t>…el te niente general Sir Stapieton Cotton , siguió los movimientos del centro : había tres brigadas de artillería inglesa, con esta pgrte dtlexército , 3 cañones de montaña con el general Girón, y 3 mas con el general Cáríos Alten.. „El teniente general D. Manual Freyre marchó en dos colum nas desde las alturas de Mandalé hacia Ascain con el fin -de-apro vecharse de cualquier movimiento que el enemigo pudiese hacer desde la dereeh: dé su posición hü…</t>
  </si>
  <si>
    <t>…ntro marchase por la izq ieria del rio á San Pe, y que Is sexta división p;;r la Otilia den cha pro cediese al mismo punta, mientras que Ja querrá divisicn libera y ía reserva del general Girón guardaban las a turas de Ascain , y cu brían este movimiento por aquel lad:&gt; , el que por eí ctro era cubi ;rto por Sir Rolando Hill. »Parte de las tropas enemigas se habían retirado de su cen tro, y habian pasado el Nive le por San Pe; luego que la sexta div…</t>
  </si>
  <si>
    <t>…niente ge-^ neral sir Stapleton Cotton, siguió los movimientos del centro: .había tres brigadas de artillería ingresa con esta parte del exército, tres cañones deonón— taña con el general Girón, y tres mas con ei general Cárlos Altén.i r; „E1 teniente general D. Manuel Freyre marchó en dós cólutias;dqsdelasí alturas de Mándale hacia Ascain, con el fin de aprovecharse de qiíalquier movimiento que el enemigo pudiese hacer -desde la derecha de su posic…</t>
  </si>
  <si>
    <t>…tro, marchasen por la izquierda del rio á San Pe , y que la sexta división por la orilla derecha procediese al mismo punto, mientras que la quarta división ligera y la reserva del general Girón guardaban las altu ras de Ascain, y cubrían este movimiento por aquel lado, el que por el otro era cubierto por sir Rolando HUI. ,,Parte de las tropas enemigas se habían retirado de su centro, y habían pasado el Nivelle por San Pe; luego que la sexta división…</t>
  </si>
  <si>
    <t>Girón, Pedro Agusiin</t>
  </si>
  <si>
    <t>Pedro Agusiin Girón</t>
  </si>
  <si>
    <t>…neral Longa con su división de infantería española mantenía la co municación entre las tropas de Vera, y la* del mando del teniente general Sir Tomas Graharn. El mariscal de campo D. Pedro Agusiin Girón con la infantería española de su mando cubría el camino real de S. Sebastian á Bayona; v el conde de la Bisbal con las tropas de su cargo bloqueaba la plaza de Pamplona. „E1 m ariscal Soult reunió el dia 24 de Julio el ala derecha é izquierda de su exército ,…</t>
  </si>
  <si>
    <t>Girón, Pedro Agustín</t>
  </si>
  <si>
    <t>Pedro Agustín Girón</t>
  </si>
  <si>
    <t>…cuarto.............. 50 D. José Martin de S. Martin*..........* *. • • 6 Gefe político de Salamanca.................. 6 D. Carlos España* • • * *.............................. 10 D. Pedro Agustín Girón*. . ....................... 20 Diferentes comisionados. * *.................. 68 Por la dirección gener&amp;l de Correos •*•••* 22 Total.............1339 CADIZ s EN LA IMPRENTA NACIONAL.</t>
  </si>
  <si>
    <t>…co Xavier Castaños, general en gefe del quarto exército, el oficio siguiente: „ Acompaño á V. S. los adjuntos partes de las ultimas operaciones del cuerpo de exército al mando del general D. Pedro Agustín Girón, á fin de que si lo considera oportuno, lo haga saber á los fieles habitantes de esa ca pital, que no dudo recibirán estas noticias con la alegría que es consiguiente á su decidido patriotismo. ,, Dios guarde á V. S. muchos años. Quartel general de Vitoria 3…</t>
  </si>
  <si>
    <t>…odos los españoles, que el regimiento que lleva el nombre del Código sagrado de nuestra libertad sea el que haya acabado de arrojar por esta parte de nuestro suelo al enemigo.” El general D. Pedro Agustín Girón, con fecha de ayer, me dice lo si guiente : „ Excmo. Sr. Encargué al señor coronel Longa, comandante de la sexta división del exército, tomase los fuertes de Pasages, lo que ha verificado des pués de dos dias de ataque. „La guarnición, compuesta de 146 hombre…</t>
  </si>
  <si>
    <t>…eno? guarde á V. E. mu chos años. Luesia 18 de Mayo V 1813. — Francisco Espoz y Mi~ np, s Excmo. Sr. D. Francisco Xavier Castaños.” [Se continuarán.) Burgos 4 de j*iio. Partes del general D. Pedro Agustín Girón al Excmo. Sr. Don Francisco Xavier Castaños... Primero* Legorreta 2&lt;S de Junio. — &gt;?Excmo. Sr.: el 22 me dirigí con el cuerpo que está á mis órdenes, precedido por la división Longa, ca mino de Mondragon ; pero habiendo tenido que salir tarde por las subsiste…</t>
  </si>
  <si>
    <t>…eneral Skerret; y la pér dida del enemigo en esta ocasión debe haber sido muy conside rable. Durante estas ocurrencias sobre la izquierda dei exército alia do el mariscal de campo D. Pedro Agustín Girón ataco les puestos enemigos en frente del puerto de Echakr en los días 30 y 31; el teniente general lord Daiho'vvsie hizo que el general Lecord con su brigada portuguesa atacase el 31 los que están en frente de Zugarrái;xurdi; y ei honorable msñscah de campo G…</t>
  </si>
  <si>
    <t>neral Skerret; y la pérdida del enerpigo en e$4a¡ ocasión debe haber sido mui considerable. Durante estas ocurrencias sobreda izquierda del exército alia do ei mariscal de campo D. Pedro Agustín Girón atacó los puestos enemi gos enfrente del puerto de Echalar en los dias 30 y 31; el teniente gene-, ral lord Dalhowsie hizo que el general Lecord con su brigada portuguesa' atacase el 31 los que están enfrente de Zugarramurdi; y ei honorable ¡ ma risca! de cam…</t>
  </si>
  <si>
    <t>…có con la división ligera ios airincheramiertos que el enemigo tenia en el puerto de Vera, sostenido por la división esprñola del mando del brigadier Longa; y el mariscal de campo D. Pedro Agustín Girón atacó los atrincheramientos y puestos que el enemigo tenia en la mon taña llamada Le-Rhune, inmediatamente sobre la derecha de la di visión ligera, con el exército de reserva de Andalucía. El coronel Ccckhurne del regimiento británico número 5 2 , que mandaba…</t>
  </si>
  <si>
    <t>…emigo alfrente del campo de Same. «Consecuentemente mandé qúe se concentrase el exérdto de re serva de Andalucía, y.tan luego como llegaron las tropas dispuso el mariscal de campo D. Pedro Agustín Girón, que el batallón de Or denes atacase el puesto que el enemigo tenia en la roca que estaba sobre la derecha de la posición de sus tropas; la que inmediatamente tomaron del modo mas bizarro. Estas tropas aprovechándose de las ventajas conseguidas continuaron y…</t>
  </si>
  <si>
    <t>Girón, Pedro Agustin</t>
  </si>
  <si>
    <t>Pedro Agustin Girón</t>
  </si>
  <si>
    <t>…nte general lord Guillermo Bentinck se habrá em barcado el 22 de Setiembre para Sicilia, w Remito á V. E. este parte por el teniente coronel Montufar, edecán del mariscal de campo D. Pedro Agustin Girón: y ruego á V. E. me permita le recomiende á su protección. = Dios guarde á V. E. muchos anos. Lesaca 9 de Octubre de 1813. = Wellington, duque de Ciudad -Rodrigo. = Excmo. Sr. D. Juan Ó^Donoju.” =: Es copia. SEGUNDO. Parte del general en gefe interino del exé…</t>
  </si>
  <si>
    <t>6io Copia del parte que el brigadier general Z). Juan Doaunle remitió al ge neral de la reí -, rva de Andalucía D. Pedro Agustín Girón con fecha de 8 del corriente. ,, Tengo el honor dé participar á V. S. el resultado de las operaciones que en el dia de ayer puso á mi cuidado. Habiéndose executado todo á la presencia de V. S., solo puedo decir respecto á la coluna de mi car30 que puse delant…</t>
  </si>
  <si>
    <t>…go de 11 horas; pero aunque sensi ble, se hace llevadera, habiendo conservado el crédito del exército y la posición que se le confió. El señor general en gafe el mariscal de campo D. Pedro Agustín Girón está .satisfecho de ia sobresaliente* y brillante conducta de los tenores oficiales, como del valor de las tropas en este dia; y esta re compensa al mérito tiene gustoso al exército, que sabrá en la prime ra ocasión vengar á sus compañeros muertos con gloria…</t>
  </si>
  <si>
    <t>…tol mui obligado al mariscal de campo Cáríos , ba rón de Alten, por lo bien que hizo-este servicio. ,, Sobre b derecha las tropas del exército de reserva de Andalucía"del mando de D. Pedro Agustín Girón atacaron en dos colanas los puestos y atrincheramientos que el enemigo tenia sobre la montaña de Le-Rhune, y estas colunas eran mandadas por los generales Virues y la Torre. ,, Estas tropas arrollaron quanto encontraron del modo mas bizarro has ta llegar al p…</t>
  </si>
  <si>
    <t>…e general lord Guillermo Bentinck se~habrá embarcado el 22 de setiembre pa ra Sicilia. , „ Remito á V- E. este parte por el teniente coronel Montufar, edecán del mariscal de campo D. Pedro Agustin Girón: y ruego á V. E. me peri^ita le recomiende á su protección. = Dios guarde.á V. E. muchos años. Resaca 9 de octubre de 1813. = VVellington , duque de Ciudad-Rodrigo. =s JExcmo. Sr. D. Juan 0-Donojú.”;= Es copia. (ÓV continuara. ) . EUayuntamiento constituciona…</t>
  </si>
  <si>
    <t>…osesión del expresado reducto, el enemigo hizo nuevo ataque en la mañana del 13 contrarios puestos avanzados del exército de reserva de Andalucía, dei mando del ma riscal de campo D. Pedro Agustín Girón, con la mira de recuperar Jas obras que habia construido delante del campo de Sara, y perdió el 8. Al principio se imaginó, y aun se dixo, que el verdadero ata que era por la parte de la ermita de nuestra Sra. de la Rhume; pero se limitó á los puestos avanzad…</t>
  </si>
  <si>
    <t>JI97 «Tuve motivos para quedar satisfecho en esta ocasión de la con ducta del mariscal de campo D. Pedro Agustin Girón, de la de los generales , oficiales de estado mayor , y oficiales y soldados de los cuerpos de su mando. «Me proporcionó igualmente esta ocasión el observar particular mente la firme a dei regimiento de Ordenes Aülitares del mando del coronel D. Alexandvo Hor…</t>
  </si>
  <si>
    <t>…o merecerán su alta apro bación. Dios guarde á V. S. muchos años, lín Francia ocupando los cam pamentos sobre Zara á 9 de octubre jde i8t3.&lt;=Josef Aymerich. = Sr. ge neral en gefe D. Pedro Agustín Girón. = Es copia conforme. = El teniente coronel secretario de campaña :=Felipe Prados. = Es copia. = WUnpffem.”= Es copia (1)* Re st'vmcn de ios murrios, heridos y extraviados que ha tenido el exército aliado angla-per tugues en las acciones ocurridas en los dias…</t>
  </si>
  <si>
    <t>…an atacó los reductos ah frente de Sarre, este lugar y las alturas á su espalda ^sostenida pot su izquierda por el exérdto dé reserva-de Andalucía, dél mando del mariscal de campo D. Pedro Agustín Girón, que atacó las*posiciones del ene migo , á la izquierda de la cuarta división , sob;e el descenso de</t>
  </si>
  <si>
    <t>…atacó los reductos al frente de Sarre, este lugar y las alturas á su espalda, sostenida por su iz quierda por el exército de reserva de Andalucía, del mando del mariscal de campo D. Pedro Agustín Girón, que atacó las posiciones del enemigo,.á la izquierda de la quarta división, sobre el descenso de la Petite La Rhune, y alturas á retaguardia del pueblo deSarre. ' . ,, El mariscal de campo Cárlos , barón de Alten, atacó con la división li gera y la división…</t>
  </si>
  <si>
    <t>…izquierda por la tercera división del mando del mariscal de campo el hono rable Cárlos Colville, y por su derecha por la reserva de Andalucía, á las órdenes del mariscal de campo D. Pedro Agustín Girón; y el mariscal de campo Cirios, barón de Alten, tomó las posiciones sobre la Petite La Rhune. Después cooperaron todos en el ataque de la principal posición del enemigo, situada á la espalda del mencionado lugar. ,, La tercera y séptima división se apoderaron…</t>
  </si>
  <si>
    <t>…r Henrique Clinton, y con la de los mariscales de campo el honorable Cá ríos Colville, Cárlos, barón de Alten, Lecor y Morillo, que mandaban divisio nes de infantería, y con la de D. Pedro Agustín Girón, que mandab a la reserva de Andalucía. ,, El mariscal Beresford y sir Rolando Hill me han manifestado lo satis fechos que están de la conducta de ios generales y tropas de sus respecti vos mandos $ particularizando los mariscales de campo Byng y Lamberg, que…</t>
  </si>
  <si>
    <t>Girón, Pedro Agustín'</t>
  </si>
  <si>
    <t>Pedro Agustín' Girón</t>
  </si>
  <si>
    <t>…go man tuvo todavía un puesto en una casa fuerte de piedra, que sirve co mo de cabeza de puente, y algunas tropas en varias casas con as pilleras á la derecha del Bidasoa; pero el general D. Pedro Agustín' Girón, habiendo enviado alguna artillería española, y habiendo pa sado en apoyo de esta la brigada del capitaa Dabontdieu, del cali bre de á 9, el fuego de estos cañones obligó al enemigo á evacuar y volar la casa , y á quemar el puente. Sir Tomas Graham refiere qu…</t>
  </si>
  <si>
    <t>Girón, PedroAgustia</t>
  </si>
  <si>
    <t>PedroAgustia Girón</t>
  </si>
  <si>
    <t>…entese publique en el ejército-de su mando por medio de la orden general, haciéndolo saber igualmente á todos los- gefesque es-iten separados y pertenezcan á él. = Luis WimpfFen.= Sr. D. PedroAgustia Girón. ■ _____ i. Las Cortes, generales y extraordinarias, habiendo tomado en considera ción la,instancia y, documentos presentados por Doña Francisca O-Gon, viu da. del .teniente coronel graduado) D. Rafael Gevallos y Escalera, coman dante del batallón de granader…</t>
  </si>
  <si>
    <t>Gironella, Mariano</t>
  </si>
  <si>
    <t>Mariano Gironella</t>
  </si>
  <si>
    <t>…a del batallón del Ampurdan para que pasase á S. Juan de las Abadesas, adonde me dirigí con Aiisona y la partida de caballería que se hallaba en esta á las órdenes del sübteniente D. Mariano Gironella, y á las cinco de la tarde del mismo dia emprendí la marcha con toda la coluna reunida, sin parar hasta el puente de Molió. Allí partí la coluna, y mandé al coronel de Ausona, que con 500 hombres de su cuerpo pasase por dicho pueblo, Espinavell y Collpregó, y…</t>
  </si>
  <si>
    <t>…del bata llón dei Ampurdan para que pasase á S. Juan de las Abadesas, adon de me dirigí con Ausona, y la partida de caballería que se hallaba en esta á las órdenes del subteniente D. Mariano Gironella, y á las í de la tarde del mismo dia emprendí la marcha con toda la colum na reunida sin parar hasta el puente de Molió. Allí partí la colum na, y mandé al coronel de Ausona que con 500 hombres de su cuer po pasase por dicho pueblo, Bspinavell y Colípregó, y…</t>
  </si>
  <si>
    <t>Gisb-.’rt, Dionisio</t>
  </si>
  <si>
    <t>Dionisio Gisb-.’rt</t>
  </si>
  <si>
    <t>…editará en su hoja de servicio. Los caballeros c. detes premiados son D. Joié de la Torre por preferencia en las clases de geometría y táctica; D. Tomas Benitez, en la de táctica; D. Dionisio Gisb-.’rt y D. Maittn de Villota en las de aritmética y álgebra; D. Francisco da La a en las de aritmé tica y ordenanzas, y D. Juan Saborido^ por su extraordinaria apli cación en ordenanzas y aritmética. ARTICULO DE OFICIO. Habiendo procedido las Cortes generales y extraordinarias en la sesi…</t>
  </si>
  <si>
    <t>Gisbert, Jorge</t>
  </si>
  <si>
    <t>Jorge Gisbert</t>
  </si>
  <si>
    <t>…i cieron mas interesante. En el dia i.° se examinaron los individuos de la ciase de ordenanzas que está á cargo del teniente D. Rafa-e! Sánchez ; en el dia 2 los de aritmética&gt; su profesor D. Jorge Gisbert;. en el 3 los de táctica de infantería , ba-xo la dirección del re siente D. Luis Perez de Ira ; en el 4 les de geometría, su profesor 3). Francisco Martínez de la Escalera ; en el 5 por la mañana los de álgebra , á cargo del mismo profesor , y por la tarde s…</t>
  </si>
  <si>
    <t>29° . que está á cargo del teniente D. Rafael Sánchez; en el dia ^egündo Jos de aritmética, su profesor D. Jorge Gisbert; en el tercero los de táctica de in fantería , baxo la dirección del teniente D. Luis Perez de Ita; en el quaríá5 los de geometría, su profesor D. Francisco Martínez de la Escalera; en el quinto por la mañana los de álgebra, á cargo del mismo profesor, y por…</t>
  </si>
  <si>
    <t>Git.ierres, Nicolás</t>
  </si>
  <si>
    <t>Nicolás Git.ierres</t>
  </si>
  <si>
    <t>…D. Loresg® Leqnerica,.vd. por 6,72. D. León Mafia Xinaeua, id. por b, 935. D. Manuel Menacho, id. por 6, 72. Di Manuel de los H id. por S, 96. D.'Mariano Car ranza , id. por 8,96. D. Nicolás Git.ierres, id. p; r 8, 96*. D. Juan Santos Fiáríaní, i i. por 4, 48. ü. Aa'ouío Mora, id. por 4, 48. D. Faustino López, id. por 12, 144 D. Francisco Al Tares Calle* .ron, id. por 8, 9#. D. Ambrosio A!bajar, id. p rS, 96 D. Francia©o Antonia Iharbia, id. pnr'S , §S. D.…</t>
  </si>
  <si>
    <t>Gitschim, Collo.wrath de</t>
  </si>
  <si>
    <t>Collo.wrath de Gitschim</t>
  </si>
  <si>
    <t>…8 de Julio* Entre las personas que han llegado aqui el j'de júlio hallarnos al CÓl^dc Kaunitz, que vino de Viena; ál príncipe Esterhazyí dé 1 Brándeis, caminando 2 Eatisbona; y al conde Collo.wrath de Gitschim,.que se dirige 4 Xoeplitz. • - ' * ;i ntrj Del 14* Aqui llegaron en la tardé dé! 1 * H bárqnAmstettenysple*^ nipbteníiario de Rjlsia, y el barón de Humboldf ¿ píeíTípoteneririo^de Ptu*. sfa. También se hallan ítqui el conde de Metternich y el dé-Míí-* nistro…</t>
  </si>
  <si>
    <t>Giu'aí</t>
  </si>
  <si>
    <t>…o enviad s al príncipe real de Suecia y al general Blucher por el ríixc ipe dt Schwartzenberg, con las .disposiciones para el ataque que a d bido ve'vfi:ar e hoy. Los cuerpo-, cel general Giu'aí &gt; del prin E cipe Maor.c o Li h en lein. de T&gt; ielmnnn y de B ato v, et.han re unidos en las inmediaciones ce Maikr^staut, y di&amp;ian dirigirse so -</t>
  </si>
  <si>
    <t>Giulay</t>
  </si>
  <si>
    <t>1298 plaza por el general Tolstoy, tomó las aldeas de la derecha del Keutschove : el general Giulay há maniobrado con 25© austríacos en la iz quierda dei Elster :los cuerpos de ios generales Thielmann y del prín cipe Mauricio Licht¿nstein se han dirigido sobre el mismo rio; y ei resultado de esta jornada ha sido que el enemigo ha perdido mas de 40® hombres…</t>
  </si>
  <si>
    <t>…partes. El general Bennigsen, acompañado del general Bubna (á quien el general Tolstoy reemplazó en el bloqueo de Dresde), tomó las aldeas que Jvai á la derecha del Keutschove. El general Giulay con 25® austríacos ma niobró en la orilla izquierda del Elster. Las tropas que mandan los generales Thielman, y el príncipe Mauricio Lichstenstein se dirigieron hacia el mismo rio, y el resultado de esta jornada fue que el enemigo perdió mas de 40® hombres, e…</t>
  </si>
  <si>
    <t>…s de todas las naciones aliadas, dando asi gran honor á las armas de S. M. Sigue la relación. - Francfort 10 de noviembre, Milord: tengo el honor de participaros que el cuerpo del conde Giulay y el general Meerveidt con la reserva austríaca de caballería se han movido para desalojar al enemigo de Hockheim, cuya ciudad y posición estaba fortificando. El conde Giulay marchó á la calzada de Hockst. El cuerpo dehgeneral Meerveidt, mandado por el Prínci…</t>
  </si>
  <si>
    <t>…de la posicicn. (Concluye remiden* do la siguiente relación de los ataques de estas líneas.) Francfort jo de Noviembre. Miiord: tengo la honra de partid*» paros que ti cuerpo del conde Giulay, y el general Meerfeidt con la -reserva austríaca de CabsLería. se movieron para desalojar al ene migo de Ilochheiín, cuya ciudad y posición estaban fortificando. E1 cuerpo del generai Meerfeidt, al mando del príncipe Luis Lichtenstein, se dirigid para Donner…</t>
  </si>
  <si>
    <t>Gi’ron</t>
  </si>
  <si>
    <t>…akenham, estaba allí, se retiró hacia la Guardia, y después ha marchado en Ja dirección de Tudela de Ebrov «Es probable que el enemigo siga su retirada á Francia. «He destacado al general Gi’ron con el exército de Galicia en perseguimiento del convoy que salió de Victoria en la mañana del 20; y espero que le alcanzará antes que llegue á Bayona. «Tengo el honor de incluir copia del parte que el general Copons me da de una brillante acción que tuvo en…</t>
  </si>
  <si>
    <t>Glinka</t>
  </si>
  <si>
    <t>…ento de Bromberg, que habia organi fueren médicos. zado. 2. 'J Que sepan leer y escribir el polaco, el fran El señor Popiel, nuncio del distrito de Sendocés y el aleman. mirzi. El señor Glinka, antiguo confederado de 3.0 Que se obliguen á enviar sus hijos á las es Bar; el señor Orsetti, rico hacendado en Lithuacuelas nacionales lúego que hayan llegado á la edad nia; el señor Niemira, nuncio del distrito de Sieldde siete años. cc, que en 1794 fue ge…</t>
  </si>
  <si>
    <t>Gmileman</t>
  </si>
  <si>
    <t>…d , que estaba cercada de una alta muralla y empalizadas dobles: se cogieron 4 piezas de artillería, y se hicieron prisioneros al comandante de la ciudad, al ayudante de campo del general Gmileman, á varios ofi ciales , y algunos centenares de hombres. EL resto del cuerpo dei ge neral Bertrand se retiró á Costheim y Cas-sel. La pérdida de los austríacos no es considerable ; se llora, sí, la de algunos oficiales. — Ei príncipe mariscal mandó que las alt…</t>
  </si>
  <si>
    <t>Gn</t>
  </si>
  <si>
    <t>…de todas sus posi ciones en los días 4» 5 y 7 del corriente, con d&gt;s brigadas de infantería bri tánica y una portuguesa de la segundr división , mandadas por él honorable teniente general Gn iMermo Stewart, y otra brigada de la división, portuguer sa del mando del conde de Amarante,á las órdenes del mismo conde.,úl timo puesto que ocupaba el enemigo en el puerto de Maya, situado entre el lugar de este nombre y Urdax, era extraordinaria nente fuer…</t>
  </si>
  <si>
    <t>Gobert</t>
  </si>
  <si>
    <t>…barón: otra propiedad de los directores lun sostenido que extendiéndose el 5 9 francos de renta al mariscal de campo Rosetti derecho de importación, vendría á arruinarse el co al coronel Gobert, sus edecanes. El conde de mercio de la China. El honrado miembro supuso icerno ha obtenido una gratificación de 13© du también que los directores habían pedido categóri cados , y el duque de Campomele ha sido agracia camente á los ministros de S. M. una deci…</t>
  </si>
  <si>
    <t>Gockburn</t>
  </si>
  <si>
    <t>27¿ locase ninguna artillería ni tropa , y .que .mientras permaneciese en ella no encontraría oposición. El almirante Gockburn entró en la ciudad con po ca guardia ; y reconociendo que no había propiedades públicas ni municio nes de guerra, se volvió á embarcar, dexando á los habitantes satisfechos del buen éxito que había producido el recibimiento que le hicieron. El al mirante añad…</t>
  </si>
  <si>
    <t>Gockburne</t>
  </si>
  <si>
    <t>…trincheramientos y pues tos que el enemigo tenia en la montaña llamada LerRhune, inmediatamente sobre la derecha de la divisiou ligera, con el exército dé reserva de Anda lucía-El coronel Gockburne del regimiento británico num. 5a.0, que man-r daba la ¡brigada del mariscal de" canípo*Ner.ett', ausente por enférmo, .atacó Ja derecha del enemigo., donde tenia un campamento fuertemente atrinche rado; y el regimiento núm. 52.0, mandado por el mayor'Mayne, c…</t>
  </si>
  <si>
    <t>Godard</t>
  </si>
  <si>
    <t>…eícbvre, teniente, culpable de com dos, i.° unánimemente á los señores Gomont, di plicidad con el ex-general Malet, ünannnemente; cho S. Carlos , subteniente; Joaquín Alexandro Al señor Godard , capitán, no culpado de com Lebis y Amable Amado Prevost, tenientes; Juan plicidad , unánimemente; Cirios Francisco Godard, capitán ; Josef Antonio Al señor .Gaumette, sargento mayor, no cul Viailevielhe, Juan Henriqtie Carón, Pedro Garios pado de complicida…</t>
  </si>
  <si>
    <t>Goffin</t>
  </si>
  <si>
    <t>…y comu nicado por este al Almirantazgo. Fuer i o de Ponza (d bordo del ñamo Thames) ay de Febrero. “Con arreglo á las instrucciones de V. embarqué el ió del corrien te al teniente coronel Goffin y al segundo batallón del décimo re gimiento , y llegué el 23 en frente de Ponza, cuyo puerto tiene de anchura la cuart3 parte de una milla con un muelle al extremo, de fendido por 4 baterías con 10 cañones de á 24 y 18, y 2 morte ros de 9 pulgadas. * «Ei cor…</t>
  </si>
  <si>
    <t>Gofr, Julián</t>
  </si>
  <si>
    <t>Julián Gofr</t>
  </si>
  <si>
    <t>…quín Aquerreta, D. Fermín Josué, 1), Martin Ziarriz, D, Francisco Larrodé , D. Matías Alzorr z, D. J uan Ramón Arlegui, D. Bonifacio Jaso, D; Mvouel Sancho, D. Bonifacio Martínez, D. Julián Gofr , D. Justo Taiazona, D. José María Munuce, D. Antonio Longis, D. José Canoras, D Cele Io nio Lerruz, D. Juan Macáya, D, Luis A lamo, D Francisco íturralde, D. Miguel Ube’za , D. Xavier Mariotegni, D Fermín Adrián, D. Francisco Miranda, D. laucas Zubkta, D. Vi…</t>
  </si>
  <si>
    <t>Goi-Trench</t>
  </si>
  <si>
    <t>…cutó sir Tomas Picton, merecen mis mas altos elogios. Este, última gene*-* ral cóóperó al ataque de la montaña, destacando tropas de su izquierda, y en él fue herido el honorable- teniente Goi-Trench; peto' espero que na será peligrosa» su herida. \: „ A proporción que se adelantaban citas operaciones, y ve?a fes ventajas que se conseguían , ful destacando trepas al socorro de sir Rolando HilL ,, Entrada ya la mañana se presentó á su frente el enemigo r y…</t>
  </si>
  <si>
    <t>Goicoch'ea-, Rafael de</t>
  </si>
  <si>
    <t>Rafael de Goicoch'ea-</t>
  </si>
  <si>
    <t>…el monte Mandal con tanta celeridad como arrojo, puesto im portantísimo, en cuya pronta adquisición consistió en gran manera el éxito de las restantes operaciones; y-los coroneles D. Rafael de Goicoch'ea-, D. Fran cisco Piasencia y D. Josef María Carrillo Albornoz, que tuvieron el mérito de guiar á sus. tropas á la victoria con tanta resolución cbmo buen orden. El gefe del estado mayor mariscal de campo D. Estanislao Salvador y to dos los oficiales de su cuerp…</t>
  </si>
  <si>
    <t>Goicochea, Martin Miguel de</t>
  </si>
  <si>
    <t>Martin Miguel de Goicochea</t>
  </si>
  <si>
    <t>…dero, vecino de Da-? ganzo de arriba. 7.0 D. Joaquín Manrique de Manrique , artífice platero en Madrid. Suplentes. ■i i i i.®. D. Simón González Juste, cura párroco de Seseña. 2.0 D. Martin Miguel de Goicochea, del comercio per mayor y g’»FO en Madrid. 3.° D. Juan Francisco Morate, labrador y ganadero.» vecino del ■ . ■ ; ' ' -t’-/; . ; !••••■•• v¿^¥.Soiga- • En la real casa de caridad dé la ciudad de Toledo se halla la obra de los</t>
  </si>
  <si>
    <t>Goicoecheá</t>
  </si>
  <si>
    <t>…rsós que hétnosn téñitíbL'étt’ Tas’ operaciones desde 2 5 del pasado• há¿ta ei corriente; -ssExorno,;1Sr. D; Juan :idel O-Donojú.” ^ numero 2/ „Excmo. Sr.: Habiéndose detenido* el coronel Goicoecheá hasta hoi para dar lugar á que se reuniesen" los estados relativos al oficio que acom paña de las operaciones hasta i.° del corriente, tengo que añadir para el</t>
  </si>
  <si>
    <t>Goitesolo, Francisco Antonio</t>
  </si>
  <si>
    <t>Francisco Antonio Goitesolo</t>
  </si>
  <si>
    <t>…id. D. Antonio León, 4 id. D Paulino Domínguez, 3 id. D. Martin de Aramburu, 3 id. D. Francisco Vázquez de Usieda, 2 id. D. José Correa, 2 id. D. Juan Bautista Zaracondegui, 2 id. D. Francisco Antonio Goitesolo, 2 id. D. Miguel Fernando Ruiz, 2 id. D. Andrés Sánchez Quiros, 2 id. D. Francisco de Paula Calvo, 2 id. D. Pedro Juan de Olasagarri, 2 id. D. Juan Ignaoio de Mndizabal, 2 id. D. Manuel Garrido, 2 id. D. Esteban Cardona, 2 id. D. Nicolás Cameruaga, 2 id. D. F…</t>
  </si>
  <si>
    <t>Gole, Sir Laury</t>
  </si>
  <si>
    <t>Sir Laury Gole</t>
  </si>
  <si>
    <t>…apoyando su derecha en Subijana, y su izquierda en las alturas de Pobés. «Debordamos la izquierda del enemigo con la división ligera, mientras que la cuarta del mando del teniente general Sir Laury Gole los atacaba de frente j y la retaguardia fué obligada á retirarse sobre el grueso del exército, que marchaba desde Pancorbo á Vi toria de donde salieron anoche. «Se me ha informado de que el enemigo ha desmantelado á Pancorfco. «La di visión del coronel Longa…</t>
  </si>
  <si>
    <t>Golfín</t>
  </si>
  <si>
    <t>…de abrirse las cartas en las explicaciones que se necesitarían para hacérselo el correo. Ultimamente, se aprobó la proposición comprehender; y asi nos remitimos á la misma ¿4- del señor Golfín, reducida i que quedando copia zeta de la Salud (t). de la representación del marques , se le devolviera El segundo hecho es relativo á un hombre, de para que acudiese donde correspondía, recordando edad de 30 años, que tenia á un tiempo cinco en á la regenci…</t>
  </si>
  <si>
    <t>Gómez, Andrés González de</t>
  </si>
  <si>
    <t>Andrés González de Gómez</t>
  </si>
  <si>
    <t>…o del Líe. D. An drés González de Gómez, ábogado tjtíe' fue de los realas consejos y det colegid de esta corte , ínatural de la vilia. de Gata , obispado de'Coria, hijo légítimódd Don Andrés González de Gómez y Doña María Teresa. Rodríguez Giraldoy para que' dentro del término de 30 días., contados, desde el 20 de este mes, acudan á dicho juzgado y oficio de D. Claudio Sanz, escribano del número, por sí ó por medio de&gt; procurador , con; suficiente podar á deducirle y exponer^; aperci…</t>
  </si>
  <si>
    <t>Gómez, Celedonio</t>
  </si>
  <si>
    <t>Celedonio Gómez</t>
  </si>
  <si>
    <t>…. Federico G billón , D. Luis Ganuza, Fan^ rancisco Ilundáin, D. Florencio Olabé ,&lt;D. Francisco Antonio Asuran D. Tomás Zubiri, D. Pedro Miguel Salvador , Don Prudencio Cortazar , D. Celedonio Gómez , D. Juan Braulio Diaz, D. Patricio Calvete, D. Serafín Zaráquiegui, D. Miguel Senosiain, D. José Echeverría;y D^ Clemente Diez de Tejada: á tenientes de fusileros á . D, VictorianoMangiron, D; Joaquín Mendiando , Don Pedro Oses* D José María Subirán , D. Mig…</t>
  </si>
  <si>
    <t>Gómez, Francisco Mateo Aguiriano y</t>
  </si>
  <si>
    <t>Francisco Mateo Aguiriano y Gómez</t>
  </si>
  <si>
    <t>…ardiente y sublime patriotismo. Cádiz 59 de Setiembre. El día 9 del presente mes falleció en la ciudad del Puerto de Sta. María, á los 70 años, 11 meses y 24 dias de edad el limo. Sr. D. Francisco Mateo Aguiriano y Gómez, obispo de Calahorra y la Calzada, diputado en las Córtes generales y extraordinarias por la jan a superior de Burgos. Era natural de la villa de Ale son en la Rioja , provincia de Burgos. A los 20 años de edad fué nombrado catedrático de leyes en la universi…</t>
  </si>
  <si>
    <t>Gómez, Joaquín</t>
  </si>
  <si>
    <t>Joaquín Gómez</t>
  </si>
  <si>
    <t>….° D. Pedro Aznar , cura de Hottaiezavnatural de Tabuetica*. •a;° D. Joaquín Almazan-, abogado' de:'Madrid, natural de Terríente, partida de Albarracjm- - K, r , ^ -i . . v or 3.0 D. Joaquín Gómez, abogado, regidor constitucionabde la ciudad de Zaragoza. 1 Oficio que el general D. Francisco Espoz y Mina ha dirigido al señor gefe político y ayuntamiento de esta ciudad\ ( . . ' „Son las 10 de la noche, y no quiero*defraudará V. S. de la impor tantísima n…</t>
  </si>
  <si>
    <t>Gómez, José</t>
  </si>
  <si>
    <t>José Gómez</t>
  </si>
  <si>
    <t>…no Qtievedo, previniendo igualmente á la plaza, donde había dexado de reserva el escuadrón de cazadores de la pa tria, que me mandasen 50 hombres con el teniente del mismo cuer po D. José Gómez. -El capitán Beares hizo en efecto su llamada, ,que surtió .todo el efecto que se deseaba , -porque la chisma se vino con sus acostumbrados gritos; pero recibidos por ía infantería , y sorprehendidos por la caballería que volvió caras, y la que vieron sa lir…</t>
  </si>
  <si>
    <t>Gómez, Juan</t>
  </si>
  <si>
    <t>Juan Gómez</t>
  </si>
  <si>
    <t>…l coronel de su cuerpo. ,, Con arreglo á las instrucciones de V. S. he salido esta mañana con la compañía de cazadores y tercera de fusileros, con 10 caballos al mando del alférez D. Juan Gómez del esquadron del General, para practicar el recono cimiento del enemigo sobre Olot,, y llamarle su atención: baxé á S. Feliu, y después de haber hecho dar una ración de aguardiente á la tropa, que no ha bía comido rancho, emprendí mi marcha con dirección á C…</t>
  </si>
  <si>
    <t>Gómez, Ramón</t>
  </si>
  <si>
    <t>Ramón Gómez</t>
  </si>
  <si>
    <t>…usebio Ocha de Alda, D Angel Estabulo, D Valerio Landache, D. Miguel Villacampa, D ’B'-roardo Eohsdecu, D. Cosme Vi'Hacampa y D. Ma nuel ■ 8alave.ru : á subtenientes dé fusteros á D. Ramón Gómez, D. Juan Migad de Iriso, D. Manuel Beriain, D. Manuel Gurpi-</t>
  </si>
  <si>
    <t>Gómez, Roque Perez</t>
  </si>
  <si>
    <t>Roque Perez Gómez</t>
  </si>
  <si>
    <t>…1$ hombres en Pasages. ARTICULO DE OFICIO. La Regencia del reyno se ha servido promover á coronel del re gimiento urbano de infantería del Comercio de México al teniente co ronel D. Roque Perez Gómez, capitán de granaderos del mismo re* gimiento. lil vicario eclesiástico de Vil* a nuera de Córdoba D. Bernardo Moreno de Pe iraxas, movido del mas ardiente é ilustrado celo por el bien de la humanidad, y deseoso de que dexando de servir de enterramiento la ún…</t>
  </si>
  <si>
    <t>Gómez, Tadeo Segundo</t>
  </si>
  <si>
    <t>Tadeo Segundo Gómez</t>
  </si>
  <si>
    <t>…e Zaragoza. 3.0 Sr. D. Vicente;Héredia&gt; caballero de la!.drdéR dé Cá’rios 111, veci no de Graus. 4.0 - D? Juan Francisco Martínez,, arcediano de I&gt;aropa* (natura! de Zaragoza. 5.0 D. Tadeo Segundo Gómez, ministro del supremo tribunal de Jus ticia, natural de Teniei. • - vr, .• 6.° D. Juan Capistrano Pujadas, vecino de Calatayud. 7.0 D. Gerónimo Castillon , maestre-escuelas de Huesca , natural de Ponzano , partido de Barbastro. 8.° D. Manuel Abella /oficial d…</t>
  </si>
  <si>
    <t>Gómez, Victoriano</t>
  </si>
  <si>
    <t>Victoriano Gómez</t>
  </si>
  <si>
    <t>…es nacionales. D. Luis Luxan y Monroi, de Arenas, hacendado. " Y para suplentes d los señores Lie. D. Josef Ramón Romeral, de la Peraleda de Garvín, párroco de Piedra-escrita. Dr. D. Victoriano Gómez de la Fuente, presbítero, de Colmenar de Oreja. ^ &lt;?* Para la diputación provincial d los señores ;Dr. D. Isidoro Alaiz y Represa, canónigo doctoral de esta santa iglesia primada. D. Joaqujn Sobrinos, hacendado, labrador y ganadero de la villa de Talavera de…</t>
  </si>
  <si>
    <t>Gomo, Eagelbrechien</t>
  </si>
  <si>
    <t>Eagelbrechien Gomo</t>
  </si>
  <si>
    <t>…tos de M ck'enburgo y D nUzkk , abrieron un campo muy vasto á las con jeturas. Pura conocer con alguna seguridad el estada de jas cosas en la Pomeranía sueca, envió allí el rey ai general Eagelbrechien Gomo parlamentario ; pero habiendo recibido prontamente la noticia de no haber querido el general conde Friant oir al general sueco, ni siquiera responder por escrito á la carta queje dirigió, juzgó 8. M. que por sistema querrían mantener á Ja Suecia en la ignoran…</t>
  </si>
  <si>
    <t>Gomont</t>
  </si>
  <si>
    <t>…iciente mavoría- de tres votos con ar Al señor Lebis, teniente, no culpado de com reglo á la lei del 13 bruinario, año v, al señor pilad, d, unánimemente; Jorge Roulf, capitán. Al señor Gomont, dicho S. Garlos, subtenien La comisión militar mandó que los absucltos ar te, no cuipado.de complicidad, unánimemente; riba especificados se pusiesen á la disposición del Al señor Viailevielhe, ayudante subteniente, no Excmo. Sr. ministro de Guerra. culpado…</t>
  </si>
  <si>
    <t>Gomsz, Alexo</t>
  </si>
  <si>
    <t>Alexo Gomsz</t>
  </si>
  <si>
    <t>…n Campana ; «^comandante y segundó de lasguemlla* dei Real de Lima, teniente D. Juan Vizcarra ; D. Jacinto Risco; y el capi tán de la de Paroro D. Cristóbal Martines; y su alférez D. Alexo Gomsz han llevado el peso de guardias avanzadas diariamente, y su serenidad y valor han proporcionado una marcha cómoda ai exér cito ; á todos los recomiendo á V. S. muy particularmente. ,¿He sido informado de que el comandante de Sinti D Matías Mo rales, que fuá h…</t>
  </si>
  <si>
    <t>Gon, Argel</t>
  </si>
  <si>
    <t>Argel Gon</t>
  </si>
  <si>
    <t>1249 y López , como individuos de la sociedad económica; D. Argel Gon zález Barreyro, secretarlo del ayuntamiento constitucion&amp;í, y como tal, secretario de esta juma; y D. Francisco Fernandez de Ibarra, co mo habilitado de secretario de dicho ayuntamiento , lo es..también de esta junta. La junta, en medio de tan apuradas y last…</t>
  </si>
  <si>
    <t>Gón, Cristóbal de</t>
  </si>
  <si>
    <t>Cristóbal de Gón</t>
  </si>
  <si>
    <t>…is se im prima, publique y circule. — JL .de Borbon, cardeaal de Scala, ar zobispo de Toledo , presidente. — Pedro de Agat\ — Gabrúl Cis car. — Bu Cádiz á S§ de Marzo de 1813. — A D. Cristóbal de Gón* gorau” Segundo. 3&gt;. Fernando vii , par la gracia de Dios y por la cesstitueio* de la monarquía española, y en su ausencia y-cautividad la Regen cia del reyno, nombrada por las Cortes generalas y extraordinaria^ * se ha servido relevar á D. Pedro Labrador, se…</t>
  </si>
  <si>
    <t>Gona, Mateo</t>
  </si>
  <si>
    <t>Mateo Gona</t>
  </si>
  <si>
    <t>…144 D. Francisco Al Tares Calle* .ron, id. por 8, 9#. D. Ambrosio A!bajar, id. p rS, 96 D. Francia©o Antonia Iharbia, id. pnr'S , §S. D. Juan M-io.uel Campo blanca, id. por 8,96. D. Mateo Gona z, id. por 8, 96, O. Rain .ai Qrtiz , id. por 8,96 D. Francisco Nnñez G tgo , id. p ,r 8, 96. D. Manuel Pri mo,.id. p#r 8, 96. D. Juan José Rabio, id. por 4, 48. D Jaan Bau tista Visa», id. por 4,48. O. J.: ss Ganó, id. por 4, 48 D. Francis co' Pende, id. por…</t>
  </si>
  <si>
    <t>Góngora, Cristóbal de</t>
  </si>
  <si>
    <t>Cristóbal de Góngora</t>
  </si>
  <si>
    <t>…ey de las Españas, y en au ausencia y cautividad la Regencia del reyno nombrada por las Cortes generales y extraor dinarias; atendiendo á las reiteradas instancias que le ha hecho Don Cristóbal de Góngora, secretario de Estado y del despacho univer sal de Hacienda, antes y después de habérsele agraciado con este destino en propiedad para que se le releve de él, y considerando lo recomendables que son sus méritos por esta moderación, se ha ser vido condescender…</t>
  </si>
  <si>
    <t>…se iraprima, publique y circule. — L. de Borbcn, cardenal de Scaia , ar zobispo de Toledo , presidente. •— Pedro de Agcr. — Gabriel Cis car. — En Cádiz á 25 de Marzo de 1813. — A D. Cristóbal de Góngora. Segundo. D. Fernando vii , por la gracia de Dios y por la constitución de la monarquía española, rey de las Espadas , y en su ausencia y cautividad la Regencia del reyno , nombrada por las Cortes genera les y extraordinarias, á todos ios que las presentes vi…</t>
  </si>
  <si>
    <t>Góngora, Francisco Antonio de</t>
  </si>
  <si>
    <t>Francisco Antonio de Góngora</t>
  </si>
  <si>
    <t>…ócés'y más-sangrientas que por’desgrácía stoñ bien co nocidas en toda ¡lá nacioil^ Los pueblos1 que mas han paaedido son Oteros, Ortigosa, la Losa, Pascuales y Aragoneses. - 1 l , Don Francisco Antonio de Góngora, intendente4 general &lt;5ti‘ comisión de la'pxovinciá de Madrid &amp;c. . / ' í¡ " ’’ ' &lt; *J &gt;J Debiendo restabfecersé' él * órden que eí gobierno ’lnfrtísb ha‘ invertido'‘éh los áiFerehtés ramos de la; fLtcienda-nacional' eh está; capital y^púeblos'dé ‘Yu provinci…</t>
  </si>
  <si>
    <t>42</t>
  </si>
  <si>
    <t>…aet saber, ilustradme con vuestras luces, seguros de mi docili dad , y de que mis deseos se encaminan solamente al bien y prosperidad:dé nuestra patria. = Joaquín García Domenech. Don Francisco Antonio de Góngora, intendente general de la provincia de Madrid S¿c. Por quanto he llegado á entender que el gobierno intruso expendió en su; ultima estancia en esta capital numerosas porciones de tabacos, sales y otros géneros de los estancados entre crecido número de persona…</t>
  </si>
  <si>
    <t>…es pacho de Hacienda9 Gobernación de la península, Mtiríña y Guerra á los Excmos. Sres. D. Tomas González Carvajal, D. Juan Alvarez Guerra* Don Francisco Osorio y D. Juan Odonqjú. Don Francisco Antonio de Góngora, intendente general en comisión de esta capital y su provincia &amp;c. Siendo mui interesante el conocimiento de la cuenta y razón en los di versos ramos de la hacienda pública , mando qua todos los comisionados que han intervenido en ella, baxo qualquier respect…</t>
  </si>
  <si>
    <t>…12 de octubre último, co municada por él ministerio de Hacienda á la junta nacional del crédito pú blico , residente en Cádiz, y por esta al, ihyendéntó general de ésta provin cia D. Francisco Antonio de Góngora en 27 del*mismo; se ha servido man dar presentar para sn renovación y abono de intereses en el término de tres meses los vales reales de 600 pesos, de 300 y de 150 de i.° de setiembre de 1808, que por las extraordinarias circunstancias de la guerra no pudie r…</t>
  </si>
  <si>
    <t>…22 de octubre último, co municada por el ministerio de Hacienda á la junta nacional del crédito pú blico , residente en Cádiz, y por esta al intendente general de esta provin cia D. Francisco Antonio de Góngora en 27 del mismo, se ha servido man dar presentar para su renovación y abono de intereses en el término de tres meses los Vales reales de 600 pesos, de 300 y de 150 de i.° de setiembre de 1808 , que por las extraordinarias circunstancias de la guerra no pudie…</t>
  </si>
  <si>
    <t>Gongora, Francisco Antonio de</t>
  </si>
  <si>
    <t>Francisco Antonio de Gongora</t>
  </si>
  <si>
    <t>…gulloso exército, que dirigido por Souk salid de Francia el 25 del pasado con intención de penetrar hasta Madrid, ha vuelto otra vez batido y desmembrado á ocupar su territorio.’* D. Francisco Antonio de Gongora, intendente &amp;c. Las Cortes generales y extraordinarias de la nación enteradas del proyec to que les fue presentado de una lotería nominada nacional, igual á la que fcace muchos años se halla establecida en Nueva-España, se sirvieron autori zar á la Regencia d…</t>
  </si>
  <si>
    <t>…odrigo sobre las últimas accio nes del mes anterior, cuy os detalles no nos es posible insertar aqui por falta de tiempo; pero se darán en ia gazeta siguiente. ARTICULO DE OFICIO. D. Francisco Antonio de Góngora, intendente general en comisión de la provincia de Madrid b*c. Por quanto habiendo determinado el gobierno queden abolidas las rentas estancadas, se cobrarán por ahora los derechos de puertas que se señalan en el siguiente arancel á los efectos que se desesta…</t>
  </si>
  <si>
    <t>Góngora, Luis de</t>
  </si>
  <si>
    <t>Luis de Góngora</t>
  </si>
  <si>
    <t>…ueron mui »»ques de Villena de introducir en la literatura es- « censurados. Modificado y españolizado este mismo « pañola algunas bellezas de la literatura antigua, y «estilo por D. Luis de Góngora, poeta que flore— «de las que comenzaban á suministrar las extran « ció á hnes del siglo xvi, dió nombre á su secta, y jeras, empezando también desde aquel momento «se transmitió á rrancia, en cuyos poetas se ad«la lucha del espíritu público contra tales inno…</t>
  </si>
  <si>
    <t>Gonza, Miguel</t>
  </si>
  <si>
    <t>Miguel Gonza</t>
  </si>
  <si>
    <t>…tlernandez alcalde El señor barón Je Sant-Cvr, general de divi mayor juez de primera instancia del Escuna! v su sión , que hizo á estos cuerpos la entrega de dichas distrito, y á D. Miguel Gonza^z Gayoso alcalde banderetas, les dirieió ai mismo tiempo el siguiente mayor juez de primera instancia de ía villa de Con discurso: suegra y su distrito. ,, Señores gefes y oficíales de cohortes, y voso Por decreto de 9 del mismo S. M. ha nombrado tros soldado…</t>
  </si>
  <si>
    <t>Gonzá, Tomas José</t>
  </si>
  <si>
    <t>Tomas José Gonzá</t>
  </si>
  <si>
    <t>…s se im prima, publique y circule. = £. de JBorbon, cardenal de Scala, ar zobispo de Toledo , presidente. = Redro de Agar. = Gabriel Cis car. = En Cádiz-á 22 de Abril de 1813. = A D. Tomas José Gonzá lez Carvajal. Circular del ministerio de Hacienda. Habiéndose enterado la Regencia del Reyno de un edicto for mado en 25 de Mayo último por la comisión de gobierno de la provincia de Valenda, en el cual se contenían diferentes disposi ciones para cortar la fr…</t>
  </si>
  <si>
    <t>Gonzá, Tomas Jóse</t>
  </si>
  <si>
    <t>Tomas Jóse Gonzá</t>
  </si>
  <si>
    <t>…dréis se im prima, publique y circule. = £. de Barbón, cardenal de Scaía, ar zobispo de Toledo, presidente. = Pedro de Agar. — Gabriel Cis car.—Tin Cádiz á $ de Julio de 1813.-= A D. Tomas Jóse Gonzá lez Carvajal. AI señor secretario del despacho de la Guerra se ha comunicado por los secretarios de las Cortes generales y extraordinarias la re solución siguiente: wLas Cortes generales y extraordinarias , habiendo tomado en consideración la instancia y docu…</t>
  </si>
  <si>
    <t>González</t>
  </si>
  <si>
    <t>Gaceta de Madrid n.º 89</t>
  </si>
  <si>
    <t>…s? ¿Se han nombrado ya en las provincias dipu .. ,,Leída esta representación y las firmas que con* tados para las. presentes cortes'? ¿ Han hecho la elec tenia, tomó la palabra el señor González, queján ción para las siguientes? ¿Tienen ya diputaciones dose de que estar era la voz general de todos los es provinciales , ayuntamientos constitucionales , au pañoles; que sin embargo á los que hacian tales diencias según la constitución? ¿Se ha preferido…</t>
  </si>
  <si>
    <t>…e París i $ de marzo. motivo se quejó el señor Calarrava de la indolen cia escandalosa con que el gobierno toleraba estos La garría de la Salud contiene la relación in excesos. El señor González apoyó al señor Cala.dividual de dos casos mui extraordinarios. trava, culpando de todos estos males la demasiada El primero es la historia de un embarazo ex moderación del congreso. El señor Ximenez Hoy* trauterino. Habrá muchas personas que no alcan confirmó…</t>
  </si>
  <si>
    <t>…éndose que de un mn de la representación v del testimonio, propusieron mentó á otro se desplome y aniquile toda la ciudad. vatios señores diputado: que pasasen á una comi sión. El señor González hizo pre=ente que estas IMPERIO FRANCES. quejas eran continuas y multiplicarlas; añadiendo que si las cortes habían hecho la constitución solo Brest 4 de marzo. para que se mirase como un qn.idro, desengañasen Los corsarios del Conquet la Dorade y el Mar á la…</t>
  </si>
  <si>
    <t>…a el competente cotejo, los quales deberán quemarse lue go que hayan pasado tres.meses desde la cancelación..— Aprobado. * Se pasó á la misma comisión la siguiente proposición del Sr. González: las acciones generosas deben, ser premiadas. Por lo mismo propongo, que al patriota que donó los 34907 pesos en vales, se le entregue á nombre dél Congreso una medalla de oro; suplicando yo á su apoderado que se sirva recibir la que á mí me corresponde.__ De…</t>
  </si>
  <si>
    <t>…ional'del crédito público , para que cancelados como corresponde , se quemen al tiempo debido; y por'último qué esta resolu ción se publique en la gazeta del gobierno.-—-Aprobado. Sr. González: yo insisto en lo que tengó propuesto, porque nunca me vuelvo atrás de lo que ofrezco : y asi pido?qüé la'médalla'ae 'plata ^ue á mí me corresponde se entregue al apoderado';dél Si. Vaidés.í_JCSr. Mexíá: yo acompañaré en esto al Sr González. ^ r « Sr. Vallejo…</t>
  </si>
  <si>
    <t>González, Andrés</t>
  </si>
  <si>
    <t>Andrés González</t>
  </si>
  <si>
    <t>…de voluntarios de Asturias; D. Pedro Albuerne, D. Mateo Torraiba, D. Tomas Caneja y D. Antonio Fernandez, capitanes los dos primeros , y tenientes los segundos del propio cuerpo; D. Andrés González, teniente del de Oviedo; Don Manuel Suarez Campa , capitán de la compañía de obreros; D. Ra món Lozano, D. Juan Ruvi, D. José Oronoz , capitanes, D. Felipe Ruvalcab3, teniente, y D. Leonardo Cotera, subteniente del prime ro cántabro, y D. Joaquín Díaz, capitá…</t>
  </si>
  <si>
    <t>González, Antonio</t>
  </si>
  <si>
    <t>Antonio González</t>
  </si>
  <si>
    <t>…Banjo de S Francisco. D. J uau Ventura Apesteguía, substituto pri D. Josef Carranza , alcalde. mero. D. Manuel Martínez , substituto primero. D. Mariano Yoldi, substituto segundo. D. Antonio González , substituto segundo. Barrio ae Bueña-Vista. D. Cayetano-de Soto, alcalde. CUARTEL DE SAN GERONIMO. D. Gieg&lt;’;¡,&gt; Sánchez, substituto primero. D. Joaquín Giardoni , substituto segundo. Barrio de las Trinitarias. Barrio a l Hospicio. D. Martin Enseña , alcalde…</t>
  </si>
  <si>
    <t>…etes D. Gregorio Brochero, D. Nicolás Campo,* D. Diego María Calatrava, D. José Valdemoros , D. Pascual de la Puente, D. Juan de Morales, D. Agustín Gamboa, D. José Rayo y Cortés, D. Antonio González y D. Pedro Abello, un exemplar á cada uno de un tratado de trigonometría y geometría práctica poj* su aprovechamiento en aritmética y álgebra : á les c,: de tés D. José Beltran , D. José María Gormayo, D. José Ruiz, D. Joaquín Alvarez Sotomayor y D. Vísente Alba, tina obra de.…</t>
  </si>
  <si>
    <t>González, Benito Saenz</t>
  </si>
  <si>
    <t>Benito Saenz González</t>
  </si>
  <si>
    <t>…vincia, arcediano de Cartagena. Dr. D. Josef Zorrilla de la Rocha, natural de Arenas, vicario del Puen te del Arzobispo. D. Miguel de Frías, del Corral deAlmaguer, hacendado. Lie. D. Benito Saenz González, de Toledo, abogado de los tribunales nacionales. D. Luis Luxan y Monroi, de Arenas, hacendado. " Y para suplentes d los señores Lie. D. Josef Ramón Romeral, de la Peraleda de Garvín, párroco de Piedra-escrita. Dr. D. Victoriano Gómez de la Fuente, presbítero…</t>
  </si>
  <si>
    <t>González, Fermín</t>
  </si>
  <si>
    <t>Fermín González</t>
  </si>
  <si>
    <t>…anas, la música marcial, las salvas de fusi lería, la brillantez de la hermosa y bien vestida compañía de grana deros del regimiento de Logroño, y de los soldados de caballería de D. Fermín González, y la dulce memoria de que en tal'día se ins talaron las Có tes extraordinarias para emprender la grande obra de nuestra felicidad; todo esto, pues, produxo sensaciones placenteras, que la pluma no puede explicar. Concluida la función, se restituyó á las casa…</t>
  </si>
  <si>
    <t>González, Francisco</t>
  </si>
  <si>
    <t>Francisco González</t>
  </si>
  <si>
    <t>…DEL BARQUILLO. Barrio de S. Antón. QUARTEL DE SAN* ISIDRO. Barrio de Mira el Rio. D- Josef Miñones, alcalde. D. Pedro Garrido, substituto primero. D. Gil Antonio Laguna, alcalde. D. Francisco González, substituto primero. D. Ratael Guiri, substituto segundo. D. Josef Llorca , substituto segundo. Barrí) de Gu traías Españolas. Barrio de la Hu rta del Bayo. D. Pedro Petez, alcalde. D. Felipe Santintregui, alcalde. D. Pedro del Rio, substituto primero. D. Jos…</t>
  </si>
  <si>
    <t>González, Francisco Garnier</t>
  </si>
  <si>
    <t>Francisco Garnier González</t>
  </si>
  <si>
    <t>…n la librería de Perez, calle de las Carretas. Canción al famoso combate dado por el brigadier D. Juan Martin en los cam pos (Je Torrejon el día 2 2 de mayo de 1813: compuesta por D. Francisco Garnier González. Véndese en la librería de González, calle de Atocha, frente á los cinco gremios. Canción patriótica para forte-piano, titulada la derrota de Soult, puesta en música. Se hallará á ocho reales en el puesto de libros de Martin Santos, calle de la Concepción Ger…</t>
  </si>
  <si>
    <t>González, Ignacio</t>
  </si>
  <si>
    <t>Ignacio González</t>
  </si>
  <si>
    <t>…ntonio iiodrigsez Hernández, 1 id. D. Mateo Anta, Lid D. M;guel de Arto i a, 1 id. D. Fulgencio Antonio Zabala, 1 id. D. Francisco Antonio - Quiros, 1 id. D. Miguel Aljovin, 1 id. D. Ignacio González, 1 id. D. José Ri bera, 1 id.. D. Francisco Gavidia, 1 id. D. Juan Bautista y D. Mi guel de la V ña, 1 id.- DJ usé Aibarado, 1 id. D. Melchor í&amp;chaustegnl, 1 id. D. Francisco Montes, I id. D. Sebastian Compare!, 1 id. D. A i tordo D: ñho, 1 i i. D. Francisco…</t>
  </si>
  <si>
    <t>González, Joaquín</t>
  </si>
  <si>
    <t>Joaquín González</t>
  </si>
  <si>
    <t>…segundo de Asturias; D. José Martínez ,'espitan del primero cántabro; D. Nicolás Doronzoro, teniente ; D. José Arana , subte niente del primero de Guipúzcoa. Les prisioneros son: D. Joaquín González, subteniente del se gundo de Asturias; D. Agustín Ber.itez, teniente del de la Constitu ción,; D. Agustín Berais, espitan del de Santiago ; D-José María So ladura. y D. Antonio Solóviano, tenientes del de Laiédp. ; Asimismo ha sido herido el comandante genera…</t>
  </si>
  <si>
    <t>González, José María</t>
  </si>
  <si>
    <t>José María González</t>
  </si>
  <si>
    <t>…aordinarias la resolu ción siguiente: "Las Cortes generales y extraordinarias, habiendo tomado en su soberana consideración ía importancia de los servicios hechos á la pa tria por D. José María González, natural de la ciudad de Sevilla, y sobre todo el heroísmo eon que prefirió la muerte de garrote á 13 condición queje exígian los enemigos por librarse de ella, si decla raba los sugetos que había en Sevilla cómplices con él en la comi sión de observar sus op…</t>
  </si>
  <si>
    <t>González, Josef María</t>
  </si>
  <si>
    <t>Josef María González</t>
  </si>
  <si>
    <t>…aordinarias la resolución siguiente : „Las Cortes generales y extraordinarias, habiendo tomado en su sobe rana consideración la importancia de los servicios hechos á la patria por Don Josef María González, natural de la ciudad de Sevilla, y sobre todo el he roísmo con que prefirió la muerte de garrote á la concíicion que le exigían los enemigos por librarse de ella, si declaraba los sugetos que habia en Sevi lla cómplices con él en la comisión de observar sus…</t>
  </si>
  <si>
    <t>González, Juan Antonio</t>
  </si>
  <si>
    <t>Juan Antonio González</t>
  </si>
  <si>
    <t>…hos vale* 6 acciones, los retengan , dando aviso inmediatamente al referido señor juez por di cha escribanía del número. La persona ó descendientes de‘Doña Luisa González, hija de D. Juan Antonio González y Doña María García de Parada, naturales que fueron de la ciudad de Zamora, y vivieron en esta capital en la calle del Pez, , frente á la fuente del Cura, núm. 2 , quarto segundo, podrán acudir en el térm.írio ¿e 60 dias á lá casa de Don Francisco García Patón, procurador d^ ;me…</t>
  </si>
  <si>
    <t>González, Luis</t>
  </si>
  <si>
    <t>Luis González</t>
  </si>
  <si>
    <t>…rdoni , substituto segundo. Barrio de las Trinitarias. Barrio a l Hospicio. D. Martin Enseña , alcalde. D. Bernardo Delgado, alcalde. D. Ramón González Quitos, substitut&lt;Jprimero. D. Luis González, sub ¡ñuto primero. D. Pedro Malo, substituto segundo. D. Lorenzo Riega, suhsrituto segundo. B ‘-rm de ?'rs Baronesas. B ir rio de S 1' •cfonso. L&gt;. Juan Sainz de Tejada, alcalde. D Minie! Iisarratru'rre , alcalde. J). Pedro V arge.s, substituto primero. D. P…</t>
  </si>
  <si>
    <t>González, Luisa</t>
  </si>
  <si>
    <t>Luisa González</t>
  </si>
  <si>
    <t>…aren alguno ó. algunos de dichos vale* 6 acciones, los retengan , dando aviso inmediatamente al referido señor juez por di cha escribanía del número. La persona ó descendientes de‘Doña Luisa González, hija de D. Juan Antonio González y Doña María García de Parada, naturales que fueron de la ciudad de Zamora, y vivieron en esta capital en la calle del Pez, , frente á la fuente del Cura, núm. 2 , quarto segundo, podrán acudir en el térm.írio ¿e 60 dias á lá…</t>
  </si>
  <si>
    <t>González, Tomas</t>
  </si>
  <si>
    <t>Tomas González</t>
  </si>
  <si>
    <t>…este impor tante ramo de la instrucción pública, el dia 7 de noviembre próximo. En la tarde de este dia habrá sesión pública en la que pronunciará un discurso el señor consiliario D. Tomas González. Plabiendo cesado los productos de la cofradía de S. Eloi, y los fondos de policía, en que consistía la dotación de este establecimiento, empieza sus trabajos por el zelo y generosidad de su protector el Exorno. Sr. marques de Cerraibo, y por la liberalidad y…</t>
  </si>
  <si>
    <t>González, Ventura</t>
  </si>
  <si>
    <t>Ventura González</t>
  </si>
  <si>
    <t>…io del Ave María. D. Andrés Aros, sub-tituto primero. D. Antonio Arnesto, alcalde. D. Santos Antolin , substituto stgundo. D. Josef Rodas, substituto primero. Barrio de S. Marcos. D. Ventura González , substituto iegundo. D. Francisco Tellez, alcalde. Barrio de la Trinidad. D. Sebastian de Echestia, substituto primero. D. Santiago Ubon , substituto segundo. D. Carlos Avanciny, alcalde. D. Juan de Dios de la Pena, substituto primero. D. Josef Vinuesa , sub…</t>
  </si>
  <si>
    <t>Gonzálezen, Fermín</t>
  </si>
  <si>
    <t>Fermín Gonzálezen</t>
  </si>
  <si>
    <t>…lla dentro de sus casas consistoriales, en las quales se ha de celebrar el remate el lunes 9 del cor riente mesa las 12 de su mañana. Retratos de D. Juan Martin, D- Juan Palarea y D. Fermín Gonzálezen 8.V á ios que continuarán los de aquellos gefes que se han distinguido en esta ¿poca. Se venden en las librerías de Barco, calle dé las Carretas y carrera de S. Gerónimo. EN LA IMPRENTA NACIONAL.</t>
  </si>
  <si>
    <t>Gopons</t>
  </si>
  <si>
    <t>…uvo en Cataluña el 7 de Mayo una brigada de tropas españolas mandada por el coronel Llader (1). He recibido otro parte, aunque no de oficio, que expresa que el 17 de dicho Mayo el general Gopons había batido al enemigo en la posición de Concal cerca del Abisbal. «Dios guarde á V. E. muchos años. Irurzun 24 de Junio de 1813. zszWellington \ duque de Ciudad-Rodrigo. ='Exemo. Sr. Don Juan O-Donoju.” (1) Se publico en la gaceta del sábado 12 de junio ult…</t>
  </si>
  <si>
    <t>Gordi'do, Pedro</t>
  </si>
  <si>
    <t>Pedro Gordi'do</t>
  </si>
  <si>
    <t>…es generales y extraordinarias en la sesión de 24 del corriente á la renovación de su presidente , vice-pre sidente y uno de sus secretarios ; salieron electos, para presidente el Sr. D. Pedro Gordi'do, diputado por las islas Canarias; para vice presidente el Si. D. José Maris Couto-, diputado por el reyno de México; y para secretario el Sr. D. Fermín Clemente, diputado por Caracas. La Regencia del reyno se ha servido expedir el decreto que sigue z D. Ferna…</t>
  </si>
  <si>
    <t>Gordo</t>
  </si>
  <si>
    <t>422</t>
  </si>
  <si>
    <t>…9 de Marzo de 1813. — jVictoriano García. — Sr. comandante general del principado.” Taktrrubias 31 de Marxo. Con fecha del 6 ha remitido al coronel D. Juan Pularea (el Mé dico) el teniente Gordo, comandante de ia partida de observación en Alia, un parte eri que le da cuenta de haberse dirigido con 30 soldados desde el Puerto de S. Vicente á Campillo, en cuyo pue blo supo haber 450 infantes franceses, dispuestos á incendiar las casas de los vsernos fu…</t>
  </si>
  <si>
    <t>Gordo, Manuel Antonio</t>
  </si>
  <si>
    <t>Manuel Antonio Gordo</t>
  </si>
  <si>
    <t>…s vina de Almunia. teros de París, y acordaron en ella la oferta de xo Para el del Arrabal de S. Felipe, vacante por caballos equipados á su costa. En seguida suplica promoción de D. Manuel Antonio Gordo á un ca ron al Exento. Sr. ministro de Manufacturas y co nonicato de la colegial de S. Felipe, á D. Josef Esmercio que e'evaoí á los pies del trono la expresión parsa, seminarista , presbítero. de sus sentimientos patrióticos. Para el de Benimodo, vacante por…</t>
  </si>
  <si>
    <t>Gordoa, José Miguel</t>
  </si>
  <si>
    <t>José Miguel Gordoa</t>
  </si>
  <si>
    <t>911</t>
  </si>
  <si>
    <t>…Srtes generales y extraordinarias en la sesión de 24 del corriente á la renovación de su presidente, vice presidente y uno de sus secretarios, salieron electos, para presidente el Sr. D. José Miguel Gordoa , diputado por la provincia de Zaca-</t>
  </si>
  <si>
    <t>Gordoa, Josef Miguel</t>
  </si>
  <si>
    <t>Josef Miguel Gordoa</t>
  </si>
  <si>
    <t>…ce y Emilia: dos tomos en 8®, con una estampa fina en cada uno. Se hallará en la librería de Santiago, plazuela del Angel, núm. 25, frente á la botica. Discurso pronunciado por el Sr. D. Josef Miguel Gordoa, presidente de ¡as Cortes generales y extraordinarias ,en e! último día de sus sesiones 14 de setiembre de 1813. Se hallará en ta librería de Hurtado, calle de las Carretas, y en la de Hovillo, calle de la Concepción, á 2 rs. = Evte mismo decurso, reimpreso e…</t>
  </si>
  <si>
    <t>Gore</t>
  </si>
  <si>
    <t>…n Flesinga hai 14 navios, 5 fragatas y 30. briques.. -Anteayer se hizo á la vela de Yarmouth para et Báltico* una parte de la legión alemana..—_El regimiento 33.0,. mandado por el coronel Gore, se ha embarcado en Hatwich para: reunirse á las tropas que últimamente salieron, para. Stralsund___ En. Portsmouth se preparan con la. mayor acti vidad todos los transportes que hai en aquel puerto para, llevar grandes re fuerzos al. exército. del feld-maris…</t>
  </si>
  <si>
    <t>Gormayo, José María</t>
  </si>
  <si>
    <t>José María Gormayo</t>
  </si>
  <si>
    <t>…y D. Pedro Abello, un exemplar á cada uno de un tratado de trigonometría y geometría práctica poj* su aprovechamiento en aritmética y álgebra : á les c,: de tés D. José Beltran , D. José María Gormayo, D. José Ruiz, D. Joaquín Alvarez Sotomayor y D. Vísente Alba, tina obra de. .táctica á padá uno £01* haberse distinguido en la geometría: á los cadetes D,.¡Rafael de ara, D. Alonso Carrasco y D. Juan María-Muñoz, un estuche de: matemáticas, como mas adelanta…</t>
  </si>
  <si>
    <t>Gorriz, José</t>
  </si>
  <si>
    <t>José Gorriz</t>
  </si>
  <si>
    <t>…Albumes, D. José Luizaain , D. Francisca Ardaiz, D. José Díaz, D Antonio Abadía, D. Nicolás Soriano, D. Bernardo Moliner, D. Manuel Llera, D. José Perulan, D. Ray» mundo Marqués, D. José Gorriz, D. Dionisio Fonolitas, D. Can» dido Zunzarren * D. M:guel Quartero , D. Juan Urzaniqui, D. Ruerto Rajum, D. Manuel López, D. Agustín Munarriz, D. Juan Sliutista fnd'.iusti, D. Pedio López de Baylo, D. José García, D. Andrés Diaz y D. Félix Quitarte. Igualmen…</t>
  </si>
  <si>
    <t>Gorrlz, José</t>
  </si>
  <si>
    <t>José Gorrlz</t>
  </si>
  <si>
    <t>…copio de cebade y trigo. (Se continuará.) ESPAÑA. Puente lá Jleyna 20 ct Diciembre de 1812. Continúan ios partes del mariscal de campo D. Francisco Espo% y Mina. 3.° ,,El teniente coronel D. José Gorrlz me ha hecho saber el resultado de la acción que sigue : Mi general: En confor¿nidad á las órdenes que V. S. me dexó comunicadas al partir á Aragón , he obs'-rv^ io todos estos dias al enemigo de Pamplona. Una. columna compuesta de 5400 infantes y mas do 200 c…</t>
  </si>
  <si>
    <t>Gorruehano, Gaspar</t>
  </si>
  <si>
    <t>Gaspar Gorruehano</t>
  </si>
  <si>
    <t>…de los Toyos, 20 D. Juan Llano, 17. D José Perez déla Mata, 7. D. José Herrera, 17. D. Gerónimo Vivanco, 10. D. Manuel Ibañ?z, 10. Don Rosendo Gao , 10. D. Ramón Forcelíc 5o, 10. D. Gaspar Gorruehano, 10. El conde San Pascual, 25. D. Martin y D. M guel Ventura Oáambela, por su {demento hecho con calidad de reintegro , á causa de la precipitada salida del baque, 2309. — T tal, 20000. Ademas los Sres. D. Ignacio y D. Manuel de Santiago han cedi do por vía d…</t>
  </si>
  <si>
    <t>Gortschakow</t>
  </si>
  <si>
    <t>…imiento español imperial de Alexandro se hizo en Zarskoselo el 7 del corriente. El caballero Bardaxí y Azara , ministro plenipotenciario cer ca de nuestra corte, de acuerdo con el príncipe Gortschakow, nuestro mi nistro de Guerra, escogió este dia en memoria de la brillante victoria ganada el 7 de julio de 1808 por los españoles en Bailen. He aquí el orden de la ceremonia. El nuevo regimiento español, compuesto de 1300 hombres, y dividido en tres batallone…</t>
  </si>
  <si>
    <t>Gorvea, Francisco</t>
  </si>
  <si>
    <t>Francisco Gorvea</t>
  </si>
  <si>
    <t>…nez, substituto primero. Barrio de las Mercenarias. D. Carlos A riña, substituto segundo. D. Domingo Rcinoso, alcalde. Barrio de la Loma.ire. D. Josef Aronso , substituto primero. D. Francisco Gorvea , alcalde. D. Miguel de Moya, substituto segundo. D. Ramón del Casal, substituto primero. Barrio de Capuchinos de ¡a Paciencia. D. F rancisco Ortiz , substituto segundo. D. Vicente Zally, alcalde. Barrio de S. Isidro. D. Antonio Andatuce, substituto primero.…</t>
  </si>
  <si>
    <t>Goudowitch</t>
  </si>
  <si>
    <t>…. Londres 19 dé Enero. Diario de ¿as operaciones militares del exército ruso desde el 2 al 13 de Diciembre de 1812. El teniente general SchepeseíF comunica con fecha del 2, que el conde Goudowitch marchaba á Mohilow con 74000 hombres de la» milicias. El almirante TchichagoíF participa , el dia 1°, que iba persi guiendo al enemigo en dirección de Sembini y de Flamen á Plestchenitza, mientras que el cuerpo enviado por él á destruir los puen tes le molest…</t>
  </si>
  <si>
    <t>Goufhier</t>
  </si>
  <si>
    <t>…so seguía las reliquias del exército enemigo por las montañas del Bastan. Dia i,° de Agosto, 400 ingleses, á la baxada de Eiizcndo y Ezpeleta (ya en Francia) se encontraron con el general Goufhier con iioo hombres, que eícoitaban todo el convoy y bagages del exército de Soult: Gouthier pensó rendir á los ingleses por su su perioridad , no previendo que por el flanco izquierdo cargaba una columna inglesa, la cual mató é hirió á muchos, é hizo 500 prisio…</t>
  </si>
  <si>
    <t>Gough, Jacobo</t>
  </si>
  <si>
    <t>Jacobo Gough</t>
  </si>
  <si>
    <t>…ez Carvajal. Por providencia del tribunal del consulado de esta plaza de 16 del corriente, en autos número 67 dei año pasado de 1812 , concurso de acreedores á la testamentaría de D. Jacobo Gough. se ha mandado entregar todas las existencias de la misa á Doña María Teresa Quilti, viuda del susodicho, para que se reintegre en la parte posible de sus créditos privilegiados, baxo lianza de acreedor de mejor derecho, ordenando se cite y emplace á todo el…</t>
  </si>
  <si>
    <t>Gourré</t>
  </si>
  <si>
    <t>…muchos miles de prisioneros (7). El número no ha podido ser mas considerable,. si se atiende á la interioridad de nuestra caballería, y el conato de S. M. po: conservarla. 1 , El general Gourré, gefe del estado1 mayor del príncipe de Moskwa, ha sido muerto. Nuestra pérdida asciende á io® hombres entre muertos y he ridos: la del enemigo^puede calcularse en unos 15 a 30® hombres (8). La guardia real de Prusia ha sido destruida; la del Emperador Alexan…</t>
  </si>
  <si>
    <t>Goy</t>
  </si>
  <si>
    <t>…de Julio hasta 22 de Octubre. ESPAÑA. Lima 16 de JuHo de 1812. Continúan los documentos relativos á los sucesos de Cochabamba. Oficio de la junta revolucionaria, de Coehabamí a al general Goy eneche. Núm. 2.° „M. 1. Sr.: En los momentos de una convulsión feliz que se ha dexado sentir en esta ciudad con ocasión de haber llega do á ella de regreso los dos emisarios que se destinaron ante la ho norable persona de Y. S. I. , congregados el cabildo y c…</t>
  </si>
  <si>
    <t>Goycnechc, José Manuel de</t>
  </si>
  <si>
    <t>José Manuel de Goycnechc</t>
  </si>
  <si>
    <t>…cha hácia Requenahoy estará, el cuartel general en Albacete. ARTICULO DE OFICIO. •' c Parte del comandante D. Indalecio González de Sosaca al general en gefe del exército del Perú D. José Manuel de Goycnechc.. ' . i &gt; Cuando disponía yo auxiliar al exército de vanguardia árdea de ánoche con las municiones y demas útiles que file pedia el gene ral ule él 9 escolándolos con 40 hombres hsteíá encontrar con las avanzadas q^e debían venir da! Mmierico á recibirlas, tu…</t>
  </si>
  <si>
    <t>Goycochea, Rafael</t>
  </si>
  <si>
    <t>Rafael Goycochea</t>
  </si>
  <si>
    <t>…glo-portnguesas; cuyas columnas se componían de las briga das del mando de los brigadieres D. Diego del Barco y D. José Ma ría Espeleta, y de los coroneles D. José María Carrillo, D. Rafael Goycochea y D. Francisco Plasencia, baxo la mmediata dirección de los mariscales de campo D. Pedro de la Barcena y D. Juan Díaz Porlier. El objeto de las cuatro primeras columnas era el de apode rarse de los atrincheramientos enemigos en las inmediaciones y parte supeiior de Anlaye, mientras l…</t>
  </si>
  <si>
    <t>Goycoechea</t>
  </si>
  <si>
    <t>…ioneros y dispersos que hemos tenido en las operaciones desde 35 del pagado hasta el l.Q del corriente. — Excmo Sr. D. Juan ODonojú.” NUM. 2.« „ Excmo. Sr.: Habiéndose detenido el coronel Goycoechea hasta hoy para dar lugar á que se reuniesen, los estados relativos al oficio que acompaña de las operaciones hasta l.° del corriente, tengo que añadir para el conocimiento de V. E. que el enemigo aun se mantenia én la maña na del 2 con dos divisiones en el pu…</t>
  </si>
  <si>
    <t>Goycoechea, Gaspar de</t>
  </si>
  <si>
    <t>Gaspar de Goycoechea</t>
  </si>
  <si>
    <t>…igualmente que el lord Fitz Roy Somerset, el' teniente coronel Campbell y los oficiales adictos á mi persona. ,, Remito á V E. este pliego por el coronel ayudante de estado mayor D. Gaspar de Goycoechea , y recomiendo 4 este oficial á da protección de V. E. — Dios guaide á V. E. muchos años. San Estéban l.° de Agosto de 1*313. WtUivgton, duque de Ciudad-Rodrigo.” P. D. ,,Ile omitido informar á V. E. en el cuerpo de esta relación , que las tropas del puerto d…</t>
  </si>
  <si>
    <t>Goyene</t>
  </si>
  <si>
    <t>119</t>
  </si>
  <si>
    <t>119 ESPAÑA. Lima 18 de Julio de ISIS. Ofcios remitidas por el general Goyene che al señor virey del Perú. „Excrao. Sr.: Después de cerrado el pliego queseen esta fecha dirijo á V. E., ha Degado á mis manos el adjunto parte original que el teniente coronel ííaici rae dió desde Valie-grande, y lo incluyo para inteligencia y satisfacción…</t>
  </si>
  <si>
    <t>Goyeneche</t>
  </si>
  <si>
    <t>…ad de Stu» dintzi. £1 almirante Tehischagoff y el conde Platow atacarán dé ]a otra parte del Berezina.” ESPAÑA* t ,• '•&lt; ■ : 1 t Lima 18 de Julio de 1812. i '■ Partes dirigidos al general Goyeneche que cita en su ejido , de 6 de Junio 9 al Sr. vire# (1). DEL CORONEL DON JUAN DE IMAZ. Núm. l.# „E1 exército de rebeldes cochabambiiios , mandada por Arce y sus secuaces, acaba de ser completamente batido y der rotado por 300 hombres de infantería de las guer…</t>
  </si>
  <si>
    <t>Goyeneche, Jasé Manuel da</t>
  </si>
  <si>
    <t>Jasé Manuel da Goyeneche</t>
  </si>
  <si>
    <t>m7 Indalecio GonxaUx *d* Socasa• --- Sr¿ geítersl D. Jasé Manuel da Goyeneche.” ■ ■ A.;. ; . 'i ? • /:: &gt; ; ■■■■. El capitán: general’de la isla de Cuba , can fecha de 12 de Abril Último dice al ministro de la Guerra lo que sigue : &gt; ,,Hoy ha llegado á esta pi&amp;za (la Habafin) «icorrea terrestre de la I*ía , y por él he recibido :de la…</t>
  </si>
  <si>
    <t>Goyeneche, Jeté Manuel de</t>
  </si>
  <si>
    <t>Jeté Manuel de Goyeneche</t>
  </si>
  <si>
    <t>…alcarce Saave-’ra, diputado por Galicia; y para secretario el Sr. B. Jaan Manuel Subne , diputado ñor la provincia de J acn. Parte dirigido ai presidente interino del Cuíco por el general D. Jeté Manuel de Goyeneche desde su cuartel general de Potosí ^ á 6 de Octubre del año pasado. ,,Desde que comuniqué á V. S. los últimos partes que dio mi mayor general, comandante en gefe de mi vanguardia, de la glorio sa victoria que su cuerpo de guerrillas e msiguió de los enemigos…</t>
  </si>
  <si>
    <t>Goyeneche, José Manuel de</t>
  </si>
  <si>
    <t>José Manuel de Goyeneche</t>
  </si>
  <si>
    <t>…cia y bizarría que le tienen acreditado: personalmente noticiaré á Y. 8. los demas que se han distinguido» f)ios guarde &lt;fee. — Campo de Vacas y Mayo 24 de 1812. — Juan de lma%. — Sr. D. José Manuel de Goyeneche.” (Se continuará.) Cuenca 29 de Diciembre. El Empecinado ha tenido un encuentro con parte de la guarni ción francesa de Quadalaxara, erí que ha hecho unos 80 prisioneros» Rey na en-:los-. enemigos el mayor disgusto, y hacen los pedidos cqwl mayor moderación q…</t>
  </si>
  <si>
    <t>…Bcado y Quir go — Fr. José Lasarte , vi cario prior de Sto. Domingo. — Fr. Pedro de Zarate, prior de £. Agustín. — Fr. Mariano Correa, comendador. — Fr. Pedro Her rera , prior. — Sr. D. José Manuel de Goyeneche, general en gefe de estas provincias.” Núm. 3. „D. José Manuel de Goyeneche, mariscal de cam po &amp;c. A los habitantes de Cochabamba y distrito de su provin cia de cualquier estado, sexo y condición que sean. Las terribles consecuencias de la revolución á que o…</t>
  </si>
  <si>
    <t>135</t>
  </si>
  <si>
    <t>…osi ciones , las que espero recibir en mi marcha por via recta en esa ciudad en el dia de mañana. Dios &amp;c. — Campamento d§ Caraza 28 de mayo de 1812.— Gerónimo Marrón y Lombera. — Sr. D. José Manuel de Goyeneche.” Oviedo 26 ¿e Diciembre. Darte del comandante general interino de la sección de Vizcaya al ge* neral del séptimo exército. „Excmo. Sr.: El comandante del segundo de Vizcaya D Mi guel de Artola con fecha de 26 de Noviembre último, me dice lo que copio: ,,Hall…</t>
  </si>
  <si>
    <t>Gpoví</t>
  </si>
  <si>
    <t>…treS'd»e- ellas por la parte inferior del puente de Trun, y la otra po,r la parte superior de él; dichas colunas eran «añélidas-'^díOélc-ni'árisQai dé»'campq^Hay, portel honorable coronel Gpoví31e, el mariscal de campo el honorable Eduard Stopford, y el de la .misma clase Howard ; y él'ti^fen^-'^éfeefaH);' M&amp;fruél Fféiré"dispuso que la parte de! quarto ex^rci^o £^pañolt,Jbaxo sys inmediatas ordenes pasase en tres co limas por Í9S vados de la parte a…</t>
  </si>
  <si>
    <t>Gra</t>
  </si>
  <si>
    <t>73,* a guí mí marcha, y haciéndala de 7 leguas aquel día, logré reanime con éi en este último pueblo. La cabeza de columna del general Gra ham se encontró con ia retaguardia francesa que yo hacia retirar, y hubo entre ambas tropas un pequeño combate sin gran resultado. ■»&gt;El enemigo, arrojado de Vilíafranca, se estableció en Tolosa, y adelantó una vanguardia a Alegría; esta se replegó por ia mañ…</t>
  </si>
  <si>
    <t>Gra, Sir Tomas</t>
  </si>
  <si>
    <t>Sir Tomas Gra</t>
  </si>
  <si>
    <t>…hasta Espejo, de donde se retiró por las montañas á este pueblo. « Era tarde antes que las otras tropas pudiesen llegar á la posición avanzada en que se hallaban las del teniente general Sir Tomas Gra ham , por lo que mandé que la cuarta división hiciese alto y releva se la quinta que estaba cerca de Espejo. «El exército ha avanzado en el dia de hoy hasta este rio, donde hallé la retaguardia enemiga en una fuerte posición sobre su izquier da, apoyando su d…</t>
  </si>
  <si>
    <t>Grabain</t>
  </si>
  <si>
    <t>…de Bilbao, Mondragon y Tolosa, que componían una fuerza considerable* Me causa una verdadera satisfacción el ver que las tropas españolas y portuguesas mencionadas en el parte del general Grabain se hayan portado tan bien. ' „ Este general ha continuado estrechando al enemigo por el camino real de Francia, y lo ha desalojado de todas las posiciones que habia tomado; y el dia de ayer una brigada del exército de Galicia, del mando del general Castañon ,…</t>
  </si>
  <si>
    <t>Grabam, Sir Tomas</t>
  </si>
  <si>
    <t>Sir Tomas Grabam</t>
  </si>
  <si>
    <t>…omodaron mucho al enemigo. Ei capitán Sir Jorge CoKer,'los demas oficiales, marineros y tropa de marina han • ormibuido dando todo el auxilio que Ies ha sido posible; y el teñirme general Sir Tomas Grabam recomienda particularmente al espité'n )3ioyt: de la Lyra y al espiten Smith; y el teniente coronel Drckson, comándeme de la urdlietía, me ha dado parte de que el teTihnte O-IleiJiy de la fragata Sur venían te , que mandaba los msrx-</t>
  </si>
  <si>
    <t>Grabara, Sir Tmnas</t>
  </si>
  <si>
    <t>Sir Tmnas Grabara</t>
  </si>
  <si>
    <t>…ras del castillo S. Sebastian; y tengo la complacen cia de iní'srmar á V. £. de que ¿nres de la tarde se rindió la guar nición. Incluyo copias del parte que me ha dado el teniente general Sir Tmnas Grabara de la capitulación que celebro con la guarnición, y de ios estados de artillería, municiones y demias que se halló en la expresada plaza. &gt;?Se asegura que la perdida dorante el sitio asciende á dos terce ras partes dei número de hombres de que se componía la…</t>
  </si>
  <si>
    <t>Grafiam</t>
  </si>
  <si>
    <t>…felizmente,, y de cuyas resultas nuestras tropas se situaron en el con vento, y en un lugar inínediato á él por la parte de abaxo, que ios france ses habían quemado &amp;c. Parte del general Grafiam fecho en Hernani d 18 de julio. Milord: el convento de S. Bartoloméy las obras contiguas á la extremi dad del gran monte por la parte del rio, se tomaron ayer por asalto. La fuerza natural y artificial de estos puntos fortificados, ocupados por un numeroso cu…</t>
  </si>
  <si>
    <t>Grafiam, Sir Tomas</t>
  </si>
  <si>
    <t>Sir Tomas Grafiam</t>
  </si>
  <si>
    <t>…10 de Setiembre de 1813. ^r-Wellington , duque de Ciudad-Rodrigo. = Excmo. Sr. D. Juan O-Donojú.” Documentos que se citan en el parte anterior. ■Extracto de un ojíelo del teniente general Sir Tomas Grafiam al marques de Wellington , fecho en Ernani á $ de Seiúmbrs de 1815. ' ' * «Tengo la satisfacción de participar á V. S. que el castillo de S. Sebastian se lia rendido, y en consecuencia remito la capitulación, que atendidas todas las circunstancias, confio sea…</t>
  </si>
  <si>
    <t>Graham</t>
  </si>
  <si>
    <t>…tá pronto á moverse. Aldea del Obispo 6 de Mayo. En el exército aliado de Portugal se observan ya algunos moví , mientes con dirección á esta línea, y solo se espera que llegue el general Graham para marchar la vanguardia hácia Salamanca. El conde de Penne llegará el dia 8 con su caballería á Fuente» guinaldo, y pasará á incorporarse con D Julián Sánchez en Lum brales , quedando de este modo reunida toda la primera división de caballería del cuarto e…</t>
  </si>
  <si>
    <t>…ó á Ja altura al mismo tiempo que ia mía ; la del general Mendizabal hubiera llegado; pero fue detenida, sabido el • movimiento del enemigo. . . Recibí en el camino un billete del general Graham, que ¡me informaba haber llegado á Segura, v deber marchar á VÓllafranca. Seguí-mi marcha; y haciéndola- de siete leguas aquel dia, logré reuninne con éi en este último pueblo. La cabeza de coluna del general Graham se- encontró con la reta guardia francesa,…</t>
  </si>
  <si>
    <t>…sostenida por dos colunas ingle sas, atacó la izquierda;)’ después de un terrible fuego de dos horas desalojó á los enemigos de toda ia cordillera. Al mismo tiempo la división del general Graham , con la que iba la sexta división del mando del coronel Loriga , flan queó la derecha enemiga , cuya resistencia fue igual á la de la izquierda. En el centro solo había caballería y la artillería inglesa, que hizo el ma yor destrozo. Fueron tantos y tan acer…</t>
  </si>
  <si>
    <t>…cada en su marcha por una fuerza bien formada y mui superior á ella, y sin embargo la rechazó ^sostenida por la brigada del general Inglis, de la séptima división , mandada por el coronel Graham, del regimiento 82.0 Estos oficiales y las tropas de su matado se distinguieron.O ,,La brigada del mariscal de campo Bandeleur, de la división h’g'era , du rante el avance contra Vitoria estuvo destacada para sostener la séptima división, y el teniente genera…</t>
  </si>
  <si>
    <t>…llegó á la altura al mismo tiempo que la mía: la eL-í general Mendizabal hubiera, llegado, pero fue detenida sabido el movimiento del enemigo. « Recibí en el camino un billete del general Graham que me in formaba haber llegado- á Segura, y deber marchar á Vüíafranca. Se-</t>
  </si>
  <si>
    <t>…te sin gran resultado. ■»&gt;El enemigo, arrojado de Vilíafranca, se estableció en Tolosa, y adelantó una vanguardia a Alegría; esta se replegó por ia mañana, y en seguida hicimos el general Graham y yo un reconocimiento so bre su posición. Esta era á uno y otro lado de Tolosa con 4 bata llones en masa á retaguardia: se hizo marchar al coronel Longa por la derecha, y se adelantaron dos batallones españoles por la izquier da. Una columna inglesa se adela…</t>
  </si>
  <si>
    <t>…orriente* cuyas noticias son sumamente lisonjeras. El título de Feld-Mariscal al lord Wellington, el rompimiento del armisticio, la derrota de los franceses en Jena, y el paso del general Graham por un punto fortificado de los Pirineos; tales son los particulares que comprehende. Los tres primeros se refieren á un correo venido de Londres en cinco dias; pero la prudencia nos dicta sus pender el juicio hasta1 su confirmación. Por noticias posteriores…</t>
  </si>
  <si>
    <t>Las cartas cíe Tolósa de 26 de futió contienen las siguientes noticias. Ef día 24 á las tres y media de la mañana el general Graham atacó la plaza de S. Sebastian con una intrepidez y valor poco conocidos. La plaza tiene tres brechas abiertas: y se había dispuesto que por la principal de ellas enrrasen dos compañías de cazadores; pero por una equivocación no avanzaron lar colunas que esta…</t>
  </si>
  <si>
    <t>…n espectáculo tan nuevo y tan interesante. Madrid j de Agosto. Las cartas de Toloss de 26 de Julio contienen las siguientes no— -.ticías. El día 24 á ías 3 y media de la mañana el general Graham atacó la plaza de S. Sebastian con una intrepidez y valor poco cono cidos. La pkza tiene tres brechas abiertas; y se habia dispuesto que por la principal de ellas entrasen dos compañías de cazadores; pero por uca equivocación no avanzaron las columnas que est…</t>
  </si>
  <si>
    <t>…ancia con lá citada familia, que no tiene otros recursos para su existencia que los que él pueda darles. Este sugeto no es militar. Este artículo se recomendará con interes por el general Graham á S. E. lord Well ington o ara su. decisión. VI. Los heridos y ios enfermos franceses serán tratados según sns clases, y asistidos en la propia forma que lot oficiales y soldados ingleses. == ConcedidoVII. Las tropas imperiales y reales francesas desfilarán m…</t>
  </si>
  <si>
    <t>…ados de sus es fuerzos en la batalla del 31 de agosto-----Aprobado. - Sr\ Calatráva : que igualmente se den las mas expresivas1 gracias’al . señor duque deJ -Ciudad- Rodrigo , al 'general Graham y -á ■ los oficiales y tropa'dél su mando por la reconquista de„la? importante „plaza .de S. Sebastian----Aprobada.— Que la Regencia manifieste al ayuntamiento de Irun que las Cortes han visto con singular agradó su patriótica-conducta-con los heridos en 4a-*…</t>
  </si>
  <si>
    <t>Grahám</t>
  </si>
  <si>
    <t>…lia, que no ¡tiene Otros recursos para su existencia que los que él pueda darles. NEste sugetonó es militar, : ■ ' * • ■ . - ' ; *; Esté articuló se recomendará con interés por el general Grahám á S. E. lórd-'Wellirigton para :sñ decisión**'- o- ¡ yi. Los heridos y^los enfermos franceses serán tratados segtfñ .súsi clases^</t>
  </si>
  <si>
    <t>…s dias 18, *9 y 20 de setiembre, que han obligado á Bonaparte á retirarse al Rhin. m teniente general sír John Hoppe debe marchar quanto antes á Espa ña 9 y suceder en el mando al general Graham, que por su enfermedad de la vista se ve obligado á dexar el exército. Los tiroleses se han preparado para recibir á los fraQceses que entren allí, como hicieron en 1809 con el mariscal Lefebre. PROVINCIAS ILIRICAS. Laybach // de setiembre. Habiendo dexado el…</t>
  </si>
  <si>
    <t>…confirmaba *la derrota de Bonaparte en las alturas de Cossen el 21 de octubre. El Emperador de Rusia ha enviado la orden de S. Andrés al Príncipe Regente de la Gran Bretaña.__ El general Graham ha sido nombrado rec toróle la universidad de Glasgow en Escocia___ Por noticias comunicadas de la costa de Francia á la esquadra inglesa del Texel c&amp;nsta que las tropas dinamarquesas se sublevaron contra Davoust, y que el general Walmioden, aprovechándose de…</t>
  </si>
  <si>
    <t>…firmaba la derrota de Bonaparte en las alturas de Coessen el dia 21 de Octubre. El emperador de Rusia ha enviado el orden de S. Andrés al príncipe regente de la Gran-Bretaña. — El general Graham ha sido nombrado rector de la universidad de Glasgow en Escocia. — Por noticias comunicadas de la costa de Francia á la escuadra inglesa del Texel, con ta que Ies tropas dinamarquesas re levantaron contra Davou t, y que el general 'Walssoden, aprovechándose d…</t>
  </si>
  <si>
    <t>Graham, Sir Tomas</t>
  </si>
  <si>
    <t>Sir Tomas Graham</t>
  </si>
  <si>
    <t>…abía fortificado y defendía con una fuerte guarnición. Esta batería rompió su fuego en la .mañana del 14 con tan buen efecto, y causando tal ruina en el convento, que el te niente general Sir Tomas Graham manió que tanto este edificio, co mo el reducto que protegía su flanco izquierdo, fuesen tomados por asalto el 17. Aun no he recibida los detalles de esta operación, que se efectuó felizmente; de cuyas resultas nuestras tropas se estable cieron en el convento…</t>
  </si>
  <si>
    <t>…os ha hecho hoy un movimiento hácia Ja izquierda; y los cuerpos de Galicia del marido del general Girón, y la izquierda del exéreito aliado anglo-portugués, ai .mando del teniente general Sir Tomas Graham, pasarán mañana*: esper.oi, el Ebro por los puentes de Rocamunde y S« Martin. = Du rante los días 9, 10 y 11 D. Julián Sánchez manifestó mucha activi dad, sobre. la izquierda del enemigo , y tomó varios prisioneros. == He recibido una carta del general Eíío,…</t>
  </si>
  <si>
    <t>…y empezó su retirada hacia Vitoria en buen orden. Nuestras tropas siguieron adelante en un orden ad mirable , no obstante las dificultades que presentaba el terreno. „E1 teniente general Sir Tomas Graham que mandaba la izquier da del exército, compuesta de la primera y quinta divisiones de las brigadas de ios generales Pac-k y Bradford de infantería, y de las</t>
  </si>
  <si>
    <t>…l estado de cosas'baxo otro as&lt;7 pecto ; fue llamado, llego á Orduña el dia 2®, de ckmde salid aque lla .mañana para el campo de balaba para hallarse pronto á sostener al teniente general Sir Tomas Graham, si fuese necesario. • „Ei enemigo tenia una división de infantería con alguna caballe ría sobre el camino real de Bilbao, apoyando sn izquierda á una* fuertes alturas que cubren el lugar de Goman» mayor. Tanto Gomar ía como A vechuco estaban ocupados por fue…</t>
  </si>
  <si>
    <t>…división li gera, durante el avance contra Vitoria, estuvo destacada para soste ner la séptima-división, y el teniente general lord Dalhoise recomien da su conducta. „Ei teniente general Sir Tomas Graham recomienda muy particu larmente la conducta y servicios del coronel Delancey, cuartel maes tre general en segundo, al teniente coronel Bonversé, ayudante ge neral del cuerpo de su mando, y áTos oficiales de su estado mayor; igualmente que al honorable tenient…</t>
  </si>
  <si>
    <t>…ión ligera del exército aliado man dada por el mariscal de campo Cárlos Alten, y el de Espejo á Osma, donde lo encontraron la primera y quinta divisiones, mandadas por el teniente general Sir Tomas Graham. «El mariscal de campo Cárlos Alten arrojó al enemigo de S. Milian, cortó la brigada de retaguardia, de la cual hizo 300 prisione ros , mató é hirió á muchos, dispersando el resto de dicha brigada en las montañas. «El cuerpo de Espejo era mucho mas numeroso q…</t>
  </si>
  <si>
    <t>…ra las torres que flanquea* la cortina de la cara del E.; contra el medio baluarte situado sobre el ángulo del S. E., y contra el fin de la cortina de la cara del S. »»Rl teniente general Sir Tomas Graham dispuso que se tomase la isla de Sta: Catalina , y que sobre ella hiciese nuestra tropa un estable demiento,lo que sé efectuó en Id noche del 26 , quedando prisionero de guerra $1 destacamento enemigo que allí había. u »»El capitán H. Cameron , dél regimiento…</t>
  </si>
  <si>
    <t>…augustas funciones sean los mas felices, se tributen las mas dignas gradas al Todopoderoso en el mismo dia en que deben terminar las Córtes actuales. Copia del parte del teniente general Sir Tomas Graham, que se cita en el oficio del señor duque de Ciudad -Rodrigo de 2 de este mes, publicado en la gaceta extraordinaria del lúnes ul timo. Oyarzun 2 de Setiembre de iSig. =r «Milord: en cumplimiento de las órdenes de V. S. del dia anterior para atacar hasta aloj…</t>
  </si>
  <si>
    <t>….: Habiendo juzgado que era conveniente que Ia'izquierda del exército pasase el Vidasoa, tengo el gusto de informar á V. E. que se efectuó el pasó el 7 del corriente. »El teniente general Sir Tomas Graham dispuso que la primera y quinta divisiones, y la primera brigada portuguesa del marido del general Wilson pasasen el rio en cuatro columnas, tres de ellas por la parte inferior del puente de Ima, y la otra por la parte superior de él; dichas columnas eran man…</t>
  </si>
  <si>
    <t>Graham, Tomas</t>
  </si>
  <si>
    <t>Tomas Graham</t>
  </si>
  <si>
    <t>…ondos señores el coronel Delancéy ^diputa do qyárteí-maestrepeneral, el coronel Dickson , comandante'de da artillería, y el teñiente coronel BenVerie 'por parte def señor teniente general Tomas Graham; los quales, después de haber cangeado sus poderes,' han' convenide cn lo siguiente: ...... ; h • - • ... . art. 1. Las tropas imperiales y reales francesas que forman la guarnición del -castillo de la Mota dé'S. Sebastian se entregarán prisioneras de guerra…</t>
  </si>
  <si>
    <t>Grahan</t>
  </si>
  <si>
    <t>…y que dexasen á las alturas de Arrechulegui los batallones de Oviedo y voluntarios de León, para que con una brigada portuguesa, sitiada en las mismas alturas por disposición del general Grahan, acudiesen á sostener los de Vera d Lesaea , según lo exigiesen las circunstancias. «La operación de la primera expresada brigada, sostenida por las tropas de que va hecha mención , es muy de creer que haya contribuido mucho al éxito de las combinaciones de-…</t>
  </si>
  <si>
    <t>Graharn, Sir Tomas</t>
  </si>
  <si>
    <t>Sir Tomas Graharn</t>
  </si>
  <si>
    <t>…la reserva de estas tropas en S. Esteban. El general Longa con su división de infantería española mantenía la co municación entre las tropas de Vera, y la* del mando del teniente general Sir Tomas Graharn. El mariscal de campo D. Pedro Agusiin Girón con la infantería española de su mando cubría el camino real de S. Sebastian á Bayona; v el conde de la Bisbal con las tropas de su cargo bloqueaba la plaza de Pamplona. „E1 m ariscal Soult reunió el dia 24 de Juli…</t>
  </si>
  <si>
    <t>Grahatn</t>
  </si>
  <si>
    <t>…e Bilbao, Mondragon y Tolosa, que componían una fuerza considerable. Me causa una verdadera satis facción el ver que las tropas españolas y portuguesas mencionadas en el parte del general Grahatn se hayan portado tan bien. «Este general ha contMuado estrechando al enemigo por el ca mino real de Francia, y lo ha desalojado de todas las posiciones que había tomado ; y el dia de ayer, una brigada del exército de Gali cia del mando de! general Gastañon, a…</t>
  </si>
  <si>
    <t>Grahatn, Sir Tomas</t>
  </si>
  <si>
    <t>Sir Tomas Grahatn</t>
  </si>
  <si>
    <t>…enerales Freyre y Graham, y á los oficiales de estado mayor de ambos cuerpos, por lo bien que executaron las disposiciones que se dieron para e:ta operación. »HabLado'"el teniente general Sir Tomas Grahatn establecido, en la fo raía expresada, en terrhorio francés las tropas del exército anglo ^portugués, que baxo sus órdenes se han distinguido tan frecuen temente , entregó el mando de ellas al teniente general Sir Juan Hope, q-tiea había llegado de Irlanda el…</t>
  </si>
  <si>
    <t>Grakam</t>
  </si>
  <si>
    <t>…to. Sr. mariscal general duque de la Vic toria , dirigido desde su quaríel general de Lesaca en i£&gt; de julio al Excmo. Sr. D. Miguel Pereyra Forja z j y parte dado al mismo por el general Grakam. Construimos una batería de quatro piezas de á 18 contra un convento que dista como 600 vara6 de las obras de la plaza de S. Sebastian,'que el</t>
  </si>
  <si>
    <t>Gralism, Sir Tomas</t>
  </si>
  <si>
    <t>Sir Tomas Gralism</t>
  </si>
  <si>
    <t>…nde á dos terce ras partes dei número de hombres de que se componía la guarnición en un principio. r&gt;Permítaseme llamar nuevamente la atención de V- E. á la con ducta del teniente general Sir Tomas Gralism, á la de los generales, oficiales y tropa que ha tenido á sus ordenes durante la ardua em presa s de cuyo feliz éxito estoy dando parte. »Con motivo de la nueva ordenanza mandada observar por el gobierno francés, se aumentan mucho las dificultades de Jas oper…</t>
  </si>
  <si>
    <t>Gran, Ignacio</t>
  </si>
  <si>
    <t>Ignacio Gran</t>
  </si>
  <si>
    <t>…alls y D, Juan Buenaventura Mateu: los sargentos primeros Pe dro Falcon, Justo ToU, José Borras y Agustín Alealde, y los segun dos José María Rodríguez é Ignacio García; el cadete D. Ignacio Gran.; el cabo segundo Joaquín Benadoch, al cual hirieron el caba llo: ios cabos Isidro Roig, Clemente Anaval, Félix Ribera y Rau da 'io Duran; y ios soldados Mateo Targas, Jayme Domenech, Segis mundo Badíá, Esteban Tarrida, Francisco Mateu, Benito Presas, y el di…</t>
  </si>
  <si>
    <t>Gran-Cruz</t>
  </si>
  <si>
    <t>…e de N íselrode, consejera íntimo, secretario de Estado, gentilhombre con exprcicio j cnbaikro de la orden de S. Valdomero de tercera clase; y á Juan D’Anstett, consejero íntimo , caballero Gran-Cruz de la orden de S. Valdomero ¿e la segunda clase, y de la de Sta. Ana de la • primera, y de la de S. Juan de Jerusalen ; los cuales, después de reconocer y cangear sus plenos poderes, han concluido ios siguien tes artículos. -</t>
  </si>
  <si>
    <t>Granados, Jaan</t>
  </si>
  <si>
    <t>Jaan Granados</t>
  </si>
  <si>
    <t>…D. Francisco Rubio y á los cadetes D. Juan Castañeda y D. José Paredes. El capitán £&gt;. García Revilla, que mandaba las tropas colocadas fuera del real, recomienda al subte niente D. Jaan Granados, á los cadetes D. Ventura de Mora y D. José Blasio, y al sargento Francisco Perez, y en general lo hace Mora de toda su tropa. (Se continuarán.) Zaragoza S&gt; de Agosto. La batalla de Vitoria y su resultado le llegó á Bonaparte estan do comiendo en Dresde con e…</t>
  </si>
  <si>
    <t>Grande, Miguel Benito Cantero y</t>
  </si>
  <si>
    <t>Miguel Benito Cantero y Grande</t>
  </si>
  <si>
    <t>…Juan Manuel Renjifb, cura de Casavieja. D. Eusebio Sánchez de Ocaña , vecino del Barco de Avila. Suplente. D. Juan Agustín Sanz, vecino de Arévalo* Para la diputación provincial. D. Miguel Benito Cantero y Grande , provisor y canon igo de esta santa iglesia. D. Juan Sánchez Bermejo, vecino del Sotillo de las Palomas. D. Antonio Herrero, cura, de Villarejo.</t>
  </si>
  <si>
    <t>Grandéau</t>
  </si>
  <si>
    <t>…bles. En ella se hallan zick, Thorn y Modlin, sobre las que dan tos si Stettin, con una guarnición de 9© hombres, guientes por menores los últimos papeles públicos. mandada por el general Grandéau, quien tiene á Dantzick. El general Rapp, teniendo baxo sus sus órdenes al general de brigada Dufresse y al de órdenes á ios generales de división Hcudelet y ingenieros Chamberlhac. Grandjean, al general de caballería Cavaignac, al Cusiría, guarnecida con 3©'…</t>
  </si>
  <si>
    <t>Grandjean</t>
  </si>
  <si>
    <t>…cho de la noche. nes lejos de su persona, mandándoles que quando „ El general Bacheln ha marchado esta mañana se uniesen á su Rei, le sirviesen con el mismo zelo sobre Plagan : el general Grandjean ha tomado po y fidelidad con que él lo habia executr.do, y supli sición con su segunda brigada ep Baublen. cando al propio tiempo á S. M. que se dignase con „Mis edecanes Tramnay y Cramayel se halla servarles la parte de los bienes que les dexaba , á ron en l…</t>
  </si>
  <si>
    <t>262</t>
  </si>
  <si>
    <t>…otra carta de Aliona de 5 del corriente. Los rusos entraron en Elbioga en número de 5 í\ 6000 hombres. El cuartel general francés esíd&gt;a delante de Marienburgo; pero le levantó el general Grandjean á la llegada del enemigo despue3.de haber tomado la precaución da volar la cabeza de puente. Luego que se retiraron los franseses, el conde Woronzoff y el coronel ls? cherrtikoff pasaron á hacer un gran reconocimiento con dos divido. nes de cosacos, ia primer…</t>
  </si>
  <si>
    <t>Grant</t>
  </si>
  <si>
    <t>…e las brigadas de caballería de los marisca'es de campo' V ictor, barón de Alten , Fané y Long; la del honorable brigadier general Ponsonbv , y la de húsares ingleses al cargo del coronel Grant, con el fin de reconocer la posición y fuerza .que tenia el enemigo cerca de la expresada ciudad, y obligarle á que Se decidiese á aban donar el castillo á su suerte, ó á protegerle con todas sus tropas. = Halle al enemigo, mandado, según entiendo, por el gen…</t>
  </si>
  <si>
    <t>…l alcance del exército que manda el rey José, puse en movi miento hácia Tudela la división ligera , la tercera , la cuarta y la séptima con las brigadas-de cabañería del mando del coronel Grant, y del general Ponsomby ; y la quinta y sexta con la caballería de la casa Reai y la brigada del brigadier Durban desde Salvatierra y Vitoria hácia Loproño, con el hn de poder cortar al general Clatsse!. »E1 hizo varias marchas extraordinariamente forzadas pe…</t>
  </si>
  <si>
    <t>…alcance dél exército que manda el Reí Josef, puse en mo vimiento hacia Tíldela la división ligera, la tercera, la quarta y la séptima, con las brigadas de caballería del mando del coronel Grant y del general Ponsomby ; y la quinta y sexta, con la caballería de la casa Real y la brigada del brigadier Durban, desde Salvatierra y Vitoria hacia Logroño, con el fin de poder cortar al general. Clausel. „Él hizo varias marchas extraordinariamente forzadas,…</t>
  </si>
  <si>
    <t>…, y del brigadier general Costa, que fue herido. Tengo la honra &amp;c. = R. Hill P. D. No puedo omitir los nombres del coronel Pamplona, del teniente coronel del 18 Pyn, del teniente coronel Grant, coman dante del sexto regimiento de la división del teniente general Lin, y del mayor Mitcheíls del sexto batallón de cazadores de la brigada del coronel Ashworth. Qiro del mismo al mismo, su fecha en Elizondo el r.# de Agosto. ••Milord: Tengo la honra de pa…</t>
  </si>
  <si>
    <t>…Cl'ntoo; una división portuguesa á las órdenes del teniente general Sir Juan Amhtdn; una división española i las órdenes del general Murüio; una brigada de caballería al mando del coronel Grant; una brigada de artillería portuguesa mandada por el teniente coronel Tulioh, y tres caño nes de montaña á las órdenes del teniente Bobe; estas tropas ata caron la posición del enemigo situado á la espalda de Ainhoue. ,„E1 mariscal Sir Guillermo Beresford dir…</t>
  </si>
  <si>
    <t>…n; una división portuguesa á las órdenes del teniente general sir Juan Hatnilton; una .división española á las ©jdenes del general Morillo; una brigada de caballería al man do del coronel Grant; una brigada de artillería portuguesa mandada por el teniente coronel Tulloh , y tires cañones de montaña á las órdenes del tenien te Bobe. Estas tropas atacaren la posición del enemigo situado á la espalda de Ainhoue. ,, El mariscal sir Guillermo Beresford d…</t>
  </si>
  <si>
    <t>Graugers</t>
  </si>
  <si>
    <t>…ha presa ha recibido su tripulación de la del getos que ignoraban donde estaba el martes por la Congreso , y no he podido saber su nombre, por nociré se presentaron en la casa del juez Graugers, que siendo el viento mui recio, al instante me apar donde había estado antes alojado, y juraron sacar té de eiia, corriendo ayer tras de la Galaica. le de ella muerto ó vivo. Dicen que se. ha ofrecido</t>
  </si>
  <si>
    <t>Gravagna</t>
  </si>
  <si>
    <t>…jeto es exponer algunos de los hechos que observé personalmente, y otros que he oído á personas del mayor crédito, habiendo formado desde el principio un diario de los sucesos. El doctor Gravagna escribió con fecha de 4 de mayo á Mr. Green, diciéndole que en la calle Paula» núm. ifo, habia visitado á una familia de un zapatero , llamado Salvador. Borg, cuyos hijos re murieron el 19 de abril después de una brevísima enfermedad. La madre enfermó el 2 de…</t>
  </si>
  <si>
    <t>Gravensky, Antonio</t>
  </si>
  <si>
    <t>Antonio Gravensky</t>
  </si>
  <si>
    <t>…lo grueso estimación y confianza de los polacos. Se distin que habia cerca de la batería de las Tres Coronas guen entre ellos: no hu podido resistir á la fuerza combinada de la E! señor Antonio Gravensky, sobrino del di corriente y del viento. funto Matakowsky, mariscal de la gran dieta de La fragata rusa que andaba por estos parages se Polonia. Estuvo arrestado y encerrado con su tío ha estrellado: otras muchas embarcaciones han pa muchos meses después de la…</t>
  </si>
  <si>
    <t>Grávina, Pedro</t>
  </si>
  <si>
    <t>Pedro Grávina</t>
  </si>
  <si>
    <t>…inquisición. Véndese á cinco rs. en la librería de Quiroga, calle dé lásTCarretas, casa de la fonda dél Angel. .Noticia de la reparable conducta del llamado nuncio de su Santidad D. Pedro Grávina para dexar eludidas las justas providencias del gobierno supremo «n. l^ exVincion del tribunal de la inquisición, exponiendo á la nación i un cisma. Se hallara en la librería de Qutrogá, calle de las Carretas, casa dé la fonda del An« gér* sti precio 2 rf. "…</t>
  </si>
  <si>
    <t>Grcn</t>
  </si>
  <si>
    <t>…1 Firmado rR. Bidgood. de la mañana poco mas ó menos, es decir, dos Declaración hecha baxo juramento en Downinghoras completas ante» de lo que solíamos ver entrar Streer, casa del lord Grcn viiie, á 6 de juuio de 180Ó.S á las visitas: pregunté á los criados por qué no me Firmas = Spencer, Grenviile. habían prevenido que estaba allí aquel caballero, y me contestó el lacayo que á nadie habian introdu Declaración de Mariana Wilson. cido. Es verdad…</t>
  </si>
  <si>
    <t>Grcs-</t>
  </si>
  <si>
    <t>…epitafio de que hablamos circula en toda Reí y á la Reina. Todos han admirado el buen U1 nglaterra con una profusión escandalosa: inserto ¿sito de esta operación, dirigida por el señor Grcs- desde luego en el Jttdependetit, ha sido tomado de Ié, ingeniero en gefe de la armada real. él, é impreso en un cartón en estilo lapidario. Se ha Se trabaja con Ja mayor actividad en aumentar lla en rodas las tiendas, y se distribuye hasta en los el astillero…</t>
  </si>
  <si>
    <t>Gre, Manuel Hernández de</t>
  </si>
  <si>
    <t>Manuel Hernández de Gre</t>
  </si>
  <si>
    <t>…rincipios fundamentales, en la que va inserto un suplemento de precios de los medicamentos de la Farmacopea española, y un aná lisis de los de la tarifa corriente: su autor el Dr; D. Manuel Hernández de Gre gorio, boticario de cámara de S. JVÍ. Véndese en la droguería de Trasvina, calle de Postas, á seis rs. En la misma ;se hallará el Diccionario de. farmacia del mis mo, autor. , ... Los subscriptores á la obra intitulada Napoleón ó él verdadero D. Quixcte de la…</t>
  </si>
  <si>
    <t>Greanier</t>
  </si>
  <si>
    <t>…esta dirección. El 23 el príncipe había puesto su cpuartel gene ral en Udina, y el 24 estaban ya todas las tropas concentradas. No debe admirarse que para apoyar el movimiento del general Greanier s§ aproxi(0 Recuerden nuestros lectores que este artículo está publicado antes de sa berse que la Baviera se había unido á los aliados por el tratado de 8 de octubre. Creemos deber hacer esta observación, porqué hai gentes que tropiezan en un ca bello, y que…</t>
  </si>
  <si>
    <t>Greccíf</t>
  </si>
  <si>
    <t>144</t>
  </si>
  <si>
    <t>…vigorosamente al enemigo en Chotosnitschi , le cogió 5 cañones, un coronel, 6 oficiales y mes de 500 soldados. Ademas de «na pérdida poco considerable de nuestra parte , el mayor general Greccíf fué herido levemente en la cabeza de un balazo. „E1 enemigo, perseguido siempre por !a vanguardia del almiran te TchichagoíF, fué alcanzado el 3 de Diciembre en Litiga!, y ata cado vigorosamente por el mayor general Ozouzka, quien cogió 2 banderas saxonas (qu…</t>
  </si>
  <si>
    <t>Greenock, Cathcart y</t>
  </si>
  <si>
    <t>Cathcart y Greenock</t>
  </si>
  <si>
    <t>…uer ra. En consecuencia han señalado para sus respectivos plenipotencia rios, á saber: S. M el rey de los Reynos-Uaidos de la Gran Bre taña é Irlanda á W. Shau, vizconde Cathcárt, barón Cathcart y Greenock, par del parlamento, consejero ínfimo, vice-ahnirante de Escocia, general del exército, coronel del segundo regimiento de guardias de Corps Scc. &amp;c. &amp;c., embaxador extraordinario, y ple nipotenciario cerca de S. M. el emperador de todas las Rusias.; y S. M. e…</t>
  </si>
  <si>
    <t>…o ds estos principios- A este propósito han nombrado para plenipotenciarios, á sabir: S M. el rey del reyao unido de la Gran Bretaña é Irlanda á Guillermo Shaw, vizconde Cathcart, barón Cathcart y Greenock, par dei reyno &amp;c. y emba jador extraordinario, y ministro plenipotenciario cerca de S. M. el emperador de todas las Rusias; y S. M. el emperador de todas las Rusias, á David Aíopeus, su consejero íntimo &amp;c., y mL2ist.r0 ple nipotenciario cerca de S. M. el re…</t>
  </si>
  <si>
    <t>Gregory</t>
  </si>
  <si>
    <t>…ndo), París 24 de marzo. y conducia á Turin, donde se ramificaba en dos, En la sesión del cuerpo legislativo del día 11 de de los quales el uno iba por Suza, Mariis Fanum marzo el caballero Gregory, miembro déla legión (Oulx), Sezana, al A'-pe Cottia (Montenebro), y de Honor, y presidente del tribunal imperial de de alli á Brianqon; el otr® por el valle de la PcruRoma , pronunció el discurso que sigue , presentan sa y Ocelo remataba también en el Monten…</t>
  </si>
  <si>
    <t>Grei</t>
  </si>
  <si>
    <t>…e virtud alguna ? Lo repetimos: el Gran rácter de la política británica. Este documento es Señor no tiene relación ninguna con vuestra corte; auténtico: un miembro del parlamento, lord Grei, ni puede tenerla tampoco, porque no la ha menes que entonces tenia un puesto en la cámara de los ter. Si vuestro ánimo es quedaros aquí como espía, comunes, lo leyó en esta cámara para que se cono ó como vos mismo os calificáis, esto es, como em ciese el men…</t>
  </si>
  <si>
    <t>Greig</t>
  </si>
  <si>
    <t>…hombres de milicias prusianas á las tropas rusas, que están delante de aquella plaza, y que de Pillau ha dado á la vela una esquadra de mas de 2o barcas cañoneras, mandadas por el almirante Greig, para obrar también contra aquella plaza. Se hacían con mucha actividád'Mbá .preparativas para empezar el sitio en regla; y las cartas manifiestan la iniyor confianza de que luego que se rompa el ruego de las baterías no resistirá mucho tiempo, )or la gran di…</t>
  </si>
  <si>
    <t>Grekoff</t>
  </si>
  <si>
    <t>…smo iba con las cosacos á Bialystock. Id, 21. El mayor general ToutsclikofF llegó á Kaídanow el 2 con su cuerpo, y el destacamento del coronel KnoTring que se le había reunido. El coronel Grekoff hallándose en Holbzach con dos regi mientos de cosacos, destacó una partida, que hizo prisioneros 4 sol dados de una patrulla enemiga de los húsares de Kieninayer. Id, 22. El teniente general Sácken dice en 12 del corriente, que marcharla el 13 con su cuerpo…</t>
  </si>
  <si>
    <t>Grenier</t>
  </si>
  <si>
    <t>…Polonia. que allí se había recibido la noticia de que el Prín cipe Regente de Inglaterra ha consentido en que el Del lord Wellington acepte el mando en gefe de ios La división del general Grenier viene caminan exércitos españoles. do de Italia; hasta pocos dias atravesará por esta Por recomendación de lord Wellington ha con «iudad para incorporarse ai exército grande. fiado la regencia el mando del segundo, tercero y Se extraen considerables porciones…</t>
  </si>
  <si>
    <t>…stos de quanto necesita un guerrero: sois superio La primera brigada de la trigésimaquinta divi-, res en número; vuestra fuerza y actividad perso sion , que está á las órdenes del general Grenier, nal aventajan mucho á las del enemigo, y vuestras llegó á Nuremberg entre los di as. 19 y 20. Esta, armas son mejores que las suyas. Los soldados de brigada, mandada por el general Fressinet, y com— -Jian parre ancianos son por , que la mayorlínea f,ucstaige…</t>
  </si>
  <si>
    <t>….En el concepto de Augsburgo de enero. Mr. Grant hace mucho tiempo que la cuestión es Ademas del cuerpo de exército que manda el ta resuelta; empero el ministerio dice que la reno general Grenier, compuesto de 30© hombres, que vación del privilegio solo puede hacerse reducién á estas horas habrá ya pasado de Berlín, se junta dolo á los limites convenientes, que equivale á de otro en Hamburgo á las órdenes del general Lau- cir que tiene sus límites la…</t>
  </si>
  <si>
    <t>…rtzburgo, se compone de seis divisiones de infantería y dos de caballería. El virei de Italia ferjnc entre el Piave y el Adige el exército de Italia compuesto de tres cuer pos: el general Grenier manda uno de ellos. Vandamme tiene cerca deMagdeburgo un cuerpo de 40 batallones y 80 piezas. Davoust está en Hambur go con su cuerpo, reforzado con 5© dinamarqueses. Víctor manda ahora tres divisiones en lugar de una que tenia &amp;c. &amp;c. (Habla de nuevos caxoue…</t>
  </si>
  <si>
    <t>…ávaros. Séptimo. En Francfort. El mariscal Keilorman con el segundo exército de reserva. Octavo. En Italia. El víre! Eugenio, lugarteniente de Bonaparte, el. mariscal Massena y el conde Grenier. Los otros generales comandantes de divisiones ¡en Alemania son los si ■ ' ‘ . ¿i r f ^ guientes: ... ' - ' De caballería: los condes Latour.-Maubourg,Grouchy, Nansiotiteí-VaIence y St. Germain. De infantería: ios condes Laborde, Loison,Boaiíet„ Molitor, Fria…</t>
  </si>
  <si>
    <t>…de todos los bávaros. j.Q Francfort. £1 mariscal Kellerman con el segundo exército de reserva. 8.° Italia. El virey Eugenio, lugar-teniente de Bonaparte, el mariscal Massena y el conde Grenier. Los otros generales comandantes de divisiones en Alemania son los siguientes : De caballería: el conde_Latónr-Maubourg.— El conde Grouchy. — El conde Nansouty. — El conde Valence. — El conde S. Germán. De infantería: el conde Labor de. — El conde Loison. — E…</t>
  </si>
  <si>
    <t>…familia real de Sa xonia; ios mariscales Marmont y Macdonald; los generales Regnier, Souham, Lauriston, Dombrouskí, Vailary, Bruñe y otros to. El-príncipe Poniatowsky ahogado; el general Grenier muerto; el mariscal Ney herido; el mariscal Augereau (según dicen los prisioneros) muerto. En los primeros hai 300 oficiales de estado maybr. Se han cogido 2oo: cañones y 800 carros de municiones. Se calcula que Napoleón ha Salvado de todo su exércitó de 30 á…</t>
  </si>
  <si>
    <t>…stos movimientos, dirigió contra el ene migo una columna de tropas baxo las órdenes del general Palombini, y creyó debía dirigir al mismo tiempo y sobre igual punto, el cuerpo del general Grenier con orden de obrar rigurosamente en esta dirección. El 23, el príncipe habla puesto su cuartel general en Udina, y el 24 estaban ya todas las tropas concentrada?. No de be admirarse que para apoyar el movimiento del general Grenier, se aproxímen las demas div…</t>
  </si>
  <si>
    <t>Grenmer</t>
  </si>
  <si>
    <t>…estos movimientos, dirigió contra el enemigo una coluna de tropas baxo las ór denes del general’Palombini, y creyó debía dirigir al mismo tiempo y so bre igual punto el cuerpo del general Grenmer , con orden de obrar riguro samente en esta dirección. El 23 el príncipe había puesto su cpuartel gene ral en Udina, y el 24 estaban ya todas las tropas concentradas. No debe admirarse que para apoyar el movimiento del general Greanier s§ aproxi(0 Recuerden n…</t>
  </si>
  <si>
    <t>Grenvi</t>
  </si>
  <si>
    <t>526</t>
  </si>
  <si>
    <t>…= C. Sandérs. ya esta costumbre. Nunca he te».i Jo razones para Declaración hecha baxo juramento en Downingsuponer que la princesa recibiere vi.-itai de' Caballe Streer, caca del lord Grenvi le, 4 7 de Junio de 1806. ros á horas'intempestivas. = F¡rm:irone=Erskine, Grenville, Spencér» EllenSir Sidney Smith venia á verla á menudo, y borough. aun quasi todos los días; la acompañaba hasta tnui IMPERIO FRANCES. tarda , v alguna vez hasta tas dos de l…</t>
  </si>
  <si>
    <t>Grenviile</t>
  </si>
  <si>
    <t>…rincesa de Gales en virtud de una comisión cuencia, dando esto motivo á. murmuraciones en la del Rei. casa, porque creo que los demás criados formarían Comisionados: lord Erskine, lord Grenviile, las mismas sospechas que yo. lord Spencer y lord Ellenborough. La princesa tomó un niño, que, según me d¡xeron, habia traído á |a Casa Stiltcman. Yo servia Vedaración de Roberto Bidgoo(l. una semana cada tres, y no me tocaba de servidum En el mes de setiembr…</t>
  </si>
  <si>
    <t>…alco mado =sW. Colé. ba, y la encontró desayunándose con un hombre, Declaración hecha baxo juramento en Downing- ni que metió mucho ruido este lance, ni que se le Street, casa del lord Grenviile, á 6 de junio de obligó á jurar á Mariana Wilson que guardaría el 1806. = Firmado =: Spencer, Grenviile. secreto, so pena de ser echada de la familia si divul gaba lo que habia visto. =Firmado= Fanny Lloyd. Declaración de Fanny Lloyd. Declaración hecha baxo j…</t>
  </si>
  <si>
    <t>Grenville</t>
  </si>
  <si>
    <t>…siempre ae empleos, y mas que que vais á exercer. •nunca aistanre de obtenerlos. Si se ha de creer á ,, Haréis tomar las armas á la cohorte con el un diarista, debe considerarse á lord Grenville co mayor sigilo y la mayor diligencia posible. Para mo el corifeo de la antigua oposición; ¿pero y el conseguir ambos fines con mas seguridad prohibiréis puesto de! lord Grey ? ¿Consentirá este en baxar al que se" avise á los oficiales que se hallen tejos del…</t>
  </si>
  <si>
    <t>…es "a se medalla de oro de 1320 francos ó 320 ducados. sión han sido el marques de Wellesley, los condes «La ópera seria debe estar toda en verso y cu de Liverpool y de Rathurst, lord Grenville y el dos ó tres actos, con tal que en este último caso la vizconde MelviJle. Se adoptó la proposición del dis obra no sea mas larga que la mas corta de las ópe curso de gracias. ras de Aletastasio, di exceda del tiempo que suelen «Jurar en nuestros teatros se…</t>
  </si>
  <si>
    <t>394</t>
  </si>
  <si>
    <t>…ARLAMENTO BRITANICO. miga ha naufragado en las costas de Recale.. Se ha En la sesión de la camarade ios pares del 5 del salvado la tripulación, que ha quedado prisionera corriente lord Grenville presentó dos peticiones de guerra. contra el monopolio dé la compañía de las Indias Del to.orientales, una de parte de los gremios de la ciu dad de Bristol, y la otra del cuerpo de mercaderes Continúanse las excavaciones de Pompeya con y otros habitantes de l…</t>
  </si>
  <si>
    <t>…le, v caliñeádose con epítetos, que no que Compañía de las Indias. remos repetir ni examinar; pero con todo eso ¿se ha formado el menor escrúpulo en mostrar la de Levantándose el lord Grenville dixo que solici claración de estos testigos, que, como nos dice et taba la atención de la cámara para hacerla algunas 'Junes i descubren hechos, que S. A. R. no podia observaciones sobre el asunto importantísimo de tener interes en que se publicaran (i)? ¿ La…</t>
  </si>
  <si>
    <t>…R.=Firmado=:SamueL Roberts. sitas de sir Sidney Smith , porque S. A. R. consul Declaración hecha baxo juramento en la casa taba con él los adornos convenientes , y los muebles del lord Grenville á 7 de enero de 1806, ante que necesitaba comprar. Mr. Morell era su tapice ncs.=Erskine, Spencer, Grenville , Elleriborough. ro: sir Sidney Sm¡:li venia muchas veces solo , y al gunas estuvo solo con la princesa hasta las ix de la D. ciaración de Tomas Stike…</t>
  </si>
  <si>
    <t>…do == Sofía Austin. princesa de Gales, como que soi madre de él. Por Declaración hecha baxo juramento en Downingel mes de'julio próximo hará quatro años que le di Street, casa del lord Grenville, á 7 de junio de al mundo en el hospital de Browulow-Street, y 1806, ante nos. = Firmados= Erskine, Spencer, en el mismo he parido tres veces. William, que Grenville y Ellenborough. está con la princesa, es mi segundo hijo. Tenia en Declaración de Isabel Gosd…</t>
  </si>
  <si>
    <t>Grenvílle</t>
  </si>
  <si>
    <t>…que acabo de hablar Mills. hacia también á S. A. R. algunas visitas sir Fran Declaración hecha baxo juramento en Dowcisco Mili man. = Firmado=Tomas Edmeads. ning-Street, casa del lord Grenvílle, á 25 de junio Declaración hecha baxo juramento en Downing- de 1806. = Firmadaa=JExskine, Grenvílle, Spencar» Street, casa del lord Grenvílle, á 25 de junio de Ellenborough. 1806. = Firmaron = Erskine, Grenvílle, Spencer, Del 22.Eüenborough. Sin embargo da to…</t>
  </si>
  <si>
    <t>Grerner</t>
  </si>
  <si>
    <t>…er fortaleza alguna en este río entre Custrin y Glogau; añadiéndose que este será el punto de reunión de todas Ía9 tropas que Tienen del interior de Polonia.. Parte del cuerpo del general Grerner ha pasado ya el Oder con di rección á Posen , donde re. reúne un cuerpo considerable de trepas.. También se está fomi^ndo olio cuerpo de observación á orillas del Elba en Hsmburgo , y otro en Metz, Wetzlar y Eífurt. Las gacetas de Konisberg del i 8 dicen que…</t>
  </si>
  <si>
    <t>Greuier</t>
  </si>
  <si>
    <t>…eneral de bri que un combate. Por nuestra parte no ha habido gada francés de Senegalan , y se aguarda al señor mas pérdida que la de 40 á so hombres entre muer general de división conde Greuier con todo su esta tos y heridos, entre los que hai solo un oficial. El do mayor.</t>
  </si>
  <si>
    <t>Greville</t>
  </si>
  <si>
    <t>…milia si divul gaba lo que habia visto. =Firmado= Fanny Lloyd. Declaración de Fanny Lloyd. Declaración hecha baxo juramento en casa del Por el mes de octubre próximo habrá 12 años lord Greville á 7 de enero de 1806, ante nos. = que entré á servir á la princesa de Gales en el ofi Firmados:Erskine, Spencer, Grenviile, Elienbocio para el café. Mi destino no me proporciona oca zough. siones frecuentes de ver á S. A. R.;y asi se me pa san á veces meses e…</t>
  </si>
  <si>
    <t>Grey</t>
  </si>
  <si>
    <t>…lord Grenville co mayor sigilo y la mayor diligencia posible. Para mo el corifeo de la antigua oposición; ¿pero y el conseguir ambos fines con mas seguridad prohibiréis puesto de! lord Grey ? ¿Consentirá este en baxar al que se" avise á los oficiales que se hallen tejos del segundo lugar? ¿O bien existen desavenencias entre quartel. Los sargentos mayores mandarán las com la cabeza de ios Grcnviliistas y la cola de los Fo- pañías donde no haya of…</t>
  </si>
  <si>
    <t>Grodschillíng</t>
  </si>
  <si>
    <t>…ripulación, délos qu* Asi pues puede asegurarse que la mayor parte 85 estaban heridos. Ha sido mui sensible la pérdida de la América quiera que continúe el gobierno de u"el primer teniente Grodschillíng, del segundo Bullí,' Mr Maddisson; pero esra mayoría se compone de de tres cirujanos y algunas otras personas. habitantes pacíficos, que no meten el ruido tumul El combate ha sido mui sangriento. La rada pa tuoso que mueven algunos intrigantes facciosos de re…</t>
  </si>
  <si>
    <t>Gros-</t>
  </si>
  <si>
    <t>…s crueles, la falta de agua ; tampoco tenia nin Se disputan mucho las eiccciones para el nuevo gún abrigo, y el mal tiempo la obligó á estar siem parlamento. El alderman YVood, el general Gros- pre pisando lodo y percibiendo la humedad. Pero</t>
  </si>
  <si>
    <t>Groúchy</t>
  </si>
  <si>
    <t>…l enemigo con el mayor vigor; lo batió, le hizo generales , y loS coroneles de sargentos. Este esquade 500 á 600 prisioneros, y lo retuvo fuera del ti dron sagrado, mandado por el general Groúchy, y ro de caños del puente. El general Fournier dio báxó las órdenes del Rei de Ñapóles, nó perdía de una hermosa carga de caballería. - vista al Emperador en todos los movimientos. ' El exército de Volhynia ha padecido mucho en S. M. no ha gozado nunca de mej…</t>
  </si>
  <si>
    <t>Grouchy</t>
  </si>
  <si>
    <t>…e de Bonaparte, el mariscal Massena y el conde Grenier. Los otros generales comandantes de divisiones en Alemania son los siguientes : De caballería: el conde_Latónr-Maubourg.— El conde Grouchy. — El conde Nansouty. — El conde Valence. — El conde S. Germán. De infantería: el conde Labor de. — El conde Loison. — El conde Bonnet. — El conde Molitor. — El conde Friant. — El conde Legrand. Los polacos, reducidos á 15$, están en Pirna, mandados por el pr…</t>
  </si>
  <si>
    <t>Groviíle</t>
  </si>
  <si>
    <t>…olumnas, tres de ellas por la parte inferior del puente de Ima, y la otra por la parte superior de él; dichas columnas eran mandadas por el mariscal de campo Hay, por el honorable coronel Groviíle, el mariscal de campo eí honorable Eduard Stopford y el de la misma clase Howard; y el teniente general D. Manuel Freyre dispuso que la parte del cuarto exército español, baxo sus inmediatas órdenes, pasase en tres co lumnas por los vados de la parte arriba d…</t>
  </si>
  <si>
    <t>Grponojú</t>
  </si>
  <si>
    <t>…pañádo dei cómándqrvtejgeñeralyrdficialidad del cantón, ye se o irado .por/un destaoa4Mfin&lt;b?dé Jfeoo'caderes de la espuela militar, presentó ál Con greso los trofeos enemigos. El general Grponojú, ocupando ia tribuna</t>
  </si>
  <si>
    <t>Gruham, Sír Tomas</t>
  </si>
  <si>
    <t>Sír Tomas Gruham</t>
  </si>
  <si>
    <t>…facción en observar ei zeto y habilidad de los Oficiales, ígíislmente que la bizarría y disciplina de las tropas. Los detalles que lie dirigido á V. E., y he recibido def teniente general Sír Tomas Gruham, habrán manifestado á V. E. la habilidad y perseverancia con que ha conducido la’ardua empresa que se ha p« sto á su car go, y el zelo y esfuerzos dé los oficiales empleados ¿ sus ordenes. «Coincido completamente''' con lo que expresa el -tc-n?eéte general áf…</t>
  </si>
  <si>
    <t>Gruindler</t>
  </si>
  <si>
    <t>…maron un cañón de'campaña con su tilo de caballos; en todo se han cogido 6 carros de pólvora , y hecho prisioneros 27 oficiales y 900 soldados. E- general de división Greníer y el general Gruindler han quedado heridos. La pérdida del enemigo no baxa ciertamente de 2000 hom bres entre muertos y heridos. La nuestra ha sido de un oficial muer* to y 7 heridos, ademas de 560 soldados entre muertos y heridos. El enemigo no nos ha hecho uu solo prisionero, pue…</t>
  </si>
  <si>
    <t>…ron un gañón de campar ña' coa su tiro de caballosen-todo se han cogido seis carros de pólvora, y hecho prisioneros 27 oñciales y 900 soldados. Ei general de división Greniej y el general Gruindler han quedado heridos. La pérdida déreñemigo no baxa ciertamente de 2© hombres entre muertos y heridos. Lar nuestra ha sido de</t>
  </si>
  <si>
    <t>Gruithuis</t>
  </si>
  <si>
    <t>…30. 117 GAZETA DE MADRID D£L SABADO 30 DE ENERO DE itij. DINAMARCA. BAVIERA. . Copenhague ti de noviembre. Munich jp de diciembre. S. M. ha regalado á ¡a academia de Cristiania El doctor Gruithuis publica en su diario las ob en edificio considerable y muchas tierras hasta va servaciones siguientes: lor de 17® escudos. El dia 30 de octubre el prínci El frió intenso, que á veces hace suspender sus ope pe Federico de Hesse enteró de esta expresión á la ra…</t>
  </si>
  <si>
    <t>Gteiza</t>
  </si>
  <si>
    <t>…rés Morillo y Claro Ayala. Para evitar el es cape de ia canalla , despachó el referido Basavilvaso hácia el mis mo rumbo otras dos partidas de 30 á 40 caballos , á las órdenes del capitán Gteiza y teniente Selorzano, p. ra que se apostasen en los puestos de Chacalapa y Joioslan. Brizuela, marchando rápida mente hácia el enemigo, sin descansar ni por la noche, á pesar de la obscuridad y la lluvia, llegó á Coahuayana á las 2 de la tar de, é inmediatame…</t>
  </si>
  <si>
    <t>Gtihana</t>
  </si>
  <si>
    <t>…á la cumbre los acometieron por la espalda, y toda la caballería se arrojó encima; con lo cual perdieron su posición, la réstente ar tillería, su parque, 4 banderas, á su segundo general Gtihana é in finita gente. Hasta este momento no supin os de cierto la entrada de Moreios en Orizava, y que lo habíamos batido á él y á toda su gente. ,.Aunque las instrucciones de V. S. me prevenien que no me com prometiese, y aunque sabia que tenían guarnición en O…</t>
  </si>
  <si>
    <t>Gu, José María</t>
  </si>
  <si>
    <t>José María Gu</t>
  </si>
  <si>
    <t>…leg dos pa-a presidente el Sr. D. Francisco Tacón , diputado por Mur cia; para vice-presidente el Sr. D.Jisí Cayetano Fonce-rada dipu tado por Nueva-España, y para secreta: i o el Sr. D. José María Gu tiérrez de Tera.ii) diputado suplen .e por Nueva- España. La Regencia del rey no se ha servido e espedir ios decretos siguiente si Primero. D. Fernando vn, por la gracia de Dios y por la Constitución de la monarquía española, rey de las Es pañas, y en su atas…</t>
  </si>
  <si>
    <t>Guadalaxara</t>
  </si>
  <si>
    <t>…debilidad la confianza ro como venia embarazado con los prisioneros, no del Emperador. : pudo seguirle e! alcance, y ha tenido que volver á Por el presidente, ausente, el general conde Guadalaxara, donde entró el dia 4-. Gassendi, Alexandro Alleht, barón Félix, el gene Estos dos encuentros han costado poquísima ral de Preval. ¿rdida al general Vichery , el qual ha recibido un alazo en un brazo. Se espera la relación circuns Decretos tntferiales. tancia…</t>
  </si>
  <si>
    <t>Guardia, Joaquín</t>
  </si>
  <si>
    <t>Joaquín Guardia</t>
  </si>
  <si>
    <t>…nito Presas, y el distinguido D. Juan Mas: tampoco debo parar en silencio al segando ayudante de estado mayor D. Florencio Cerati; á mi ayu dante de campo el teniente de Zapadores D. Joaquín Guardia, y ai ayudante deí regimiento de cazadores de Cataluña D. Mateo Martí, que siempre estuvieron á mi lado, comunicaron con la muyor intre pidez y actividad iris órdenes, y contraxeron un mérito particalnr.=Dios guarde á V. S. muchos años. Esparraguera 8 de A^or…</t>
  </si>
  <si>
    <t>Guazo</t>
  </si>
  <si>
    <t>…este al ayuntamiento de Irun que las Cortes han visto con singular agradó su patriótica-conducta-con los heridos en 4a-*.áCcion-déi-yi- de agosto—«. Aprobado por un-añimidad.- • ■ Sr. Guazo: que en el día 14-en que las Cortes cierran sus sesiones, al dar gracias á'DióS'poi* ia -feliz cóficlusion de sus tareas, las dén igualmente por el 'gloriad' itrhíiifd'iié- nWs%rá$;iarrrias erf *el dia;yf- de agofto-. JIl Aproba;-* do. _—LsjlecTáb'tílo táfi g…</t>
  </si>
  <si>
    <t>Gubasola, Martin</t>
  </si>
  <si>
    <t>Martin Gubasola</t>
  </si>
  <si>
    <t>…00. D. Miguel Femando Rui®, 100. D. Lorenzo Tajonar, 100. 13. Faustino del Campo, 100. D. Santiago Rodríguez, 100. I). J uan Antonio Ariaiburu*, 100. D. Cristóbal Aznilcueta, 100. D. Martin Gubasola, 100. D. Ramón Azcarato, 100. D. Joaquín Lostra, 100. D Juii To nas Senoseain , 100. D. Jom B ufhta Garate, 100. D. Angd Alfar*, 103. D. Antonio Tarancc, 100. D. Fernando Mazo, 100. O. J &gt;aqnlu M^ría Ferror, 100. D Ignacio Sobrado, 100. D. Juan del Valle Pong…</t>
  </si>
  <si>
    <t>Gudin</t>
  </si>
  <si>
    <t>…Desde hoy en adelante no estaremos de vanguardia por habernos debilita do en extremo con la mucha gente que perdimos en la toma de Smolensko y en la batalla del 19 de Agosto. „E1 general Gudin ha muerto : una bala de canon le llevó ambas piernas, y espiró al día siguiente.—JLossoy, capitán de carabineros.’* Segunda. A madama Schroder en Hamburgo. „Desde el 7 de este mes, en que se dió la bata lia de Mojaisk , voy detras del exército en el carro de…</t>
  </si>
  <si>
    <t>Guelbenzu, Juan Francisco</t>
  </si>
  <si>
    <t>Juan Francisco Guelbenzu</t>
  </si>
  <si>
    <t>…hechas por la Regencia del rey no en la di visión que manda el mariscal de campo D. Francisco Éspox y Mina. A tenientes de fusileros á D. Francisco Retana, D. Agustín Men* dioroz, D. Juan Francisco Guelbenzu , D. Joaquín Diez, D. Do mingo Zaídna, D. José Buesa, D. Antonio Gastón, D. Tomas Otochoreua , D. Antonio Alvarez , D. Manuel Sesé , D Martin Martínez, D. Antonio Laso y D. José Moriones: á subtenientes de granade ros y cazadores á D. Fermín Izu , D Sebastian…</t>
  </si>
  <si>
    <t>Guelves, Felipe</t>
  </si>
  <si>
    <t>Felipe Guelves</t>
  </si>
  <si>
    <t>…. D. Ignacio fichar, substituto primero. D. Andrés del Peral, substituto segundo. D. Ventura Alcalde , alcalde. Barrio de Santa Isabel. I&gt;. Vicente Rodríguez , substiruto primero. D. Felipe Guelves, substituto segundo. D. Josef Domínguez, alcalde. D. Manuel de Cereceda , substituto primero. Barrio de Afligidos. D. Josef Vidal, substituto segundo. D. Pedro Cancio, a!calde. Barrio del Ave María. D. Andrés Aros, sub-tituto primero. D. Antonio Arnesto, alca…</t>
  </si>
  <si>
    <t>Guerra, José Antonio</t>
  </si>
  <si>
    <t>José Antonio Guerra</t>
  </si>
  <si>
    <t>…jo de Febrero. Continúa el extracto de los partes de Nueva-España. 65. D. Joaquín de Arredondo, gobernador del Nuevo-Santan der y Huasteca, puso al mando del capitán de caballería D. José Antonio Guerra un destacamento de infantería y caballería para per seguir á los rebeldes, acampados en las inmediaciones de Rio-Ver de. El 14 de Abril se dirigid por Arroyo Seco á Bagres: en la pri mera jornada encontró una gavilla como de 200 hombres, á la que acometió el…</t>
  </si>
  <si>
    <t>Guerra, José Bustamante</t>
  </si>
  <si>
    <t>José Bustamante Guerra</t>
  </si>
  <si>
    <t>…suma mas considerable ; pero que el estado de deficencia en que encontró aquellos fondos era tal que apenas po dría cubrir la mencionada cantidad. El capitán general de Goatemala D. José Bustamante Guerra, con fecha de 10 de Marzo último, da cuenta á la Regencia del reyno de haber dispuesto se registrasen en el bergantín Recurso, que debía salir de Honduras con dirección á este puerto, varias canti dades correspondientes á diversos ramos de ía hacienda pública…</t>
  </si>
  <si>
    <t>Guerra, Juan Aivarez</t>
  </si>
  <si>
    <t>Juan Aivarez Guerra</t>
  </si>
  <si>
    <t>…pondréis se impri ma, publique y circule. de Barbón , cardenal de Scala, arzo bispo de Toledo, presidente. = Pedro de Agar.-=z Gabriel Ciscar. 3 En Cádiz á 5 de Julio de 1813. = A D. Juan Aivarez Guerra. Ante el tribunal del consulado, y por su escribanía á cargo de D. Elias Izquierdo y Payan pende el juicio general de quiebra y concurso de acreedores á la casa y compañía que ha corrido baxo el título de Torre Hermanos, que tuvo principio en 18 de Enero pa s…</t>
  </si>
  <si>
    <t>…se imprima, publique y circule. = L. dé Borbon , cardenal ,de Scalá, arzbbisfK) de Toledo , presidente. =:Pedro de Agar.-= Qabriel Ciscar. == En CaÓiz át'i'f de agostó de 1813.=A D. Juan Aivarez Guerra*." ; : : : * : ! : • - ... En la villa de Mazarambroz, tres leguas de Toledo y 15 de esta corte, se ha lla vacante el parti&lt;§o'de? médico, que ha de proveerse por sii ayuntamiento cons titucional pasadoi ip“diajs deeáte-'anunejo: lapoblacion es^le^foq vecinos…</t>
  </si>
  <si>
    <t>…is se im prima, publique y circule. = X. de Barbón y cardenal de Scala, ar zobispo de Toledo , presidente. = Pedro de Agar. = Gabriel Cis car. =Hn Cádiz á 13 de Agosto de 1813.;=^ D. Juan Aivarez Guerra. La Regencia del reyno se ha servido nombrar ayudante veteraJ.CÍ¿1'-' y £Hen d Vi—no vi*de la J^JUlU'lvíséptima UlViMv'Udivisión USde milicias Vltde 1CJla V'JOV.Ocosta uv»del Sur, rey nato de Nueva España , á D. José Sánchez, ayudante del bata llón provincial…</t>
  </si>
  <si>
    <t>…entario de los efectos de medicina, estando en francés, y sien do mu» deudos, no se han podido traducir aun ni confrontar. GOBIERNO POLITICO DE LA PROVINCIA DE MADRID. &gt; El Excmo. Sr. D. Juan Aivarez Guerra , secretario de Estado y del des pacho de la Gobernación de la península, me ha dirigido con fecha 4 del corriente de orden de S. A. la Regenc ia del reino las siguientes. Considerando la Regencia del reino qué por diferentes órdenes se ha re habilitado en el…</t>
  </si>
  <si>
    <t>Guerra, Juan Alvares</t>
  </si>
  <si>
    <t>Juan Alvares Guerra</t>
  </si>
  <si>
    <t>…is se impri ma, publique y circule. = L. de Barbón cardenal de Scala , arzo bispo dé Toledo, presidente. = Pedro de Ag^r. = Grahriel Ciscar, zs. Eu Cádiz á ) de Julio de 1813. = A D. Juan Alvares Guerra. Segundo. D. Fernando vii, por la gracia de Dios y par Ja Constitución de la monarquía española, y en su ausencia y cautividad la Regen cia del reyno nombrada por las Cortes generales y extraordinarias, he tenido por conveniente separar dé la secretaría de li…</t>
  </si>
  <si>
    <t>Guerra, Juan Alvarez</t>
  </si>
  <si>
    <t>Juan Alvarez Guerra</t>
  </si>
  <si>
    <t>…la Península , de que había sido encargado interinamente; y ha venido en nombrar para servir dicha secretaría de la gobernación de la Península con la misma calidad de interino á D. Juan Alvarez Guerra, en atención á su instrucción y conocimientos. Tendreislo entendido , y comunicareis las órdenes á quienes corresponda.—En Cádiz ¿ 30 de Marzo de 1813.—A Don Antonio Cano Manuel. ■ Tercero. D. Fernando vii , por la gracia de Dios y por la constitución de la m…</t>
  </si>
  <si>
    <t>…réis se im prima publique y circule. — £&lt; de Borbon, cardenal de Scala , ar zobispo de Toledo , presidente. — Pedro de Agar. — Gabriel Cis car. —En Cádiz á 2 de Abril d« 1813. — A D. Juan Alvarez Guerra, Por el ministerio de la Guerra se ha comunicado al Sr. duque de Ciudad-Rodrigo 1.a resolución siguiente con fecha 23 de Abril. El decano de la audiencia de Sevilla ha dirigido á la Regencia d el ley no testimonio en copia á la letra de la sentencia yfr enunc…</t>
  </si>
  <si>
    <t>504</t>
  </si>
  <si>
    <t>…s se im prima , publique y circule. —*■ L. de Barbón, cardenal de Scala , ar zobispo de Toledo , presidente. — Pedro de Agar. — Gabriel Círcar.— En Cádiz ¿ 9 de Abril de 1813. — A D. Juan Alvarez Guerra/ Discusión del proyecto de decreto sobre el tribunal de la Inquisi» don. — En este volumen en 4.° de 88 pliegos se hallan reunidos todos los documentos , discursos é incidentes que pertenecen á esta gran cuestión, entresacados de I03 diarios de Cortes, é impr…</t>
  </si>
  <si>
    <t>…su ausencia y cautividad la Ree-encia del rey no nombrada por las Cortes ge nerales y extraordinarias : estando bien satisfecha del buen desempeño de I). To mas González Carvajal, D. Juan Alvarez Guerra, D. Francisco Osorio y D¿ Juan O-Donojú, nombrados por decreto de 30</t>
  </si>
  <si>
    <t>…ispondréis se im prima, publique y circule. = de Borbon9 cardenal de Scala, ar zobispo de Toledo, presidente.= Pedro de Agar.zzGabriel Ciscar.zz En Cádiz á 29 de Mayo de 1813. = A D. Juan Alvarez Guerra» CADIZ s IMPRENTA NACIONAL : 1813.</t>
  </si>
  <si>
    <t>…r en propiedad para desempeñar las secretarías de Estado y del des pacho de Hacienda9 Gobernación de la península, Mtiríña y Guerra á los Excmos. Sres. D. Tomas González Carvajal, D. Juan Alvarez Guerra* Don Francisco Osorio y D. Juan Odonqjú. Don Francisco Antonio de Góngora, intendente general en comisión de esta capital y su provincia &amp;c. Siendo mui interesante el conocimiento de la cuenta y razón en los di versos ramos de la hacienda pública , mando qua…</t>
  </si>
  <si>
    <t>…y dispondréis se im prima, publique y circule. = de Borbon , cardenal de Scala , ar zobispo de Toledo, presidente.^Pedro de Agar^Gabriel Ciscar En Cádiz á 10 de Junio de 1813. = A D. Juan Alvarez Guerra. CADIZ: IMPRENTA NACIONAL: 1813.</t>
  </si>
  <si>
    <t>…dréis se im prima, publique y circule. =X. de Borbon, cardenal de Scala , ar zobispo de Toledo, presidente. = Pedro de Agar.-=z Gabriel Cisc^r. = En Cádiz á io de Junio de 1813.=A D. Juan Alvarez Guerra. Segundo. D. Fernando vtt, por la gracia de Dios y por la Constitución de la monarquía española, rey de las Españas, y en su ausencia y cautividad la Regencia del reyno nombrada por las Cortes generales y extraordinarias , á todos los que las presentes vieren…</t>
  </si>
  <si>
    <t>…se im prima, publique y circule. = L. de Barbón, cardenal de Scala, ar zobispo de Toledo, presidente. = Pedro de Agar.-=z Gabriel Cis car. z=. En Cádiz á 10 de Junio de 1813. = A D. Juan Alvarez Guerra. Segundo. D. Fernando vii, por la gracia de Dios y por la Constitución de la monarquía española, rey de las Españas, y en su ausencia y cautividad la Regencia del reyno nombrada por las Cortes generales y extraordinarias , á todos los que las presentes vieren…</t>
  </si>
  <si>
    <t>…éis se im prima, publique y circule. zzL.de Borbon, cardenal de Scaia, ar zobispo de Toledo , presidente. = Pedro de Agar. = Gabriel Cis~ üar.szlLn Cádiz á 5 de Julio de 18x3. = A D. Juan Alvarez Guerra. Segundo. D. Feblnand© vii , por la gracia de Dios y por la Constitución de la monarquía española, rey de las Españas, y en su ausencia y cautividad la Regencia del reyno nombrada por las Cortes generales y extraordinarias, á todos los que las presentes viere…</t>
  </si>
  <si>
    <t>…éis se im prima, publique y circule. = X. de Barbón, cardenal de Scala, ar zobispo de Toleco , preridente —Pedro de Agar.zz. Gabriel Cis car. = En Cádiz á 17 de Agosto de 1813 r=A D. Juan Alvarez Guerra. CADIZ : IMPRENTA NACIONAL : i8iq.</t>
  </si>
  <si>
    <t>…réis se impri ma, publique y circule. =£. de Barbón, cardenal de Scala, arzo bispo de Toledo, presidente. = Pedro de Agar. = Gabriel Ciscar. — fin Cádiz á 5 de Agosto de 1813. = A D. Juan Alvarez Guerra. t CADIZ 1 IMPRENTA NACIONAL: 1813.</t>
  </si>
  <si>
    <t>…o y dispondréis su cumplimientos X. de Borben , cardenal de Scala, arzobispo de Toledo, presidente. = Pedro de Agar. = (Gabriel Ciscar. ss En Cádiz á 2© de Setiem bre de 1813. = A D. Juan Alvarez Guerra. Habiendo sido ratificado por las Cortes generales y extraor dinarias y por ef rey de Suecia el siguiente tratado de paz y</t>
  </si>
  <si>
    <t>…se im prima, publique.,y circule.s=L". de Barbón, cardenal de Salla, ar zobispo :dc Toledo presidente. s= Pedro de Agar.ez Gabriel Cis car. = En Cádiz á ,25 de Agosto de 1813.=; A D. Juan Alvarez Guerra. ... D. Fernando vii, por la gracia de Dios y por la Constitución de la monarquía española, rey, de las Españas , y en su ausencia y cautividad da ¿Legenda 4el ?cynó nombrada por las Córtcs generales y extraordinarias, á todos los,.que Jas presentes vieren y…</t>
  </si>
  <si>
    <t>T32f JL. de Barbón, cardenal de Seal a, arzobispo de Toledo, presiden te. = Pedro de Agar.s: Gabriel Ciscar. =En la Isla de Leen á 2% de Noviembre de 1813. = A D. Juan Alvarez Guerra. La Regencia del reyno ha tenido á bien mandar se publiquen e« la gaceta del Gobierno los siguientes dictámenes, el nao de la co misión médica de Cádiz, encargada por la junta suprema de sanidad, para informar á S. A. y á las Cortes del estado de la salud púb…</t>
  </si>
  <si>
    <t>Guerra, Juan Álvarez</t>
  </si>
  <si>
    <t>Juan Álvarez Guerra</t>
  </si>
  <si>
    <t>…ma, publique y circu le. = L. de Borbon, cardenal de Scala, arzobispo de Toledo, pre sidenta. = Pedro de Agar. = Qrabriel Ciscar. — En San Fernacdo á. 39 de Noviembre de 1813. = A D. Juan Álvarez Guerra. CADIZ : IMPRENTÉ NACIONAL *. 1813.</t>
  </si>
  <si>
    <t>…que y circule, ss X. de Borben ) cardenal di Scasa , arzobispo d« Toeio, p res id .¿a te, zzPi dro de Agar.sz._Gabriel Ciscar.zz. En la Isla de Lean á 12 de Noviembre de 1813. = A D. Juan Alvarez Guerra. El señor duque de Ciudad-Rodrigo ha dirigido al señor secreta rio del despacio de La Guerra ei pa te que tí general &lt;. n gefe del primer exército le ha dado de k acción sostenida con u« *«»nero inferior de tr pas á l .s enemigas ea S. Ftliu de Codicas é inme…</t>
  </si>
  <si>
    <t>GOBIERNO EOLITICO DE LA PROVINCIA EE MADRID. El Excmo. Sr. D. Juan Alvarez Guerra, secretario de Estado y del des» pacho de la gobernación de la Península, me ha comunicado la orden si guiente: ,, El encargado de la secretaría del despacho de Estado en su oficio de 16 del corriente me dice loque sigue: ,,Habiendo el Rei de Marruecos dado l…</t>
  </si>
  <si>
    <t>…INCIA DE MADRID. t)on Joaquín García Domenech , gefe político superior en comisión de la provincia de Madrid. ,,Con fecha 26 de noviembre próximo pasado me ha comunicado el Excmo. Sr. D. Juan Alvarez Guerra, secretario de Estado y del despacho de la gobernación de la península, la resolución siguiente: „Con fecha de 10 del corriente me dicen los señores secretarios de las Cortes lo que sigue: ,, Las Cortes, conformándose con lo propuesto por la Regencia del reín…</t>
  </si>
  <si>
    <t>…m prima, publique y circule. = X. de Barbón, cardenal de Scala, ar zobispo de Toledo, presidente. — Pedro de Agar. Gabriel Cis car. = En San Femando á 29 de Noviembre de 1813. = A D. Juan Alvarez Guerra. CADIZ : IMPRENTA NACIONAL: 1813.</t>
  </si>
  <si>
    <t>Guerra.’, Juan Alvarez</t>
  </si>
  <si>
    <t>Juan Alvarez Guerra.’</t>
  </si>
  <si>
    <t>…pondréis se imprima, publique y circule. = L. de Borbon, cardenal de Scala, arzobispo de Toledo , presidente. = Pedro de Ágar. = Gabriel Ciscar.=En Cádiz á 5 de jijlio de 1813 &gt;=A D. Juan Alvarez Guerra.’* En la gazeta anterior pág. 297 se dixo en la instrucción de la lotería na cional: ,,Todos los números que se aproximan álos que han ganado premio darán acción á los que los tomaron para recobrar lo que pusieron en el jue go ó para dexarto sortear en la extra…</t>
  </si>
  <si>
    <t>Guerrero, Josef González</t>
  </si>
  <si>
    <t>Josef González Guerrero</t>
  </si>
  <si>
    <t>…e quejó de que á pesar de que este asunto, que sí arrojarla para llenar un buen las cortes habian resuelto que la causa de su hijo volumen en folio con cada mes de los que han cor D. Josef González Guerrero, conocido por el canó rido desde el 18 de marzo de 1812. nigo africano, se determinase con toda la brevedad ,,E1 periódico intitulado el Censor en el primer posible, dispensándole quantos alivios fuesen com exército dala noticia de que en el corregimiento pat…</t>
  </si>
  <si>
    <t>Gui</t>
  </si>
  <si>
    <t>…de todas sus posiciones en los dias 4, &gt; y 7 del corriente, con dos brigadas de infantería británica y una portuguesa de la se gunda divi' ion , mandadas por el honorable teniente general Gui llermo Stewart, y otra brigada de la división portuguesa del mando del conde de Amarante á las órdenes del mismo conde. El ultimo pues to que ocupaba el enemigo en el puerto de Maya, situado entre el lugar de este nombre y Urdax, era extraordinariamente fuert…</t>
  </si>
  <si>
    <t>Guiberalde, Bartolomé</t>
  </si>
  <si>
    <t>Bartolomé Guiberalde</t>
  </si>
  <si>
    <t>…Uroz, D. Francisco Sarbide, P. Manuel'Inda, D Juan Ignacio Peña, D Diego OteruimDi Gabriel Alegría , D. Félix Sarasa $ D. José Labiano , D. Francisco Morillo , D, Juan Jaurrieta, D. Bartolomé Guiberalde, D- Antonio Ugarte, D. Ignacio "Echeverría, D. Pedro Echegoyen , D. José María Gurrea, D. Francisco Erdozain , D. Ma nuel Sauca, D. Agustín Apezteguia, D. Martin Benuza, D. Miguel Tolqsana , D. Juan Bautista Acosta , D. Xavier Azanza , D. Juan de Ortigosa, D,…</t>
  </si>
  <si>
    <t>Guidal</t>
  </si>
  <si>
    <t>…eneral Lahorie culpable de complicidad criminalmente por perturbador de la tranquilidad con el ex-general Maler, unánimemente; inrérior del Estado, y de un atentado cuyo fin Al ex-general Guidal culpable de complicidad era destruir el gobierno, el orden de sucesión al con el ex-general Malee, unánimemente; trono, y excitar a los ciudadanos ó habitantes á que Al gefe de batallón Soulier culpable de com se armaran contra la autoridad imperial, ¿ es cul…</t>
  </si>
  <si>
    <t>Guilemean</t>
  </si>
  <si>
    <t>…sraba cercada ae una alta muralla y dobles empalizadas.___Se tomaron quatro piezas de artillerías; y quedárÓriIp;r]híoi^rós el COíñ^tTdatTte.de ia ciudad, el ayudante de campo del general Guilemean, varios oficiales y algunos cent«mes.^g. h^ipbre^^ ^^restp^b cqespo ckl general. Bep^and se ^retiro á GÓ^théim y Cassel." Lír pérdida arisidiáca nó es dé cófriiidéracrón :'sé’-Ia®menta la pérdida de algunos oficiales.___El Príncipe mariscal mandó que se foiti…</t>
  </si>
  <si>
    <t>Guilleininot</t>
  </si>
  <si>
    <t>…, cuya ciudad ocu paba una división sueca, á la que obligo á situarse en la cabeza del puente. Ai dia siguiente se presentaron los suecos con el objeto de recuperar la ciu dad. El general Guilleininot los dexó avanzar á tiro de metralla, y jugan« do entonces sus baterías, los rechazó, ocasionándoles gran daño. El dia 3 de octubre el exército enemigo de Silesia marchó hacia el Elster porKonigsbrück y Eiferswerda , echó un puente en el recodo que for ma el E…</t>
  </si>
  <si>
    <t>Guiri, Ratael</t>
  </si>
  <si>
    <t>Ratael Guiri</t>
  </si>
  <si>
    <t>…DE SAN* ISIDRO. Barrio de Mira el Rio. D- Josef Miñones, alcalde. D. Pedro Garrido, substituto primero. D. Gil Antonio Laguna, alcalde. D. Francisco González, substituto primero. D. Ratael Guiri, substituto segundo. D. Josef Llorca , substituto segundo. Barrí) de Gu traías Españolas. Barrio de la Hu rta del Bayo. D. Pedro Petez, alcalde. D. Felipe Santintregui, alcalde. D. Pedro del Rio, substituto primero. D. Josef Manuel Aynz Gardazabal, substituto…</t>
  </si>
  <si>
    <t>Guisasola, Martin de</t>
  </si>
  <si>
    <t>Martin de Guisasola</t>
  </si>
  <si>
    <t>…D. Juan Mella, 1 id. D. Miguel Jáuregui, 1 id. D. Rosendo Gao, 1 id. D- Antonio Her rero, 1 id. D. Vicente López y U. Manuel del Valle, 1 id. D. To mas de la Casa y Piedra, 6 id. D. Martin de Guisasola, 6 id. D. Jo sé Matías de Elizalde, 2 id. D. Antonio Saenz de Tejada, 2 id. D. Manuel de Santiago, 1 id. D. Martin y D. Felipe Osambela., 10 i'd. D. José Ramón de Idiaquez, 8 id. D Ignacio de Santiago, 6 id. D- Andrés Reboredo, 6 id. D, Antonio Baras, 6 id. D…</t>
  </si>
  <si>
    <t>Guitart, Juan Bautista</t>
  </si>
  <si>
    <t>Juan Bautista Guitart</t>
  </si>
  <si>
    <t>…S. M. el verse libre de pesar de la absoluta prohibición de la extrangera,y semejantes bandidos. puede este producto valuarse «n tres millones.. (St continuará.} AVISO. ESPAÑA. El Sr. D. Juan Bautista Guitart, juez de primera Segovta 29 de maree. Instancia en esta viiia, há señalado ei jueves S de este mes en su audiencia, á la hora de la una de su tarde, Noticioso el.señor general conde Laseher, co para el remate de una casa sita en la calle de las Hile mandante…</t>
  </si>
  <si>
    <t>…es posible, la confianza que tienen tiérrez, difuntos , vecinos que fueron de dicho lugar, se e#-el todos sus vasallos., han formado autos de áhintestato per el juzgado del se ñor D. Juan Bautista Guitart, juez de primera instan Respuesta del señor presidente al señor ministro cia de. esta villa, y por 1» escribanía de! número.de ele lo Interior y señores son tejer os de Estado D. Luis Pcrez Penurias, que despaché por sus enfer medades D. Jacinto Gaona y Loech…</t>
  </si>
  <si>
    <t>…a amorosa al Franco belicoso, y sentarse en el trono AV750. de los Césares junto á Arcadio á la francesa Eudoxta. El amor da á conocer las funciones de los Bar Por providencia del Sr. D. Juan Bautista Guitart, dos entre los Francos, y los cánticos que estos pue ju$z de primera instancia en esta corte, de 29 del mes blos gustaban de acompañar al golpeo de sus lan próximo pasado, se manda llamar, citar y emplazar á lodas'y cyalesquier personas que se c«nsidereíy*cre…</t>
  </si>
  <si>
    <t>Guizarnotegui, Francisco de</t>
  </si>
  <si>
    <t>Francisco de Guizarnotegui</t>
  </si>
  <si>
    <t>…bueyes, 500 ovejas y carneros, varias herramientas de carpintería y fragua, y se les han inutilizado 5 rue das de cureña. Recomiend.Tá varios oficiales y soldados. 62. Ei teniente coronel D. Francisco de Guizarnotegui dispuso que en la noche del 27 de Julio saliese una partida de óo hombres en busca de la de los pescadores, que toma su nombre del apellido del cabecilla que la mandaba Isidro Pescador. Al amanecer dieron con ellos; pero procuraron salvarse con la fuga, de ma…</t>
  </si>
  <si>
    <t>Gurpi-, Manuel</t>
  </si>
  <si>
    <t>Manuel Gurpi-</t>
  </si>
  <si>
    <t>…D. Miguel Villacampa, D ’B'-roardo Eohsdecu, D. Cosme Vi'Hacampa y D. Ma nuel ■ 8alave.ru : á subtenientes dé fusteros á D. Ramón Gómez, D. Juan Migad de Iriso, D. Manuel Beriain, D. Manuel Gurpi-</t>
  </si>
  <si>
    <t>Gurpide, Francisco</t>
  </si>
  <si>
    <t>Francisco Gurpide</t>
  </si>
  <si>
    <t>…e deL capitán de caballería D. Tedro Fran cés , muerto; del capitán de cazadores del primero D. Felipe Navascues , herido, y en igual estado el teniente D.Mariano Cliver 3? el sub teniente D. Francisco Gurpide, 3- de 33 soldados heridos 3’ 7 muer tos , 5 caballos muertos de bala de cañón 3^ 6 heridos. Toco lo que tengo la satisfacción de participar á V. E., debiendo asegurarle que todas mis tropas cumplieron con sus deberes, 3* se batieron á mi sa tisfacción. Nuest…</t>
  </si>
  <si>
    <t>Gurrea, José María</t>
  </si>
  <si>
    <t>José María Gurrea</t>
  </si>
  <si>
    <t>…el Alegría , D. Félix Sarasa $ D. José Labiano , D. Francisco Morillo , D, Juan Jaurrieta, D. Bartolomé Guiberalde, D- Antonio Ugarte, D. Ignacio "Echeverría, D. Pedro Echegoyen , D. José María Gurrea, D. Francisco Erdozain , D. Ma nuel Sauca, D. Agustín Apezteguia, D. Martin Benuza, D. Miguel Tolqsana , D. Juan Bautista Acosta , D. Xavier Azanza , D. Juan de Ortigosa, D, Basilio Oilabarren , D. Sebastian Cortazar, D. Teo doro González, D. Juan Oyaga, D. R…</t>
  </si>
  <si>
    <t>Gurrea, Manuel</t>
  </si>
  <si>
    <t>Manuel Gurrea</t>
  </si>
  <si>
    <t>…oficiales y soldados que se batieron en este dia, ya que tuvieron la gloria de haber arrollado á sus ene migos. Dios guarde á V. E. muchos años &amp;c.” 4.° „E1 capitán de caballería D. Manuel Gurrea me da el si guiente parte. — Mi general: desde Egea rae dirigí ai camino de Zaragoza con el ánimo de sorprehender alguna partida de enemi gos con quien pudiese equilibrar mis fuerzas, que oousistian en 60 caballos. No lejos de Zuera recibí aviso de que 24 dra…</t>
  </si>
  <si>
    <t>Gurrea, Matias Josef</t>
  </si>
  <si>
    <t>Matias Josef Gurrea</t>
  </si>
  <si>
    <t>…sia par roquial , y á 3 rs. suman 750. Otra al portillo de la Zorra, caber 1407 cepas, que hoi tiene vivas 1357, lindante á solano vereda de los Repechos, á mediodía el es cribano D. Matias Josef Gurrea, á poniente los Calveros, y al norte Juan López, y rs. cada cepa suman 6106 rs. y 17 mrs. Quien quisiere hacer postura á di chas fincas acuda al juzgado del Sr. D. Francisco de Assin, juez de primera instan cia en esta villa, y escribanía de provincia vacante…</t>
  </si>
  <si>
    <t>Gus</t>
  </si>
  <si>
    <t>…ciller de;la universidad de Lund, caballero ^comendador cíe las órdenes, del Reí, caballero de la orden, Real efe Cárlós xiii, gra*nráguila de la Legión de líónor de Francia; y al señor Gus tavo, barón de Wetterstedt, canciller de la qorte, comendador de la Estrella Polar, uno de los 18 de la academia sueca; los quales después de haber cangeado sus plenos poderés, hallados en buena y debida forma y háfif convenido lo# articulqs siguientes i ■ *…</t>
  </si>
  <si>
    <t>Gustavo</t>
  </si>
  <si>
    <t>…s, canci ller de la universidad de Lund, caballero comendador de Jas drdenes del Rey, caballero de la orden Real de Carlos XIII, gran águila de ía legión de honor de Francia; y al señor Gustavo, ba rón de Wetterstedt, canciller de la corte, comendador de ía Es trella' Polar, uno de los iS de la Academia sueca; los cuales, después de haber cangeado sus plenos poderes, hallados en bue na y debida forma, han convenido en los artículos siguientes: Art.…</t>
  </si>
  <si>
    <t>Gutiérrez, Alberto</t>
  </si>
  <si>
    <t>Alberto Gutiérrez</t>
  </si>
  <si>
    <t>…tenientes del de Monterey ; D. Juan de Asas y D. José Pumarejo, tenientes del Regimiento de Marina; D. Geferino Arau/o, subteniente del de Benaveate; Don Félix Carrera, coronel, y D. Alberto Gutiérrez , teniente del de Rivero ; D. Esteban Rodríguez y D. Alberto Rodríguez , capitanes, D. Manuel Taboada , D. Juan Hevia y D.-Francisco Lema , sub tenientes del de Oviedo ; D. José María Novoa , sargento mayor; D. Francisco Xavier Toral, espitan de cazadoresí/Q.…</t>
  </si>
  <si>
    <t>…erei; T).• Juab^ de Asas y*D; Josef Puma rejo , f,ententes del regimiento, de .Marina; D. Ce^ ferino Araujo,.Subteniente del .del Beniavente.;, D: Félix; Car ai ra ,*cbi:ú¿d ,.»y» D. Alberto Gutiérrez, ; teniente, debdeLviyero ; DGlistéban aRodriguez. y' D; Alberto^Rad'figaiéz, capitanes vD.l MánueLLLfoada , L)t Juan .Hevüaqy* D. Francisco Lema, subtenientesedei dec Oviedo;) f):4 Joí é&amp;&gt;Mufí a¿ eMowíoí»* sargento mayor; D. Francisco Xavier Toral, capitán d…</t>
  </si>
  <si>
    <t>Gutiérrez, Alexandro</t>
  </si>
  <si>
    <t>Alexandro Gutiérrez</t>
  </si>
  <si>
    <t>…ías paso que aparejasen mis caballos, ilegó á prevenir que les señala comparezcan ante S. S. y por !.i escriii.,me el gefe de la secreraría Mr. Bouhin qüe acaba "nía del número de D. Alexandro Gutiérrez, don-le se ba de llegar el ayudante Laborde ccn ordenes del hallan radicados los autos ds abinttstat© '.formulo, pVr muerte de aquella , donde se le» administrará jiiiticía; ministro de la Guerra para que se retirase la cohor con apercibimiento que pasado dic…</t>
  </si>
  <si>
    <t>Gutiérrez, Bartolomé</t>
  </si>
  <si>
    <t>Bartolomé Gutiérrez</t>
  </si>
  <si>
    <t>…e coloco en la misma el coronel mayor general de esta arma D. Matías Ferraz, perfectamente ay udado por el teniente coronel del propio cuerpo Don José Saravia, y el sargento mayor D. Bartolomé Gutiérrez y demas oficiales subalternos: á las 8 horas de empezada la batería hacían fuego las piezas situadas en ella, y el acierto de su direccioa, á mas de ha ber causado bastante daño al enemigo, le impuso sobrado respeto. «No puedo-menos de recomendar-.al general…</t>
  </si>
  <si>
    <t>Gutierrez, Bartolomé</t>
  </si>
  <si>
    <t>Bartolomé Gutierrez</t>
  </si>
  <si>
    <t>…colocó en la misma el coronel mayor general de esta arma D. Ma tías Ferraz, perfectamente ayttdado por el veniente coronel del propio cuerpo D. Josef Saravia, y el sargento mayor D. Bartolomé Gutierrez y demas oficiales subalternos: á las ocho horas de empezada la bate ría hacían fuego las piezas situadas en ella, y el acierto de su dirección, á mas de haber causado bastante daño al enemigo, le impuso sobrado respeto. ,, No puedo menos de recomendar al gene…</t>
  </si>
  <si>
    <t>Gutiérrez, Joaquín</t>
  </si>
  <si>
    <t>Joaquín Gutiérrez</t>
  </si>
  <si>
    <t>…osé Antonio Ló pez, el campechano, habían salido la noche anterior para incorpo rarse con Osorno; y que quedaban.en la venta los cabecillas Trejo, Ibarra y el cura de Guayacocotla D. Joaquín Gutiérrez con 250 hombres de á caballo bien armados. Con estas noticias dispuse Ca llejo que el teniente de patriotas Orta saliese á todo escape por el parage de la Sabanilla, para cortarles la retirada, ccn 16 hombres, y él marchó de frente creyendo sorprehei derlos;…</t>
  </si>
  <si>
    <t>Gutiérrez, Josef</t>
  </si>
  <si>
    <t>Josef Gutiérrez</t>
  </si>
  <si>
    <t>…en el mundo que lo puedan ha cer mejor: permítame V. S. por tanto que le recomiende con particularidad ai sargento mayor del segundo regimiento de Sevilla, que actualmente hace de comandante D. Josef Gutiérrez; á los tenientes de granaderos del mismo cuerpo D. Miguel y D. Domingo Alsaga, y al distinguido D. Pedro Mon tes: estos individuos se portaron con toda la bizarría militar , que puede ser objeto de una recomendación. Igualmente pongo á la consideración de V.…</t>
  </si>
  <si>
    <t>Gutiérrez, Luis</t>
  </si>
  <si>
    <t>Luis Gutiérrez</t>
  </si>
  <si>
    <t>…rmino de quatro dias, que se le admitirán las que hicieren; en inteligencia que se ha de rematar el dia 23 del corriente y hora de las 12 en punto. Historia del gazetero de Bayona D. Luis Gutiérrez, extractada de I* causa original, é ilustrada con algunas notas por el Dr. D. J. M. D.: un folleto en 4.0 rústica, zr Manifiesto de las operaciones de los ministros de la real audiencia de Se villa, que se quedaron en la ciudad después de la invasión de los f…</t>
  </si>
  <si>
    <t>Gutiérrez, Manuel Lucio</t>
  </si>
  <si>
    <t>Manuel Lucio Gutiérrez</t>
  </si>
  <si>
    <t>…Aynz Gardazabal, substituto D. Manuel Alba, substituto segundo. hamo de tas Sal.primero. D. Agustín Mlchel, substituto segundo. D. Josef Fabregas, alcalde. Barrio de S. Cayetano. D. Manuel Lucio Gutiérrez, substituto primero. D. Juan Represa , alcalde. D. Agustín Pascual, substituto segundo. D. Diego de Villa, substituto primero. Barrio de S. Pascual. D. Bartolomé Cano de Molina, substituto se D. Angel Sahagun, alcalde. D. Vicente Esper, substituto primero.gun…</t>
  </si>
  <si>
    <t>Gutiérrez, Pedro</t>
  </si>
  <si>
    <t>Pedro Gutiérrez</t>
  </si>
  <si>
    <t>…e Cádiz, no os canséis; la constitu dias, contados desde el *3 del corriente, dos casas per ción es para el pueblo, y no el pueblo para la consti tenecientes í la testamentaría de D. Pedro Gutiérrez, tución; ¡Cómo con tanto revolver la historia no os ha vecino que fue en esta corte, sitas una en las calles del causado impresión aquella célebre máxima del legisla Cármen y Preciados, señalada con el número 3, man dor de los atenienses „de que les había dad…</t>
  </si>
  <si>
    <t>…ideas de este sabio sobre la historia que exami dicha fecha, dos casas que se han retasado, pertcr.rnen lo que ella es y.lo que siempre ha sido, mas cientes á la testamentaría de D. Pedro Gutiérrez, ve bien que lo que pudiera ser, porque sucede á las cino que fue en caá corte, sitas la una en Jas calles del veces que lo que puede ser no se realiza jamas, y Carmen y Preciados, señalada con el número 3, man se mantiene siempre en la región de los posibles…</t>
  </si>
  <si>
    <t>Guzinaa, Juan José</t>
  </si>
  <si>
    <t>Juan José Guzinaa</t>
  </si>
  <si>
    <t>…ncia dfe 3 horas con gran pérdida de heridos y 5 o muertos, dexando en el pueblo bas tante número de caballos. 27. En 15 de Mayo el comandante de la división patriótica de Mascota D. Juan José Guzinaa, destacó una partida de caballería é infantería de los soldados -de.su mando y patriotas de Xiquiípan , á las órdenes del teniente D. Antonio Arteaua , contra la eavilla de 200 rebeldes mandados por Rodríguez , Valdivia y Aguí lar-, que talaban las cercanías…</t>
  </si>
  <si>
    <t>G’as, Diego Guillermo</t>
  </si>
  <si>
    <t>Diego Guillermo G’as</t>
  </si>
  <si>
    <t>…tó en 24 de Abril de 1812 que se hi iesc saber por medio de los periódicos, que por parte de los síndicos de la quiebra de Hamer Rainey y compañía de Londres, en que está incluido D. Diego Guillermo G’as, se había solicitado el embargo de libros, papeles y bienes que tenia en Cá diz y su casa de comercio; y que todo se trasladase con el producto líquido de lo demas á Londres, con objeto á que cualquiera que le asistiese derecho que exponer acerca de dicha se…</t>
  </si>
  <si>
    <t>H-axo</t>
  </si>
  <si>
    <t>…tan vigorosamente exe cuta ios, que el enemigo fué destrozado en-todos los puntos y arrojado entre ía espesura de los bosques. El general Vandamme, y adema* otros tres, incluso el general H-axo, so mejor ingeniero, fueron hechos prisio neros por la noche, y otro se halló muerto. Se le tomaron algunas banderas, de 40 á 50 piezas y algunos millares de prisioneros. Otros dos generales, y algunos miles de soldados que se habían refugiado en los montes s…</t>
  </si>
  <si>
    <t>Habert</t>
  </si>
  <si>
    <t>…lipe 7 dft diciembre de 1811. ción. Todos los atrincheramientos que tenia en ella Señor duque: fueron destruidos; y la caballería le persiguió por ,,F.l 16 del mes pasado mandé al general Habert el camino de Arcos y Ademuz, adonde hizo su re dirigirse con una parte de su división desde Aibaída tirada. En Bexis se encontraron algunos de los pri á Alcoi, donde se habian reunido i^oo hombres de sioneros de la descubierta del 10." de línea, que es las tr…</t>
  </si>
  <si>
    <t>…Quartel general de S. Felipe 27 de diciembre de 1812. Del jo de febrero. Señor duque: Ministerio de Guerra. „ Después de la expedición que el mes pasad* mandé hacer hasta Alcoi al general Habert, de la Exército de Portugal. que di parte á V. E. por mi oficio del dia 7. de este Copia de una carta escrita desdé Valíadolid el mcs, las tropas de Alicante volvieron otra vez hi dia tj de enero de 1813 al Excmo. Sr. minisela esta misma parte. Habiéndose fix…</t>
  </si>
  <si>
    <t>los hacia hacer el sen icio de las avanzadas, y du al mando del general Habert, se apoderó de las po rante algún tiempo habían cumplido exactamente siciones formidables de Biar, que ocupaba el exétcícon su deber. Sin embargo, hace algunos dias que to ingles. El i.° ligero y los regimientos 14.° y 16.u desertaron (o durante la noche; la…</t>
  </si>
  <si>
    <t>Habert'dió</t>
  </si>
  <si>
    <t>…tán del 1Í7.0 Bergeron,' de línea, dos cañones, y algunos caballos. Habién habiéndose apoderado á viva fuerza de dos posicio dose reunido éu eí Peraltó con un destacamento nes, él'general Habert'dió una carga general; y¿ que venia de Mora , caminó toda la noche, y al lle rota y arrollada la línea énesñiga, se replegó desor-' gar ;• la posición que habian ocupado los insurgentes denaaamente mas allá de Alcoi, persiguiéndola núes-' al rededor del fuerte, n…</t>
  </si>
  <si>
    <t>Había, Tettenborn</t>
  </si>
  <si>
    <t>Tettenborn Había</t>
  </si>
  <si>
    <t>…xhaven. Las cartas del 8 .de Heligoland dicen que el 7 estaban empeñados en una acción á las inmediaciones de Cuxhaven los rusos y franceses. A la sa lida del correo un edecán del general Tettenborn Había llegado con el aviso de la muerte del príncipe Kutusow de Smolenskó, y del nombramiento del Conde Wittgenstein de general en gefe de los exércitos rusos. Ayer ha llegado el embaxador prusiano barón Jacobi-Kleist, y un ede cán del príncipe Bernadotte, que dice…</t>
  </si>
  <si>
    <t>Habiéndose, Regnattd de Saint- Jeart</t>
  </si>
  <si>
    <t>Regnattd de Saint- Jeart Habiéndose</t>
  </si>
  <si>
    <t>…Motivos del senado-consulto que pone ,7$oQ hom y el informe de la comisión especial nombrada^ en bres d disposición del ministro de Guerra, ex la sesión de ayer,; . puestos por el conde Regnattd de Saint- Jeart Habiéndose deliberado la adopción por el nu ct'Angely en la sesión del senado conservador mero de votos prescrito por el arr. 56 del acta de del 10 de enero de 1813. las constituciones de 4 de agosto de 1802, decreta: art. i. Se ponen hombres á disposición ,, Serenísimo…</t>
  </si>
  <si>
    <t>Hacketts</t>
  </si>
  <si>
    <t>…sais, y dos de á 9 del del capitán Daboardieis, basto la escolta de las tropas del capitán Childere del 16.0 de dragones lige ros, y de las avanzadas de los batallones ligeros del coronel Hacketts, fue ron traídos rápidamente por la calzada, é hicieron fuego contra varios cuer pos del enemigo, formados en la iianura contigua á la ciudad; entre tanto la coluna compuesta de los batallones ligeros alemanes de la brigada de guar dias , y de una división es…</t>
  </si>
  <si>
    <t>Hady</t>
  </si>
  <si>
    <t>…rancia. El diario militar-político* mercantil de la ciudad de Tarragona dice ha ber fondeado en aquella rada , procedente de Gibraltar, la fragata de guer ra inglesa Martrige, del capitán Hady» con cinco millones y medié de rs. para aquel exército. El dia 16 del corriente se publico en esta capital la siguiente orden del señor gobernador IX Pedro Villacampa Maza de Lizana &amp;c. Debiendo velar sobre la tranquilidad y sosiego público del heroico pue bl…</t>
  </si>
  <si>
    <t>Haedo, Francisco</t>
  </si>
  <si>
    <t>Francisco Haedo</t>
  </si>
  <si>
    <t>…ue en el término de 30 dias, contados desde dicho.26, comparezcan por sí ó por medio de apoderado á deducir el dere cho que tengan á los citados bienes por el oficio del escribano D. Francisco Haedo; con apercibimiento de que pasado este término y sin mas llamamiento se dará cuenta á la superioridad para que se apliquen á las urgencias de la patria. El Pueblo desengañado. Respuesta al Clero vindicado, ó verdadera solución del problema^ acerca de si Jos e…</t>
  </si>
  <si>
    <t>Haldimond</t>
  </si>
  <si>
    <t>…erlo. mente á quien se tiene mandado en la orden arriba La carta de los indios que acompañaba á estos citada. Pasado dicho término, seguirán las visitas do regalos iba dirigida al coronel Haldimond, gober miciliarias , y ¡ desgraciado el que no haya obede nador del Canhdá. .Vedla aqui textualmente: „ Pacido ! » dre, deseamos que paséis mas allá del agua, y lle»» veis estos cabellos al gran Rei, para que pueda. POLITICA. »»reparar en ellos, y descansar v…</t>
  </si>
  <si>
    <t>Halhets</t>
  </si>
  <si>
    <t>…a él una fuerte batería, compuesta de la bri gada de artillería del mando del capitán Duvondieu, y de la compañía de á caballo de Ramseí; y á cubierto de sus fuegos la brigada del coronel Halhets se adelantó al ataque del lugar, que se ganó; y habiendo avanzado á la carga el batallón de tropas ligeras, tomó sobre el puente tres cañones y un obús. Este ataque fue sostenido por la brigada de infantería portuguesa del mando del general Bradford ,, Durant…</t>
  </si>
  <si>
    <t>Haliz-Aiy-Pacha</t>
  </si>
  <si>
    <t>…brado con mucha prudencia en aconsejar al Príncipe Regente que haga proposicio Con stant inopia 10 de octubre. nes directas á la Francia. Mirando la negociación El anterior grande almirante Haliz-Aiy-Pacha baxo otro punto de vista, el orador pregunta á los ha sido nombrado gobernador de Ohri y de Alba- ministros ¿ cómo ai tiempo de dar una respuesta nasso en la Albania superior. Vahid-Emini-Elfen- negativa, y tan directa á toda especie de negocia di, embaxador…</t>
  </si>
  <si>
    <t>Halkets</t>
  </si>
  <si>
    <t>…él una fuerte batería, compues ta de la brigada de artillería, del mando del capitán Duvoodieu, y de la compañía de á caballo de Ramsei; y á cubierto de sus fuegos la brigada del coronel Halkets, se adelantó al ataque del lugar que se ganó; ^ habiendo avanzado á la carga el batallón de tropas lige ras, tomo sobre el puente tres cañones y u«n obús. Este ataqúe fue sostenido por la brigada de infantería portuguesa del ¿mando del ge neral Bradford. * ,,…</t>
  </si>
  <si>
    <t>Hall</t>
  </si>
  <si>
    <t>…mediterráneo. Palermo 23 de Febrero. —,,Tengo la satisfacción de remitir á V. la relación de una empresa gloriosa executada en la costa de Cala bria , que honra en gran manera al brigadier Hall, comandante de la flotilla, como también al mayor Stewart del regimiento 7é, y á todos Ies oficiales y soldados que llevó á sus órdenes. ^Participo también á V. con el mayor sentimiento la pérdida del mayor Stewart, oficial de gran bizarría y mérito. „Tengo l…</t>
  </si>
  <si>
    <t>…á las órdenes del teniente Fitzcibbon , de la compañ a ligera dei 8.° , de dos com pañías cel 104 á las órdenes deí mayor de Harén , y de la caballería provincial, mandada por el capitán Hall , y a estaba rendido todo. A la conducta del teniente Fitzgibbon, que por su destreza hizo capitu lar , se d; be atribuir la entrega deí destacamento americano. Estoy muy agradecido ai mayor Harén pór su marcha rápida paitó hallar se en el punto déi ataque, y…</t>
  </si>
  <si>
    <t>Hamiiton, Sir Juan</t>
  </si>
  <si>
    <t>Sir Juan Hamiiton</t>
  </si>
  <si>
    <t>…derecha de la p sicion que tenia el enemigo á la espalda de ¿i.nhoue sobre la derecha del Ni^elle , apoderándose de lus atríncheramient s y reductos" de rquel ña neo. El teniente general Sir Juan Hamiiton sostuvo por la derecha la sexta división con la portuguesa de* su mando, y ambas cooperaron en el ataque del segundo reducto, del que se hicieren dueños inmediatamente. La brigada del mariscal de campo Pryngle, de la segunda división del mando del honorable S…</t>
  </si>
  <si>
    <t>Hamilton</t>
  </si>
  <si>
    <t>…de NapoléSj lia publicado lo _ mantíenélágénddsa’ competencia de dar á V- M. que sigue: «Quando en 1800 fue llamado de Pa pruebas evidentes de amor y de fidelidad, concur lermo el caballero Hamilton, la Reina de Sicilia riendo solícitos todos vuestros vasallos al aumento determinó venirse con nosotros á Viena para visi de la fuerza respetable que estáis preparando para tar á su hija, que era entonces Emperatriz de Ale domar á los enemigos, y preparar á v…</t>
  </si>
  <si>
    <t>Hammerstein</t>
  </si>
  <si>
    <t>…a en que dos grandes exércitos te vean ea estado de hacer tan grandes cosas. Tengo la maycr satisfacción ea comunicaros que dos regimientos de húsares de WestfaÜa, mandados por el coronel Hammerstein , se haa pasado dci enemigo, y estaban deseosos de venir á las manos con Jos franceses para vengar las desgracias que han acarreado á sv país. — Tengo &amp;c.—C. Stewart. {Se continuará.) Id. yo. Luego que llegó á Londres la noticia de la muerte de Moreau, quiso…</t>
  </si>
  <si>
    <t>Haniañana</t>
  </si>
  <si>
    <t>…ones con /ementes, y el castillo en buen ,, El dia 26 de diciembre el gefe de batallón del estado de defensa, alió de Da roca el día 20 por la lió.0, enviado de noche á Ibí por el general Haniañana, y se encontró reunidas y en posición todas rispe, sorprehcñdió los puestos enemigos; mató á las fuerzas enemigas para disputarle la vuelta poi 40 hombres de los regimientos de Murcia y Nuel puerto de Carillena. Queriendo asegurar el trán mancia, y cogió 20 p…</t>
  </si>
  <si>
    <t>Hankins</t>
  </si>
  <si>
    <t>ros 51.0 y 68.°, del mando del mayor Ricé , y del teniente coronel Hankins, de la brigada del mariscal de campo Inghy, en el ataque délas alturas de San Pe en la tarde del io. Labrigada portuguesa de la tercera división, del mando del general Power, se distinguid igualmente en el ataque de la izquierda del centro del enemigo, y la b…</t>
  </si>
  <si>
    <t>Hanowiezen</t>
  </si>
  <si>
    <t>…mente heridos. Los prusianos perdieron muchos oficiales generales; y debemos llorar la pérdida del príncipe de Hesse-Homburgo. Entre los heridos contamos por parte de los rusos al general Hanowiezen, y por la de los prusianos á los géneráles Blucher y ocharmhorst levemente, y al general Hunervein de pe ligro. Por parte d‘e ios franceses, si hemos de dar crédito á los desertores, fue muerto Bessieres , y quedaron heridos Nei y Souham. Hemos visto llegar m…</t>
  </si>
  <si>
    <t>Harcourt</t>
  </si>
  <si>
    <t>…rillas, inundando las partes inferiores del Blmnentkal, donde hai mucho núme Por las últimas noticias de Santa Cruz sabemos ro de alquerías y huertas. No ha ocurrido sin em que el general Harcourt, gobernador de aquella bargo desgracia alguna por las sabías y oportunas plaza, murió á fines de diciembre. Se dice que ocu disposiciones que tomó este magistrado para llevar pará su lugar el general Skinner. . auxilios prontos á tod«s los parages en donde po…</t>
  </si>
  <si>
    <t>Harén</t>
  </si>
  <si>
    <t>12 6# Después de idas y venidas con muchas proposiciones entre el te niente coronel Boerstler para mí, en nombre del teniente coronel Harén , convino el teniente coronel Boerstler en rendirse en los tér minos de la capitulación. Al tiempo que yo volvía hacia mi tropa para enviar un oficial que vigilase sobre el cumplimiento de las con diciones de la entrega, llegasteis vos. Tengo la honra de ser…</t>
  </si>
  <si>
    <t>Harison</t>
  </si>
  <si>
    <t>…del regimiento núm. 50 Harija, los rechazó con pérdida; y el mayor Mitchell quemauda el de rozadores portuguesesLos persiguió á alguna distancia. ,,Incluyo el parte que ha dado el coronel Harison, por el cual verá V. E. que elogia la conducta de las tropas de los dos citados regimientos. „El enemigo ha reunido últimamente en Benavente como de 5 á 6000 hombres de las guarniciones del Duero; y en la semana pasada ha hecho una incursión á la otra parte d…</t>
  </si>
  <si>
    <t>Harispe</t>
  </si>
  <si>
    <t>448</t>
  </si>
  <si>
    <t>…ibía, recibieron orden de marchar, y creía que seria hacia Xátiva, de cuya ciudad habian conducido á Valencia los franceses 5 corone les , 43 oficiales y 2000 soldados heridos. El general Harispe estaba también herido, y había rumores d e haber muerto. Ciudad Rodrigo 18 de Abrilf ^ Algunas tropas del exército del mediodía se mantienen sobre el Tórra.es, y otras van aproximándose al Duero. La división Villate es laque está en Salamanca y sns inmediacio…</t>
  </si>
  <si>
    <t>…rtillería , un nmiab..mos nuestro reconocimiento solare Castalia, esquadron de húsares y un pelotón de dragones h.,n el coronel de! 1 2.'J de húsares Coibert, y el gefe bastado al general Harispe para arrollar una divi de batallón Dnbalen , de! to.° de línea, dirigidos sión de Elio, coger prisionera una mitad , y disper por el venerallAtris, batian completamente en Ara sar los restos, después de haber cubierto el "campo gón,'cerca de liorja, ai marisc…</t>
  </si>
  <si>
    <t>ballos entre muertos , heridos y extraviados. Se eree qoe el general Harispe, que mandaba una división enemiga, murió en esta acción. El teniente general ingles J. Muría y recomienda entre otros á los solda dos y -gefes de U división española al mando del niapiscal de campo Whit. tingham. ' E,. - \ - ■' / ■ '! En la larde del jueves p…</t>
  </si>
  <si>
    <t>Haro, Tomas</t>
  </si>
  <si>
    <t>Tomas Haro</t>
  </si>
  <si>
    <t>…ciendo el cabecilla capitass -Zuzunaga , que gozaba entre ellos de gran reputación.. La nuestra consistió en 10 muertos y 30 heridos;; entre ios primeros el capitaa -áe Guanaxuato D. Tomas Haro, y entre los segundos eí sargento ma yor Ménica y otros 3 oficiales. Recomienda el valor .del capitán de Guanaxuato D. Pedro Otero , que después de la herida de Ménica tomó el mando y empeñó de nuevo la tropa hasta el pie del para peto: el capitán de Zamora D…</t>
  </si>
  <si>
    <t>Harrison</t>
  </si>
  <si>
    <t>…, el general americano Dearbcrr. entró en el Canadá , avanzando hasta Chazaplain por el lado de Montreal; pero fué enteramente destrozado.— Otro exército americano, mandado por el general Harrison , ha pa sado también las fronteras de! Canadá ; pero los indios les tienen in terceptados los víveres. y se hallan en la situación mas deplorable. Ei príncipe Kutusow ha dirigido una proclama á los polacos, diriéndoles que S M I. los tratará con clemencia, y…</t>
  </si>
  <si>
    <t>…sobre los trae la noticia de que áam salid.: de aquella ciudad, fuertes Jorge, Queestst n , Uiippa-vear y Erie. le; ingleses se habian aporrado de todos los feudos El exército d«! general Harrison ha suspendido</t>
  </si>
  <si>
    <t>…ción, tío son irrepara del presídeme para tener fuerza de lei. bles. Por consejo unánime del general y de los ofi ciales de línea tomé ayer esta posición con el desig Despacho del general Harrison al gobernador nio de cubrir el precioso convoi de artillería y mu Meigs. niciones que vicue de Under-Sanduscky. „S5 el tiempo no lo impide, estaré en los Rápi Quartel general de Cargines-River d 24 de enero dos dentro de quatro ó cinco dias, y presentaré de 1…</t>
  </si>
  <si>
    <t>…la Java , y anuncian una nueva ba Tengo el honor de ser &amp;c. talla entre las fuerzas inglesas y el exército ameri Extracto de una carta de Richmond con feehacano á las órdenes del general Harrison cerca del del t4 de febrero.rio de las Ubas, y la que terminó por la derrota de los ingleses y la toma de Malden por el enemi Hace algunos dias vino una parte de la esquago. Sin embargo, esta noticia no se cía por entera dra inglesa á quemar una embarcación q…</t>
  </si>
  <si>
    <t>Harrisson</t>
  </si>
  <si>
    <t>…el Cañada. la mayor parte de sus clavos. I.os individuos que Se reúnen tropas de todas partes, y en este vivían de este trabajo estaban casi todos en la in momento debe marchar el general Harrisson con digencia y á cargo de sus parroquias, porque no 14© hombres sobre el estrecho- El general Tomp- ganaban mas que 12 sehelines á la semana, y nin kins debe entrar en el Canadá por el lado de Nía- gún hombre puede subsistir con esta suma. Quan gara con fuerz…</t>
  </si>
  <si>
    <t>Hartzfeld</t>
  </si>
  <si>
    <t>…usos, y sus proclamas. «Las piezas concernientes á las disposiciones tomadas por la Pru sia con motivo de la deserción del general Yorck. «Las piezas concernientes á la misión deí príncipe Hartzfeld en Paris. « El extracto de un informe sobre la connivencia del general Bulow con el enemigo. «Los tres edictos para las levas extraordinarias. fcEl edicto del rey, por el que absuelve y premia al general Yorck. « Finalmente, las notas por las cuales ha comuni…</t>
  </si>
  <si>
    <t>Harvey</t>
  </si>
  <si>
    <t>…; habiendo desembarcado tóó prisioneros he chos á bordo de estas embarcaciones. Cabo-Mai 9 de diciembre. EL corsario Highjlier ha apresado tres buques ingleses; á saber, la Diana, capitán Harvey, la El brick ingles Laura, de i o cañones, ha su Jamaica, capitán Neill, y la Mary- Ann- Mitler, frido á la vista de nuestro puerto un combate san cargados de géneros coloniales de mucho valor; y griento con el corsario francés el Diligente, capi aórnismo la…</t>
  </si>
  <si>
    <t>Hawkins</t>
  </si>
  <si>
    <t>…campo Inglis y los regimientos de su brigada de la sép tima división se conduxeron señaladamente bien. El regimiento 51 del man do del coronel Mitchel, y el 68 de ei del teniente coronel Hawkins cubrieron el movimiento de las tropas que ocupaban las alturas entre el Bidasoa y Le-</t>
  </si>
  <si>
    <t>Haxo</t>
  </si>
  <si>
    <t>…tados que:,ej enemigo,fue.destrozado en todos-los ,pun tos , y arrojado dentro dé los bpsqups. Quedaron prisioneros ear¡3¡ npcne eí general,Vandainme y otros tres, mas» iuclusq el.general Haxo,su mejor in geniero, y se halló muerto á otro. Se cogieron algunas, banderas, de.40 á 50 cañones, y algunos miliares de prisioneros.Qtros dos, generales, y^gnnoj mi llares de soldados, que se habían refugiadoájps montes, se han empegado esta mañana en Pitersw…</t>
  </si>
  <si>
    <t>Hay</t>
  </si>
  <si>
    <t>…nel Crawford, con una reserva de tres compañías de reales escoceses, mandados por el capitán Auguimbean, se formó en la derecha para atacar el reducto, baxo la dirección del mayor general Hay. El mayor general Bradford man. daba la coluna izquierda, compuesta de 200 hombres del regimiento 13.® portugués, al mando del mayor Snodgrass, de igual número, mandados por , el teniente corone) Mac Neandel 5.0 de cazadores, y sostenida por el 9.0 re gimient…</t>
  </si>
  <si>
    <t>…ngo, el honor de ser, Milord, de V. E. mui obediente servidor. =:Fir mados: Tomas Graham. = A $. E. el feld-mariscal marques de Weiling— ton. = P. D. He omitido citar que el mayor general Hay confiesa estar mui obligado al capitán Taylcr del regimiento 48.°, que sirve de su mayor de brigada. Del 4. Algunas cartas de Italia escritas por personas fidedignas con fecha de ya de mayo y 19 de junio se explican en los términos siguientes: El pretendido c…</t>
  </si>
  <si>
    <t>1001 el mando del batallón eií el capitán Hólford , qué lo desempeñó'coh mucho acierto, y también al mayor Anwye, mayor de brigada de la segunda división;.?' *•':? ' »E1 mayor general Hay, que "ahora manda la división, menciona con alto elogio la bizarra conducta del mayor general- Spry, que manda la «brigada portuguesa j y la señalada valentía del coróne! DeRegoa, y el 15 regimiento portugués de su mando y y del ’cojroiiél Maerai con el 3.° r…</t>
  </si>
  <si>
    <t>…del 20 de infsrtena,. llevando de reserva el res to de la quinta divbion , compuesta de la brigada portuguesa del mayor general Spry, y de la primera brigada del mando del ma yor general Hay, como también el quinto batallón de cazadores de la brigada del mayor general Brsdford á las órdenes del ma yor Hill: todas estas fuerzas esti ban bsxo la dirección del teniente general Sir James Leith, comandante de la quinta división. «Habiéndolo arreglado…</t>
  </si>
  <si>
    <t>…conduciendo y dirigiendo el? ataque hasta .que se vi® obliga do á dexarse retirar después de recibir una terrible contusión en el pecho, y tener el brazo izquierdo roto. »E1 mayor general Hay sucedió en el mando, y dirigid hábil mente el asalto hasta su terminación. Leith se reconoce muy obli gado á los mayores generales Hay y Robinson (el último tuvo que retirarse gravemente herido en la cara) , á los tenientes coroneles Berdneley.y Gosvc, ayudan…</t>
  </si>
  <si>
    <t>…ía costa y cercano á k frontera, ademas de cansar al enemigo la pérdida de una guarnición, compuesta en su ortgen'de 3400 hombres. «El capitán Stewart, ayudante de campo del mayor general Hay, que tanto se distinguid durante ei sitio , por desgracia ha muerto después de mi último parte. «En este parte mismo omití mencionar mis obligaciones al gran celo del capitán Smirh, de la marina real, que dirigid y execnto la ardua empresa de sabir lo s cañon…</t>
  </si>
  <si>
    <t>Hdgendorp</t>
  </si>
  <si>
    <t>…os leales fiíricos* , GRAN BRETAÑA* Continuación de las noticias de Londres Hasta el 4 de setiembre, Hamburgo 18 de agosto, Hoí 1 las 11 de la mañana el gobernador de ísta ciudad, conde Hdgendorp, fue á la- casa de la cámara , adonde había convocado al cuerpo municipal, al consejo de-prefectura, á los miembros de tía junta de comercio,á los- ministros de los diferentes cultos, y á los habi tantes de mas consideración- Hizo un discurso á esta asamblea,…</t>
  </si>
  <si>
    <t>He</t>
  </si>
  <si>
    <t>…tado de los muertos y heridos. Tengo, el honor de ser, Milord, de V. E. mui obediente servidor. =:Fir mados: Tomas Graham. = A $. E. el feld-mariscal marques de Weiling— ton. = P. D. He omitido citar que el mayor general Hay confiesa estar mui obligado al capitán Taylcr del regimiento 48.°, que sirve de su mayor de brigada. Del 4. Algunas cartas de Italia escritas por personas fidedignas con fecha de ya de mayo y 19 de junio se explican en l…</t>
  </si>
  <si>
    <t>…e general.’* P. T&gt;. A tan no se han hecho listas de la artillería y provisiones cogidas, y me temo que las listas de la pérdida y sufrida no puedan ser muy exactas (*). Segunda P. D. He omitido mencionar ia bizarra conducta del teniente Gcthin del 11 regimiento, agregado á ingenieros, que con duxo una brigada portuguesa al asalto., y quitó la bandera enemiga del muro. = A S. E. el Feld-mariscal marques de Wellington. (*) Estas listas 6 estad…</t>
  </si>
  <si>
    <t>Hednigk</t>
  </si>
  <si>
    <t>…baxo el teniente gcceral Von Bulow , tiene su cuartel general en Berlín, y en comunicación con el conde de Tauenzien forma el ala segunda. Ei exército sueco, baxo el feid-mariscal conde Hednigk, se reúne en las cercanías de Oranicmburgo, principiando desde jumo á Spandau, y su cuartel general está aquí. La primer división sueca está baxo las ordenes dei teniente general Skivlcebrand, y la $tcun da baxo las del mayor general de Po«se. La última divis…</t>
  </si>
  <si>
    <t>Heiie</t>
  </si>
  <si>
    <t>…icencia. El señor cabañero Bromwich? R. Doce años. Bercagny , prefecto de este departamento, escri P. ¿Quánto tiempo hace que estáis en el co bió este verano la carta siguiente al señor Heiie* mercio de hierro? R. Desde edad de lóanos me fabricante de azúcar de esta ciudad: asocié en la casa, y entró en ci comercio á los 20 ,, EL Excmo. Sr. ministro de Hacienda acaba años. de darme una comisión bien agradable para un ma P. ¿En qué estado se halla…</t>
  </si>
  <si>
    <t>Heisse</t>
  </si>
  <si>
    <t>…migo muchas pérdidas. »Habiendo executado de este modo las órdenes dé V. E., re tiré mi columna del paso, y la moví sobre ASmandoz. »El mayor general Pringle alaba la conducta del capitán Heisse y del capitán Thorn en este ataque. »Creo que el teniente general Stewart desea informar sobre la buena conducta de algunos otros oficiales; pero su herida se lo im pide por ahora. Tengo la honra &lt;kc,=z R. HUI, teniente general/* Idem *3 de Agosto. Por los pe…</t>
  </si>
  <si>
    <t>Heles</t>
  </si>
  <si>
    <t>…los 343 sol St uttgardt de marzo. dados de caballería, ofrecidos por esta ciudad y por S. M., siempre pronto á reconocer los servicios los distritos de este departamento. El señor barón Heles y dilatados, na escrito una carta mui fina al de Stassart, nuestro prefecto, ha ofrecido quatro general de artillería harón de Piiuli, gobernador de caballos equipados. esta residencia, y le ha remitido una caxa adornada Hiimburgo tt de marzo. con su retrato…</t>
  </si>
  <si>
    <t>Heller</t>
  </si>
  <si>
    <t>…, embaxador extraor dinario y plenipotenciario de S. M. B. en Petersburgo. Primero. Petersburgo 8 de Enero de 1813. — „Miiord : Tengo la satisfac ción de participar á V. E. que el conde Heller llegó aquí anoche, enviado por su tío el conde Wittgenstein con la noticia de haberse intrigado el cuerpo prusiano que mandaba en Curiandia el general York. Este oficial refiere también que el mariscal francés Macdonald había oficiado al conde Wittgenstein co…</t>
  </si>
  <si>
    <t>Hen</t>
  </si>
  <si>
    <t>…de sostenerla; y manifestaron ex traordinaria actividad en perseguir al enemigo luego que fué arro jado de Vitoria. '* ’ ’ ' ' ; «Dirijo á V.'E.- esté detallé de la batalla por él capitán D. Hen ifique Crokerriboürg , y ruego' á V. E. rae permita recomendarle á su protección. Tendrá el honor de manifestar á V. E. que se tomó la bandera del cuarto batallón del regimiento francés núm. ioo, y el bastón de mariscal d*e Francia del general Jourdan por el…</t>
  </si>
  <si>
    <t>Hencstrosa, José</t>
  </si>
  <si>
    <t>José Hencstrosa</t>
  </si>
  <si>
    <t>416</t>
  </si>
  <si>
    <t>…Seria iüjisto si omitiese expresar ¿ V. S. los servicio* nunca bit n ponderados de los capitanes de infantería Don Juan Pineyro y D. Vicente Sánchez, quienes con sus 2 subalternos D. José Hencstrosa y D. Antonio B -raona y la tropa se cubrieron de gloria,, arrojando con sus bayonetas los caballos enemigos. Es pero que* V. S. se servirá elevar al conocimiento de S. E. el general en gefe los distinguidos servicios de esta heroica acción, encarecien do el mérito de los di…</t>
  </si>
  <si>
    <t>Henderson</t>
  </si>
  <si>
    <t>…e las trinche ras. *E1 teniente coronel Rurgoine le sucedió en el mande, y desea qne yo informe 1, V; S. de la Opinión de Sir R. Fietcher acerca del gran mérito'! contraído por el capitán Henderson en el ataque dé la isla la mañana del 27, y de los esfuerzos y perseverancia de los mayores Ellicombe y Sinixh en adelantar las operaciones de los dos ataques, habiendo el último oficial tenido ademas el mérito de la disposición para el ataque por la derecha.…</t>
  </si>
  <si>
    <t>Henegall</t>
  </si>
  <si>
    <t>…tos para subsistencias..... ...................... 56 Id. con fraguas................................... .......... .............. 44 „ Vitoria 23 de junio de i8i3. = Firmado = R. D. Henegall, comisario de artillería. = Es copia. Núm. 2.0 „ Excmo. Sr.: habiéndose retardado la salida del capitán Don Henrique Crokembourg para dar lugar á que se formasen los estados, tengo que comunicar á V. E. que hemos continuado en perseguir a! enemigo, cu ya reta…</t>
  </si>
  <si>
    <t>Henegally</t>
  </si>
  <si>
    <t>…pólvora. . . . . . . . .• . . . . 40.668 Carros cubiertos para subsistencias. ... 56 Id. con fraguas. .............................. 44 Vitoria 23 de Junio de 1813. = Firmado = R. D. Henegally comisario’de artillería.vs= Es copia. Núm. 2.0 "Excmo. Sr. s Habiéndose retardado la salida del ca pitán D. Henrique Crokenibourg para dar lugar á que se formasen los estados , tengo que comunicar á V. E. que hemos continuado en perseguir al enemigo,, cuya re…</t>
  </si>
  <si>
    <t>Henestrosa, Josef</t>
  </si>
  <si>
    <t>Josef Henestrosa</t>
  </si>
  <si>
    <t>…ria injusto si omitiese expresar á V- S. los servicios nunca bien ponderados de los cápitqt»es de infantería P. Juan Pineiro y P_ Vicente Sánchez, quienes con sus d^os subalternos D. Josef Henestrosa y D. Antonio Baraona y la tropa se cubrieron de gloria , arrojando con sus bayonetas los caballos enemigos. EsÍero&gt;s distinguidosque V. S. serviciosse servirádeelevaresta alheroicaconocimientoacción, deencareciendoS. E. el generalel méritoen gefede los dignos 'gefes y oficiales q…</t>
  </si>
  <si>
    <t>Henifique</t>
  </si>
  <si>
    <t>…de-este cuartel de las Sa vanas al capitán D. Francisco Hernández, con el objeto de que atendiese al avance que se decía por la parte de tierra, en unión del subteniente graduado D. Henifique de la Peña. «Conducía el enemigo mas de 100 hombres y una culebrina de Bronce dei calibre de á 4, montada en violento. Yo le acometí, y des pués de un combate batíante obstinada, abandonando su cañón,-y ¿exando el campo cubierto de cadáveres, me dexó dueño de…</t>
  </si>
  <si>
    <t>Henkel</t>
  </si>
  <si>
    <t>…uo prin cipado de Erfurth, á cuya capital se ha retirado todo el resto de las fuerzas enemigas, obligado por el general de York, que no les permitió marchar en colunas. El coronel conde Henkel libertó Felizmente un número de oficiales rusos, prusianos y austríacos-,' y 4® soldados que habían caldo en las manos del enemigo, quedando prisionera toda la tropa que ios escoltaba. Gottembin ga 3 di noviembre. Corre la voz de una nueva batalla entre ^Weis…</t>
  </si>
  <si>
    <t>Henriíe, Pascual</t>
  </si>
  <si>
    <t>Pascual Henriíe</t>
  </si>
  <si>
    <t>…terino del estado mayor del exército D. Mi guel Desmaisieres me ha dado nuevas pruebas de su celo, y me ha sido de la mayor utilidad en toda la operación. «Los ayudantes generales D. Pascual Henriíe y D. Domingo Mar tínez y demas oficiales del cuerpo de estado mayor, el coronel Don Raynaldo Macdonall, agregado á mi plana mayor, y el teniente co ronel Camac, que puse á las .órdenes del señor general Latorre, han desempeñado con la mayor actividad y acierto quanto se ha pu…</t>
  </si>
  <si>
    <t>Henrile, Pasqual</t>
  </si>
  <si>
    <t>Pasqual Henrile</t>
  </si>
  <si>
    <t>…terino del estado mayor del exército D. Miguel Desmaisieres me ha dado nuevas pruebas de su zelo, y me ha sido de la mayor utilidad en toda la operación. „ Los ayudantes generales D. Pasqual Henrile y D. Domingo Martínez y demas oficiales del cuerpo de estado mayor, el coronel B. Raynraldo Maedonali, agregado á mi plana mayor, y el teniente coronel Camac , que piiíe á las órdenes del señor general Latorre , han desempeñado con la mayor actividad y acierto quanto se ha puesto…</t>
  </si>
  <si>
    <t>Henriqne</t>
  </si>
  <si>
    <t>…fuego con su violento; pero adverada su operación por nosotros, formamos tres divisiones paraX cargarlos en todas direcciones: la de la izquierda al mando del subteniente graduado D. Henriqne de la Peña, que'marchó acortarles la retirada de la playa con un violento, adonde se dirigían parte de ellos en solicitud de los botes y lan chas de auxilio que pudieron venirles: h de 3a derecha , del capi tán D. Francisco Hernández , se dirigió .a ocupar la…</t>
  </si>
  <si>
    <t>Henriquez, Antero</t>
  </si>
  <si>
    <t>Antero Henriquez</t>
  </si>
  <si>
    <t>…lumnas en facilitar los pasos y de moler los parapetos enemigos. «N da me han dex’do que apetecer en su buen comportamiento mis fí\ud ntes de campo los capitanes £&gt;. Manuel Pozo &gt; D. Antero Henriquez, D. José Cacho y l&gt;. Tomas Domínguez', y el alférez D. Manuel Jácome, llevando con prontitud, inteligencia y resolución lvs órdenes neces. ri s a ios "gefes de l s respectivas columnas de eti que y demas que les'fueron confiadas, como igualmente Jos oficiales…</t>
  </si>
  <si>
    <t>Henry</t>
  </si>
  <si>
    <t>…onocen tación ai Príncipe Regente , en la que resume los este empleo, y puede ser que se sirvan de él para principales puntos de su discurso; pero no habien pagar agentes como el. capitán Henry, ó dar mar do sido apoyada estamocion, no tuvo, resultados gen á los delitos. La suma destinada al socorro del ulteriores. clero pobre de,.la Inglaterra monta la cantidad de 1003 libras esterlinas. ¿Y por qué los eclesiásticos IMPERIO FRANCES. ricos no auxili…</t>
  </si>
  <si>
    <t>…ede desear ver uno de los comandantes de la legión de Honor, y á su patria sumergida otra vez en una nueva guer caballero de la corona de Hierro, juez; ra civil. F.1 tenor general barón Henry, mayor de la Tales eran los sediciosos que intentaron turbar gendarmería escogida de la guardia imperial, olida! la tranquilidad de la capital del imperio francés el de la legión de Honor, y caballero de la corona de dia 23 de octubre, creyendo en su frenesí…</t>
  </si>
  <si>
    <t>…emigo. ¡Qué lección para los Soberanos que tratan con el bandido, que ha jurado destruirlos á todos, y que no les ofrece la paz sino para preparar con mas seguridad su caída !) El profesor Henry, de Jena, está preso como partidario de los aliados. El doctor Kamps, de Damme, murió arcabuceado por orden de Daroust; su delito fue haber insultado á los gendarmes, y no obedecer al co mandante de estos. (No hace mucho tiempo que los generales de los exérci…</t>
  </si>
  <si>
    <t>Her, Manuel</t>
  </si>
  <si>
    <t>Manuel Her</t>
  </si>
  <si>
    <t>…100,000 Total............ ................................... . 485,000 {Mercurio Lusitano.) ESPAÑA. Badajoz $ de setiembre. Se ha impuesto á los alcaldes de Alcántara y Piasencia D. Manuel Her rero Barrigón y D. Bernardo Rodríguez de Toro la multa de 50 ducados á cada uno por su culpable omisión en dar cumplimiento á la orden del gobierno, que manda la correspondencia de oficio, y previene su forma, ( Sincero amigo del pueblo.) Cortina 7 de setiemb…</t>
  </si>
  <si>
    <t>Herce, Francisco</t>
  </si>
  <si>
    <t>Francisco Herce</t>
  </si>
  <si>
    <t>…lía María del Rosario, natural de Palencia, y él de la villa de Préxano, en la Rio^ ja; y no sabiendo su paradero hace como un año, se espera que quien lo sepa se sirva avisarlo á D. Francisco Herce en dicha villa de Préxano. Manual de delitos y penas, según las leyes y pragmáticas de España, en que se manifiesta Ja pena correspondiente á cada delito, y la multa en que se incurre por Ja contravención á los respectivos bandos de policía: por D. Pedro Anto…</t>
  </si>
  <si>
    <t>Herce, Luis</t>
  </si>
  <si>
    <t>Luis Herce</t>
  </si>
  <si>
    <t>…amento par ra la organización de la milicia nacional, con arreglo á lo prescrito en el ar tículo 362 de la Constitución. Isla dé León 26 de noviembre de 1813 Juan Alvarez Guerra.” Don Luis Herce, cirujano que fue de esta corte, que vivía en la calle del Amor de Dios por el año 11 , frente á la casa del señor arcediano de Toledo, y pasó su tienda á la calle del Príncipe, núm. 2 , quarto principal, de estado casado con Do lía María del Rosario, natural…</t>
  </si>
  <si>
    <t>Herchfeld</t>
  </si>
  <si>
    <t>•12 84 to. E' 24. á las 2 de la tarde hizo atacar los arrabales. Por las acer tadas disposid ones del general Herchfeld tuvo el ataque un éxito com pleto: se tomaron ios arrabales, y ei enemigo fué rechazado en to dos los puntos: nosotros tuvimos solamente algunos heridos. El ata que hace mucho honor al general Herchfeld. La trinchera se abrió del lado de Ltirhersbran en la no…</t>
  </si>
  <si>
    <t>Herchfelt</t>
  </si>
  <si>
    <t>…eral Bulow de bombardear la plaza por el lado opuesto. El 24 á las dos de la tarde hizo atacar los arrabales. El ataque tuvo un éxito com pleto por las acertadas disposiciones del general Herchfelt: se tomaron los arrabales, y el enemigo fue rechazado en todos los puntos*, nosotros solo tuvimos algunos heridos, pero ningún muerto. El ataque hace mucho ho nor al general Herchfelt. En la noche del 24 al 2 5 se abrió la trinchera por la parte de Luthersbru…</t>
  </si>
  <si>
    <t>Hergen, Cristiano</t>
  </si>
  <si>
    <t>Cristiano Hergen</t>
  </si>
  <si>
    <t>Gaceta de Madrid n.º 23</t>
  </si>
  <si>
    <t>…chos millares de ellos, y vamos quedando tan pre todos los lunes, miércoles y viernes que no sean dominantes , que dentro de pocos años no habrá mas feriados, y las de mineralogía D. Cristiano Hergen, que borricos, y podremos volver á nuestra natural director del estudio mineralógico, y de todo lo re costumbre de andar en quatro patas, que con tanto lativo á este ramo en el mismo gabinete, los mar trabajo habíamos abandonado. tes , jueves y sábados que no…</t>
  </si>
  <si>
    <t>Hermida</t>
  </si>
  <si>
    <t>…resentaciones á las cortes: yen tanto el manifiesto de todo el territorio de las Españas. Se leyó á con no se leía en las parroquias, y era por el contrario tinuación un papel del señor Hermida, en que dis el asunto de la censura y desprecio del partido ser culpando al señor Ros, proponía que se impusiese vil. La regencia, ya vacilante, fue acusada de con silencio sobre este negocio, y que el señor Ros nivencia en esta falta de cumplimiento del decr…</t>
  </si>
  <si>
    <t>Hernán, Toribio</t>
  </si>
  <si>
    <t>Toribio Hernán</t>
  </si>
  <si>
    <t>…o duras bufonadas, oponían los periódicos Mapa del teatro de la guerra actual del Norte entre serviles algunas reflexiones sobre la materia de diez Francia v Rusia, construido por D. Toribio Hernán mos; y el Procurader general ha insertado en sus dez Martínez, profesor de matemáticas y geografía en números de febrero un escrito de un francés lla esta corte. Comprehende toda la Europa central, esto mado Bonneval en favor de esta contribución; es, la Alem…</t>
  </si>
  <si>
    <t>Hernández, Antonio</t>
  </si>
  <si>
    <t>Antonio Hernández</t>
  </si>
  <si>
    <t>…uno á 200 rs* de vn* anuales. -Los médicos que quisieren préfender'está plaza,qué-selia de proveer por el ayun tamiento de dicha villa, dirigirán á. él sus memoriales'por mano de D. Antonio Hernández, procurador síndico general de.dicha villa de Brihuega. Inadvertencia del Sr. D. Joaquín García Domenech, gefe político superior en comisión de Madrid y su provincia,,en la satisfacción que da al público y algo-* bierno sobre lo que acerca de sus procedimient…</t>
  </si>
  <si>
    <t>Hernández, Francisco</t>
  </si>
  <si>
    <t>Francisco Hernández</t>
  </si>
  <si>
    <t>…ron se dirigieron*á este parage, en don de ya me hallaba embarcado con gránete porción de naturales y ve cinos libres, habiendo dexado encargado de-este cuartel de las Sa vanas al capitán D. Francisco Hernández, con el objeto de que atendiese al avance que se decía por la parte de tierra, en unión del subteniente graduado D. Henifique de la Peña. «Conducía el enemigo mas de 100 hombres y una culebrina de Bronce dei calibre de á 4, montada en violento. Yo le acometí,…</t>
  </si>
  <si>
    <t>…es la retirada de la playa con un violento, adonde se dirigían parte de ellos en solicitud de los botes y lan chas de auxilio que pudieron venirles: h de 3a derecha , del capi tán D. Francisco Hernández , se dirigió .a ocupar la parte del mon te correspondiente á su fianco sobre el camino real, con el objeto de dispersarlos, y que no pudiesen alojarse y hacer resistencia; y la</t>
  </si>
  <si>
    <t>Hernández, Francisco'</t>
  </si>
  <si>
    <t>Francisco' Hernández</t>
  </si>
  <si>
    <t>…mió si no recomendase á V. S. muy particularmente-el mérito so bresaliente del teniente de compatriotas , comandante de la Barra, D, Tomas Pacheco, el del capitán del mismo cuerpo D. Francisco' Hernández , y el del subteniente graduado de E&gt;. Henrique de ia Peña. » Yo por mi parte tengo la .gloria de ofrecer á V. S. este cia de sanare y horror, día de que se acordarán nuestros cobardes enemigos,, y en el que puse por mi parte cuanto me fué dable paia correspo…</t>
  </si>
  <si>
    <t>Hernández, José</t>
  </si>
  <si>
    <t>José Hernández</t>
  </si>
  <si>
    <t>…o Andia, D. Eusebio Oraá , D Mariano Gayarte , D. Faustino Irigoyen , D. Antonio Ladrón, D. Antonio Zabalza, D. Felipe Vicuña, D Manuel Arragu i, D Manuel Otayza, D Ramón Tajonar, D. José Hernández, D. Gregorio Beriani, D. Domingo Ihañez, D. Eusebio Ocha de Alda, D Angel Estabulo, D Valerio Landache, D. Miguel Villacampa, D ’B'-roardo Eohsdecu, D. Cosme Vi'Hacampa y D. Ma nuel ■ 8alave.ru : á subtenientes dé fusteros á D. Ramón Gómez, D. Juan Migad de I…</t>
  </si>
  <si>
    <t>Hernández, José María</t>
  </si>
  <si>
    <t>José María Hernández</t>
  </si>
  <si>
    <t>…nez, tenientes ; Don Luis Alcalá, subteniente dei de la Constitución; D. Mariano Castell, teniente coronel; D, José Rio-mayor, capitán; D* Nicolás Collar D. Manuel Ramón Gastell , D. José María Hernández y D. José .efe Paga, tenientes; D. Ventura Nogueyra y D. Laureano Iriarte, sub tenientes del de voluntarios de la Corona; D. Andrés Parga, ayudan te ; D. Ramón Suero Díaz , y D. Francisco Saigado, tenientes , el</t>
  </si>
  <si>
    <t>Heros, José</t>
  </si>
  <si>
    <t>José Heros</t>
  </si>
  <si>
    <t>…Zuluaga, capitán; D. Francisco Moreno y D. Pedro Bonet, tenientes; D. Manuel María Saliquet, ídem del de cazadores; D'. Pedro Solis y D. Juan Martínez, subtenientes de granaderos; D. José Heros, ídem de cazado res ; D. Esteban Islaíoyo, D. José Tejada, D¿ José Caña y D. Francisco Vargas, subteniente del segundo de Asturias; D. José Rico , capitán; y D. Juan de Oüoqui, teniente del de Gaadalaxara; D* Juan Loarte, coronel; D. Antonio Villegas y D. Ant…</t>
  </si>
  <si>
    <t>Heros, Josef</t>
  </si>
  <si>
    <t>Josef Heros</t>
  </si>
  <si>
    <t>…luaga, capitán; D. Francisco Moreno;y IX Pedro Bónet, tenientes;: D. Manuel Mana Saliquet, ídem del de cazadores ; D..Pedro S.olis y D. Juan Martínez, subtenientes de granaderos,; D. Josef Heros» ídem,de ca zadores; D. Esteban Islafoyo, D. Josef Tejada, D. Jdsef Caña y.D. Fran cisco Vargas, subteniente del segundo de Asturias; I&gt;. Josef Rico, capi tán, y D. Juan de Odoqui, teniente del de Guadalaxara; D. Juan Loarte* coronel; D. Antonio Villegas y D.…</t>
  </si>
  <si>
    <t>Herrando, Manuel</t>
  </si>
  <si>
    <t>Manuel Herrando</t>
  </si>
  <si>
    <t>…yor D. Matías Cantero, que executaron cada uno escrupulosam.n:e las operaciones que les mandé: á los capitanes D. Juan Pa bia Prast, D. Gaspar Estalella y D. Francisco Maserts; al teniente D. Manuel Herrando y D. José Loscos: los subtenientes D. Alexo Valls y D, Juan Buenaventura Mateu: los sargentos primeros Pe dro Falcon, Justo ToU, José Borras y Agustín Alealde, y los segun dos José María Rodríguez é Ignacio García; el cadete D. Ignacio Gran.; el cabo segundo Joaquín Benadoch,…</t>
  </si>
  <si>
    <t>Herrczueto, Manuel Cardeñoso</t>
  </si>
  <si>
    <t>Manuel Cardeñoso Herrczueto</t>
  </si>
  <si>
    <t>…, 'substituto primero. D. Manuel Urbina , substituto segundo. D. Juan Torre , substituto segundo. Barrio de ¡a Encarnación. Barra de les ring. íes D. Ramón García Muñoz , alcalde. D. Manuel Cardeñoso Herrczueto, alcalde. D. Pedro Monfort y Viergol , substituto pri D. T ornas Tordesillas, substituto primero. mero. t D. Santiago Conde, substituto segundo. D. Eugenio Mesa, substituto segundo. Barrio ae ¿Mortana. D. Rafael de Yarza, alcalde. QUARTEL DE SAN FRANCISCO. D.…</t>
  </si>
  <si>
    <t>Herrera</t>
  </si>
  <si>
    <t>…rado del viejo Macias y Cár denas , y aunque se pusieron luego en precipitada fuga se les toma ron 80 caballos de remonta, y se pilló á los cabecillas Arias, alias coxo, Andrade y secretario Herrera, 4 capitanes y.2 soldados, que dando todos 8 colgados de un árbol junto á las casas de la hacienda., (Sii continuará.) Vitoria 2 de Mayo de 181J. El general francés Clausel, que permanece en Navarra, ha teni do varios encuentros con el célebre Mina, el cual h…</t>
  </si>
  <si>
    <t>Herrera, Antonio</t>
  </si>
  <si>
    <t>Antonio Herrera</t>
  </si>
  <si>
    <t>221</t>
  </si>
  <si>
    <t>…servado que la coluna enemiga hacia un movi miento oblicuo sobre mi izquierda, mandé al capitán D. Josef de Lagándara pasase inmediatamente con su compañía á atacar la coluna, y á D. Antonio Herrera que cubriese con la suya el camino de la puerta del Carmen, por donde se dirigían algunas fuerzas, mientras que el resto del regimiento avan zaba por el centro, desplegando batalla. Con esta operación tan oportuna no solo conseguí contener, al enemigo en las…</t>
  </si>
  <si>
    <t>Herrera, Gonzalo</t>
  </si>
  <si>
    <t>Gonzalo Herrera</t>
  </si>
  <si>
    <t>…cretarios para las mismas Cortes, re saltaron electos: para presidente el Sr. D. Francisco Rodríguez de Ledesma, diputado por la provincia de Extremadura ; para Vice presidente el Sr. D. Gonzalo Herrera, diputado por la isla de Cu ba ; para primer secretario el Sr? D. Ramoa Felín , diputado por el Perú; para segundo el Sr. D. Miguel Antonio Zumsiacarregai, di putado por la provincia de Guipúzcoa; para tercero el Sr. D. Pedro Alcántara de Acosta, diputado por…</t>
  </si>
  <si>
    <t>…retarios para las mismas Cortes, resulta ron electos: para presidente el Sr. D. Francisco Rodríguez de Ledesma, di putado por la provincia de Extremadura ; para vice-présidente el Sr. Don Gonzalo Herrera, diputado por la isla de Cuba ; para primer secretario el Sr. D. Ramón Feliu, diputado por el Perú; para segundo el Sr. D. Miguel</t>
  </si>
  <si>
    <t>Herrera, Joiá de</t>
  </si>
  <si>
    <t>Joiá de Herrera</t>
  </si>
  <si>
    <t>…8. 93. D. J»ian Mnriie&amp;so, id. p:r 4, 48 D Juaa • Rtfymúndae, id por Ü, 96. D. Juan de Sapinos a, id. por 8, 9&amp;¡ D. José Roso, id. por 1, í2. D. Joaquín Martínez, id. por 8 , 96¿ D. Joiá de Herrera, id. por 8, 93 D. Jor&gt;é Ramírez, id. por 2, 24. D José Pinero, id. por 4,48. D. Loresg® Leqnerica,.vd. por 6,72. D. León Mafia Xinaeua, id. por b, 935. D. Manuel Menacho, id. por 6, 72. Di Manuel de los H id. por S, 96. D.'Mariano Car ranza , id. por 8,96. D.…</t>
  </si>
  <si>
    <t>Herrera, José</t>
  </si>
  <si>
    <t>José Herrera</t>
  </si>
  <si>
    <t>…. Juan Matías (ribarren, 20. D. Gerónimo Urriza, 20. D. Joaquín M ^riiuez. S\ D. Juan Bautista Viana, 20. D. Vicente de los Toyos, 20 D. Juan Llano, 17. D José Perez déla Mata, 7. D. José Herrera, 17. D. Gerónimo Vivanco, 10. D. Manuel Ibañ?z, 10. Don Rosendo Gao , 10. D. Ramón Forcelíc 5o, 10. D. Gaspar Gorruehano, 10. El conde San Pascual, 25. D. Martin y D. M guel Ventura Oáambela, por su {demento hecho con calidad de reintegro , á causa de la prec…</t>
  </si>
  <si>
    <t>Herrera, Pablo</t>
  </si>
  <si>
    <t>Pablo Herrera</t>
  </si>
  <si>
    <t>…donde se sacan gránas-, anteados, turquíes; negros, verde dragón , botella, castaña , avellana, y quantósJ coloras1 corren en el día, y á precios equitativos, baxo la direetjon de D. Pablo Herrera, químico de profesión,; que ha exercido su práctica en;Guadalaxara , Madrid y Stó. Domingo de la Calzada.Se halla vacante la . plaza de médico titular de la villa de Naval moral de Pusa,&gt; adjunta conjelTugar de Navalmorai de Toledo, provincia de la ciudad dé…</t>
  </si>
  <si>
    <t>Herrero, Antonio</t>
  </si>
  <si>
    <t>Antonio Herrero</t>
  </si>
  <si>
    <t>…Arévalo* Para la diputación provincial. D. Miguel Benito Cantero y Grande , provisor y canon igo de esta santa iglesia. D. Juan Sánchez Bermejo, vecino del Sotillo de las Palomas. D. Antonio Herrero, cura, de Villarejo.</t>
  </si>
  <si>
    <t>Herreros'te, García</t>
  </si>
  <si>
    <t>García Herreros'te</t>
  </si>
  <si>
    <t>…que si las cortes habían hecho la constitución solo Brest 4 de marzo. para que se mirase como un qn.idro, desengañasen Los corsarios del Conquet la Dorade y el Mar á la nación. Ei señor García Herreros'te opuso á itata apresaron ei dia 26 de febrero á la goleta in que pasase á una comisión si las cortes luego no ha glesa the lord Nelson, de 73 toneladas de porto, bían de tomar una providencia ; pues ya estaba armada de dos cañones de á seis, y llevando ió vist…</t>
  </si>
  <si>
    <t>Herreros, García</t>
  </si>
  <si>
    <t>García Herreros</t>
  </si>
  <si>
    <t>…8 de marzo. Continuó Destruida la inquisición por las cortes de Cádiz» la discusión sobre la causa del señor diputado Ros. hicieron estas publicar un manifiesto para instruirá! El señor García Herreros, después de haber mani pueblo de las razones y fundamentos que habían festado la gravedad del delito de aquel señor dipu tenido para abolir este tribunal; mandándolo leer tado y su transcendencia, y haber analizado e! en las parroquias tres dias festivos al o…</t>
  </si>
  <si>
    <t>…----Siguió la discusión del presupuesto de gastos, que ascienden á 950 millones de reales cada año.__ Aprobado. La comisicu extraordinaria de hacienda acerca de la proposición del Sr. García Herreros para que se señale un tanto por 100 á los ayuntamientos que recaudarán la contribución directa, opina que esto no es posible lo de signen las Cortes, y que las diputaciones provinciales podrán señalar lo que estimen jus.o, con tal qué no exceda de uno y medio…</t>
  </si>
  <si>
    <t>Herreros, Manuel García</t>
  </si>
  <si>
    <t>Manuel García Herreros</t>
  </si>
  <si>
    <t>…Gracia y Juslic&amp;a:D, Amor ino Cano Manuel queda por ahoia suspenso defoexeréfcio dé este ¡ encargo á consecuencia de la orden dé las Cortes defecbade aycr, he vewdo-en inQmbrar á D. Manuel García Herreros para que se encargue interinamente del despacho de la propia secretaría, en consideración ai mérito, instrucción y demás circunstancias que en él concurren. =Te»dfeíslo entendido, y dispon dréis Jo necesario á su cumplimiento. = A D, Juan O-Donoju.”</t>
  </si>
  <si>
    <t>…prima, publique y circule. = L. de Forbon, cardenal de Scala , arzobispo de Toledo, presidente. = Pedro de ÁgafWsGabriel Ciscar.z=£n la Isla de León á 26 de Noviembre de 1813- = A D. Manuel García Herreros. Itinerario del viage que ha de hacer la Regencia del reyno á la villa y corte de Madrid, saliendo de esta ciudad de S. Fernando el dia 19 del corriente. Dias. Pueblos. " Teguas» Diciembre. 19 Xerez. . . . 6 20 Utrera. . , 11 21 Descanso. 22 Car mona. . 23 Ec…</t>
  </si>
  <si>
    <t>Herschfeld</t>
  </si>
  <si>
    <t>…en Brandeburgo. El cuerpo del teniente general conde de Woronzow, que forma parte del ala derecha , tiene su quartel general en Plaue. Un cuerpo prusiano, á las órdenes del mayor general Herschfeld, está de frente á Magdeburgo. ; 1 Su ala izquierda está unida al exército ruso, y su derecha al cuerpo de observación sobre el Elba inferior, mandada por el teniente general conde Wallmoden. Su quartel general está en Schwerin, y sus avanzadas llegan á Dessan…</t>
  </si>
  <si>
    <t>…bben. El duque de Ragusa estaba en Deiitzch. El enemigo atacó en la misma tarde la ciudad de Acken. La divi sión del Príncipe de Hesse-Homburg marchó en aquella dirección; pero el general Herschfeld había conseguido ya rechazar la parte del tercer cuerpo francés, que le había atacado. El puente de Acken estaba ya habilitado, y todo pronto para que pasa se e! Elba el cuerpo principal, quando llegó la noticia de que el Emperador Napoleón habia hecho retroc…</t>
  </si>
  <si>
    <t>Herthfeld</t>
  </si>
  <si>
    <t>…ral está en Branden burgo. — El cuerpo dd uniente ge neral conde de Woronzow, que forma parte del ala derecha, tiene su cuartel general en Plañe. Un cuerpo prusiano, baxo el mayor general Herthfeld, se ba ila al frente de Magdeburgo : su ala izquierda se une con el exército ruso, y su derecha con ei cuerpo de observación que está sobre el baxo Elba al mando del teniente general conde de Walmoden; su cuartel general está en Schwerin, y los puestos avanza…</t>
  </si>
  <si>
    <t>Hervy.s, Antonio Muñoz de</t>
  </si>
  <si>
    <t>Antonio Muñoz de Hervy.s</t>
  </si>
  <si>
    <t>…o igualmente Jos oficiales em pleados á mis inmediat: s órdenes los tenientes D. Joaquín de Vel -.sco, y D. Manuel Caballero del Pozo, y los subtenientes D. Roque Jacin to Valle y D. Antonio Muñoz de Hervy.s que constantemente me acompañan, y en est^.s ocasiones exercén funciones de aquellos, en quanto son emple-dos pan? el mejor desempeño del servicio. «Pira el debido conocimiento de V. E. tengo el honor de rcompaiíerle el estado número 7.0 de pérdida que ha ten…</t>
  </si>
  <si>
    <t>Héssé, Federico de</t>
  </si>
  <si>
    <t>Federico de Héssé</t>
  </si>
  <si>
    <t>…reparativos que se hacen no hai duda en que se espera la llegada de un augusto personage para cele brar este grande acontecimiento. Según otro artículo dé Altona de 28 de julio el príncipe Federico de Héssé llegó á Wendsbe#k el 22, y tomó el mando deí cuerpo auxiliar, di namarqués. Del / 7.^ En 30 de junio pasado sir T. Hardy envió la siguiente intimación al comandante americano de New-London: ,, Me veo obligado á pediros ten gáis á bien hacer saber ahí que yo n…</t>
  </si>
  <si>
    <t>Heve, Kutusow Smolensko</t>
  </si>
  <si>
    <t>Kutusow Smolensko Heve</t>
  </si>
  <si>
    <t>176</t>
  </si>
  <si>
    <t>176 á la independencia de Europa. La constancia mas heroica y ios ma* yor es sacrificios , han producido una serie de triunfos ; y cuando el general en gefe príncipe Kutusow Smolensko Heve sus victoriosas trepas mas allá del Niemen, animarán los, mismos sentimientos al soberano. En ningún tiempo acostumbro la Rusia practicar e! arte, tan usado en las guerras modernas , de exagerar con falsas narra» ciones las ventajas de sus exéreitos; mas á pe…</t>
  </si>
  <si>
    <t>Hewart, Sir Guillermo</t>
  </si>
  <si>
    <t>Sir Guillermo Hewart</t>
  </si>
  <si>
    <t>…ir rse hacia el Puente de O*mbo s. bre el rio Nivel'e , á exceptó nd,e la división que estaba en Mondarin, que por la marcha de parte de la segunda división del mando dei te den e general Sir Guillermo Hewart, fué perseguida y ob igada á meterse en las monto fias hacia Biygorri. Luegs que nos hicimos dueños de Ls alturas sobre ambas mar-</t>
  </si>
  <si>
    <t>Hi, Francisco</t>
  </si>
  <si>
    <t>Francisco Hi</t>
  </si>
  <si>
    <t>7</t>
  </si>
  <si>
    <t>…tla y a-guuos caballos en el Cardonal, para que destruya las cercas y parapetos de ios cantones, y conduzca un ca ñón de á 6 que quena allí. «Los ico infini'es que al. mando de su capitán D. Francisco Hi dalgo me remitía-V- S. para aoxíiVaie, de que yo no tenia noti cia, no pud eron llegar ni Cardonal hasta la una del da; pues aun que salieron temprano, tuvieron que andar 6 1 :g as d&gt; un camino que todos son desfiladero? , barrancas y mones , ro o transitable…</t>
  </si>
  <si>
    <t>Hi, Sir Rolando</t>
  </si>
  <si>
    <t>Sir Rolando Hi</t>
  </si>
  <si>
    <t>…ctor Alten, y la de infantería del honorable coronel O-Caílaqhan, de la segunda división , subían des de Hormaza las alturas ; y el resto de las tropas ¿ mandadas, por el teniente general Sir Rolando Hi 11, amenazaban las alturas de Estepar. Estos movimientos desalojaron inmediatamente al enemigo de su posicios. La caballería de nuestra izquierda y centro se colocó com pletamente á su retaguardia, obligándole á retirarse á la izquierda ael Arianzon por el ca…</t>
  </si>
  <si>
    <t>Hidalgo, Silvestre</t>
  </si>
  <si>
    <t>Silvestre Hidalgo</t>
  </si>
  <si>
    <t>…a , Don -Gerónimo Londoño, D. Juan del Rio y D. Francisco Mediaviila, tenientes; D. Francisco Solimi, D. Marcelo Ortiz y D. Francisco Salvador , subtenientes del primero cántabro; D. Silvestre Hidalgo, teniente coronel; D. Bernardo Alvarez, D. José Tai la y D. Manuel Mendez, capitanes; D. Vicente Noriega,D. Francisco Xavier Alva rez y D. Francisco Fresno , tenientes ; D. Sebastian Sánchez, Don Félix Arenal, D. Juan José Paz y D. Luis Ortiz Falla, subtenien…</t>
  </si>
  <si>
    <t>…D. Gerónimo Londoño;, D. Juan del Rio y D. Francisco: Median villa, tenientes; D. Francisco Solimi, D. Marcelo. Ortiz y D.. Francisco Salvador, subtenientes del primero Cántabro; D. Silvestre Hidalgo, tenien te coronel; D. Bernardo Alvarez, D. Josef Talla y D. Manuel Mendez, capitanes; D. Vicente Noriega, D. Francisco Xavier Alvarez y D. Fran cisco Fresno , tenientes; D. Sebastian Sánchez , D. Félix Arenal ; D. Juan Josef Paz y D. Luiz Ortiz Falla, subten…</t>
  </si>
  <si>
    <t>Hiii, Sir Rouland</t>
  </si>
  <si>
    <t>Sir Rouland Hiii</t>
  </si>
  <si>
    <t>…l le seguía con sus tropas; habiéndoles cogido en estas operaciones 2 piezas de artillería, algu nas provisiones y 300 prisioneros. •f Durante este tiempo las tropas del mando del general Sir Rouland Hiii tenían bloqueada la plaza de Pamplona, y dirigido; e por las montañas hácia ei nacimiento del BíJasoa, de donde el enemi go se había retirado enteramente á Francia. »»Incluyo á V. Ei el parte que he recibido del teniente general</t>
  </si>
  <si>
    <t>Hiiier</t>
  </si>
  <si>
    <t>…os principales de su exército, los quales ocupaban posiciones cuyas avanzadas distaban pocas millas de la ciudad. En Italia Eugenio Beauharnois ha sido vivamente perseguido por eí general Hiiier, y diariamente pierde terreno. En la Saxonia continúan concurriendo muchos desertores y: reciuras para da formación de la legión saxcna;’y como principiaba á reinar, el mismo espíritu de entusiasmo en la mayor parre de ios estadosen.breve ornémos lo mismo «de…</t>
  </si>
  <si>
    <t>Hiíl</t>
  </si>
  <si>
    <t>…por aquella parte, el cual se vid precisado á abandonar el enemigo ¿exaudo en poder de mis soldados un canon de á 12. Su cesivamente el señor Oraá fue recibiendo ordenes del señor general Hiíl por medio de un edecán suyo para ocupar todas las alturas de la derecha, é impedir que el enemigo tomase ninguna posición, y en este caso desalojarlo: habiendo intentado hacerlo una columna ene miga, fue batida por mis soldados. El señor Oraá fué siguiendo co…</t>
  </si>
  <si>
    <t>Híil, Sir Rolando</t>
  </si>
  <si>
    <t>Sir Rolando Híil</t>
  </si>
  <si>
    <t>…derecho, mientras que yo con la caballería los recargaba sobre su izquierda: Oraá cruzaba ya el ca mino que de Vitoria se dirige al puerto de Mostrun , cuando reci bid ordenes del general Sir Rolando Híil para que ocupase el mon te que hay entre Mendiola y Ganioz, en donde seria reforzado con 400 caballos ingleses. Oraá mando que la primera compañía de fusi leros reforzase á la de cazadores, que se hallaba sobre el convoy que retiraban por aquella parte, el cu…</t>
  </si>
  <si>
    <t>Hiiler</t>
  </si>
  <si>
    <t>…Ems , y tiene su punto de reunión en Wels sobre el rio de Trauen: está mandado por el Feld-mariscal príncipe Von Reuss.__:El quarto exér cito está en Steyermark á las ordenes del general Hiiler, que tiene su quar tel general en Pittau; y en Presburgo se junta un exército de reserva. El general Duca está ya nombrado para acompañar á S. M. Aunque todos los exércitos están ya reunidos, y el tránsito de grandes cuerpos de tropas sea mucho menor, sin emb…</t>
  </si>
  <si>
    <t>Híiler</t>
  </si>
  <si>
    <t>…antas calamidades sobre el género humano, y que expone su reputación á tantos riesgos. Según las noticias de Italia , el tirey ha sido completamente der rotado por el exército del general Híiler. Un desertor que acaba ea este momento de llegar de L ips!ek re fiere que e' duque de Dalmicia ha sido batido de nuevo en ertitorio france* por el marques Wellmgton. rLa enfermedad del general Lagerbring, gefe d i estado mayor del exército su.-ce, priva de su…</t>
  </si>
  <si>
    <t>…e á los que defienden la independencia de las naciones contra el opresor de la Europa. Los exércitos austríacos por la parte de Italia continuaban hacien do retirar al enemigo: el general Hiiler, desde Tremo el 2ó de Octu bre, publicó una proclama á los italianos, invitándolos á tomar las ar mas en favor de la jus:a causa, y anunciándoles que iba á entrar en su territorio al fíente de 60© hombres; de manera que los puntos del Adige vendrán á ser lo m…</t>
  </si>
  <si>
    <t>Hiílier</t>
  </si>
  <si>
    <t>1163 párrafo de los'm*smos: papeles se dice también que el general Hiílier ha dingidó-varias? proclamas á los tiroleses para que se levan ten; lo mismo ha hecho SpeckbaGker, compañero del desgraciado Hoíter ; lo que hace creer que los tiroleses estarán á estas horas yasublevados.. ESPAÑA. Madrid i$' de Octubre*Se ha dedo órden en Ba…</t>
  </si>
  <si>
    <t>HiilliaFy</t>
  </si>
  <si>
    <t>123 Documento* y declaraciones relativa* al exf&gt;sm.t oficial, ,á,.,quien tuve, por secretarIo-.ú empleada en diente del suior conde Frochot. las oficinas deíseñor.conde HiilliaFy que'Stípé des-! pues era él oficial pagador ó q ua r t el-macsrrede la:’ " '■ ' HTJMERO I. ■’ - , décima cohorte. : Declaración de los hechos que han .pasado á mi n En guaneo al comandante bien percibí que és-' presencia en la casa consistorial de JParis la m…</t>
  </si>
  <si>
    <t>Híílme, José</t>
  </si>
  <si>
    <t>José Híílme</t>
  </si>
  <si>
    <t>…r 10, 120. í). Juan Alonso , id. por 10,120. Don Juan Mores , id. por 10, |20. D Manuel Ibañez, id. par 10, 120. D Domingo Dertiaco., id. por 8,90 D. Cosme Ximenea, id. por 8, 95. D. José Híílme, id. por 8 , 90. D. AguAin Rodrigues, id. por 8, 90. D. Manuel Caandia, id. por 8, 96. 1). Jo ;é Corrales, id. por 8, 9.5. D. Maaus’- Domínguez, ii. por 0,72. 1). Miguel Rodríguez, id. por 25; 300. D. Juan Bautista Garata , por una vez , 200. D. Juan G-.rc a…</t>
  </si>
  <si>
    <t>Hildebrando, Carlos</t>
  </si>
  <si>
    <t>Carlos Hildebrando</t>
  </si>
  <si>
    <t>…rencia á los premios las cuestiones si Hala t o de diciembre. guientes: Cíen años hace que se fundó el despacho de i.1 i Qué consecuencias y hechos averiguados biblias del difunto barón Carlos Hildebrando de resultan de las investigaciones de Dalton sobre la Cruoteín , y desde entonces han venido para Ale evaporación de los iluidos y ei estado de ciertas mania y p&amp;ra los países extranjeros dos millones substancias gaseosas? ¿Qué ventajas han sacado ó de biblia…</t>
  </si>
  <si>
    <t>Hili</t>
  </si>
  <si>
    <t>…generales y de mas gefes fuesen á pie, y los soldados sin mochilas: cada regimiento llevaba un paisano de guia; y tenia señalado punto y hora para sus respectivas opera ciones. El general Hili mandaba el ala derecha, é iba contra Souft por S. Juan de Pie de Puerto, indicando querer ponerse á retaguardia del enemigo. El Lord mandaba el centro, y marchó por Lesaca. El exér cito español, á las órdenes de los generales Freyre y Graham, for maba el ala…</t>
  </si>
  <si>
    <t>Hilierj</t>
  </si>
  <si>
    <t>…nviado los bagages y equipages suyos. No se sabe si tratará de defender el paso del Adour, ó si se reti rará sin parar hasta el Garons, pero las gentes opin&amp;n por esto úl timo. El barón Hilierj gobVrna *or de la 11 divkion miikar, ha sido en viado al Temple. El conde Garat y otros 6 ú tí senadores , han sido arrestades. Ei conde de la Bisbal llego ayer, y pasa á verse con el Lord duque de Ciudad-Rodrigo. Arisp es destinado al exército de Smstt, y se…</t>
  </si>
  <si>
    <t>Hill</t>
  </si>
  <si>
    <t>…ción con sus , aun ignoraba la reunión de los exércitos franceses, expresiones^ y que estaba mui atrasado en sn correspondencia S. A. se lamenta después de la muerte de Mr. oon el general Hill y el general Maitland. Percevai, eoniideráodtla. jbaxe un punte ds vista ,</t>
  </si>
  <si>
    <t>…uperiores. , Las patrullas de caballería del general Soult hacen frecuentes reconocimientos hriela Escalona, el Albsrche y Añober del Tajo, porque Leval recela que el ejército del general Hill haga por aüí algún movitaienío. llí conde fie G z?.n tenia su cuartel general en Arévalo, y su. exército ocupaba i Salamanca, de donde se extendía á Avila, Segovi- Mocldd y otros puntos. PX iatrnon José se mantenía .el 13 en Valládotid. El nr.:rrh&amp;ú Jourdsn,…</t>
  </si>
  <si>
    <t>…nes de Bayona El conde del Abisbal debió entrar el dia 10 en Puente la Reina con 16® hombres de excelentes tropas, y se cree que co opere al sitio de Pamplona, ó bien reemplace al general Hill. Las tropas aliadas que manda este general se han apodeíado del fuerte del Príncipe, que domina á Pamplona, á distancia de un quarto de legua. En el castillo dePancorYose dexaron los enemigos inftmtos equipages de mucho valor, 3® vestuarios nuevos, 2® fusiles…</t>
  </si>
  <si>
    <t>…sobre estas montañas obras que impidan para siempre la entrada á los franceses.__ Ei dia 5 de julio se hallaban los franceses en una posición tan fuerte cerca de Berrueta, que el general Hill no los podia desalojar: lord Wellington hizo avanzar una división portuguesa; y después de dar,sus órdenes, se apeó del caballo, se colocó al frente de una coluna de escoceses, y subió por una altura escarpa da para doblar la posición del enemigo, nñentr^s qu…</t>
  </si>
  <si>
    <t>…aquel día, yen ella perdió el enemigo de 7 á 8(0 hombres. El 29 se mantuvieron ambos exércitos en posición uno á la vista del otro ; y elconde de Erlon atacó á las divisiones dei general Hill que cubrían el ala iz quierda dél exército y el boquete de Berriopía»o; pero fue rechazado. En lá noche del misino dia 29 reforzó Soult á Erlon, y al amanecer del 30 em pezó á maniobrar con su exército. El Lord, que desde luego penetró su in tención , le atac…</t>
  </si>
  <si>
    <t>959</t>
  </si>
  <si>
    <t>959 ve orden de marchar hacía el pueblo de Eguaras para sostener al te jiente general Hill, que cargado por fuerzas muy superiores-, pe leaba hacia muchas horas con la mayor bizarría: luego que llegué me indico unas posiciones, que tomé, y no dexaron de imponer al ene migó estas nuevas ¡columnas, pues reconcentrando desde luego sus fuer zas no se e…</t>
  </si>
  <si>
    <t>Gazeta de Madrid bajo el Gobierno de la Regencia n.º 58 (extraordinaria)</t>
  </si>
  <si>
    <t>…generales y demas gefes fuesen á pie, y los soldados sin mochilas: cada regimiento llevaba un paisano de guia; y tenia seña lado punto y hora para sus respectivas operaciones. El general Hill mandaba él ala derecha, é iba contra Soult por S, Juan de Pie de Puerto, indicando querer ponerse á retaguardia del enemigo. El Lord mandaba el centro, y marchó por Lesaca. El exército español j á las órdenes de los generales Freire y Graham, formaba el ala i…</t>
  </si>
  <si>
    <t>…ido también por un sin fin de razoues políticas, determinó hacer un movimiento general con el exército aliado, conr el fin de lograr aquellos objetos. ■ ;Para esto dispuso que el. general Hill con ^segunda división, la de Mo rillo y la división portuguesa de Hamilton pasasen el rio Nive por el puente ó ¡vados de Cambo, y marchasen inmediatamente;» ocupar el citado cami«a.reál, y jumándose con la división sexta y tercera , del mando de Beresford,i q…</t>
  </si>
  <si>
    <t>…onarse de dicho puntó, man^ do ocupad© otra vez , y 4a? sexta división executó esta operación á toda su satisfacción, quedando al aponerse el sol enteramente en nuestro poder. El •general Hill tuvo también por el camino real de San Juan de Pie-de Puerto ■un ataqúe bastante-obstinado, que?concluyó;en sií favor, y que debió cos tar mucha sai¥gre á lo^ etieúiigos;, según el número considerable de muertos que dexáron'en el cartipoi i - • - ’ • íc 1 Qua…</t>
  </si>
  <si>
    <t>…remo. Sr. general en gafe duque da Ciudad-Rodrigo reunió enda. izquierda las mayores fuerzas dé los ejércitos aliados de su mando , dexahd© 'únicamente en la derecha el cuerpo del general Hill y aia división que apostó sobre ia orilla izquicria1 del Nive.— Ea la madrugada del 13 todas las fuerzas enemigas se dirigieron á la izquierda de su iíáea y contra el cuerpo del mando del general Htll al mismo tiempo que el general París por el camino de Sais…</t>
  </si>
  <si>
    <t>Hill, Beresford y Sir Rolando</t>
  </si>
  <si>
    <t>Beresford y Sir Rolando Hill</t>
  </si>
  <si>
    <t>…Carlos Golvilie, Cirios, barón de,Alten., Lecor y Muriilo , que: mandaban divisiones de infantería, y con la de D* Pedro Agus tín Girón, que mandaba la reserva de: Andalucía. «El mariscal Beresford y Sir Rolando Hill me han mam íes tado lo satisfechos que están de la conducra. de los generales y tropas de sus respectivos mandos; particularizando los mariscaler de campo Byng y Lanberg , que dirigieron el ataque de la. sexta división.. «Observé igualmente la distinguida- y…</t>
  </si>
  <si>
    <t>Hill, Sir Rolando</t>
  </si>
  <si>
    <t>Sir Rolando Hill</t>
  </si>
  <si>
    <t>240 ral de división Foy, trataron en la mañana del 20 de sor prehender el puesto que el teniente general Sir Rolando Hill tiene en Bejar, compuesto del regimiento de infantería británico nú«n. 50, y del de rozadores portugueses núm. 6.° Con efecto lo atacaron, p no lejos de dexarse sorprehender el coronel del regimiento núm. 50 Harija, los rechazó con pérdida; y el mayor Mitchel…</t>
  </si>
  <si>
    <t>Híll, Sir Rolando</t>
  </si>
  <si>
    <t>Sir Rolando Híll</t>
  </si>
  <si>
    <t>…ismo rió. La ce leridad de nuestra marcha hasta aquella época me iriauxo á hacer cortas marchas el 11, y descansar el - 12 ; perd en este día puse 1¿ derecha al mando del teniente general Sir Rolando Híll, en movi miento hácia Burgos , consistiendo esta de-las divisiones de infante ría siguientes: la segunda del exéreito británico, ^a española del bri gadier general Morillo, la portuguesa del conde de Amarante, y la ligera inglesa del mando del marúcal de camp…</t>
  </si>
  <si>
    <t>*66 ... Tomas Picton con la tercera división de su cargo estaba en Olaque for mando la reserva. El teniente general Sir Rolando Hill ocupaba el valle de Bastan con el resto de la segunda división británica y la portuguesa del man do del conde de Amarante , de la cual se hallaba destacada en los Alduides, territorio francés , la brigada del general Campbell. La división ligera y séptima ing…</t>
  </si>
  <si>
    <t>…inué persiguiendo al enemigo desde la montaña, que en primer lu gar ocupaba hasta Olaque , donde me puse inmediatamente á retaguardia de la izquierda de los que atacaron alpemente general Sir Rolando Hill; Durante la noche desaparecieron de en frente, de.este general, y tomaron ayer con dos divisiones una Tuerte posición en el puerto de Doña María» i,El teniente general Sir Rolando Hill, y el Lord Dalhowsie le ata caron y le arrojaron del expresado Puerto , no…</t>
  </si>
  <si>
    <t>…ardia de su derecha , se hizo en colum nas de división , cada una de ellas dirigidas por el general que la mandaba, y formándose á sí mismas sus respectivas reservas. El te niente general Sir Rolando Hill dirigió los movimientos de la dere cha, que se componía de ia segunda división del mando del tenien te general el honorable Sir Guillermo Hesvart; la sexta división del mando del teniente general Sir Henríque Cl'ntoo; una división portuguesa á las órdenes del…</t>
  </si>
  <si>
    <t>…sar hasta la no$he del 19, dexando los caminos y campos en un estado tal, que aun ahora están tan intransitables que no periniten movimiento general alguno de tropas. «El teniente general Sir Rolando Hill reconoció el 12 y ió el puesto que el enemigo tenia en la cabeza dei puente que había for mado en Gambo, u¿ cuyas resultas lo abandonaros este último dia volando el puente. «Desde eatonres acá nada importante ha ocurrido, á excepción de que el enemigo reconoc…</t>
  </si>
  <si>
    <t>Hiller</t>
  </si>
  <si>
    <t>…ruta dd TiroL Lo* bavar^ s no tienen mas que 14© hombres que oponerle, y están- en Carbbourg, mandados por el general Wrede. Id. 12. Las cartas de Viena recibidas hoy dicen que el general Hiller derrotó enteramente ai virey de Italia cerca de Laybaeh, que hizo 9® prisioneros, y le tomó varias piezas de artillería. — El ¿ia 6 en traron otra vez todas las tropas de ia Bohemia en Saxonia y Ba viera. DINAMARCA. Copenhague 14 de Setiembre. Se continúan re…</t>
  </si>
  <si>
    <t>…ha producido tantas calamidades al género humano, y que ha expuesto su reputación á tantos peligros. Según las noticias de Italia, el virei ha sido completamente derrotado por el general Hiller. Un desertor que llegó á Leipsick refiere que Soult ha sido batido nuevamente en el territorio francés por el marques de WaÜingtott. La enfermedad del general Langerbring, gefe del estado mayor dei exér cito sueco, ha privado al exército de sus servicios por…</t>
  </si>
  <si>
    <t>…3 (15) de Junio de 1813.= Catkcart.ss Ccirios, conde de Nesselrode.szjuan D'AnsUít. CARINTIA. Cuartel general del exSrcito austríaco ij de Agosto. ss Ijxtracto de la proclama del general Hiller d sus tropas. »S. M. nuestro augusto emperador deseaba restablecer la paz en Europa por su mediación. Todos sus esfuerzos fueron infructuosos; y el emperador Napoleón es quien se opone á una paz tan deseada del género humano. „ Esta perseverancia en la determ…</t>
  </si>
  <si>
    <t>Hiller, Von</t>
  </si>
  <si>
    <t>Von Hiller</t>
  </si>
  <si>
    <t>…ncia de las naciones,' consiste el llevar á su mayor auge la misma gloria. - , Ei general de artillería, comandante en gefe del exército imperial y real del Tirol y de Italia = El barón Von Hiller. Extracto de los papeles franceses. París—- ■ iGde noviembre.__¿ Decreto del senado____ Napoleón por la gra * cia de Dios &amp;c. El senado, después de haber oido á los oradores del cónse-; jo de Estado, ha decretado , y ¡.Nos mandamos lo siguiente: , ' El senado…</t>
  </si>
  <si>
    <t>Hillier</t>
  </si>
  <si>
    <t>…antería y caballería fueron en seguimiento de estas partidas, y se espera que den buena cuenta de ellas (8). Berlín 12 de setiembre. Las cartas de Viena recibidas hoi dicen que el general Hillier había batido enteramente' cerca de Laybach al virei de Ita lia : le habia hecho 9© prisioneros, y tomado varias piezas de artillería. El dia 6 entraron en la Saxonia y Baviera todas las tropas de Bohemia: tres re gimientos de cosacos pasaron el Elba hace dias…</t>
  </si>
  <si>
    <t>…l camino, sin saber por qué, y se volvieron por. donde habían venido.” Este artículo prueba que las cosas no andaban mui bien por allí. Otro artícu lo de los mbmos nos dice que el general Hillier habia dirigido proclamas á los tiroleses para que se sublevasen; y lo mismo ha hecho Speckbacker, el compañero del infeliz Hoflfer; lo que también prueba que los tiroleses están sublevados. Han llegado á Inglaterra siete transportes con las tropas españolas q…</t>
  </si>
  <si>
    <t>Hillyer</t>
  </si>
  <si>
    <t>…o , en la altura de la isla de Nabaaa , el teniente Criric, con las lanchas del Narciso, habia apresado al corsario ameri cano José y María, que llevaba 4 cañones y 73 hombres. El capitán Hillyer, de la chalupa de S. M. la Febo, con fecha de 24 de Diciembre, dice que el mismo dia se habia apoderado del bergantín Hunter, corsario americano, mandado por M. Jonathan Upton, que montaba al principio de darle caza 14 cañones y 73 hombres : arrojó al agua 12…</t>
  </si>
  <si>
    <t>Hinchfelt</t>
  </si>
  <si>
    <t>…pasado por Luckau para Bayreuth. El general Czernicheíf executó las órdenes con su acostumbrada inteligencia, introduciendo el terror en la retaguardia de las colunas enemigas. El general Hinchfelt, que diabia recibido orden para marchar de las cercanías de Magdeburgo á Brandeburgo y Postdam, y de allí á Saarmunda , hizo un rápido movimiento de cinco millas suecas en 10 horas.—Mientras sucedía esto el enemigo acometió el 22 por la mañana al .general, Xh…</t>
  </si>
  <si>
    <t>Hinojosa, Martin</t>
  </si>
  <si>
    <t>Martin Hinojosa</t>
  </si>
  <si>
    <t>…de Justicia; D. Joseí Mintegui , catedrático de prima de cánones jubilado de aquella universidad; D. Vicente Ruiz Albillos, canónigo lectoral de la catedral de Ciudad-Rodrigo; y á D. Martin Hinojosa, catedráti co de prima de leyes jubilado de dicha universidad: este último en calidad de suplente. i *.). ii '...... ; •. * . El señor Gefe político de esta provincia, de acuerdo con el mui Üustrd Ayuntamiento constitucional de esta capital, ha dispuesto que…</t>
  </si>
  <si>
    <t>Hipólito, José</t>
  </si>
  <si>
    <t>José Hipólito</t>
  </si>
  <si>
    <t>…sé Matías Eiizalde, 500. D. Francisco Xavier Izcue, 500. D Juan Bautista Errea, 500 D. .Loan Pcrtica, 500. D. José Arizmendi y D. Miguel Abnorza, 500. D. J sé Antonio Errea , 500. D. José Hipólito y Don Ambrosio Ibañez, 500 D Francisco María Zuloaga, 300. D. Pedso Moreno Altu-arra , 300 D. Juan Pedro Zelayeta, 200. D. Dámaso de Arias, 200. D Matine? Partido, 200. D. Martin Axamburu, 200. D. M afras I are a, 200. D. Toribio Acebal, secretario de gobier no, 200. D. José lio d…</t>
  </si>
  <si>
    <t>Hirrison</t>
  </si>
  <si>
    <t>…nco fragatas inglesas. guarnición ó por los indios ha quedado reducida á C'incinati g de setiembre. El ti de este mes cenizas, y estos tienen acampados sobre el Mississi- llegó el general Hirrison al fuerte de Waines con pí 200 hombres para proteger á los sitiadores, y cerca de 3© hombres. Se destacó inmediatamente mas de &gt;00 divididos en pequeños trozos devastan una partida en busca de los indio.. ; pero uo se en nuestras fronteras. El enemigo espera…</t>
  </si>
  <si>
    <t>Hirschfeldt</t>
  </si>
  <si>
    <t>…ros. Aun no se pueden especificar los oficiales que se distinguieron en la acción de este dia. El general Czernicheff co gió oficiales, 1500 soldados y una pieza de artillería. El general Hirschfeldt cogió ademas de 70 á 80 oficiales, 2® soldados, 7 caño nes., muchos carros cargados de municiones, y casi todos los baga ges enemigos. La infantería prusiana necesitaba algún descanso des pués de tantas y penosas marchas; pero los cosacos, acaudillados por el…</t>
  </si>
  <si>
    <t>…bretaNa. Londres jo de Setiembre. Escriben de Saarmunde con fecha de 29 de Agosto lo siguiente: Por noticias de oficio recibidas anoche sabemos que antes de ayer c~gió el teniente general Hirschfeldt 7 cañones y 2$ prisioneros del cuerpo francés que mandaba el general Girard en las inmeilaciones de Behóg. Pocas horas antes de esta acción había tenido otra muy glo riosa contra las mismas tropas el pecerel conde CzernischefF, derrot ndoLs completamente la c…</t>
  </si>
  <si>
    <t>Hirschíeld</t>
  </si>
  <si>
    <t>…moden recibió órden ^e. aproximarse ¿á Magdeburgó por Ja,orilla derecha del Elba, con el objeto de,observar los&gt; móyiinie.ntos de la guarnición de aquella fortaleza. El cuerpo del general Hirschíeld ha sido destinado igualmente^ contra Wittemberg , y el cuerpo principal del excrcito aliado debe tomar tales posiciones que pueda estorbar todos los movimientos por la parte de Torgau. Se sabe que Bonaparteha tomado el mando deí exér. ito contra el general Bl…</t>
  </si>
  <si>
    <t>Hirsfeldt</t>
  </si>
  <si>
    <t>…al ver á su antigüe gefe. SEXTO BOLETIN: DEL EXERCITO ALIADO. .[ &gt; r Satirmunda 28 de agosto. El 26 trasladó aquí elPríncipé Real su qliar te l general, y el mismo día; estaba el general Hirsfeldt entre Rek-áu y Golzou con la idea de cortar la retaguardia del' general francés Girard, que pasa ba de Ziessar á Bruck; pero éste se retiró con tal precipitación , que-no pu do conseguirse él proyecto.!El éf dbéron conducíaos a Festd'á&amp;V i2bs^íiciair les y 10…</t>
  </si>
  <si>
    <t>Hislop</t>
  </si>
  <si>
    <t>…de nuestro gobii—nr&gt; Alexandro Scott pero llevaba realmente 49. Se la había equipado ri á llevar víveres á ios dcr.iich sdo-s habitantes de camente para que conduxese al teniente general Hislop, nombrado gobernador de Bombay, y el Caracas, y no la ha podio-• executar. hl parti qual iba en ella con Tos oficiales de su estado mayor, do realista, vencedor en este momento, le ha man el capitán Marshall de marina, y un gran número dado retirarse. De los…</t>
  </si>
  <si>
    <t>Hita, Manuel de</t>
  </si>
  <si>
    <t>Manuel de Hita</t>
  </si>
  <si>
    <t>…al coronel D. José del Pozo y jarqui; á coronel al teniente coronel D. Juan Camargo.; á teniente coronel al sargento mayor de brigada D. Juan Manuel de la Cruz; y á este empleo al capitán D. Manuel de Hita. Por providencia del tribunal del consulado de esta plaza de 27 del corriente, se manda citar y emplazar á los acreedores que se es timen con derecho á los bienes de D. Juan de Algarra,, para que en el preciso término de dos años, ocurran á formalizarlo con l…</t>
  </si>
  <si>
    <t>Hizo, Eetort</t>
  </si>
  <si>
    <t>Eetort Hizo</t>
  </si>
  <si>
    <t>…dragones de la guardia p mandadÓsüpor e!:gcnérahLetort, cargaban por la derecha; La caballería enemiga fué'cleshéctó:udbs re gimientos enteró* quedaron en'el campo de batalla. El general Eetort Hizo</t>
  </si>
  <si>
    <t>Hlowaiskg</t>
  </si>
  <si>
    <t>…e para mejores ocasiones. Desde la relación1 que aimds de Warr eJien el 18 de mayo (qué fue nuestro penúltimo pap'éjt)' vec Hadó' ^ noticias siguientes de allí. T V -V- r El 18 el general Hlowaiskg volvió á hacer , prisióriéros ,otrá TOmpaffíi compuesta de 94 hombres de lanceros holandeses^ ,y en ^uh fecóndcidiiénto que hizo por la tarde el general Miloradowitch tomarpqs 132 prisioneros, cal lándole al enemigo la perdida de 100 hómbifes entré muertos y…</t>
  </si>
  <si>
    <t>Hmchfeldt</t>
  </si>
  <si>
    <t>…er su antiguo general. Sexto boletín sueco (1). Cuartel general de Ssarmund 28 de Agosto. El príncipe real trasladó su cuartel general á esta plaza el 26 de Agosto.— El cuerpo del general Hmchfeldt estaba apostado ei 26 entre Be kan y Golzow , donde esperaba cortar la retaguardia del cuerpo del general Girard, que se encaminaba desde Ziessar á Bruck; pero el enemigo pasó con tanta precipitación, que no pudo aquel efectuarlo. El 25 , 2 oficiales y 104 so…</t>
  </si>
  <si>
    <t>Hmohinson</t>
  </si>
  <si>
    <t>1236 bres muertos y 6 heridos, entre estos el teniente Curry, de cuya conducta se hacen mil elogios, así como del teniente Hmohinson y de los guardia? marinas More y , Br,;defo.d y Trozer. El teniente de la go'eta fuá muerto, y se ahogaron algunos bomb es cíe su tripulación. Ademas ha remitido una lhla de 12 .&gt; embarcaciones tomadas á los americanos por la escuadra d:l mandes de S. J. Vare…</t>
  </si>
  <si>
    <t>Ho</t>
  </si>
  <si>
    <t>7** P. D. Ho» ha llegado a! campo de batalla un oficial que viene del exér cito del general Tettemborn, y trae la noticia de haberse rendido Bremen al cuerpo del mando de aquel general, y que las llaves de la ciudad las ha presentado el Príncipe Real al Emperador de Rusia…</t>
  </si>
  <si>
    <t>Hogendorp, Von</t>
  </si>
  <si>
    <t>Von Hogendorp</t>
  </si>
  <si>
    <t>…en sus quadrillas; pero á buen seguro que pen sasen en elogiarlos ninguno de aquellos á quienes robaros.) (Courier d'An~ gleterre.) FRANCIA. - Hamburgo a (T dé julio* ,, S. E. el conde Von Hogendorp, gobernador de Hamburgo » ha publi cado con fecha del 23 un reglamento perteneciente á las obras de fortificación de dicha ciudad , por el qual se manda que cada semana han de emplearse en estas obras 4200 trabajadores. Para este efecto cada cantón tiene obli…</t>
  </si>
  <si>
    <t>Hógindorf</t>
  </si>
  <si>
    <t>…ba de 23 dé junio se anuncia qué Bonaparte, por decréjo expedido en D :Csde el 18 de! mismo mes, había Hombrado para gobernador de aquella ciudad á su ayudante de campo él general conde Hógindorf, quien parece' haber tomado ya posesión de dicho gobierno. Extracto de algunas cartas recibidas de Stralsund, Se ha concluido en Breslau un tratado que se atribuye al conde de Stéih,' por el qual'la Rusia afianza á la Prusia toda la porción de Alemania que es…</t>
  </si>
  <si>
    <t>Hoi</t>
  </si>
  <si>
    <t>…aia Bresiau. sona que no se halle todavía puesra en juicio por París T4 de febrero. alguno de los delitos mencionados, y que antes del dia 1.” de marzo próximo se presente ante un juez Hoi domingo 14 de febrero S. M. el Empera de paz ó ante otro magistrado, y confiese su de dor y Rei ha salido á la una del palacio de las Tulito , declarando el juramento ó empeño que haya Herías con grande acompañamiento para pasar al contraído, y en dónde» cómo…</t>
  </si>
  <si>
    <t>Hol</t>
  </si>
  <si>
    <t>…¡un refuerzo de tropas, regladas, milicia, é indios , se ■hizo un movimiento para envolver la izquierda, del enemigo, miea•iras que algúnaá piezas de artillería, á las órdenes del capitán Hol*eróft, sostenidas por un cuerpo de infanteríaempeñaban su aten ción por el frentes Facilitó éste movimiento la posición acertada que Norton habla tomado con sus indios en las alturas, arboladas que hay sobre* Quéenstown. De este modo se abrió nuestra comunica…</t>
  </si>
  <si>
    <t>Hólford</t>
  </si>
  <si>
    <t>1001 el mando del batallón eií el capitán Hólford , qué lo desempeñó'coh mucho acierto, y también al mayor Anwye, mayor de brigada de la segunda división;.?' *•':? ' »E1 mayor general Hay, que "ahora manda la división, menciona con alto elogio la bizarra conducta del mayor general- Spry, que manda la «brigad…</t>
  </si>
  <si>
    <t>Holland</t>
  </si>
  <si>
    <t>…cia que había ha clero de Eerskhire, y finalmente del arcediano y bido entre los dos países sobre los particulares in clero de Sarum. dicados por el lord. El duque de Norfolk y el lord Holland sostie Este respondió que la correspondencia que se nen que las representaciones atribuyen en términos presentaba á la camara se h..bia creído suficiente pa positivos á los católicos irlandeses dogmas que ellos ra dar sobre los objetos enunciados todas la&gt; no…</t>
  </si>
  <si>
    <t>…ue quieren re menor indiferencia sobre la suerte de estos desgra mediar. Sin embargo, habiendo persistido en su de ciados , que hace tanto tiempo gimen en la cautivi terminación , lord Holland se ha hecho un deber y dad ; antes desea al contrario que los ministros ha un gusto en ser su intérprete en la cámara. Por la llen ahora la ocasión de justificarse enteramente de misma razón que había procurado disuadir á los su no haber tenido parte alguna e…</t>
  </si>
  <si>
    <t>Holm</t>
  </si>
  <si>
    <t>Gaceta de Madrid n.º 2</t>
  </si>
  <si>
    <t>…octubre. La noche pasada y todo este dia ha reinado un De 15 dias á esta parte se observa que los ser viento de este mui furioso. vios conducen de Nissa á Belgrado convoyes bas El capitán Holm, comandante de la fragata la tante considerables de mercancías, comí son café, flayadey persona de mucha reputación, dos seño azúcar, aceite de oliva, las que permutan por las ras y un niño de ocho meses han perecido en estos producciones de supais, como miel…</t>
  </si>
  <si>
    <t>…y i Mr. Gerry por vice-presidente; pero en Nueva-Yorck quien tiene Nuestra gazeta trae de oficio los partes del con el partido mas fuerte es Mr. Clinton. tra-almirante Lutken, del capitán Holm y del te Los estados del Oeste y del Mediodia están uná niente Dietrichsen sobre la pérdida de nuestra fragata nimes en que la guerra continúe con todo vigor, y la Ndva.ie, después de un obstinado combate con en que re reelija por presidente á Mr. Maddisson.…</t>
  </si>
  <si>
    <t>Holst</t>
  </si>
  <si>
    <t>…ncipe Real sus pendió el movimiento;.deJas tropas, á las que hizo saber que no se verificaria la marcha hasta eLdia siguiente. Se enviaron hacia Roslau, á las órdenes del teniente coronel Holst, ayu dante de campo de S. A. R., dós. batallones, uno sueco y otro prusiano, con el objeto de q.ue. reuniesen todos los materiales necesarios para la cons trucción de un puente. Los partes dados por nuestros piíestos avanzados anunciaban que.el enemigo marcha…</t>
  </si>
  <si>
    <t>Hont</t>
  </si>
  <si>
    <t>…o. »E1 mayor general Hay se manifiesta asimismo muy satisfecho déla conducta bizarra y; juiciosa del teniente coronel Cooke, co mandante del destacamento de guardias, dél teniente coronel Hont, comandante del destacamento de la división ligera, que fué grave mente herido; y de todos los demas oficiales y soldados de los des tacamentos. El mayor general. Hay conduxo la división por la mura lla con el juicio y valentía que tantas veces ha acreditado.…</t>
  </si>
  <si>
    <t>Hooft</t>
  </si>
  <si>
    <t>…per de Maarsseveen , ausente: W. Boreel, au sente: J. N. de Eys , ausente: C. de Oúd; rmtulen: ;Mr. de Loon Janszen : D. J. de Lennep: H. de Siiogelandt: J. Hodshon que se excusó: D. Hooft, ausente : .G. Saiude : A. Mendes de León: J. A. Wiiliflh: J. J. Teysset que se excusó: W. F. Mogge Muilman que se excusó: J. J. May ; P. A. Brugmans: J. D. Meijet: O. W. J. Berg</t>
  </si>
  <si>
    <t>Hooíf</t>
  </si>
  <si>
    <t>…____J. Huj'decoper Van Maarsseveen (ausente)____ Mr, C. Vander Oudermenien.__ Van Loon Janszen.__ Mr. D- J. Van Lennep.-__ H. Van SJingelande------J. Hodshon (se excusó)------ Mr. D. Hooíf (ausente).,__G. Ten Sande.___A. Mendes de León------J..A. Willinh—_ J. J, Teyfset ( se excusó)----- Mr. YV. F- Mogge Muilman (se ex cusó).__ J. J. May.___Mr. P, A. Brugmans. — Mr. j. D. Méyer.___Mr, O. VV. J. Berg (se J. S. Van de Poli, y Mr. A. A. Detwz excu…</t>
  </si>
  <si>
    <t>Hope</t>
  </si>
  <si>
    <t>…usia oriental, y han sido cordialmente recibidos por los miiitarés y por lodos los hibiiantes. Se ha descubierto en Liorna una grande conspiración tramada Contra I03 franceses. El general Hope salió de Londres para el norte dé Europa, y ■egun juzgan algunos, se dirige á la Prusia oriental , que se halla én el día ocupada por los exércitos prusiano y ruso á las órdenes del general D’Yorck. Se cree que se establecerá en la Prusia oriental un gobierno…</t>
  </si>
  <si>
    <t>…Halpe con las tropas ligeras; — Gobierno militar del pais entre el Elba y el Oder. := Firmado ==V. L’Estooq. Sack. &lt; ¡ G R A N BRETAÑA, i ¿:,c;Vví , , , • • Londres de junto. r El general Hope ha regresado de si* misión al Norte, y llegó el sábado á Londres: inmediatamente tuvo una larga conferencia con ¡el; lord Castlereagh, y el domingo fue presentado al Principe J^egente por el duque^de York. Del jo. Ha salido para Alemania Mr. Machéiízie, que h…</t>
  </si>
  <si>
    <t>…, y jumándose con la división sexta y tercera , del mando de Beresford,i que debía executar igual operación .por Ustariz , marchar inmcdiatar mente de frente contra el enemigo. El general Hope, con la primera divi sión inglesa y la quinta, y además dos brigadas portuguesas, debía aménazar por la carretera de Bayona el campo retrincberado que los enemigos tienen delante de aquella.ciudad, formando con este cuerpo la izquierda del exércitot aliado ,¡…</t>
  </si>
  <si>
    <t>…vor, y que debió cos tar mucha sai¥gre á lo^ etieúiigos;, según el número considerable de muertos que dexáron'en el cartipoi i - • - ’ • íc 1 Quando esto pasaba por la derecha, el general Hope atacaba y arrojaba stodos los puestos que los enemigos tenian en el camino real de Irun á Bayo na, á la que se acercaron tanto sus tropas, que los tiradores* sufrieron el fue go de aquellas ttíurallas.'La noche puso'fin á las operaciones de-este día,jy el duq…</t>
  </si>
  <si>
    <t>Hope, Alexandro</t>
  </si>
  <si>
    <t>Alexandro Hope</t>
  </si>
  <si>
    <t>…siciones da los recientes, y la reputación que me habia adquirido estados del Norte, para que sacudan el yugo de lai á costa de las mayores fatigas y peligros, no mere Francia. El general Alexandro Hope , que ha ser cían que se me tratase con tal desconfianza que vido con frecuencia en el Báltico, y que entre otros para destituirme fuese menester trastornar los usos encargos mandaba en segundo en tiempo de lord recibidos , y la disciplina militar. Yo era qui…</t>
  </si>
  <si>
    <t>Hope, Sir Juan</t>
  </si>
  <si>
    <t>Sir Juan Hope</t>
  </si>
  <si>
    <t>…raía expresada, en terrhorio francés las tropas del exército anglo ^portugués, que baxo sus órdenes se han distinguido tan frecuen temente , entregó el mando de ellas al teniente general Sir Juan Hope, q-tiea había llegado de Irlanda el día anterior. •o »Al mismo tiempo que ocurría lo que llevo expresado sobre la izquierda, el mariscal de campo Cárlos, barón de Alten, atacó con la división ligera ios airincheramiertos que el enemigo tenia en el puerto de V…</t>
  </si>
  <si>
    <t>…o ocupó; y durante la noche evacuaren toda» sus obras y posiciones en frente de S. Juan de Luz, retirán ose á Vidart, y destruyendo todos los puentes del baxo Nivel e. El teniente general Sir Juan Hope, con la izquierda del exército, los siguió tan luego como pudo pasar el rk&gt;; y el mariscal de campo Sir Guillermo Car Beresferd adelantó el ceatro del exército, tanto como lo permitió el estado en que una violenta tem pestad de agua dexó los caminos; y el ene…</t>
  </si>
  <si>
    <t>Hopkins</t>
  </si>
  <si>
    <t>…, dei re Viena xj de diciembre.gimiento j.° de los Estados-Unidos, ha derrotadoá una partida de indios junto á la villa de Peoria. El En nuestro cuerpo de exército auxiliar hai po general Hopkins habia mandado al coronel Russel cos enfermos. Muchos oficiales, cuyos regimientos que saliese con dos compañías de cazadores de Viu- no componen parte de este cuerpo de exército, pi cennes, y tomase el nvando de las tropas regladas den que se les destine á él…</t>
  </si>
  <si>
    <t>Hoppe</t>
  </si>
  <si>
    <t>…de 1813. Extracto de una carta del contra-almirante Moore d J Wilson Croker, abordo del navio de S. Id. el Vigo, delante de Rostock, a % de Setiembre. Persuadido de que el contra-almirante Hoppe habrá salido ya de Gottenburgo para Inglaterra, os dirijo esta para informaros que el 26 ultimo al amanecer el general Vegesak salió de Rostock, é hi zo retirar á la vanguardia enemiga, que estaba á 809 millas de aquella ciudad ; y habiendo recibido refuerzos…</t>
  </si>
  <si>
    <t>Hoppe, Sir Juan</t>
  </si>
  <si>
    <t>Sir Juan Hoppe</t>
  </si>
  <si>
    <t>…o abandonaros este último dia volando el puente. «Desde eatonres acá nada importante ha ocurrido, á excepción de que el enemigo reconoció el 18 los puestos avanzados del te niente general Sir Juan Hoppe , en cuya ocasión fué desgraciadamente herido el brigadier general Wilson. «El mariscal Sír Guillermo Beresford forzó en el mismo dia á íog puestos avanzados enemigos á pasar el puente de Urdoini, estable ciendo los suyos en él. En la mañana siguiente ántes d…</t>
  </si>
  <si>
    <t>Hore</t>
  </si>
  <si>
    <t>…o siciones donde estaban los enemigos con un brío superior á todo elo4* gio por ios batallones destinados á este objeto ; el regiriiiento de Or denes que dirigid personalmente, su coronel Hore, marchó con una bravura digna dé admirarse, y este gefe hizo brillar sm valor y co nocimientos hasta el mayor punto posible. El enemigo se replegó en fuga sobre las posiciones de la derecha y y á la peña escarpada de Larrun , adonde los arrojó el intrépido ba…</t>
  </si>
  <si>
    <t>&lt;*&gt;0 ... embárr ios énemigoscon un brío superior á tojo elogio por los batallones destm.ldós á este objeto: el regimiento de Ordenes, que dirigió personal mente su coronel Hore, marchó con una bravura digna de admirarse, y ,este geie hizo bridar su valor y conocimientos hasra el mayor punto posible, üi enemigo se replegó en fuga sobre las posiciones de Ja derecha y á la,peña escarpada de Larrun, adonde los arrojó el intrépido batall…</t>
  </si>
  <si>
    <t>Hore, Aiexandro</t>
  </si>
  <si>
    <t>Aiexandro Hore</t>
  </si>
  <si>
    <t>…os se^ ñores cowendantes generales de las divisiones, y por fiw me limito á reco mendar a V. E. al mariscal de campo ;D. Josef Antonio Latorre, al briga dier D. Josef Aymerich, al coronel D. Aiexandro Hore, al capitán de reales Guardias Españolas D. Ramón Figueroa , .y al sargento mayor del regimien to de Pravia D. Francisco Cabrera. - „ Adjunto, tengo?‘el: hqqor de ínciuir á V*. jE&gt;- el estado (num. 5.0) de nuestra pérdida,:que no ha dexado de ser de alguna co…</t>
  </si>
  <si>
    <t>Hore, Alexandro</t>
  </si>
  <si>
    <t>Alexandro Hore</t>
  </si>
  <si>
    <t>…s y tropa dél exército de reserva de Andalu cía durante las operaciones de los dias 7 y 8 del corriente. El ata que que hizo ayer el batallón de Ordenes Militares , mandado por el coronel D. Alexandro Hore, se hizo en tan buen orden y con tan to denuedo como el que mejor he visto hacerse por tropa alguna, y quedé muy contento del espíritu y disciplina de todo este cuerpo. «No puedo aplaudir demasiado la execudon y disposiciones da * das para estos ataques por e…</t>
  </si>
  <si>
    <t>…la orden al señor brigadier Aymerich de atacar la montaña por la derecha, lo que ve rificó muy á mi satisfacción : el regimiento de infantería de Ordenes Militares al mando de sa coronel D. Alexandro Hore, sostenido por el del General, el de su comandante D. Fermín Mendialdua* fue ron los encargados del ataque; y lo executaron con una resolución digna de todo elogio, aunque á costa de no poca pérdida, especial mente ti primero: el enemigo fué arrojado de toda…</t>
  </si>
  <si>
    <t>…s de mas el que* elegie tu bizarra conducta, que nunca pudiera tener mas digno apre ciador. V. E. no obstante me permitirá le recomiende muy particu larmente el mérito de su digno coronel D. Alexandro Hore , distin guido en todss ocasiones, y que por todas sus circunstancias es muy acreedor á Ja eonsideraeien y gracias del Gobi rno* «Este ataque dado por el regimiento de Ordenes, no solo echó á los enemigos de aquella posición, sino que ios solos cazadores de e…</t>
  </si>
  <si>
    <t>…dado los señores comandantes generales de lasVlivisiones, y por mí me limito á recomendar á V. E. al mariscal de campo D. José An tonio Latorre, al brigadier D. José Aymerich , al coronel D. Alexandro Hore, al capitán de reales guardias Españolas D. Ramón Figueroa , y al sargento mayor del regimiento de Pravia D. Francisco Ca brera. , /i «Adjunto tengo el honor de incluir á V- E. el estado (rfim. $.°) de nuestra pérdida que no ha dexado de ser de alguna conside…</t>
  </si>
  <si>
    <t>…si es demas el que elogie su bizarra conducta, que nunca pudiera tener mas digno apreciador. V. E. no obstante me permitirá le recomienda mui particularmente el mérito de su digno coronel D. Alexandro Hore, distinguido en todas ocasiones, y que por todas sus circunstancias es mui acreedor á la consideración y gracias del Gobierno. ,,Este ataque dado por el regimiento de Ordenes, no solo echó á los enemigos dé aquella posición, sino que los solos cazadores de es…</t>
  </si>
  <si>
    <t>Hore, Alexandro de</t>
  </si>
  <si>
    <t>Alexandro de Hore</t>
  </si>
  <si>
    <t>…de la cañada y alturas que tenia á mi frente, y dirigían á'dich^ cerro: en este su puesto dispuse que los batallones Ordenes y General, á las órdenes del coronel del primer cuerpo D. Alexandro de Hore, formados en dos columnas, se dirigiesen á tomar las referidas posiciones que ocu paban los enemigos en- fuerza, dexando al batallón de Murcia y com pañías de guias en reserva en la altura que anteriormente ocupaba ei referido batallón del General. «El indica…</t>
  </si>
  <si>
    <t>…biendo hecho este batallón alto durante la execucion de su ataque, ni aun para recibir nuevas direc ciones. &gt;» El mérito de esta acción, la manera brillante con que la diri gió el coronel D. Alexandro de Hore, y el comporte de todo el ba tallón , nadie mejor que el Excmo. Sr. duque de Ciudad-Rodrigo y V. S., testigos oculares de este hecho , podrán apreciarlo, teniendo yo solo en esta ocasión el honor de recomendarlo á V. S. Posesionado de la altura de Sta. Bárbar…</t>
  </si>
  <si>
    <t>…fc,la‘ yóalturas que» tenia a mi frente ,&gt; y dir.igiag á.di.cho, eqfrq; en esté supuro ^bpnse que los batallones Ordenes y General, á.las prdéties del coronel .det pr1 tnér.cuerpO-D. Alexandro de Hore ,&lt; formados ep ¡dos colunas , sé ^Uigíe(s¿ii á temar las tef&amp;rld^s.ipq^ciQpjeSy.que.ipcypaban .los enemigos ep 'fperza', 'dexando al batallón de Murcia y compañías de gui^s en reserva ejm jfaiturífqúje antejiofmervt.etfiítipqfc&gt;^ el? referidefi^penpraU; . r;…</t>
  </si>
  <si>
    <t>…o hecho este.bat¿Líon^ltq durante la execucion de su ataque,.ni aun para re cibir nuevas direcciones. „El mérito de esta acción, la manera brillante con que la dirigió el co ronel D. Alexandro de Hore, y el comporte de todo el batallón, nadie me jor qne el Excmo. Sr. duque de Giudad-Rodrigo y V. S.'; testigos oculares dé este hecho, podrán apreciarlo, teniendo yo solo en esta ocasión el honor de recoce nefario 4 W $. . . ... . „ Posesionado de la altura de…</t>
  </si>
  <si>
    <t>Hore, Alexandvo</t>
  </si>
  <si>
    <t>Alexandvo Hore</t>
  </si>
  <si>
    <t>…oficiales y soldados de los cuerpos de su mando. «Me proporcionó igualmente esta ocasión el observar particular mente la firme a dei regimiento de Ordenes Aülitares del mando del coronel D. Alexandvo Hore. «Incluyo copia del parte que de esta acción me ha dado el ma riscal de campo D. Pedro Agustin Girón con el estado de muertos y heridos. «Nada importante ha ocurrido en la extensión de la línea; pero parece que ©1 enemigo ha recibido considerables refuerzos d…</t>
  </si>
  <si>
    <t>Horn</t>
  </si>
  <si>
    <t>…o piezas de artillería. A la salida del oficial portador de los pliegos del general Blucher habia llegado á su quartel general la noticia de haber entrado aquel dia en Beautzbú el general Horn____Se han cogido 22 cañones, ademas de los 60 de la acción de Culm del dia 30, y también mas carros de municiones. Secretaría del almirantazgo 2 1 de setiembre. El contra-almirante Moor escribe el 10 de setiembre á Mr. Croker desde la plaza de Rostock, partic…</t>
  </si>
  <si>
    <t>…zas de artillería. A la partida del oficial portador de los oficios del general Blucher había llegado la no ticia á su cuartel general de haber entrado el mismo dia en Bcntzlau ei general Horn. — Se tomaron mas de 22 piezas, sin las 60 de la acción de Ctilm el dia 30, y mas carros de municiones. Secretaria del Almirantazgo. El contra-almirante Moor escribe á M. Croker desde la plaza de Rostock, el 10 de Setiembre, participándole que el general Walm…</t>
  </si>
  <si>
    <t>Hornelas, Marcos</t>
  </si>
  <si>
    <t>Marcos Hornelas</t>
  </si>
  <si>
    <t>…3. En 5 de Julio, el cura capitán D. Francisco Alvarez con sm cuerpo volante, y algunos fusileros y lanceros destacados por el ca pitán D. Ramón Gómez de Lir.ño, á las órdenes del capitán D. Marcos Hornelas, se dirigieron para el cerro del Alzado, cerca de la hacien da de S. Pedro de los Villalobos, donde se hallaba una gruesa gavi lla, acaudillada por varios cabecillas. El cura comandante, con su in trepidez ordinaria, emprendió con su tropa la subida de dicho…</t>
  </si>
  <si>
    <t>Hórschfeld</t>
  </si>
  <si>
    <t>…acos cargó sobre una coluna de i® infantes, y todos fueron ó muertos ó prisioneros. Dicho general Czer nicheff hizo prisioneros 6o oficiales y 1500 soldados, y tomó una pieza-, el general Hórschfeld entre 6ó á 80 oficiales, mas de 2® soldados, siete caño nes, muchos carros de municiones, y casi todo el bagage&lt; Los cosacos si guieron el alcance, porque la infantería prusiana necesitaba algún descanso después de tantas marchas forzadas. El coronel Bckendor…</t>
  </si>
  <si>
    <t>Howaisky</t>
  </si>
  <si>
    <t>…hicimos prisioneros á un ge neral, ¿0 oficiales, y mas de 1000 soldados , tomándoles ademas 28 cañones, y un número considerable de transportes Nuestra pérdi da fuá muy corta: el coronel Howaisky y el teniente coronel Bibikow ciiedaron heridos gravemente. „Despues que me apódese de Wiína empleé todos los medios oportunos pira restablecer el orden , é informarme de todo lo ocur rido ; pero el poco tiempo que he tenido no me ha dado dirnr de presentar á…</t>
  </si>
  <si>
    <t>Howick</t>
  </si>
  <si>
    <t>…umen tos que se me habían comunicado, y pedí con la «,Habiendo el Rei dirigido á sus ministros las (1) Este ntensage se expidió el dís 15 de enero de lord Henrique Pettit, el lord vizconde Howick, lord 1807 con arreglo al dictamen de Jas personas siguien Grenvillc, lord Ellenboroug, el señor secretario YVindtes: el lord canciller, el lord presidente, el lord del hain, M. T. Grenville. sello privado, el conde Spcnccr, el conde de Moira, el</t>
  </si>
  <si>
    <t>Howsisky</t>
  </si>
  <si>
    <t>…ETA DE LA REGENCIA DE LAS ESPADAS DEL JUEVES 18 DE NOVIEMBRE DE 1813. ALEMANIA. BOLETIN DEL EXERCITO COMBINADO DEL NORTE DE ALEMANIA* Cuartel general de Zerbsi 22 de Setiembre. Hl general Howsisky con sus cosacos , y el general Dobschuss con 4 escuadrones, que hacen parte de la vanguardia del general conde Tauenzien , encontraron ei 19 entre Borack y Schwed ss con el i.° , 8.° y 19 regimientos franceses de cazadores de á caballo, y. los atacaron sucesi…</t>
  </si>
  <si>
    <t>Hoy, Ximenez</t>
  </si>
  <si>
    <t>Ximenez Hoy</t>
  </si>
  <si>
    <t>…al señor Cala.dividual de dos casos mui extraordinarios. trava, culpando de todos estos males la demasiada El primero es la historia de un embarazo ex moderación del congreso. El señor Ximenez Hoy* trauterino. Habrá muchas personas que no alcan confirmó el estado de opresión en que se hallaba la zarán cómo se puede llevar un niño fuera del vien provincia de Córdoba, asegurando que había fun tre ; pero serian mui largas é impropias de la natu dadas sosp…</t>
  </si>
  <si>
    <t>Hoyo, Ximenez</t>
  </si>
  <si>
    <t>Ximenez Hoyo</t>
  </si>
  <si>
    <t>…ulo comunicado. Señor redactor: la de diodía, las guardias nacionales sedentarias quedarán terminación que hoi ha tomado el congreso, dexanguardando estos puntos. do en su seno al señor Ximenez Hoyo, será de la ma 14. El Emperador confia la defensa de los as yor trascendencia en nuestra revolución, por haber tilleros de Amsterdan, del Texel y de las Bocas del sido en infracción de sus mas notables decretos , co Mosa al valor y al honor de los franceses d…</t>
  </si>
  <si>
    <t>Hoyos, Casimiro</t>
  </si>
  <si>
    <t>Casimiro Hoyos</t>
  </si>
  <si>
    <t>…lanar su actividad. Igualmente son digno» deda consideración de V. S. ios de igual clase D. Mariano Antesana y D. Venancio B 2*1 ávidos , mi ayudaste de órdenes capí* tan graduado D. Casimiro Hoyos, 0. José B^r mudez, vista de esa aduana, D. José María Larraraendi, e*l sargento de primera clase del real de Lima Ildefonso Cadenas, los soldados retirados del tico de Buenos-Ayres Félix Quintana y Manuel Nuñez, y D. José Pe* risena, vecino de Salta. , , „ E…</t>
  </si>
  <si>
    <t>Hstrison</t>
  </si>
  <si>
    <t>…enidos en los extractos dfe mi diario. La Java gunos oficiales ingleses que este combate se dio el tenia ademas de su tripulación mas de 100 oficiales 2 de febrero, y que en él el general Hstrison ha y marinos supernumerarios á bordo, que^iban des derrotado á ingleses é indios, causándoles mucha tinados á los’tiavíos de guerra de la India. El te pérdida. Este particular, que ha estado mucho tiem niente general .Hislop, nombrado comandante de po en el C…</t>
  </si>
  <si>
    <t>Htll</t>
  </si>
  <si>
    <t>…visión que apostó sobre ia orilla izquicria1 del Nive.— Ea la madrugada del 13 todas las fuerzas enemigas se dirigieron á la izquierda de su iíáea y contra el cuerpo del mando del general Htll al mismo tiempo que el general París por el camino de Sais Juan de Pie de Puerto se dirigió contra aorstra prímér3 división situada á La orilla derechi deí Ñire en Us sitara áz Izugia. A las 11 de la mañana el co mandante de la primera división el ímriseal de…</t>
  </si>
  <si>
    <t>HtUer, Volt</t>
  </si>
  <si>
    <t>Volt HtUer</t>
  </si>
  <si>
    <t>…Gran Bretaña, nombrados pa ra el ministerio electoral de Brunswick-Ludeburgb , de estado y gabinete. Hannóver 4 de noviembre de 1813. = Duken. = Bremer. Proclama publicada por el general Volt HtUer en Trento á iG de octubre de j8i¿. • : 1 .. • • * \ V Pueblos de Italia : he pasado los Alpes , y entro en vuestro territorio coÜ un exército de 60© hombres. Lá Providencia vá á poner fin á la tiranía que os ha oprimido, que sacrificó vuestra juventud en el n…</t>
  </si>
  <si>
    <t>Huarte, Francisco</t>
  </si>
  <si>
    <t>Francisco Huarte</t>
  </si>
  <si>
    <t>…e brigada á los capitanes D. Domingo de la Iglesia, D Juan Oromi, D. Antonio Ibarrola, D. Andrés Rodríguez, D Félix de Toda, D. Juan Pablo Sebastian, graduado de teniente coronel, Don Francisco Huarte y D. Andrés Arango; á capitanes á los tenientes D. Francisco Barreigua, D. Domingo Luis del Valle, D Vicente de la Encina, D. Francisco Preysler y Moreno, D José Segundo Izquierdo, D. Pedro Colmenares , D Pedro de la Cantolta, D José Nicolás ¿e Chimioni, D. Antonio Fernandez ,…</t>
  </si>
  <si>
    <t>Hubbs</t>
  </si>
  <si>
    <t>…ropas marcharon en escalones por regimientos en dos líneas y algunas veces en tres; y las tropas portuguesas de la tercera y quarta, divisiones del mando del brigadier Power y del coronel Hubbs di rigieron la marcha con una firmeza y bizarría incapaz de superarse. „La brigada del mariscal de campo el honorable Carlas Colville,</t>
  </si>
  <si>
    <t>…as marcharon en escalones por regimientos en dos líneas, y al gunas veces en tres; y las tropas portuguesas de la tercera y quarta divisio nes, del mando del brigadier Power y del coronel Hubbs, dirigieron la mar cha con una íirmeza y bizarría incapaz de superarse. ,, La brigada del mariscal de campo el honorable Carlos Colvllle , de la tercera división , fue vigorosamente atacada en su marcha por una fuerza bien formada y mui superior á ella, y sin…</t>
  </si>
  <si>
    <t>Huck</t>
  </si>
  <si>
    <t>…cuerpo situado en U aldea Beasvin. «Como el enemigo reforzare las tropas de su izquierda Fue nece sario seguir por la Calzada, lo qae hicieron los batallones ligeros del mando dei coronel Huck , auxiliados v flanqueados ©or algunas compañías de la brigada portuguesa del mayor genera! Pack , cuya ope ración fié desempeñada del modo mas bizarro por estas valientes tro pas , que arrojaron al enemigo de la aldea de Beasvin. »Teniendo el enemigo tropas…</t>
  </si>
  <si>
    <t>Huerta, Silverio Ramón de</t>
  </si>
  <si>
    <t>Silverio Ramón de Huerta</t>
  </si>
  <si>
    <t>…or as Nanci 15. censo de D. Vicente Llopis al curato de Alcacer, ESPAÑA. á D. Francisco Morelló, presbítero. Y para el de Benavites, vacante por promoción Madrid 24 de febrero. de D. Silverio Ramón de Huerta al canonicato de Hecha la oposición á los curatos vacantes en el la catedral de Valencia, á D. Vicente Carceller, arzobispado de Valencia en el concurso celebrado cura de Cotes. en el año pasado de 1812, se ha dignado ei REI nombrar para el curato de la parro…</t>
  </si>
  <si>
    <t>Hughes, M. T.</t>
  </si>
  <si>
    <t>M. T. Hughes</t>
  </si>
  <si>
    <t>…enteiior. Cádiz 22 de Setiembre. Las noticia* del Continente que se tenían en Londres hasta el dia 2 de Setiembre actual , y que ha traído la goleta de rey inglesa The Mackezell, capitán M. T. Hughes , que salió de Falmouth el día í , son de París hasta el 28 de Agosto, del príncipe real de Sue cia (Bernalotte) del 1.8 del mismo, y la fecha de la última mala, recib da de Gottemburgo , es del 24 del mismo Agosto.. Al fin se han disipado todas las dudas ace…</t>
  </si>
  <si>
    <t>Hugo</t>
  </si>
  <si>
    <t>…biesen atrevido á pasar el puente. Dia 10. Salió por la puerta de S. Vicente un gran tren de arti llería, un regimiento de infantería, y muchos paisanos con equi pages. Dia 11. El general Hugo hizo saber al ayuntamiento la nece sidad que habia de que la tropa saliese de la capital, y les encargó conservasen la tranquilidad pública, y custodiasen los edificios mi litares y civiles. Al mismo tiempo se dio orden de que se reunie sen aquí para salir al…</t>
  </si>
  <si>
    <t>…stas lo han sido las que tenían prevenidas pana marchar ios afrancesados Guitar, Lavandero, Satini y otros ; los cuales no han podido lograr que se las restituyesen, pues el mismo general Hugo contestó á sus que jas , que antes eran los soldados que ellos. Alicante 17 de Abril. Con fecha de 16 del corriente escribe un sngeto de cáracter des de el campo de Concentayna, que desde la salida de las tropas de esta plaza les había favorecido siempre la v…</t>
  </si>
  <si>
    <t>460</t>
  </si>
  <si>
    <t>…u rey para no abandonar la capital; pero lo cierto es que poco ¿ poco van marchando sin despedirse. Id. 16. Se ha vuelto á poner la rolina, y han cesado los embar gos de orden del general Hugo.. La comandancia de armas que hay en Getafe pasó el 15 á Ilíescas á robar granos y ganado, y después se volvió á su acantonamiento: pidieron á Valdemoro 1000 raciones que no pudieron dar aquellos infelices habitantes. Id. 17. Las tropas que habla en Fueníabra…</t>
  </si>
  <si>
    <t>HUI, Sir Ro'ivland</t>
  </si>
  <si>
    <t>Sir Ro'ivland HUI</t>
  </si>
  <si>
    <t>…quejado al rey de Dinamarca acerca de los permisos que daba á sus súbditos para comerciar con la isla de Heligoland. PORTUGAL. Lisboa jj de Agosto. Oficio dirigido por el teniente general Sir Ro'ivland HUI al feld mariscal marques de Wellington en gi de Julio de J§Jg. wMilord: Tengo la satisfacción de participar á y. É. que no obstante la grandísima superioridad de las fuerzas enemigas dirigidas contra la posición de que estaba yo encargado, cuya circunstan cia…</t>
  </si>
  <si>
    <t>HUI, Sir Rolando</t>
  </si>
  <si>
    <t>Sir Rolando HUI</t>
  </si>
  <si>
    <t>…real de Miranda á Vitoria, y las tropas destacadas á las indicadas alturas. El enemigo no tardó en des cubrir la importancia de ellas, y reforzó tanto sus tropas, que el te niente general Sir Rolando HUI se vio en la necesidad de destaca*</t>
  </si>
  <si>
    <t>…s que ofrece, parece que estaban determinados á mantenerse; con cuyo fin habían reunido en él tres divisiones del exército del mediodía á las órdenes deí general Gazm. El teniente general Sir Rolando HUI, habiendo sido retira do del bloqueo de la plaza de Pamplona, con iguió no obstante des alojarlos de todas sus posiciones en los dias 4, &gt; y 7 del corriente, con dos brigadas de infantería británica y una portuguesa de la se gunda divi' ion , mandadas por el…</t>
  </si>
  <si>
    <t>Huid, Agustín de</t>
  </si>
  <si>
    <t>Agustín de Huid</t>
  </si>
  <si>
    <t>…ando bien guarnecido á Oruro , se dirigiese á batir al enemigo con las tropas de su cargo: que el intendente de la Paz enviase una columna al partido de A y opava: que el teniente coronel D. Agustín de Huid entrase por el Valle grande y Chilon á reunirse con las tropas de la fiel provincia de Santa Cruz , que jamas se ha separado de mis ór denes detestando á Cochabamba; mientras yo con el grueso de mi exército penetraba por Mi gue y valle de Clisa. Este vasto pl…</t>
  </si>
  <si>
    <t>Huil</t>
  </si>
  <si>
    <t>…que poniendo toda nuestra aten gracias que tan dignamente lian merecido. ción en la marina, podemos con toda seguridad ' ritadelfia jo de noviembre.defender nuestros derechos- El capitán Huil ha de mostrado esta importante verdad de la manera mas El 18 de junio de 1812 los Estados-Unidos de honorífica , de modo que han quedado convencidos clararon la guerra á la Inglaterra, y el 10 de agos&lt;hasta los mas tímidos y mas desconfiados. Pór con to se co…</t>
  </si>
  <si>
    <t>Hull</t>
  </si>
  <si>
    <t>Van Rensselaer de las milicias del estado de New- sus futuras victorias. La fragata la Constitución^ York. Según dicen/esta acción se acometió,por con mandada portel capitán Hull , después de un breve tentar al ardor de las tropas, que la emprendieron combate, desarboló enteramente y apresó una fra «on distinguido valor, y quedaron victoriosas algún gata inglesa. tiempo; pero no habiendo recibido los socorros que, , Deseando que no ex…</t>
  </si>
  <si>
    <t>…ación de harinas. de la fragata de los Estados-Unidos la Constitu ción, en consideración al valor, buena conducta y Habiendo anunciado Mr. Harper que tenia que servicios del dicho capitán Hull, sus oficiales y tri hacer una proposición que en su concepto exigía pulación en el combate y presa de la fragata in secreto, se hizo salir al público, y continuó la se glesa la Guerrera, de mas porte y artillería que la sión á puerta cerrada hasta que se lev…</t>
  </si>
  <si>
    <t>…nte esta listo e! Adam, á Abdurahinau- baxá en el gobierno de Solimanié, de 32, que mandara el capitán Morris, teniente y obligándose á pagar al Rei de Persia una suma que fue del capitán Hull; v que ha merecido esta ele 60© toinanes , ( 4.800© reales de vellón) , de la promoción por su distinguiría conducta en la acción qu.d entregó de contado La tercera parte con la fragata inglesa la G ¡terrera. Se asegura que el Gran Señor ha desaprobado Dicen…</t>
  </si>
  <si>
    <t>Hull, Isac</t>
  </si>
  <si>
    <t>Isac Hull</t>
  </si>
  <si>
    <t>…s-Unidos, juntos en congreso, han resuelto guerra y los gobernadores de los estados de Massaque el presidente , á nombre del mismo congreso, chusset y de Connecticut.” presente al capitán Isac Hull una medalla de oro, Este mensage, con los documentos que lo acom adornada con emblemas y motes apropiados al pañan , se ha pasado á la cámara formada en junta asunto; y que se distribuya una suma á título de sobre el estado de la Union. gratificación de presa…</t>
  </si>
  <si>
    <t>Hullíia</t>
  </si>
  <si>
    <t>…parla ción de V. S la conducta del gobierno de los Es mentario para IlaÜfax con 104 prisioneros inuleses. tados-Unidos, para probar de un modo nada equí tíuffalo 27 de octubre. El general Hullíia sa voco el deseo que ha tenido siempre de mantener lido de este lugar el jueves próximo pasado para sus relaciones de paz y amistad con la Gran Bre asistir á la inmediata sesión del cuerpo legislativo, taña. Todo el inundo sabe la paciencia con que ha que se…</t>
  </si>
  <si>
    <t>Hullin</t>
  </si>
  <si>
    <t>…cernos. ministro de Policía general=el duque de Róbigo. ... Nps retiramos, desengañando antes á madama (Se continuará.) Hpllin, y diciéndole como el ministro estaba preso. Como el general Hullin po estaba en disposición poder darnos órden ninguna, pos fuimos á casa del príncipe arclúcanciller, á quien dimos parte de riAtroi. qyanto sabíamos. Él príncipe mandó á Mr, Saulnier qpe fuese i Ea el del Principo t* representará la comed» en casa del ministro…</t>
  </si>
  <si>
    <t>Hulliq</t>
  </si>
  <si>
    <t>…Real les dixo, Al oir esto el conde Frochot, desengañado,’ que mientras él iba á casa del príncipe fuesen ellos ¡tbraaó.á Mr- Saulnier ..derramando lágrimas de ale i dar ayiíft *! general Hulliq. gría , y se unió á nosotros para convencer al coro Mr. Cluis y Mr&gt; S^ulpier experimentaron algu nel á que se retirase con su tropa; pero este nos na dificultad para poder entrar en casa del general contestó que lo consultaría con el conde. Huitín; pero habié…</t>
  </si>
  <si>
    <t>Hum</t>
  </si>
  <si>
    <t>…la duquesa de Sagan, se habia preparado una mesa separada para el Emperador Alexandro; pero S. M. quiso comer con los demas, en cuyo número se hallaban el conde de Metternich, el barón Hum— boldt; el caballero de Gentz, y otras personas de distinción. •t Es evidente que todos los esfuerzos del. gobierno austríaco no han tenida hasta ahora otro din que el de conservar la mas rigurosa neutralidad, y ení virtud de esto ha permitido la exportación…</t>
  </si>
  <si>
    <t>HumboJdt</t>
  </si>
  <si>
    <t>…eral de artillería, barón Duka; el teniente fe Id* mariscal Kutscher; el conde Metternich, secretario de Guerra; el barón Bmder; Mr. de Floret; lord Aberdeen, embaxador ingles; el barón HumboJdt, enviado prusiano; el barón Bildt, enviado sueco; el condeCollowrath , gran burgrave de Bohemia, y destacamentos de las guardias nobles alemana, 0hema y húngara. Há.sido nombrado gobernador de esta ciudad el rrmcipe Felipe de Hesse-Honiburgo. _ . 1 I&gt;d /a. La…</t>
  </si>
  <si>
    <t>Hunerbein</t>
  </si>
  <si>
    <t>…tropas aliadas que las prusianas, mandadas por el rey en persona, ár quien la Providencia liberto en medio de un diluvio de balas; sin embargo el príncipe de Hesse fué muerto; el general Hunerbein perdió un brazo; también salió herido en el bra zo izquierdo el general Blucher; mas á pesar de esto volvió á mon tar á caballo después de hecha la primera cura; últimamente quedó herido el general Scharnhorts. Nuestra caballería no pudo atacar las líneas ene…</t>
  </si>
  <si>
    <t>Hunervein</t>
  </si>
  <si>
    <t>…ríncipe de Hesse-Homburgo. Entre los heridos contamos por parte de los rusos al general Hanowiezen, y por la de los prusianos á los géneráles Blucher y ocharmhorst levemente, y al general Hunervein de pe ligro. Por parte d‘e ios franceses, si hemos de dar crédito á los desertores, fue muerto Bessieres , y quedaron heridos Nei y Souham. Hemos visto llegar mas dé 1® prisioneros; cogimos 10 piezas de artillería y muchos millares de fusiles. Nuestras tropas…</t>
  </si>
  <si>
    <t>HUNGRIA</t>
  </si>
  <si>
    <t>…o reduci vas á la historia de la campana que el Emperador da á un monton de escombros y ruinas. • , . de los franceses acaba de hacer en Rusia. El plan de campaña ruso lo formó el general HUNGRIA. Fhul, que estuvo antes al servicio de Prusia. Según Pest 18 de noviembre.este plan los rusos debían irse replegando sin pelear hasta las . márgenes del Dwina, que á prevención En estos días se ha publioado un papel intitula se hallaban bien fortificadas. Rig…</t>
  </si>
  <si>
    <t>Hunte</t>
  </si>
  <si>
    <t>…e tanto la di visión de la fiotilla enemiga rompió un fuego terrible de cañón con tra las baterías, tan obstinadamente que hube de mandar atacarla á viva fuerza, lo que executó el teniente Hunte con una partida de marineros del modo mas bizarro. A las 8 de la mañana nos había mos ya apoderado de todo, y destruido la mayor parte de los bu ques enemigos, incendiando unos , y echando á pique otros. La pérdida del enemigo ha consistido en 150 muertos y h…</t>
  </si>
  <si>
    <t>Hunter</t>
  </si>
  <si>
    <t>…s el intérprete de dicha impresión universal, y no lia de haberse volado un almacén de pólvora se abra tardado un instante en renovar el homenage de la saron el capitán Young y el teniente Hunter. Un inviolable adhesión y reconocimiento á vuestra aucuerpo de tropas &lt;k*l Sultán tuvo alerta toda la no austa persona, de que estuvo animada siempre ¡a che al mayor Alton y á una parte considerable de Euena ciudad de Milán. su batallón. „Pura dar á V. M. una…</t>
  </si>
  <si>
    <t>Hurtado, Andrés Maclas</t>
  </si>
  <si>
    <t>Andrés Maclas Hurtado</t>
  </si>
  <si>
    <t>…sus memoriales a! secretario del mismo ayuntamiento. D. Francisco Gaéiido /presbítero, colector de lá parroquial de santa Cruz de esta villa de Madrid, desea sáber el paradero de D. Andrés Maclas Hurtado, ca pellán retirado de exército, que residía pocos años hace en Xerez de los Caballe ros, pueblo dé sii nacimiento; ;y quando este ¡hubiese fallecido, podrán acudir sus herederos por sí o stígíini otra persona con el- póder competente á dicho Garrido* quien I…</t>
  </si>
  <si>
    <t>Hut</t>
  </si>
  <si>
    <t>…est, fecha en el río Potomac á 14 de Julio , en que di e cue las lanchas de la Contest y del bergantín Moha wk , á las órdenes ¿el teüie’iite Curry de la Contest, auxiliado por el teniente Hut hiV son del Mohauk, habían perseguido por el estrecho de Angr¿ de Yeaoomow £ la goleta de lo^ Esta dos-Unidos , Asp, armada de un canon y 2 ca renadas ,ademas dé los pedreros &amp;rc.,con 25 hombres de tripulación, mandada por un teniente. El enemigo se había arr…</t>
  </si>
  <si>
    <t>I, Francisco Xavier A</t>
  </si>
  <si>
    <t>Francisco Xavier A I</t>
  </si>
  <si>
    <t>…or, se suplica á los deudores de dicho señor no paguen si no á la persona que lleve orden de la justicia y firmas de ios herederós del citado Galban. Quien supiere del paradero de D. Francisco Xavier A I va re r y Peña „ natural de Madrid, que salió para Srgiienza en el mes de noviembre dfe 181 2, se servirá dar noticia de su paradero en la librería de Minutna, calle de Toledo, ó en la lonja de D. Vicente Romero, portales de Provincia. 1 Se halla vacante la p…</t>
  </si>
  <si>
    <t>I, Leonardo Bónet y</t>
  </si>
  <si>
    <t>Leonardo Bónet y I</t>
  </si>
  <si>
    <t>…rto quanto se ha puesto i su cuidado. ,, Mí secretario de campaña el teniente coronel D. Felipe Prados, mi ayudante de-campo el teniente coronel D. Joaquín Montufár, los capitanes D. Leonardo Bónet y I&gt;. Domingo Manso; y el teniente D. Josef Ramón Ferradas han llenado‘plenamente mis deseos. ,,'El comandante general de ingenieros mariscal de campo D. Manuel ZappiñQ, el brigadier comandante general de artillería D. Agustín García Car— rasquedo, el coronel may…</t>
  </si>
  <si>
    <t>Ia, Ramón</t>
  </si>
  <si>
    <t>Ramón Ia</t>
  </si>
  <si>
    <t>…s ordina rias del presente año de 1813,, y diputación provincial, cuyos nombramien tos á pluralidad de votos han recaído en las personas que se expresan. Diputados d Cortes. limo. Sr. D. Ramón Ia*pez Pelegrin, ñscal del supremo tribunal de Jus ticia , natural de la ciudad de Molina. Sr. D. ManueLManrique, canónigo de la santa iglesia catedral de Cuen ca , natural de la villa de Atienza. Suplente. Sr. Dr. D. Nicolás Escudero, canónigo dignidad de la sa…</t>
  </si>
  <si>
    <t>Ib, José Ignacio</t>
  </si>
  <si>
    <t>José Ignacio Ib</t>
  </si>
  <si>
    <t>…, á quien había fiado el mando de la cübillería, perdió también el suyo, y se di&amp;tínguió como siempre. El comandante de México capitán O. Francisco de Palacio, el capitán graduado D. José Ignacio Ib ni y el cadete D. Juan Alonso se precipitaron de tal guanera sobre el enemigo, que se hallaron dentro de un cercado rodeados</t>
  </si>
  <si>
    <t>Ibañ, Manuel</t>
  </si>
  <si>
    <t>Manuel Ibañ</t>
  </si>
  <si>
    <t>…a, 20. D. Joaquín M ^riiuez. S\ D. Juan Bautista Viana, 20. D. Vicente de los Toyos, 20 D. Juan Llano, 17. D José Perez déla Mata, 7. D. José Herrera, 17. D. Gerónimo Vivanco, 10. D. Manuel Ibañ?z, 10. Don Rosendo Gao , 10. D. Ramón Forcelíc 5o, 10. D. Gaspar Gorruehano, 10. El conde San Pascual, 25. D. Martin y D. M guel Ventura Oáambela, por su {demento hecho con calidad de reintegro , á causa de la precipitada salida del baque, 2309. — T tal, 2000…</t>
  </si>
  <si>
    <t>Ibañez, Manuel</t>
  </si>
  <si>
    <t>Manuel Ibañez</t>
  </si>
  <si>
    <t>IOS de, D. Manuel Ibañez, D. José López, D Prudencio Dallo, D. Ce lestino Ximenez , D. Fermín Al Aúnate, D. Angel Labiano, D. ber nardo ZaTo, D. Francisco Mtmuce, D. Pedro Mancho. D. Matías Ezcay, D. Félix Beroz, D. Bernardo Sonosiain , IT Mañano Ustarroz, D. Felipe Virtus, D. Joaquí…</t>
  </si>
  <si>
    <t>187ñutios para formar terna del boticario...de cámará D. Manuel Ibañez , .se hañ ilan comisionados por el tribunal del Proto-Medicato ,.de salud pública, es-: íablecido en Cádiz, para examinar con arreglo á las ordenanzas de 5 de fe brero de 1804 á los que pretendiesen títulos de licenciados y doctores en dicha facultad. Los asp…</t>
  </si>
  <si>
    <t>ÍBárcena, Pedro de</t>
  </si>
  <si>
    <t>Pedro de ÍBárcena</t>
  </si>
  <si>
    <t>…Barco y D. Josef María Espeleta, y de los coroneiés.D Jos ef María Carrillo, D. Rafael Goicochea y D.F rancheo &gt;Píasencia , baxo la inmediata dirección de los mariscales de campo D. Pedro de ÍBárcena y D. Juan Díaz Porlier. El objeto de las quatro primeras colunas era-el de apoderarse de los atrincheramientos enemigos en las inmediaciones y parte superior de Andaya, mientras las otras tres tomasen los de da mon-r taña Verde y altura de Mándale , con lo que envolvían la izquierd…</t>
  </si>
  <si>
    <t>Ibarra, Antonio de</t>
  </si>
  <si>
    <t>Antonio de Ibarra</t>
  </si>
  <si>
    <t>…a con las máquinas necesarias, todo en el mejor estado (t).: ; Habiéndose formado de orden superior el juzgado del cuerpo nacional de artillería de esta capital, compuesto del Sr, D. Antonio de Ibarra« caba llero pensionado de la real y distinguida orden española de Garlos m , co ronel y comandante del arma, del licenciado D. Manuel Martin Eugercios, asesor, del doctor D. Alfonso de Cabia, abogado fiscal, y de D. Manuel Rubio de Villegas, escribano; se hac…</t>
  </si>
  <si>
    <t>Ibarra, Francisco Fernandez de</t>
  </si>
  <si>
    <t>Francisco Fernandez de Ibarra</t>
  </si>
  <si>
    <t>…y D. Luis Gabaldon y López, como individuos de la sociedad económica. D. Angel González Barreiío, secretario del ayuntamiento constitucional, y como tal secretario de esta junta. D. Francisco Fernandez de Ibarra, como habilitado de secretario de dicho ayuntamiento, lo es también de esta junta. La junta en medio de tan apuradas y lastimosas circunstancias redoblará su anhelo, fatiga y patriotismo para el mas exacto desempeño de Jos debe res que la son cometidos, á fin…</t>
  </si>
  <si>
    <t>1249 y López , como individuos de la sociedad económica; D. Argel Gon zález Barreyro, secretarlo del ayuntamiento constitucion&amp;í, y como tal, secretario de esta juma; y D. Francisco Fernandez de Ibarra, co mo habilitado de secretario de dicho ayuntamiento , lo es..también de esta junta. La junta, en medio de tan apuradas y lastimosas circunstancian, redoblará su anhela, f.tiga y patriotismo para el mas exacto des empeño de los debeles que le sen cometidos,…</t>
  </si>
  <si>
    <t>Ibarrola, Antonio</t>
  </si>
  <si>
    <t>Antonio Ibarrola</t>
  </si>
  <si>
    <t>…el, D. Juan Bautista Pousich y D, Felipe de Arco Agüero, este graduado de teniente coronel; á sargentos maya res de brigada á los capitanes D. Domingo de la Iglesia, D Juan Oromi, D. Antonio Ibarrola, D. Andrés Rodríguez, D Félix de Toda, D. Juan Pablo Sebastian, graduado de teniente coronel, Don Francisco Huarte y D. Andrés Arango; á capitanes á los tenientes D. Francisco Barreigua, D. Domingo Luis del Valle, D Vicente de la Encina, D. Francisco Preysler…</t>
  </si>
  <si>
    <t>Ibarrola, Pedro Josef</t>
  </si>
  <si>
    <t>Pedro Josef Ibarrola</t>
  </si>
  <si>
    <t>…a de Zudiaur, vecino de Cifuentes. 7.0 Sr. D. Fernando García del Olmo, vecino de Alcolea del Pinar. Suplentes. i.° Sr. D. Patricio Sanz Pinilla, vecino de Alustante. 2.0 Sr. Lie. D. Pedro Josef Ibarrola, vecino de Mondejar. 3.0 Sr. Lie. D. Manuel Sabroso, vecino de Valdearenas. Madrid 26" de julio, Extracto del parte del coronel D. Juan Antonio Tabuenca al mariscal de campo D. Josef Joaquín Duran sobre la acción del dia 8 en Zaragoza. Mi general : el 7 á las…</t>
  </si>
  <si>
    <t>Ich, Claudio</t>
  </si>
  <si>
    <t>Claudio Ich</t>
  </si>
  <si>
    <t>…a húsares de Navarra de la misma división á teniente coronel á D. Juan José Cnlchaga; á comandantes de escuadrón á D. Miguel María Iribarren y D. Manuel Garrea: á sargento mayor á D. Claudio Ich^so : á capitanes á D. Ramón Echeverría , D. Lo renzo Mauleon, D. José Clemente, D. Pedro Francés, D. León Iriarte, D. Pedro Viilarroya, D Domingo Josué y D. Diego Cebadua; á ayudantes á D. Francisco Moñones , D. León Amedo, D. Manuel Mecolalde y D. Atanasio M…</t>
  </si>
  <si>
    <t>ID</t>
  </si>
  <si>
    <t>Gaceta de Madrid n.º 113</t>
  </si>
  <si>
    <t>…de Cádiz que ahora insería solo á estos y á aquellos han debido sus colocacio la i\.zetar__ ¡Eh! Ahí nos dan un potage-------- Y nes: vea vmd.... y yo le contestaba: substancioso, señor ID. Nieodemus; pero como luí ; Av qué'bobo, qué bobo es vmd.! mucho- este mavo&gt; .débiles, nodéxará de causar in- Tos comisionados en los pueblos que van aban d.geitlotief-. -6Í.».¡esas cosas de Cádiz no están donando los enemigos se despepitan por poner en buena…</t>
  </si>
  <si>
    <t>Idem</t>
  </si>
  <si>
    <t>…nada de nada.” si no mudan de conducta, deben ser tenidos como Baste que vmd. lo diga, señor Conciso. enemigos declarados del linage humano ? La segunda noticia relativa al señor mariscal Idem del 21. Jourdan es uno de los infinitos disparates de que es„ Mucho tiempo há que publicamos que veoia tan atestados los periódicos insurgentes. De estas «á España un enviado extraordinario y ministro noticias se encuentran en ellos á cada paso: y asi «plenip…</t>
  </si>
  <si>
    <t>Idem, Josef</t>
  </si>
  <si>
    <t>Josef Idem</t>
  </si>
  <si>
    <t>…ad Alquileres de casas. de reintegro por mano de un señor Por entregas que ha hecho el admi eclesiástico............................................ 8S7 2 nistrad.-.r de este ramo D. Josef Idem por un individuo de la sección Antonio Diaz...................... 2082 27 de hospitales........................................ I )CO Idem su compañero D. Juan Crisós- Ventas. tomo Bustillo....................................... 4615 24 Por la de un copon peq…</t>
  </si>
  <si>
    <t>Idiaquez, José Ramón de</t>
  </si>
  <si>
    <t>José Ramón de Idiaquez</t>
  </si>
  <si>
    <t>…dra, 6 id. D. Martin de Guisasola, 6 id. D. Jo sé Matías de Elizalde, 2 id. D. Antonio Saenz de Tejada, 2 id. D. Manuel de Santiago, 1 id. D. Martin y D. Felipe Osambela., 10 i'd. D. José Ramón de Idiaquez, 8 id. D Ignacio de Santiago, 6 id. D- Andrés Reboredo, 6 id. D, Antonio Baras, 6 id. D. Manuel de Urlonagoena y Aramburu, 5 id. D Francisco Marta Zuloaga, 5 id. D Vicenta de la Riva, 4 id. D José II pólíto y D Ambrosio íbañez, 4 id. D. Juan Miguel de Castañe…</t>
  </si>
  <si>
    <t>IDurde</t>
  </si>
  <si>
    <t>- i -En la batalla del 22 mtirid- él mariscal IDurde y eí general 'Ke*- ? rcgener: al mariscal íilortier parece que también le alcaná tina Ma, * y se Je supone ya muerto. También los generales Francquemonti' Lorenat y Bruyere quedaron heridos en' estas acciones. Los irán ceses pasaron el Elba por WiHiamBurgo ,…</t>
  </si>
  <si>
    <t>Ig</t>
  </si>
  <si>
    <t>…artas de Bilbao la siguiente copia del par te que el Exorno. Sr. D. Gabriel de Mendlzabal, teniente general, y coman dante en gefe de la izquierda del quarto exército, comunicó al coronel D. Ig nacio de Unceta , gefe de la primera brigada de la séptima división del mismo. MÍ ayudante de campo el teniente coronel D. Josef Cistue , desde el quartel general del Exento. Sr. Lord Duque de Ciudad-Rodrigo en Vitoria á 22 del corriente , me dice lo que copi…</t>
  </si>
  <si>
    <t>Iglesias, Narciso</t>
  </si>
  <si>
    <t>Narciso Iglesias</t>
  </si>
  <si>
    <t>473</t>
  </si>
  <si>
    <t>…n do D Manuel Llauder ha llenado todo3 mis deseos , obrando con su acreditado valor : este gafe me recomienda su tropa, en especial la compañía de cazadores, y particular mente su capitán D. Narciso Iglesias, al sargento segundo José Araci y al cabo primero José La* rsarca de su misma compañía, á quienes dice considera acreedores á un premio, y yo lo hago presente á V. E. para que elevándolo á conocimiento de S. A. resuelva lo que sea de su agrado. „Los vándalos…</t>
  </si>
  <si>
    <t>…tán el coronel graduado D. Martin Bel Unas, se emboscase al lado de ía puerta de Francia, con orden de sorprehenderla ai momento que la abriesen, y la de cazadores, al mando de su capitán D. Narciso Iglesias, á la puerta de España con el mismo objeto. El éxito correspondió á nuestros deseos; pues al instante presentaron al expresado comandante (con las llaves en ía mano) al que habia abierto. La guardia que estaba formada x la puer ta de 24 hotñbres intentó levan…</t>
  </si>
  <si>
    <t>…el de su brigada , quien dice le apoyó en todas las opert cíónes. «• Elogia el acreditado valor con que se porté en las tropas de la derecha el capitán dé cazadores dé S. Fernando D. Narciso Iglesias, su ayudante de campo, é igualmente el que manifestó D. Juan Rimbaa, ca piran de granaderos del mismo regimiento, defendiendo la posición av nzada con su compañía y los caradores de Tarragona y SL Fernando.1 •• : • » Todo lo qué tengo él • héhor de * ponerJ e…</t>
  </si>
  <si>
    <t>Iglesias-, Narciso</t>
  </si>
  <si>
    <t>Narciso Iglesias-</t>
  </si>
  <si>
    <t>477</t>
  </si>
  <si>
    <t>…ei coronel graduado D. -'Martin B di más , se emboscase aliado de la puerta de Francia con érd-en de sorpreh-onderla al momento que la abrieren, y la de caza lores al raa&amp;do de su capitán D. Narciso Iglesias- á la puerta de España eos el mismo objeto. Al abrir la puerta la guardia de 24 hombres que estaba for* (1) Véase la gaceta anterior*</t>
  </si>
  <si>
    <t>Ignacio</t>
  </si>
  <si>
    <t>…D Juan Ignacio Peña, D Diego OteruimDi Gabriel Alegría , D. Félix Sarasa $ D. José Labiano , D. Francisco Morillo , D, Juan Jaurrieta, D. Bartolomé Guiberalde, D- Antonio Ugarte, D. Ignacio "Echeverría, D. Pedro Echegoyen , D. José María Gurrea, D. Francisco Erdozain , D. Ma nuel Sauca, D. Agustín Apezteguia, D. Martin Benuza, D. Miguel Tolqsana , D. Juan Bautista Acosta , D. Xavier Azanza , D. Juan de Ortigosa, D, Basilio Oilabarren , D. Sebast…</t>
  </si>
  <si>
    <t>…is lo necesario ¿ su cumplimiento. — Gabriel Ciscar, presidente. — Ausente D. Joaquín Blake, con permis o de las Cortes. — Pedro de Agar. — En Cádiz á 22 de Setiem bre de 1811. —A D. Ignacio de la Pezuela. Continúa la lista de los vales de duplicada renovación. Clases y números con que Sugetos á quienes estasa N.° de vales. van señalados. renovados. De 600 ps. de Setiembre de 1808. r 246 2626 41841 411 2700 4583 494 2737 4643 555 2983 4821 801 29…</t>
  </si>
  <si>
    <t>…, alcalde. Barrio del Hospital General. D. F rancisco Oliva, substituto primero. D. Josef Martínez , substituto segundo. D- Siiverio Perez , alcalde. Barrios a. Guardas de K,otps. D. Ignacio fichar, substituto primero. D. Andrés del Peral, substituto segundo. D. Ventura Alcalde , alcalde. Barrio de Santa Isabel. I&gt;. Vicente Rodríguez , substiruto primero. D. Felipe Guelves, substituto segundo. D. Josef Domínguez, alcalde. D. Manuel de Cereceda ,…</t>
  </si>
  <si>
    <t>…al, 25. D. Martin y D. M guel Ventura Oáambela, por su {demento hecho con calidad de reintegro , á causa de la precipitada salida del baque, 2309. — T tal, 20000. Ademas los Sres. D. Ignacio y D. Manuel de Santiago han cedi do por vía de donativo los proventos del encaxona lo, Hete y conta do de los 20000 ps. anteriores que conduce su fragata Comercio. Li ma y (Octubre i 7 de 1812. El apuntamiento de la M. N. y M. L. ciudad de Lima ba ofre cido 25000 pesos de donativo,…</t>
  </si>
  <si>
    <t>…74 cañones, y El 20 de enero de este año falleció en esta cor de la fragata Galatea. te á los 54 años y 23 dias de edad el Excmo. Sr. El tercer ensayo tiene por objeto el cordage. D. Ignacio de muzquiz y Clemente, marques de Es notable la prontitud con que se deteriora un Muzquiz, caballero comendador de la Orden Real cordage blanco que está sumergido en el agua, y de España, consejero de Esrado, 6 inspecror gene que embreándole es infinitamente…</t>
  </si>
  <si>
    <t>PORTUGAL. Lisboa de Julio* L1 30 del mes pasado tuvo su primera audiencia de nuestro go bierno en el palacio de sus sesiones el Sr. D. Ignacio de la Pezuela, caballero de la orden de Cáríós III, y notario mayor de los reynos, quien presento sus credenciales de enviado extraordinario y ministro plenipotenciario de S. M. C. para residir cerca de este gobierno... ESPAÑA. Urbasa 2j&gt; de Mayo. Continúan l…</t>
  </si>
  <si>
    <t>…la escolta , hu yendo-y dispersándose todos los demas, PORTUGAL, JLisboa 3 de julio* El 30 del mes pasado tuvo Audiencia de nuestro gobierno en el palacio de sus sesiones el Sr._ D. Ignacio de la Pezuela, caballero de la orden de Carlos ni, y notario mayor de los reinos; quien presentó sus credenciales de enviado extraordinario y ministro plenipotenciario de S. M. C. para re sidir cerca de este gobierno. Del Hemos extractado de las gazetas de Lo…</t>
  </si>
  <si>
    <t>Ignatios</t>
  </si>
  <si>
    <t>…leerse sin conmoción. tinguir por medio de virgulillas ó con caracteres El señor Mustoxidi ha dedicado su trabajo al diferentes siquiera el fragmento precioso que ha mui reverendo arzobispo Ignatios , ilustre bienhe descubierto; lo qual en nuestro concepto hubiera chor de la Grecia, protector sabio de las musas, sido mucho mas cómodo para los lectores. que acaba de fundar una excelente sociedad litera En el prefacio, que le forma una carta dirigida ria e…</t>
  </si>
  <si>
    <t>Ihañez, Domingo</t>
  </si>
  <si>
    <t>Domingo Ihañez</t>
  </si>
  <si>
    <t>…arte , D. Faustino Irigoyen , D. Antonio Ladrón, D. Antonio Zabalza, D. Felipe Vicuña, D Manuel Arragu i, D Manuel Otayza, D Ramón Tajonar, D. José Hernández, D. Gregorio Beriani, D. Domingo Ihañez, D. Eusebio Ocha de Alda, D Angel Estabulo, D Valerio Landache, D. Miguel Villacampa, D ’B'-roardo Eohsdecu, D. Cosme Vi'Hacampa y D. Ma nuel ■ 8alave.ru : á subtenientes dé fusteros á D. Ramón Gómez, D. Juan Migad de Iriso, D. Manuel Beriain, D. Manuel Gurpi…</t>
  </si>
  <si>
    <t>II, Fiaucisco</t>
  </si>
  <si>
    <t>Fiaucisco II</t>
  </si>
  <si>
    <t>…ltarían de es ta unión grandes sucesos» y á la conclusión de la guerra podda fá cilmente el Austria ser indemnizada á costa de la Prusia C mo esta respuesta no pueda satisfacer al emperador Fiaucisco II, es pro bable que se naya determinado á tomar nn partido decísiv j. Un sugeto que ha llegado á e?ta capital procedente de Víena, y ha atravesado la Bohemia» Prusia y Mecklenburgo, refiero que (1) En las mismos periódicos dende se anuncia la salida del tirano…</t>
  </si>
  <si>
    <t>II, Francisco</t>
  </si>
  <si>
    <t>Francisco II</t>
  </si>
  <si>
    <t>…e que no reyna la mejor armonía entre esta potencia y la Francia. £1 príncipe austríaco Schwartsenberg llego á París el 9 del corriente» y según dicen , ha traído el ultimátum del emperador Francisco II» por el cual pide á B ^ñaparte la restitución del Tirol, el puerto de Trieste» y parte de sus antiguas posesiones en Italia. Dícese ha ber respondido B¿ñaparte qne si accede ahora á tales proposicio nes» parecerá que lo hace forzadamente» cuando al contrario…</t>
  </si>
  <si>
    <t>IIdi</t>
  </si>
  <si>
    <t>556</t>
  </si>
  <si>
    <t>…á las 10 de la noche salieron, de Toledo los enemigos en numero de 300 infantes y 49 caballos, dirigiéndose á ia villa de Polan con intento de sorprehender á tía edecán ingles del general IIdi; io qus censigaier&amp;ii á las 2 de Li misma noche, y al di» siguiente le condujeron á Toledo : algunos oficiales espa ñoles que había en la mÍ3ma villa en observación, pudieron liber tarse disfrazados. Según noticias de Madrid que llegan hasta el 15han salido d…</t>
  </si>
  <si>
    <t>Iíleist</t>
  </si>
  <si>
    <t>…oíicíales, 3 de ellos del estado mayor. —• El exércho pardo de aquí,, y está en movimiento scbie la izquierda. Ei cuerpo del general Wittgenstein estaba ayer en Commotau, y el del general Iíleist cerca de Brux. Los austríacos marchan sobre Chemnitz-— Seeun O avisos que teñe tíos , Napoleón , acompañado del. rey de Saxonia y su familia , partió para Leipíick el 28 de Setiembre, y añaden que se transfirió allí el cuartel general. El cuerpo francés del m…</t>
  </si>
  <si>
    <t>IIo-</t>
  </si>
  <si>
    <t>…S. M. respecto á la proposición que se ha cámara no tienen otro Jenguage: no son la obra de hecho» según se dice, relativamente al cange de ninguna sugestión extraña, y él mismo (lord IIo- prisioneros, y que no ha tenido efecto. En la ig lland) había aconsejado á los suplicantes el que no norancia en que nos hallamos de las circunstancias las presentasen al parlamento en esta época por te de esta negociación no acusará á los ministros de la mor…</t>
  </si>
  <si>
    <t>Iíodirigiesen</t>
  </si>
  <si>
    <t>…dencia ; pero que 110 seria mas quenen sin duda motivos temporales , y se debería ha temporal. berles combatido mas bien por providencias que se Lord Stanhope es de la opinión del lord Iíodirigiesen á la conciliación, que por expedientes lland; y extendiéndose en seguida sobre la conduc tan violentos como el que se propone. Esta provi ta del gobierno, dice que estos males y ultrajes son dencia traspasa ademas los principios hasta en sus ins- efecto tanto…</t>
  </si>
  <si>
    <t>Iíope</t>
  </si>
  <si>
    <t>…nfelices se han suscrito. -—Las sumas que produxo en Londres la suscripción que se abrió para socorrer á I03 rusos, se enviaron ya á Rusia éa la misma fragata en que se embarcó ei general Iíope. Los rusos han tomado amistosamente posesión de la ciudad de Meinel eu la Prusia oriental, y han sido cordialmente recibidos por los miiitarés y por lodos los hibiiantes. Se ha descubierto en Liorna una grande conspiración tramada Contra I03 franceses. El gen…</t>
  </si>
  <si>
    <t>IJiiler</t>
  </si>
  <si>
    <t>…ante VerhHÍIr que manda la esesadra del Texel , ha rehusado entregarla al gobier no provisional; y se supone que solo espera pt¡ra ello á la llegada del Staáthomáer. Pro: lama del general IJiiler desde 2rento en de Octubre de iSrg. ¡Pueblos de la Italia! He pasado los Alpes eon un exén-ho de 6cS hombres, y piso ya los campos de Italia. La divina Provi leuda va poniendo no á la tiranía que es oprimí® ; que sacriffe-ó • vaerrrá ju ventud en el norte de…</t>
  </si>
  <si>
    <t>IL</t>
  </si>
  <si>
    <t>…rdo Perez Ma reo. = D. Antonio Bernabeu, presbítero. = Licenciado D. Joaquín Moliner, abogado. z= Licenciado- P. Antonio"Colomer, abogado. = Sr. D. Bernar do Falcó , presbítero. = Sr. IL iXÍartiniatio- francisco, Pastor. = Licenciado 1&gt;. Tadeo Ignacio Gil, abogado. = Licenciado, I). Francisco Antonio.AguJló. = $r. D. Josef Miralles, canónigo.-sSr. D. Ramón Cubells. - . ' t Suplentes.A * Sr. D. Pedro Vicente Calvo % presbítero, es El coronel D…</t>
  </si>
  <si>
    <t>Ilarraza, Ramón Diez de</t>
  </si>
  <si>
    <t>Ramón Diez de Ilarraza</t>
  </si>
  <si>
    <t>n dante del tercer batallón D. Ramón Diez de Ilarraza, y en 13 contu sos. Si el enemigo no hubiera tenido cubierta la espalda con la mis ma plaza de Pamplona, de la que por dos veces se surtió de muni ciones, y también asegurada su posición á la que defendía su artille ría, no du lo que el ardor y valentía de mi…</t>
  </si>
  <si>
    <t>Ilarrñón</t>
  </si>
  <si>
    <t>…a-de 3a , dos de 10, &lt; r embarcaciones de guer ra de t8 ,~dos dé tó,y otros cinco ó-seis buques Chilihhote octubre. menores. : No tenemos aquí noticia alguna del exérciro. P&lt;1 GÉl general Ilarrñón se hallaba ayer en Fr.mkling- Mr. Maddisson *erá sin duda nuevamente ele ton, villa situada sobre el Scioro, á 43 millas pbcó gido presidente de los Estados-Unidos. El viernes mas ó menos de esta plaza. Creíase que ayer sal próximo pasado se hizo en la Pensil…</t>
  </si>
  <si>
    <t>Ilawaisky</t>
  </si>
  <si>
    <t>345</t>
  </si>
  <si>
    <t>345 Oliva; poro fueron rechazados con pérdida. E\ conde Platow envió grandes partidas de caballería kácia el Oder. El cuerpo del mayoT general Ilawaisky tomé posición de Lauen» burgo , donde halló un pequeño almacén. Dia 3. El cuartel'general del emperador y del general en gefe •e trasladó ayer á Radzesms. Un cuerpo de cosacos’, que precadia á las columnas del exército grande y marchaba delante de la va aguar…</t>
  </si>
  <si>
    <t>Ilawkesbury</t>
  </si>
  <si>
    <t>…tado de V. AL" land, el conde de Chatam , el conde de Bathurst, el vizconde Castlereagh , lord Mulgravc , el señor Información sobre ía conducta de la princesa secretario Canningy lord Ilawkesbury, de Gales.* „ Los ministros de V. M. en cumplimiento de Declaración de Carlota lady Douglas. vuestras reales órdenes han examinado coa suma atención las acusaciones, el informe primitivo, las „AIe parece que en el año de i8ot adquirí el declaraciones original…</t>
  </si>
  <si>
    <t>Ildefonso</t>
  </si>
  <si>
    <t>…poder de la muger de Mendoza; los que repartió sobre el acto á los soldados: no tuvo mas daño su compa ñía que algunos soldados contusos de pedradas. — El segundo es del teniente coronel D. Ildefonso de la Torre, escrito en Xerecuaro á 31 de Julio, participando haber llegado á aquel pueblo, escoltando el convoy que ib3 á Valladolid, á las 5 de la tarde sin novedad; y que á las 5 y inedia fné atacado por un escuadrón de rebeldes de 150 ginetes. La guardia…</t>
  </si>
  <si>
    <t>Ilendelet</t>
  </si>
  <si>
    <t>i lo Se asegura que la* di visión del general Ilendelet berse efectuado durante el verano, y no durante el pasa á Tiisit-, adonde ;e dice que Iva llegado el dé invierno. cimo cuerpo. Este, que no lia hedió muchas mar Del i 8. chas, está brillante. Tiene 30O hombres. Nuestro Desde el 3 a! x 5 de este mes se han ext…</t>
  </si>
  <si>
    <t>Ilill</t>
  </si>
  <si>
    <t>…ada. El 24 de Diciembre tuvo el mariscal Soult un gran bayle en la casa arzobispal. Parece que dio orden de que todas las personas, de ambos sexós , que con currieron al bayle del general Ilill, lo debían verificar al suyo. El único convento que había quedado ileso., que es el del Cármen. 1« han arruinado para hacer, hornos de galleta. Los franceses de esta ciudad aun no han entablado correo para Madrid. Ei número de franceses del Horcajo es de 800…</t>
  </si>
  <si>
    <t>Iludlar</t>
  </si>
  <si>
    <t>…rá de individuos obligados á servir por solo un de los Estados-Unidos la Constitución, comandada año. Se discurrió al principio que la perspectiva de por el capitán Bainbridge. El teniente Iludlar saltó este servicio por tiempo tan limitado perjudican,! al á tierra con el parte siguiente de una nueva victo alistamiento de los demás cuerpos, cuyos individuos ria que acaban de conseguir nuestros valientes ma se obligan por cinco .años; pero este rezelo l…</t>
  </si>
  <si>
    <t>Ilzarbe, Matías</t>
  </si>
  <si>
    <t>Matías Ilzarbe</t>
  </si>
  <si>
    <t>…tes fuerzas se abocaban á la carretera y puntos de riesgo. A pesar de esto , el enemigo hizo movimiento, y en derechura se encaminaba á ocupar las dos piezas indicadas. El caÍntan D. Matías Ilzarbe les salió al encuentro con una partida de 200 íombres; el convoy se acercaba , y el enemigo estaba encima: las fuerzas de este consistían en 200 infantes y 400 lanceros , que á las primeras descargas de Ilzarbe , huyeron ignominiosamente con pérdida</t>
  </si>
  <si>
    <t>…quitar la guarnición , y lo he conseguido. Durante el sitio , aunque mi pérdida no pasa de 50 heridos y 9 muertos , la hace mas sensible la de haber cabi do esta'suerte al bizarro capitán D. Matías Ilzarbe, joven digno de eterna memoria, que ha sido llorado de todos. También ha muerto.Don José Suescan , que por su afición á la artillería se liaIIaba de agregado á esta arma, al tiempo mismo-que iba á aplicar una camisa embreada á la puerta de una casa contigua a…</t>
  </si>
  <si>
    <t>Imaz</t>
  </si>
  <si>
    <t>…mi llegada me pasó el coronel Lombera el parte número 4. ’: entró con su disciplinada división, y quedará con ¿000 hombres de guarnición en este punto para su futura seguridad: el coronel Imaz pasa á tomar el mando de Oruró y su carrera: el brigadier Ramírez, con fuerza respetable, va á Clt«yanta; y orga nizada aquella provincia, se reunirá conmigo en Charcas, para don de salgo con el brigadier Picoaga, real de Lima, caballería y artille ría queíra…</t>
  </si>
  <si>
    <t>Imaz, Juan de</t>
  </si>
  <si>
    <t>Juan de Imaz</t>
  </si>
  <si>
    <t>97</t>
  </si>
  <si>
    <t>97 cito al mando del valiente coronel D. Juan de Imaz , cuyo parte es adjunto con el número l.° sobre la derrota de aquel insurgente. El exército anduvo el mismo día 6 leguas, reduciendo á ceniza todo au parque, y deseoso de medir su valor y esfuerzos con nuestros atroces enemigos. ,,Cochabamba fundaba sus esper…</t>
  </si>
  <si>
    <t>Infantes, José</t>
  </si>
  <si>
    <t>José Infantes</t>
  </si>
  <si>
    <t>…para que otro húsar le hiriese con la pistola , acción nada decorosa á unas tropas que equivocadamente se glorían de hacer la guerra con- generosidad; pero los valientes tenientes D. José Infantes y D. Juan Cabezas les enseñaron con escarmiento á medir su sable con fuerzas duplas. Seria iüjisto si omitiese expresar ¿ V. S. los servicio* nunca bit n ponderados de los capitanes de infantería Don Juan Pineyro y D. Vicente Sánchez, quienes con sus 2 subalternos D. José Henc…</t>
  </si>
  <si>
    <t>Información</t>
  </si>
  <si>
    <t>…primer secretario de sello privado (Westmorland), el duque de Port- Estado de V. AL" land, el conde de Chatam , el conde de Bathurst, el vizconde Castlereagh , lord Mulgravc , el señor Información sobre ía conducta de la princesa secretario Canningy lord Ilawkesbury, de Gales.* „ Los ministros de V. M. en cumplimiento de Declaración de Carlota lady Douglas. vuestras reales órdenes han examinado coa suma atención las acusaciones, el informe primitivo, l…</t>
  </si>
  <si>
    <t>Ingelbcrg</t>
  </si>
  <si>
    <t>…el Zuidientes de la compañía. Y siendo esto asi, ;no derzee por los hielos el buque holandés el Jótyjí merecerá la atención de los ministros de S. M. una Carne lis, mandado por el capitán Ingelbcrg, á la cuestión en qu . se interesa la suerte de 200 perso altura y á la vista de la isla de Ulieland. Absoluta nas solamente en el distrito del Est ? ( Aplausos.) mente enclavado, estuvo haciendo señal» de socorro Mr. ThirlWal, domiciliado en el centro de est…</t>
  </si>
  <si>
    <t>Ingiis</t>
  </si>
  <si>
    <t>…uestas como de tres divisiones de infantería, por los vados que estaa de la parte inferior de Saiin, en frente de la po sición que ocupaba Ja novena brigada portuguesa. Mandé al ..general Ingiis que con la brigada de la séptima división de su mando sostu viese aquella; y tan luego como fui informado del orden de ataque del enemigo, mandé al teniente general lord Dalhowsie que con la séptima división de su mando marchase al Bidasca; y previne,á la div…</t>
  </si>
  <si>
    <t>Inglis</t>
  </si>
  <si>
    <t>fie la tercera división , fué vigorosamente atacada en su marcha por una fuerza bien formada y muy superior á ella, y sin embargo la rechazo, sostenida por la brigada del general Inglis, de la sépti ma división, mandada por el coronel, Graant del regimiento 82. Estos oficiales y las tropas desu mando se distinguieron. „La brigada del mariscal de campo Bandeleur, de la división li gera, durante el avance contra Vitoria, estuvo destacada para…</t>
  </si>
  <si>
    <t>…olvllle , de la tercera división , fue vigorosamente atacada en su marcha por una fuerza bien formada y mui superior á ella, y sin embargo la rechazó ^sostenida por la brigada del general Inglis, de la séptima división , mandada por el coronel Graham, del regimiento 82.0 Estos oficiales y las tropas de su matado se distinguieron.O ,,La brigada del mariscal de campo Bandeleur, de la división h’g'era , du rante el avance contra Vitoria estuvo destacada…</t>
  </si>
  <si>
    <t>…ndé al teniente general lord Dálhowsie que con la séptima división dé su mando marchase al Bidasoa; y previne á la división ligera qrié sostuviese por todos los medios posibles al general Inglis. j „El general Inglis'halló que le era imposible mantener las. alturas entre Lesaca y el Bidasoa, y se retinó á' las qué estad enfrente dé S. Antonio, las que conservó:‘Eq él ínterin el mártscil dé'-caidpo Kempt marchó 'con Mi brigada de lá división ligera*á…</t>
  </si>
  <si>
    <t>Inglis'halló</t>
  </si>
  <si>
    <t>…l lord Dálhowsie que con la séptima división dé su mando marchase al Bidasoa; y previne á la división ligera qrié sostuviese por todos los medios posibles al general Inglis. j „El general Inglis'halló que le era imposible mantener las. alturas entre Lesaca y el Bidasoa, y se retinó á' las qué estad enfrente dé S. Antonio, las que conservó:‘Eq él ínterin el mártscil dé'-caidpo Kempt marchó 'con Mi brigada de lá división ligera*á Lesaca’; coH Itf'qtíé contuv…</t>
  </si>
  <si>
    <t>Intendente</t>
  </si>
  <si>
    <t>…uarde á V. E. muchos años. San Pe 13 de noviembre de 1813. = Wellington, duque de Ciudad-Rodri go, ss Excmo. Sr. D. Juan O-Donoju.” GOBIERNO POLITICO DE LA PROVINCIA DE MADRID. El Sr. Intendente general-del tercer exército me ha dirigido el oficio siguiente: «Teniendo considerables existencias de granos, menestras y aceites per tenecientes á este exército en los reinos de Granada y Jaén , ae su distrito, cuya conducción á estos puntos que ocupa es im…</t>
  </si>
  <si>
    <t>Iparraguirre, Juan Domingo de</t>
  </si>
  <si>
    <t>Juan Domingo de Iparraguirre</t>
  </si>
  <si>
    <t>…rto, que al año a© t;#XArá5a?de 4&lt;3b» efefe objiigfeioá 4rf t?ri%«ísis&amp;ii£.&amp;.yr^rba»!pr^teudiefitjfes se P^nt§^qop;.£oa^qíiWftfft^l los, seña res comisionados D. Agustín de Ustoa, D. Juan Domingo de Iparraguirre y^DojiJacinto de ínchattrrondo para «el dia 20 de enero próximo; en la inteligencia de que la próvisioifse hará por la villa el 3 t del mismo* en fií tifas oenetherito, pre vios informes de las quididades de los pretendientes. ~.............~ Se h*Jla vacaníe…</t>
  </si>
  <si>
    <t>Ipgiis</t>
  </si>
  <si>
    <t>…el mariscal de campo Kempt marchó con su brigada de la división ligera á Lessca, con io • que contuvo al enemigo, y cabrio-la marcea del lord Dalhowsie, cae -iba á unirse, con el general Ipgiis.. Completamente rechazados los ataques d&amp;l enemigo contra, iá posición del exército español en las.aburas de S. Marcial, y hallf.fido que el general Ingiis había tomado una .-posición,Me la qual no le ¡podían mover, v coir la que si mismo tiempo cubría y prot…</t>
  </si>
  <si>
    <t>Ipoly, Casimiro</t>
  </si>
  <si>
    <t>Casimiro Ipoly</t>
  </si>
  <si>
    <t>…primero. D. Manuel Valentín García , substituto primero. D. benito Trigo, substituto segundo. D. Agustin de la Calle, substituto segundoBarrio del Buen Suceso, QUARTEL de palacio. D. Casimiro Ipoly , alcalde. Barrio de S. Nicolás. D. Francisco Peralta, substituto primero. D. Mariano del Portillo, alcalde. D. Salvador Alarcon, substituto segundo. D. Vicente Puyol, substituto primero. D. Ventura López, substituto segundo. QUARTEL DE SAN MARTIN. Barrio del…</t>
  </si>
  <si>
    <t>Ira, Luis Perez de</t>
  </si>
  <si>
    <t>Luis Perez de Ira</t>
  </si>
  <si>
    <t>…stá á cargo del teniente D. Rafa-e! Sánchez ; en el dia 2 los de aritmética&gt; su profesor D. Jorge Gisbert;. en el 3 los de táctica de infantería , ba-xo la dirección del re siente D. Luis Perez de Ira ; en el 4 les de geometría, su profesor 3). Francisco Martínez de la Escalera ; en el 5 por la mañana los de álgebra , á cargo del mismo profesor , y por la tarde se exercitarorf en el manejo del sable ingles, español y llórete. Es inexplicable- la serenidad…</t>
  </si>
  <si>
    <t>Iracheta, Isidoro</t>
  </si>
  <si>
    <t>Isidoro Iracheta</t>
  </si>
  <si>
    <t>365</t>
  </si>
  <si>
    <t>…irse , hasta que consumidas del todo las municiones, hube de retirarme á Alquezar con la-perdida de 9 muertos y de 30 heridos, entre estos el teniente de granaderos de mi batallón D. Isidoro Iracheta. La de los enemigos ha sido de 150 muertos, entre estos un gefe de batallón , cuya pérdida les ha sido sumamente sensible , y algunos oficiales y 380 heridos, entre los que ha cabido la suerte al segundo comandante de la columna, que lo</t>
  </si>
  <si>
    <t>IrachMta, Isidoro</t>
  </si>
  <si>
    <t>Isidoro IrachMta</t>
  </si>
  <si>
    <t>…osio Dorregaray, D. José Mari a Larcano j Joaquín Mezquiriz, D. Santiago Arizavala, Dj Ildefonso Zizur, D.José Pinilla y D. Pedro Brull .* á tenientes de granaderos y. cazadores á D. Isidoro IrachMta, D. Martin de Yoldi, D. Martin Gastón, D. Vicente Pe- rez, D; Pedro Osta, D. PrudencLoBujandayD- José Orduna,D. An gel El vial de. D- Marianos Jlundain , D. Federico G billón , D. Luis Ganuza, Fan^ rancisco Ilundáin, D. Florencio Olabé ,&lt;D. Francisco Antonio…</t>
  </si>
  <si>
    <t>Irañeta, Vicente de</t>
  </si>
  <si>
    <t>Vicente de Irañeta</t>
  </si>
  <si>
    <t>…o: heridos un ca pitán , un subalterno y 17 cabos y soldados: contusos un sargento y un soldado. Notas. Primera. Los señores oficíales heridos son el capitán gra duado de teniente coronel D. Vicente de Irañeta; el teniente Don Santiago Medrano, y el subteniente D. José Miguel, del regimiento de Baza; el capitán D. Joaquín Manresa, y él teniente D. José An tonio de Miguel, de Leales Manresanos ; el subalterno contuso lo es «1 subteniente del regimiento de Baza D. Ju…</t>
  </si>
  <si>
    <t>Irazabal, Francisco</t>
  </si>
  <si>
    <t>Francisco Irazabal</t>
  </si>
  <si>
    <t>…á los nuestros en los mayores peli gros, y lo mismo hizo el padre capellán de la Corona Br. D. Fran cisco Bravo y el cara de Cuenco D. Bernatdino Finí , á los patrotas y valientes D. Francisco Irazabal, D.-José María Arañe bia y D. Raymundo Zaragoza , que acompañan á esta división y le son muy útiles; y al cabo de Ía Corona Vicente Barragán , que acom pañó á pie gran tiempo á ía caballería en el alcance. Recomiendo también á todos los individuos á% esta div…</t>
  </si>
  <si>
    <t>Irby</t>
  </si>
  <si>
    <t>…arina Gener, el guardia marina Kennikot, brero contiene lo siguiente: el quartel-maestre Kopel y . 50 marineros han sido „ Nuestra expedición está siempre quieta. Lord muertos; el capitán Irby herido en dos partes, ha Bentinck ha creido, as: como lo habiamos conjetu biéndolo sido también muchos pasageros y 90 hom rado hace la reo tiempo, que su presencia era mas bres entre marineros y soldados. necesaria en Sicilia que no sus servicios aquí, y es A…</t>
  </si>
  <si>
    <t>Iriarte, León</t>
  </si>
  <si>
    <t>León Iriarte</t>
  </si>
  <si>
    <t>…á D. Miguel María Iribarren y D. Manuel Garrea: á sargento mayor á D. Claudio Ich^so : á capitanes á D. Ramón Echeverría , D. Lo renzo Mauleon, D. José Clemente, D. Pedro Francés, D. León Iriarte, D. Pedro Viilarroya, D Domingo Josué y D. Diego Cebadua; á ayudantes á D. Francisco Moñones , D. León Amedo, D. Manuel Mecolalde y D. Atanasio Mendivil: á tenientes á D. An drés Berrueta, D. Mariano Sauz, D. Juan Ignacio Noain, D. Fran cisco Azcarate , D. Ma…</t>
  </si>
  <si>
    <t>Iriarte, Severino</t>
  </si>
  <si>
    <t>Severino Iriarte</t>
  </si>
  <si>
    <t>…eridos, entre estos 3 coroneles, de les que uno murió al dia siguiente, y muchos oficiales. Nuestra pérdida es de 3 muertos, entre estos ei teniente co ronel del cuarto regimiento D. Severino Iriarte, un primer ayudan te, un capitán, 4 tenientes y un subteniente fueron heridos, y 67 soldados. Todos los señores comandantes de los regimientos demos traron ser dignos del puesto que ocupan por su zelo y buena dispo sición en las maniobras, así como también lo…</t>
  </si>
  <si>
    <t>Iriarte, Vicente Irañeta de</t>
  </si>
  <si>
    <t>Vicente Irañeta de Iriarte</t>
  </si>
  <si>
    <t>…r, llenando y desempeñando cada cual en ss» clase los deberes da su obligaron* habiéndose distinguido coa particularidad, contribuyendo á la defen sa, el teniente coronel graduado D. Vicente Irañeta de Iriarte, ca pitán de Baza , que mandaba la vanguardia , y el d? igual clase IX José de Fontanilías, capitán de Leales , que maadaba el reducto; D. José CUriana, capitán de la compañía de granaderos del mismo cuerpo de Leales; y á los señores oficiales y tropa de las…</t>
  </si>
  <si>
    <t>Iribarren, Miguel María</t>
  </si>
  <si>
    <t>Miguel María Iribarren</t>
  </si>
  <si>
    <t>…se ha servido S. A. promover en el regimiento de caballeril ligera húsares de Navarra de la misma división á teniente coronel á D. Juan José Cnlchaga; á comandantes de escuadrón á D. Miguel María Iribarren y D. Manuel Garrea: á sargento mayor á D. Claudio Ich^so : á capitanes á D. Ramón Echeverría , D. Lo renzo Mauleon, D. José Clemente, D. Pedro Francés, D. León Iriarte, D. Pedro Viilarroya, D Domingo Josué y D. Diego Cebadua; á ayudantes á D. Francisco Moñones , D. León Amedo,…</t>
  </si>
  <si>
    <t>Iribarren, Victoriano</t>
  </si>
  <si>
    <t>Victoriano Iribarren</t>
  </si>
  <si>
    <t>…D, Luis A lamo, D Francisco íturralde, D. Miguel Ube’za , D. Xavier Mariotegni, D Fermín Adrián, D. Francisco Miranda, D. laucas Zubkta, D. Vicente Larraga, D. M ¿mano Onnaeckea, D. Victoriano Iribarren , D. Juan José Tercero, D. Ignacio Lasa, I), Tomas Faudiño, 1). Gregorio .Eche» garay, D. A n Ionio Arzola, D. Jacinto O na , D José Vinegra, D. Santos Besga , D. Joaquín Ruiz, D. Ma uel Clemente, D. Ra món Marañon , D. José Albumes, D. José Luizaain , D. Fra…</t>
  </si>
  <si>
    <t>Irigoyen, Faustino</t>
  </si>
  <si>
    <t>Faustino Irigoyen</t>
  </si>
  <si>
    <t>…: á subtenientes de granade ros y cazadores á D. Fermín Izu , D Sebastian Echarte , D. Mariano Oliver, D Dionisio Antoñana, D. Antonio Andia, D. Eusebio Oraá , D Mariano Gayarte , D. Faustino Irigoyen , D. Antonio Ladrón, D. Antonio Zabalza, D. Felipe Vicuña, D Manuel Arragu i, D Manuel Otayza, D Ramón Tajonar, D. José Hernández, D. Gregorio Beriani, D. Domingo Ihañez, D. Eusebio Ocha de Alda, D Angel Estabulo, D Valerio Landache, D. Miguel Villacampa, D ’…</t>
  </si>
  <si>
    <t>Iriso, Juan Migad de</t>
  </si>
  <si>
    <t>Juan Migad de Iriso</t>
  </si>
  <si>
    <t>…lda, D Angel Estabulo, D Valerio Landache, D. Miguel Villacampa, D ’B'-roardo Eohsdecu, D. Cosme Vi'Hacampa y D. Ma nuel ■ 8alave.ru : á subtenientes dé fusteros á D. Ramón Gómez, D. Juan Migad de Iriso, D. Manuel Beriain, D. Manuel Gurpi-</t>
  </si>
  <si>
    <t>Irsniguin, Francisco Xavier</t>
  </si>
  <si>
    <t>Francisco Xavier Irsniguin</t>
  </si>
  <si>
    <t>…era, alcalde segundo D. Francisco Cuba, alférez real D. José Zavala, alguacil mayor D. Pablo Ignacio Arca? a, alcalde provisio nal D. José Míralles, y regid* res D. Manuel Uibina, D. Francisco Xavier Irsniguin, D. Miguel Gil y D. Ignacio Xavier de Emasabel; el cual se hará extensivo a los regidores D. Martin José de Echave y D Manuel Quintano y Valera, al síndico procurador ge neral D. Juan Eitéban de Cueto, al regidor provisional D. Ignacio Garcés, y al asesor del…</t>
  </si>
  <si>
    <t>Isabel</t>
  </si>
  <si>
    <t>…que mas sobresalían en ellas de la irregularidad de aquel stetema' pues mas 'adelante el Venerable arzobispo deñGrááada D. Fr. Fetnafido de Talávera, confesor de la Reina Católica Doña Isabel, qué había establecido la inquisición en sus estados de Castilla, sufrió la persecución^ mas rigurosjr por los inquisidores-de Córdoba; habiendo experimentado la misma suerte D. Fr.¿ Bartolomé-dt Carranza, arzobispo de Toledo, el P. Fr. Luis de Leon, el verfe…</t>
  </si>
  <si>
    <t>Isabel, Mana</t>
  </si>
  <si>
    <t>Mana Isabel</t>
  </si>
  <si>
    <t>…=. En Cádiz á 11 de Junio de 1013. = A IX Antonio Cano Manuel. La Regencia del reyno ha mandado se vista la corte de gala en celebridad de haber dado á luz la Sra infama de España D. Mana Isabel, esposa de S. A, R. el príncipe hereditario de las dos Si cillas, un príncipe, á quien se 1c han puesto los nombres de Leopoldo Ben jamín José, empezando desde el lunes 5 del corriente. CADIZ; IMPRENTA NACIONAL: 1813.</t>
  </si>
  <si>
    <t>Isasi, José Francisco de</t>
  </si>
  <si>
    <t>José Francisco de Isasi</t>
  </si>
  <si>
    <t>…ortiguera, 1 id. D. Manuel López Díaz, 1 id. D. D amingo Ximenez, i id. D. Boni facio Vivanco, 1-id. D. José Sarria, 1 id. D. Mariano Sarria, 1 id. D. Juan Antonio Aramburu, 1 id. D. José Francisco de Isasi, 1 id. D. Ramón Eurivano, 1 id. D. Ramón de Azcarate, 1 id. D. Fran cisco Abasólo, l id. D. Juan Panero, 1 id. D. Juan Mella, 1 id. D. Miguel Jáuregui, 1 id. D. Rosendo Gao, 1 id. D- Antonio Her rero, 1 id. D. Vicente López y U. Manuel del Valle, 1 id. D. To…</t>
  </si>
  <si>
    <t>Ischapiitz</t>
  </si>
  <si>
    <t>…úmero de prisioneros, y persiguiendo el resto de Las fuerzas enemigas híista dispersarlas completamente. ,,Al mismo tiempo que rai vanguardia se dirigía desde Minsk á JBorisow, el general Ischapiitz y el coronel Loukowkin marcharon á Lembin,'aquel'para observar el paso del Berezina, y este para apoderarse de ios efectos que el enemigo se habia visto obligado á abandonar. Algunos destacamentos de Dombrowski hablan pasado yvb .este rio, y el coronel Loukow…</t>
  </si>
  <si>
    <t>Isiaut</t>
  </si>
  <si>
    <t>…ultas de sus heridas: todos nuestros generales de dividen han sido heridos, el general Cempsue en la espalda , el general Morand én la mexdla , el gene ral Dessaix en el brazo, el general Isiaut y su hijo en el muslo: también el mariscal fúé herido por dos veces. „Ya sabrás que soy coronel desde el 10 de 4gqsto. Si no se hace la paz este invierno, es probable que al fin de la primavera próxima vayamos á visitar á Petersburgo , y á poner en revolución…</t>
  </si>
  <si>
    <t>Isidoro</t>
  </si>
  <si>
    <t>693 Mo por arrojarse con la intrepidez que acostumbra, é Igualmente el del sargento Isidoro ; como los enemigos con quienes me batí eran de infantería, y como luego fueron reforzados con bastante número de igual arma, que salieron de Gurrea, á lo que se añade el no ha ber aun amanecido, pudieron salvarse; sí bien fueron acuchillados una buena porció…</t>
  </si>
  <si>
    <t>Islafoyo, Esteban</t>
  </si>
  <si>
    <t>Esteban Islafoyo</t>
  </si>
  <si>
    <t>…y IX Pedro Bónet, tenientes;: D. Manuel Mana Saliquet, ídem del de cazadores ; D..Pedro S.olis y D. Juan Martínez, subtenientes de granaderos,; D. Josef Heros» ídem,de ca zadores; D. Esteban Islafoyo, D. Josef Tejada, D. Jdsef Caña y.D. Fran cisco Vargas, subteniente del segundo de Asturias; I&gt;. Josef Rico, capi tán, y D. Juan de Odoqui, teniente del de Guadalaxara; D. Juan Loarte* coronel; D. Antonio Villegas y D. Antonio Martínez, tenientes; D. Luis •Al…</t>
  </si>
  <si>
    <t>Islaíoyo, Esteban</t>
  </si>
  <si>
    <t>Esteban Islaíoyo</t>
  </si>
  <si>
    <t>…o y D. Pedro Bonet, tenientes; D. Manuel María Saliquet, ídem del de cazadores; D'. Pedro Solis y D. Juan Martínez, subtenientes de granaderos; D. José Heros, ídem de cazado res ; D. Esteban Islaíoyo, D. José Tejada, D¿ José Caña y D. Francisco Vargas, subteniente del segundo de Asturias; D. José Rico , capitán; y D. Juan de Oüoqui, teniente del de Gaadalaxara; D* Juan Loarte, coronel; D. Antonio Villegas y D. Antonio Martínez, tenientes ; Don Luis Alcalá…</t>
  </si>
  <si>
    <t>Iso, Sebastian</t>
  </si>
  <si>
    <t>Sebastian Iso</t>
  </si>
  <si>
    <t>…al aproximarse á Huesca con el batallón , había resuelto to mar unos cuantos cazadores para entretener con ellos á los enemigos en el fuerte mientras que el alférez de caballería D. Sebastian Iso con 20 caballos recorría el mercado de aquella ciudad; y que habiéndose pre sentado en él dicho Iso, habia muerto y hecho prisioneros á 12 franceses que estaban paseando, sin darles lugar á disparar un tiro. ,, Ultimamente el comandante accidental del cuarto…</t>
  </si>
  <si>
    <t>Ita, Luis Perez de</t>
  </si>
  <si>
    <t>Luis Perez de Ita</t>
  </si>
  <si>
    <t>…está á cargo del teniente D. Rafael Sánchez; en el dia ^egündo Jos de aritmética, su profesor D. Jorge Gisbert; en el tercero los de táctica de in fantería , baxo la dirección del teniente D. Luis Perez de Ita; en el quaríá5 los de geometría, su profesor D. Francisco Martínez de la Escalera; en el quinto por la mañana los de álgebra, á cargo del mismo profesor, y por la tarde se exercitaron en el manejo del sable ingles, español y florete. Es inexplicable la sereni…</t>
  </si>
  <si>
    <t>Itarraza, Ramón Díaz de</t>
  </si>
  <si>
    <t>Ramón Díaz de Itarraza</t>
  </si>
  <si>
    <t>…, D. Hilario Mar co, D. Ramón Marichalar, D. Juan Badina y D. Juan Francisco Zarimluqui: á ayudantes á D. Pascual Sanz, D. Domingo Olejua , Don Juan Esteban Anant, D. Juan Monton ,D. Ramón Díaz de Itarraza, D. Ambrosio Dorregaray, D. José Mari a Larcano j Joaquín Mezquiriz, D. Santiago Arizavala, Dj Ildefonso Zizur, D.José Pinilla y D. Pedro Brull .* á tenientes de granaderos y. cazadores á D. Isidoro IrachMta, D. Martin de Yoldi, D. Martin Gastón, D. Vicente P…</t>
  </si>
  <si>
    <t>Itid</t>
  </si>
  <si>
    <t>…a-Dicha. D. Angel de Sata, substituto segundo. D. Rafael Flores, alca,Je. Barrio de la Latina. D. Manuel Gómez Delgado, substituto primero. D. Toaquin González de Castro, alcalde. D. Itid ro Castelas, substituto segundo. d. r vancisco Verdejo, substituto primero. Barrio de S. Placido. D. Juan Hermoso Daza, substituto segundo. D. M:guel de Tena, alcalde. . Banjo de S Francisco. D. J uau Ventura Apesteguía, substituto pri D. Josef Carranza , alc…</t>
  </si>
  <si>
    <t>Itnrbe, Manuel de</t>
  </si>
  <si>
    <t>Manuel de Itnrbe</t>
  </si>
  <si>
    <t>ÉSPAÑA. México jo de Febrero. Continúan los extractos de los partes de Nueva-Es paña. . 54. En 23 de ídem, el teniente coronel D. Manuel de Itnrbe é Xraeta, gobernador de Colorían, ataco en el cerro Blanco, á 3 leguas deí valle de Ruejucar, un pelotón de 300 bandidos, que al frente1 de Rafael Oropesa tuvieron la insolencia de esperar á los valientes ce tu división. Puestos en fug i los enemigos, y habie…</t>
  </si>
  <si>
    <t>Iturbide, Agustín</t>
  </si>
  <si>
    <t>Agustín Iturbide</t>
  </si>
  <si>
    <t>…que con otro forma el puerto de Yurira, y ha sido el deposito dé los robos de Alvino y madriguera de sus cuadrillas, al mismo tiem po que el capitán comandante del batallón mixto D. Agustín Iturbide rodeaba otro por el rumbo opuesto, quedando el Sr. García Conde con la artillería en el último parage transitable d.e'1 camino. Apoco andar oyeron-los .nuestros tiros de cañón, descubriendo como 500 enemigos, que desaparecieron al .llegar al puerto el Sr. Neg…</t>
  </si>
  <si>
    <t>Iturbide, Agustín de</t>
  </si>
  <si>
    <t>Agustín de Iturbide</t>
  </si>
  <si>
    <t>…iendo continuos refuerzos.ESPAÑA. México jo de Febrero. Continúan los extractos de los partes de Nueva-España. €1. Ei brigadier D. Diego García Conde recibió un parte del teniente coronel D. Agustín de Iturbide, con fecha 27 de Julio, en que le decía que ei 24 halló en el valle de Santiago de éoo á 700 rebeldes que le esperaban formados en una altura aparentando serenidad. Con el objeto de envolverlos había enviado de antemano al teniente de dragones de Puebla con u…</t>
  </si>
  <si>
    <t>Iturvide</t>
  </si>
  <si>
    <t>…rd n reúna inmedia tamente su tropa y la de la división que estaba al cargo del bri gadier D. Diego Ge reía Conde, la cual supongo quedaría á las ór denes de V. S., ó del teniente coronel Iturvide , y que de aten— diei do cualquiera otro objeto, marche sin tíHjtcion á Que étaio á rec¿b r c\ c tado convoy, á menos que detdr el punto en que Vh S. se h lie no encuentre por mejor encaminarse en d. rechura á Gua— naxuato á recoger las platas que ha dfe cond…</t>
  </si>
  <si>
    <t>…rvide con ios adjuntos pliegos que remito ¿ V. E. , oficiando al Sr. D. Ignacio García Rebollo para que á la ma yor brevedad y con toda seguridad los dirija á V. E. Por oficio del Sr. Iturvide de 20 del corriente quedo impuesto se</t>
  </si>
  <si>
    <t>…ecesario por lo mucho que ha traba jado para adquirirse nuevas glorias y laureles á las a ir as del rey. Aunque quisiera detenerme en esta á aguardar las platas que de be traer el Sr. Iturvide, y luego nt eg ríe el convoy que he condu cido de esa capital á esta ? no adelantaba en parte mi expedición, pues solamente me lleva de ventaja d.cho señor un dia , y s empre lo em baraza para sus expediciones militares, que son ve daderamente muy acertadas y…</t>
  </si>
  <si>
    <t>IV, Caries</t>
  </si>
  <si>
    <t>Caries IV</t>
  </si>
  <si>
    <t>…ones de dichas IsIííS ir al de Sonson nte. 3.0 Para animar á aquel giro conc den á Filipinas la gracia de pro rogarles por cuatro años la rebaxa de derechos que dispensó el se ñor D. Caries IV por su real cédula en S. Lorenzo á 4 de Octubre de i8o64 por lo re pectivo al permiso de los 500© pesos fue tes i y su retorno. 4.0 Li acción que gozaban los agraciados en las boleta* cesa con la supresión de la Nao, y la diputación provincal instruirá exp di…</t>
  </si>
  <si>
    <t>IV, TITULO</t>
  </si>
  <si>
    <t>TITULO IV</t>
  </si>
  <si>
    <t>…cas se determi abril de 1813. =Firmado=Napoleon.=:Visto por narán por un decreto del consejo. nos archicanciller del imperio. = Firmado=Cainbaceres.e=Por el Emperador, el ministro secretario TITULO IV. de Estado.5= Firmado = el conde Daru.” Del modo cómo se han de defender las fronteras ESPAÑA. del oeste y mediodía , y en especial los astilleros. Madrid 11 de mayo. 13. A tin de poder disponer de los 90© hom Extractos de ios periódicos de Cádiz. bres de la…</t>
  </si>
  <si>
    <t>Iv-bie, Napoleón</t>
  </si>
  <si>
    <t>Napoleón Iv-bie</t>
  </si>
  <si>
    <t>…e el res tablecimiento de esta era el primer peso para el de todo ei si t..ma político de ■ Europa, y considero el pe’i.ro que corría entonce* la Prusia como si le fuere común. El emperador Napoleón Iv-bie ya in sinuado en el mes de Abril al gabinete austríaco que .consideraba la</t>
  </si>
  <si>
    <t>IVal</t>
  </si>
  <si>
    <t>129</t>
  </si>
  <si>
    <t>…r diplomático (1). Entre los decretos que Bonaparte va (1) Es de extrañar este nombramiento habien do en París ernbaxador austríaco, i Si itabrá motivado esta novedad ¿a mistan de lord IVal* poli á Vienaf</t>
  </si>
  <si>
    <t>Iwan</t>
  </si>
  <si>
    <t>Gaceta de Madrid n.º 25</t>
  </si>
  <si>
    <t>…e que la conservación de nuestros dere- guerras intestinas, nunca los rusos hubieran sacudi ch os marítimos es el verdadero interes del poderío do el yugo de los tártaros. El gran duque Iwan t del pueblo de Inglaterra. (Se continuará.) logró por fin destruirla enteramente; pero no se hu biera atrevido á tan ardua empresa si no le hubie ran animado los generosos consejos de su rnuger la PROVINCIAS ILIR.ICAS. Princesa Sofía, nieta'de Manuel II, Emp…</t>
  </si>
  <si>
    <t>Izaguirre, Domingo</t>
  </si>
  <si>
    <t>Domingo Izaguirre</t>
  </si>
  <si>
    <t>…a de Chabin, en el obispado de Mondoñedo, y la segunda de esta corte, verificado baxo el testa mento que en unión formalizaron en ella en 6 de junio de 1811 ante el escribano real D. Domingo Izaguirre, y por el que después de sus vidas dispusieron que lo* bienes que quedasen se dividiesen en tres partes, úna para misas por sus almas, y las otras dos se repartiesen entre los hermanos de cada uno de los dos , y á falta de estos en sus hijos y sobrinos de la…</t>
  </si>
  <si>
    <t>Izcue, Francisco Xavier</t>
  </si>
  <si>
    <t>Francisco Xavier Izcue</t>
  </si>
  <si>
    <t>…al de campo D. Fian cisco Espoz y Mina. D. Martin y D. Miguel Osambela, 6000 ps. fs. D. Juan Bautista Oy&amp;rzabal y D. Pedro Abadía, 1000. D. Antonio y IX José Matías Eiizalde, 500. D. Francisco Xavier Izcue, 500. D Juan Bautista Errea, 500 D. .Loan Pcrtica, 500. D. José Arizmendi y D. Miguel Abnorza, 500. D. J sé Antonio Errea , 500. D. José Hipólito y Don Ambrosio Ibañez, 500 D Francisco María Zuloaga, 300. D. Pedso Moreno Altu-arra , 300 D. Juan Pedro Zelayeta…</t>
  </si>
  <si>
    <t>Izu, Fermín</t>
  </si>
  <si>
    <t>Fermín Izu</t>
  </si>
  <si>
    <t>…, D. Antonio Gastón, D. Tomas Otochoreua , D. Antonio Alvarez , D. Manuel Sesé , D Martin Martínez, D. Antonio Laso y D. José Moriones: á subtenientes de granade ros y cazadores á D. Fermín Izu , D Sebastian Echarte , D. Mariano Oliver, D Dionisio Antoñana, D. Antonio Andia, D. Eusebio Oraá , D Mariano Gayarte , D. Faustino Irigoyen , D. Antonio Ladrón, D. Antonio Zabalza, D. Felipe Vicuña, D Manuel Arragu i, D Manuel Otayza, D Ramón Tajonar, D. Jos…</t>
  </si>
  <si>
    <t>J, Sir</t>
  </si>
  <si>
    <t>Sir J</t>
  </si>
  <si>
    <t>…uoi. ii5. 913 GACETA DE LA REGENCIA DE LAS ESPADAS DEL JUEVES 9 DE SETIEMBRE DE 1813. GRAN-BRETASA. Lóndres 14 de Agosto. SECRETARIA DEL ALMIRANTAZGO 14 DE AGOSTO. "Á. Oficios del almirante Sir J.B. Warren , comandante en gefe de los buques de S. M. en los apostaderos de América y de las islas , dirigidos d John Wilson Croker, escudero. Abordo del Santo Domingo , rada de Hampton , /¿z Ckesapeake ^ ¿z 25 ¿iV Junio de; 18'ij* r i.° „Habiendo sabido que e…</t>
  </si>
  <si>
    <t>961 •GACETA DE LA REGENCIA DE LAS \ EL SABADO 11 DE SETIEMBRE DE 1813. 4RaK£8S2frJfc£ GRAN-BRETASA. * Londres 14 de Agosto, Concluyen los partes del almirante Sir J, B. Warreti. Abordo del Sto. Domingo , rada de Uampton, en la Ches ape ake d 27 de Junio de 18ig. 2.0 «Juzgando necesario desalojar al enemigo del .puesto que tenia en Hampton, defendido por un cuerpo de tropas considera* ble, y que dominaba la comunicación e…</t>
  </si>
  <si>
    <t>J-u</t>
  </si>
  <si>
    <t>…el brigadier Den: Miguel de 'Alcegá, para que dirigiéndose‘por la cordillera; de la derecha,, atacase el ala izquierda del indicado punto. El regimiento de Sevilla, a! car go del brigadier D. J-u..n Downie, que faldeando la cañada y atacase-de fren te; y el destacamento de capadores con el regimiento de Pravia, al mando este de su coronel el brigadier IL Francisco Moreda, y aquel ai del capitán? D. Lorenzo Coello Lumpo, á irfr inmediación en calidad d…</t>
  </si>
  <si>
    <t>Ja</t>
  </si>
  <si>
    <t>…idos con 360 hombres quando supe esta noti la vanguardia del exército del Noroeste, que cons cia, v partí inmediatamente con ellos y mi estado taba de iG hombres, inandados por el general Ja mayor con el objeto de alcanzar á un destacamen mes Winchester. Este ha sido muerto y descuar to de 3Q. hombres que aquella mañana habia salido tizado del modo mas horrible por los indios, y es para el rio de Raisin..-Efectivamente le alcancé á de temer se cu…</t>
  </si>
  <si>
    <t>…r,, no seria justo callar que el mariscal de campo D. José Antonio Latorre, el brigadier Don Juan Downie, y el primer ayudante gefe del estado mayor general de la primera división D. Ja cobo Escario, han tenido la buena suerte de sobresalir entre los valientes. Adjunto tengo el honor de inclnir á V. E. el estado de las pérdi das. Debe ser sensible la de tañ os bizarros militares; pero no es de extrañar, si se considera que el fuego duró casi…</t>
  </si>
  <si>
    <t>Ja, Francisco Manuel de</t>
  </si>
  <si>
    <t>Francisco Manuel de Ja</t>
  </si>
  <si>
    <t>…llas vereis mejor su próspero estado, que por lo que os i, aviso. , dixese yo ahora, aunque me extendiese mucho. La decidida resolución del Soberano de dispen Por fallecimiento de D. Francisco Manuel de Ja sar su protección con igualdad á todas las partes de Hcrran, vecino y del comercio de esta corte, natural su imperio, y llevar adelante siempre ci mismo sis del lugar de Polanco, montañas y obispado de Santan tema económico y administrativo no puede menos der…</t>
  </si>
  <si>
    <t>Ja, León de</t>
  </si>
  <si>
    <t>León de Ja</t>
  </si>
  <si>
    <t>…ampomanes y D. Fermín Rodrí guez; por la de S. Pedro D? Josef Teodoro Santos; por la de S. Josef D. Santiago Gutiérrez de Arinterof y marques de Castrefíuerte; por la de S. Míllan D. León de Ja , Cámara Cano, D: Antonio Marte 1 y D. Josef Martínez Moscoso; por lá de S. Salvador D:/Juan'de Lera'Cañó1; por da'de S. Luis D. Francisco Marchámalo y D. Fáustirrá‘Sánchez'Sevillano; por la de Santiago D. Cayetano Aravaca y el señor secretario del aytmtamibn…</t>
  </si>
  <si>
    <t>Jáaregui, Miguel</t>
  </si>
  <si>
    <t>Miguel Jáaregui</t>
  </si>
  <si>
    <t>…cisco Nnaez, 50. D. Manuel Odrinsola, 50 D. Fulg í c o Z avala, 50. D. Vicente Aborta, 50. D. Francisco Sagasti, 50. D. Pedro Larrañ ga, 25 D. Julián Psraz, 25 O. José Osorio, 25. D. Miguel Jáaregui, 25. D Juan Mella, 95 O. Alonso Ronero, 25. 13 Domingo Ufqu’jo. 25 1). José Oétolasa, 25. D. Fran cisco Muían Rodrí guez , 25. D Manuel Julián G rájales, 20. D. D «mingo Car dan , 20. í). Juan Matías (ribarren, 20. D. Gerónimo Urriza, 20. D. Joaquín M ^riiuez…</t>
  </si>
  <si>
    <t>Jacin, Roque</t>
  </si>
  <si>
    <t>Roque Jacin</t>
  </si>
  <si>
    <t>…les'fueron confiadas, como igualmente Jos oficiales em pleados á mis inmediat: s órdenes los tenientes D. Joaquín de Vel -.sco, y D. Manuel Caballero del Pozo, y los subtenientes D. Roque Jacin to Valle y D. Antonio Muñoz de Hervy.s que constantemente me acompañan, y en est^.s ocasiones exercén funciones de aquellos, en quanto son emple-dos pan? el mejor desempeño del servicio. «Pira el debido conocimiento de V. E. tengo el honor de rcompaiíerle el…</t>
  </si>
  <si>
    <t>Jacks</t>
  </si>
  <si>
    <t>…aron con gran va-; lor y orden, fueron ligeramente heridos el general, un oficial y 7 soldados. „En una partida reconocedora conducida el misma dia por el mayor general Donkin, el capitán Jacks y la tropa extrangera do caballería ligera, d teniente Miedonzsfii del departamento del ayu dante general, y el capitán Waldrop coa los granaderos del segundo batallón del regimiento 27 tuvieron la oportunidad de dar un ataque vigoroso contra un puesto enemig…</t>
  </si>
  <si>
    <t>Jacobi-Kleist</t>
  </si>
  <si>
    <t>…el aviso de la muerte del príncipe Kutusow de Smolenskó, y del nombramiento del Conde Wittgenstein de general en gefe de los exércitos rusos. Ayer ha llegado el embaxador prusiano barón Jacobi-Kleist, y un ede cán del príncipe Bernadotte, que dicen trae la noticia de haberse ajustado las desavenencias entre Suecia y Dinamarca.</t>
  </si>
  <si>
    <t>Jacome, Manuel</t>
  </si>
  <si>
    <t>Manuel Jacome</t>
  </si>
  <si>
    <t>…lazo de consecuencia en esta empresa. Llenaron su deber á completa satisfacción mia los capitanes D. Manuel del Pozo y D. Josef Cacho, el teniente D. Tomas Domínguez, y el alférez D. Manuel Jacome , mis ayudantes de campo , desempeñando con valor eo-: nocido quantos encargos:puse en su cuidado: también se hallaron á mi in—' mediación durante toda la batalla el teniente D. Joaquín de Velasco, y lossubtenientes D..Roque Jacinto Valle y D. Antonio Muñoz h…</t>
  </si>
  <si>
    <t>Jácome, Manuel</t>
  </si>
  <si>
    <t>Manuel Jácome</t>
  </si>
  <si>
    <t>…de consecuencia en esta empresa. ,, Llenaron su deber á completa satisfacción mía los capitanes Don Manuel dei Pozo y D. José Cacho, el teniente D. Tomas Domín guez, y el alférez D. Manuel Jácome, mis ayudantes de campo, desempeñando con valor conocido cuantos encargos puse á su cui dado: también se hallaron á mi inmediación durante toda la batalla los subtenientes D. Roque Jacinto Valle y D. Antonio Muñoz y Hervas, empleados á mis inmediatas órdenes.…</t>
  </si>
  <si>
    <t>…e han dex’do que apetecer en su buen comportamiento mis fí\ud ntes de campo los capitanes £&gt;. Manuel Pozo &gt; D. Antero Henriquez, D. José Cacho y l&gt;. Tomas Domínguez', y el alférez D. Manuel Jácome, llevando con prontitud, inteligencia y resolución lvs órdenes neces. ri s a ios "gefes de l s respectivas columnas de eti que y demas que les'fueron confiadas, como igualmente Jos oficiales em pleados á mis inmediat: s órdenes los tenientes D. Joaquín de Vel…</t>
  </si>
  <si>
    <t>Jaén, Bernardino</t>
  </si>
  <si>
    <t>Bernardino Jaén</t>
  </si>
  <si>
    <t>…vecino de Arévalo. D. Lorenzo Rodríguez, vecino de Viüaraayor. Suplentes. D. Santiago Perez, abogado, vecino de Can deleda. D. Josef Bautista Brochero, labrador, vecino de Avila. D. Bernardino Jaén, vecino de Navamorqíiende. Madrid i.° de setiembre. Por el último correo de la mala hemos sabido que los aliados se han apo derado ya de todo el casco de la ciudad de S. Sebastian, reduciendo á los franceses á solo el castillo. Una bomba, que cayó en este, in…</t>
  </si>
  <si>
    <t>Jaldon, Juan</t>
  </si>
  <si>
    <t>Juan Jaldon</t>
  </si>
  <si>
    <t>…eras ,á f), Joa quín Junoy , D. José Otero , D. Benito Canales , D. Tomas Cortés, D. Francisco Melero, D. Tomas Bao darán, D. Epifanio Esteban, D. Temas Terreiro, D. Manuel Ubiña, D. Juan Jaldon , D. Alexandro Buitrón , D. Gabriel Lobo , D. Femando Castro, D. Juan Areliano y D. Antonio Matamoros. También han sido examinados por la referida brigada, y promovidos á subtenientes del propio cuerpo, D. J03Ó Roldan, guardia del real cuerpo de guardias de C…</t>
  </si>
  <si>
    <t>James</t>
  </si>
  <si>
    <t>…ncia de todo e) exército con la insignia de la orden de S. Jorge por pre mio de sus servicios en Lutzen. Al mismo tiempo recibieron las condecora ciones de la orden de Sta. Ana el capitán James, ayudante de campo de sir C. Stewart, y sobrino del lord Camden, el barón ruso Brinken, y el capitán de artillería Carlos, ayudante de campo de sir Roberto Wilson. Ha sido apresado en la costa de Francia un navio, por el qual sabe. mos, asi como por otros con…</t>
  </si>
  <si>
    <t>…ndro, en presencia de todo su exército, con la orden de S Jorge, en recompensa de sus servicios en la batalla de Lutzen, y ot:*os pun tos : también lo fueron con la de Sta. Ana el capitán James, y el «apitan Carlos, edecán de Sir Roberto Wilson. ESPAÑA. México 10 de Febrero. Continúan los extractos de los partes de Nueva-España. 25. Por evitar prolixidad reunimos en .un solo párrafo todas las</t>
  </si>
  <si>
    <t>Jasehuil</t>
  </si>
  <si>
    <t>…ia espala «idas en diferentes parages, y hallándose reforzado con una división que quedó á retaguardia, acometió con mucho ímpetu á mi van guardia, mandada por el teniente general príncipe Jasehuil, que se gún mis instrucciones, se retiro en buen orden para el cuerpo que ocupaba á Smolna, como bí executase una maniobra en parada. ,.Et enemigo avanzo inmediatamente costra el centro de mi posi ción , y amenazó los flancos con fuerzas considerables , que m…</t>
  </si>
  <si>
    <t>Jaso, Bonifacio</t>
  </si>
  <si>
    <t>Bonifacio Jaso</t>
  </si>
  <si>
    <t>…rdo Sonosiain , IT Mañano Ustarroz, D. Felipe Virtus, D. Joaquín Aquerreta, D. Fermín Josué, 1), Martin Ziarriz, D, Francisco Larrodé , D. Matías Alzorr z, D. J uan Ramón Arlegui, D. Bonifacio Jaso, D; Mvouel Sancho, D. Bonifacio Martínez, D. Julián Gofr , D. Justo Taiazona, D. José María Munuce, D. Antonio Longis, D. José Canoras, D Cele Io nio Lerruz, D. Juan Macáya, D, Luis A lamo, D Francisco íturralde, D. Miguel Ube’za , D. Xavier Mariotegni, D Fer…</t>
  </si>
  <si>
    <t>Jaso, Diego Moreno</t>
  </si>
  <si>
    <t>Diego Moreno Jaso</t>
  </si>
  <si>
    <t>…eco, com pañero de Jesús López, aprehendido en ei pueblo de Xala, fue ron pasados por las armas. 35. En 12 del mismo, el capitán de una de las compañías de pa triotas de la Barca, D. Diego Moreno Jaso, con la tropa de su man do, y auxiliado cen 20 infantes al mando del capitán D. Juan Ma cad , de la división del coronel D. Pedro Celestino Negrete , atacó en la Ciénega de Snmuato, cerca del pueblo viejo, á 2c© bandidos acaudillados por el asesino Miguel del…</t>
  </si>
  <si>
    <t>Jaudenes, Vicente María</t>
  </si>
  <si>
    <t>Vicente María Jaudenes</t>
  </si>
  <si>
    <t>…o* ••««»«»•« .Moiuerei. - \ ¡ ' Alféreces de Fra--. D. Joaquín A{güelles*.i«.,V....... ^Marina. gata................ 3 D. Angel Martínez............. ............ Sargento mayor.. D. Vicente María Jaudenes.,......... Benavente. Teniente............. D. Casto La-Rúa.,.......................... Idem. i; Otro.......... D. DomingoX'ago........................... Idem. b ■Subteniente........ D. Ventura,Lorenzo....................... Idem. . Id. en comisión...^ D. Ju…</t>
  </si>
  <si>
    <t>Jaúko-Caradschia</t>
  </si>
  <si>
    <t>…estros te obedientes al Gran Señor. caballeros intrépidos, que forman la más interesante Esperamos en esta de un dia á otro al nuevo porción de vuestro pueblo, han cumplido del mo príncipe Jaúko-Caradschia y á los agentes de las do mas glorioso con las obligaciones sagradas que potencias extrangeras, que abandonaron esta ciudad Ies impuso el servicio de la patria. Caminaron por quando &lt;e declaró la guerra , y que han permaneci las huellas de los Zolkiewski, Zam…</t>
  </si>
  <si>
    <t>Jáuregui, Domingo</t>
  </si>
  <si>
    <t>Domingo Jáuregui</t>
  </si>
  <si>
    <t>…ses de la tierra, y aniquilar una nación noble y valerosa. En esta destrucción vio la Francia que su po AVISO. der federativo'se disminuía. A principios del si Por providencia del Sr. D. Domingo Jáuregui, juez glo xviii Luis xiv salvó á la España, y á princi de primera instancia de esta villa, se na mandado sacar pios del xrx igual principio determinó para lo mis á pública subasta por término de 30 dias, que empeza ino á dos gobiernos fuertes, ilustrados y ge…</t>
  </si>
  <si>
    <t>…otras condiciones; la que se ha admitido, y mandado tierra." hacer saber por medio de este periódico , en virtud de Una comisión especial va á pronunciar sobre su providencia del Sr. D. Domingo Jáuregui, juez de pri suerte, y se cree que no lo pasará bien. mera instancia de esta villa, para que la persona que quiera enterarse por menor y mejorarla, acuda á la es cribanía del número de D. Ramón García Ximenez. Los editores no privarán al público de las reTSAT…</t>
  </si>
  <si>
    <t>Jáureguí, Domingo de</t>
  </si>
  <si>
    <t>Domingo de Jáureguí</t>
  </si>
  <si>
    <t>…Cotes. en el año pasado de 1812, se ha dignado ei REI nombrar para el curato de la parroquial de Almu- AVISO. safes, vacante por muerte de D. Miguel Martínez, Por providencia del Sr. D. Domingo de Jáureguí, á D. Miguel Martí , cura de Sot de Chera. juez de primera instancia, refrendada de D. Jacinto Para el de Alcaali, vacante por fallecimiento Gaona y Locches, escribano del número, en virtud de de D. Tosef Aragonés , á D. Joaquín Saez Quinta- superior habilita…</t>
  </si>
  <si>
    <t>Jáuregúi, Gaspar de</t>
  </si>
  <si>
    <t>Gaspar de Jáuregúi</t>
  </si>
  <si>
    <t>n Oviedo 5 de Diciembre. Parle éd coronel D. Gaspar de Jáuregúi, comandante de la sec ción de Guipúzcoa, al general en gefe úel séptimo exército. „Excmo. Sr.: tengo la satisfacción de dar parto á V. E. que el día 3 del corriente, hallándome en la villa de Asteasu con mis ba tallones , me dieron mis confidentes parte que d…</t>
  </si>
  <si>
    <t>Jáuregui, Gaspar de</t>
  </si>
  <si>
    <t>Gaspar de Jáuregui</t>
  </si>
  <si>
    <t>…pudieran haber recibido de los .enemi,-gos. =r La siguiente carta escrita por el general en gefe Clausel ai rey intruso, é interceptada por el coronel de la sección de Guipúzcoa ■D. Gaspar de Jáuregui, que me ha remitido,, dará una idea de los -resultados de *a persecución.— *» Puente l¿i Rey na 4 de Mayo de 18 ly. — Señor , .he entrado en .Navarra con las divisiones Barbot y Taupin del exército de Portu gal , y la del general Vanderinasen , del exército d…</t>
  </si>
  <si>
    <t>Jáuregui, Miguel</t>
  </si>
  <si>
    <t>Miguel Jáuregui</t>
  </si>
  <si>
    <t>…onio Aramburu, 1 id. D. José Francisco de Isasi, 1 id. D. Ramón Eurivano, 1 id. D. Ramón de Azcarate, 1 id. D. Fran cisco Abasólo, l id. D. Juan Panero, 1 id. D. Juan Mella, 1 id. D. Miguel Jáuregui, 1 id. D. Rosendo Gao, 1 id. D- Antonio Her rero, 1 id. D. Vicente López y U. Manuel del Valle, 1 id. D. To mas de la Casa y Piedra, 6 id. D. Martin de Guisasola, 6 id. D. Jo sé Matías de Elizalde, 2 id. D. Antonio Saenz de Tejada, 2 id. D. Manuel de Santiago…</t>
  </si>
  <si>
    <t>Jáuregui, Suan Bautista</t>
  </si>
  <si>
    <t>Suan Bautista Jáuregui</t>
  </si>
  <si>
    <t>…exércitos nacionales, en la di visión de Ultramar, se ha servido la Regencia del reyno promover á teniente coronel al sargento mayor de brigada D. Miguel Atero; y á este empleo al capitán D. Suan Bautista Jáuregui. CADIZ: EN LA IMPRENTA NACIONAL-</t>
  </si>
  <si>
    <t>JBentinck</t>
  </si>
  <si>
    <t>…n el benéfico inftuxo de tantos acontecimientos felices. Mas la época de su total libertad no está muy léjos. Los exércitos nacionales segundo y tercero, y el cuerpo británico del lord JBentinck, están en la actualidad en los límites que separan el Principado del reyno de Valencia, y fuerzas con siderables del norte de España se disponen á venir igualmente á nuestro auxilio. ¿Podrán resistir los enemigos á este conjunto de tropas aguerri das y victor…</t>
  </si>
  <si>
    <t>JBentink, W.</t>
  </si>
  <si>
    <t>W. JBentink</t>
  </si>
  <si>
    <t>…a, que conduxp á su bordo al teniente general del exército aliado ¡.-ir Juan Murráy : en la ma ñana del 22 llegó igualmente á bordo de un navio de guerra el señor gene ral en gefe lord W. JBentink. La presencia de estos dos gefes nos da fundados ■.motivos para pr.esamir que ía expedición que salió para Cataluña se resti tuye á estas costas para concurrir de un modo diferente al plan de .libertad de esta provincia y demas del levante. Como nos es descon…</t>
  </si>
  <si>
    <t>Jbsvina, Luis</t>
  </si>
  <si>
    <t>Luis Jbsvina</t>
  </si>
  <si>
    <t>…ederico Ca tañen, gefe de la piimera brigada de la cuarta 'divisióny el subteniente D. Mariano García, ¡ayudante d^ ordenes del gefe,de E^tádo-mayor; el ayudante gene-rafdei mismp D. Luis Jbsvina, ágefe del de las^tVopás del centro fué contuso dos? veces. r. . . Nutn. 3.0 Parte del Sr. duque de Ciudad-Rodrigo. r!f»Excmo. Sr. : Incluyo4 V. E. el piarte que he recibido del ge;fieral iDi Manuel Freyre, en que detalla .lo ocurrido qn ia acción que i sostu…</t>
  </si>
  <si>
    <t>JBustiilo, Vicenta</t>
  </si>
  <si>
    <t>Vicenta JBustiilo</t>
  </si>
  <si>
    <t>…o un equipage de un oficial, que se hallaba depositado en una casa.de aquella"cíüí!a'd desde el mes de junio de 1808, llevando dicho arriero encargo de entregarlo en Ciudad-Real á Doña Vicenta JBustiilo. Sí alguna persona supiere eLpára'déVó del ¿¿presado Tótoias López, ó del parage dend# clfxasyrel citado equjpage,, se servirá’ayisatlp á dichfi;señora;Bustiljo., que. resi de. en Ciudad-Real. . . .... e„; .&lt; ... l; ^ , 4. «• t . • / ¡ Ep la.yíUa de Berastegu…</t>
  </si>
  <si>
    <t>Jco, Kutvsow Smolcn</t>
  </si>
  <si>
    <t>Kutvsow Smolcn Jco</t>
  </si>
  <si>
    <t>483</t>
  </si>
  <si>
    <t>…las armas hasta que se cimente y asegure en sólidos fundamentos la in dependencia de todos los estados europeos. 5&gt;Eu nombre de SS. MM. el emperador de Rusia y rey de Prusia. — E¿ príncipe Kutvsow Smolcn Jco , general en gefe del exército aliado. Cuartel general de Kalitsch 25 de Marzo de 1813.’* ■ i ESPAÑA. Vtillado’iá G áe Abrít. Están prontos para marchar á Fr ncía 3 coroneles, 24 oficiales y 500 soldados; los oficiales no van gustosos, á pesar de que los han…</t>
  </si>
  <si>
    <t>Jd</t>
  </si>
  <si>
    <t>…ispo de Yovck., el iord car ciertas imputaciones tocantes á la conducta de primado de Irlanda ,'el:lord-presidente dél consejo, S :A. R. ia princesa de Gáles, que al parecer me el lord Jd seüo privado,el conde de Btickingharus- recieron la atención de V. A. R., á consecuencia hire; el conde de Bathurst, el conde-de Liverpool, -del aviso de lord Thuriow, quien creyó correspon el conde de Miilglave, el vizconde Melville, el diente á su carácter…</t>
  </si>
  <si>
    <t>JD</t>
  </si>
  <si>
    <t>…s, natural de Tartanedo. Diputación provincial. i.° Sr. D. Jp?qu in; Montesoro, caballero de la real y distinguida orden española, de Cárlos ni* vecino de la ciudad de Molina. 2.0 Sr. JD. Félix Herreros, cura párroco de la villa de Iriepar. 5 - 3-° Sr. D. Josef López Santa María, canónigo de la santa iglesia catedral de Siguen^*..</t>
  </si>
  <si>
    <t>…ró de tres cañones que por la rapidez del ataque no pudieron retirar, cuya opera ción la hizo el regimiento de voluntarios de la Corona principalmente dirigido por su recomendable comandante JD. Francisco Balantzat, ha biendo llegado los primeros á dichas piezas el teniente D. Francisco</t>
  </si>
  <si>
    <t>Je</t>
  </si>
  <si>
    <t>…azándole con un asalto , convino ®n capí talar ; y n® contribuyo poco al logr® de este feliz resaltado ei tino é inteligencia «mi que el teniente coronel, y mi ayundante de eainpo D. Je«é Ma ría Reyna, épat comisioné para parlamentar con dicho gefe, sup® in clinarle á este partido, que nos ha sido mucho mas ventajoso. 4 « E« si térswin® de 24 horas se había construido u»a batería par® 6 piezas en la altnra de la loma de la cimera, cuja coust…</t>
  </si>
  <si>
    <t>…sus reales exércitos, y secretario de ios negocios: de marina , exirangeros y de guerra. Dado en Lisboa en el p: lacio del Gobierno á 13 de Judo del año del nacimiento de nuestro Señor Je sucristo de 1813. = El obispo Patriarca electo. = Marques de 01kaouraz dfarques de Borba. = Principal Sousa. = Carlos Ste'ivart .zz ■Ricardo Raymundo NogueyrazzD. Miguel Pereyra Forjaz.zzJuaH Antonio Salter de Mendoza. ESPAÑAZaragoza 1,3 de Julio. Los 400 ene…</t>
  </si>
  <si>
    <t>…tettin impuso Una nueva contribución á aquéllos in felices habitantes; y habiéndole hecho*presénte el burgo-maestre de la ciu dad que era imposible realizar aquel pago* el bárbaro comandante Je hizo llevar á la cárcel , mandando’ que solo le sustentasen con pan y agua.; £1 Rei de Prusia, sabedor de este' rasgo dé barbarie, mandó poner .en prisión! ál general francés y a sus dos hijos1 que están prisioneros de guerra , y did? orden para que igualment…</t>
  </si>
  <si>
    <t>Je, Von Blucher</t>
  </si>
  <si>
    <t>Von Blucher Je</t>
  </si>
  <si>
    <t>…tá disperso t ha pendido de&amp; terceras partes de su artillería ,;todas las mu niciones y equipages, ademas de 20$ hombres. El Emperador Napoleón se retira á Dresde. El exército del general Von Blucher Je sigue, y hai toda probabilidad de que le cause una gran pérdida., El exército unido del norte de Alemania está por consiguiente en comu nicación. por’ su derecha con el exército de-Silesia. El general Benigsen sigue todos estos movimientos. .. Un convol sueco…</t>
  </si>
  <si>
    <t>Jean-d’Angely, Regnaudde Saint</t>
  </si>
  <si>
    <t>Regnaudde Saint Jean-d’Angely</t>
  </si>
  <si>
    <t>296</t>
  </si>
  <si>
    <t>…e de Laccpede, presidente del senado; dados de caballería , montados y equipados , sea Al conde de Laplace, canciller del senado; en dinero, se distinguen en patriotismo y amor Al conde Regnaudde Saint Jean-d’Angely, mi al Soberano : es de notar que entre estas ofertas s* nistro de Estado, y consejero de Estado; halla una digna de atención, que es la de los dis Ai conde Mole , consejero de Estado; cípulos del liceo de Poitiers, que han juntado 2,0 : Ai duque de Coneglian…</t>
  </si>
  <si>
    <t>Jelowaiski</t>
  </si>
  <si>
    <t>ridos, 6 oficiales y 300 soldados prisioneros. El dia 18 el general Jelowaiski hizo prisionero á un cuerpo de lanceros de la guardia ho landesa; y por la tarde del iriísino dUa el geiíeral Millaraaowitcli Iii— zp un reconociíriient o' en que turó el enemigo: 1 oó 'muertos y ifjo prisioneros. Diariamente llegan desertores del -enemiga, é…</t>
  </si>
  <si>
    <t>…te en la misma posición con la mayor quietud, aumentándose diariamente, y se espera en breve una batalla. ,,Nuestros destacamentos continúan molestando al enemigo. En el día 14 el general Jelowaiski sorprehendió un puesto avanzado en Konigsbruck, é hizo prisionero á todo el destacamento, que consistía en ocho oficiales y 173 soldados. ,, El 12 y 15 hubo varios encuentros con el cuerpo del general Millaradowitch, en los quales tuvo el enemigo 1® muertos,…</t>
  </si>
  <si>
    <t>Jenisson</t>
  </si>
  <si>
    <t>267 Rei de Baviera, el señor conde Jenisson, secretario energía, reflexión^ amor á !a independencia, adep de legación de S. M., agregado á la misión bávara ta ciegamente en los negocios públicos el modo de en I’aris. pensar de un gefe de partido: que ama exclusiva Por S. E. el duque de Bnssano, ministr…</t>
  </si>
  <si>
    <t>Jenner</t>
  </si>
  <si>
    <t>…■ • ' ' ; : periencia tuvieron la verdadera ’yácúiiá. Igual éxí£l; 14 de mayd de 1812, dia en que 16 anos to tuvo la inoculación del'fluidb hecha -á otros 25 antes había hecho el: doctor Jenner sus primera* hiñós. . ~ ;-/V" ::: '-L- ‘ ' experiencias en Inglaterra, llamado Mr. Bremer -' Cómo' én Bprlin no hai viruelas naturales r.Ó se para un enfermo de Malchow, lugar á tres leguas fia podido poner 4"ninguno-' de éstos envacunados.á de Berlín, vió en…</t>
  </si>
  <si>
    <t>Jesucristo</t>
  </si>
  <si>
    <t>…ryficc. ticia; el conde Lottum , general mayor v consejero Ai clero y á los líeles de la diócesi de París, de Estado intimo; de Schuckmann y de Bulow, salud y bendición en nuestro Señor Jesucristo. consejeros de Estado intimo?. Acabamos de saber con gran consuelo, por Esta combina queda autorizada para tomar en una carta de S. E. el ministro de los Cultos, que nombre de S. M. las providencias y decisiones ne el lunes 25 de este mes se ha concluido entr…</t>
  </si>
  <si>
    <t>…nspiren ai pueblo desconfianza de sus resoluciones, ó desafecto á la suprema autoridad, desacreditando las medidas políticas, cuya obediencia deben predicar, á imitado» de nuestro Señor Jesucristo, de palabra y con el exemplo. Este celo por la debida obediencia y sumisión de los súbditos obligó á los señores reyes D. Juan « I y&lt; D¿ Henrlqúe III ¿ mandar que si algún fray Le, ó clérigo, ó ermitaño, ú otro religioso se atre viese á decir palabras injurio…</t>
  </si>
  <si>
    <t>…en al pueblo desconfianza de sus resoluciones 6[ desafecto á,,la, suprema autoridad, desacreditando las medidas políticas , cuya obediencia deten predicar , á imitación de nuestro Señor Jesucristo, de pa labra ycqn el exemolo, . . 5 . /7p . 7; j A . ' vrv.% ■,* ’.77 .'.-V, * ¿ r/i És$e, zelo por la debida otiedien(eiji(y! stónisipn.dejos subditos obl.igp á [o¿ nepotes Reyes D. Juan i y D^jHcnxiquejfi ^fgaqdar qu es i ál g un Jjaüt % d clérigo 9 6 ermit…</t>
  </si>
  <si>
    <t>…us reales explí citos , y secretario de ios Negocios de marina, extrangeros y de guerra. Dada en Lisboa en el palacio del Gobierno á 13 de julio del año del naci miento de nuestro Señor Jesucristo de 1813. = El obispo, patriarca electo.= Marques de 01haon. = Marques de Borba. = Principal Sousa. =CárIos Stuart.sr Ricardo Raimundo Nogueira. = D. Miguel Pereira Forjaz. = Juan Antonio Salter de Mendoza. =s(L. S.)=D. Miguel Pereira Forjaz. ESPAÑA. Tíldela 2…</t>
  </si>
  <si>
    <t>JHolst</t>
  </si>
  <si>
    <t>…real detuvo la marcha de las tropas, y ció orden que al día siguiente se pusieren en movimiento. Un batallón. sueco y otro prusiano se enviaren á Roslau á las órdenes del teniente coronel JHolst, ayudante de campo de S. A. R., para a opiar iodo' los materiales necesarios para la construcción de uu puente. Los parres dados por los puestos avanzados anunciaban que el enemigo marchaba para Zahrne. Eife pumo estaba ocupado por ía división del general Dob…</t>
  </si>
  <si>
    <t>Ji</t>
  </si>
  <si>
    <t>…er una guerra atrevida, á Pichegrú metódi ca, á Jourdan trivial, sapientísima y humana á Moreau, á; Massena pruden te y asqladpraj y á Bonaparte en fin impetuosa y mortífera. Cada general Ji^i. impreso,cabrera militar ej carácter de,511 propia' índole , señalando «£pn la¡lcjjyisa de Humanos ó de crueles á^ips. exércitos de su mando. Desde .los prpneros pasos.idp. su vida militar manifestó Bonaparte un carácter ar diente que se irrita con los obst…</t>
  </si>
  <si>
    <t>Jiabia, Biucher</t>
  </si>
  <si>
    <t>Biucher Jiabia</t>
  </si>
  <si>
    <t>…ntre otras muchas cosas, que el general Qirardmurip el día 27 de agosto: que el resto dél exército de Oudinot, j}u#,debia entrar ,en Bcrlin el día 23 , sc retiró.al Elba; y que el general Biucher Jiabia salido de. jauer, y marchaba, sobre cl enemigo.</t>
  </si>
  <si>
    <t>Jkan</t>
  </si>
  <si>
    <t>…nto del1 af rtitstírfó cjuer corrió nyéf por esta, capital , aun no se había recibidó; dé oficio éft1 Cádiz el dia f del corriente. . F■ -i o -T-*~ T'irrt r.v &lt; ‘ _0. Proclama del brigadier D. Jkan tÜvwnie (i) 4 lo* extremeño*» Extremeños: Eí destiño que me condtixo á fe leal provincia de Extremadura, de la qual he recibido tantar pruebas de afecto, y á la que por. tantos títulos estoi agradecido, me ponehoi ia pluma' éñ la mano para des pedirme dei s't…</t>
  </si>
  <si>
    <t>JKutiisozn</t>
  </si>
  <si>
    <t>«ni. 36. GACETA DE LA REGENCIA DE LAS ESPAÑAS DEL MARTES 23 DE MARZO DE 1813. RUSIA. Petersburgo 29 de Enero. Partes del felá- mariscal príncipe JKutiisozn) Smolensko , dirigidos á S. AL I. Primero. Grana d de Etiero de 1813 —,,Konígaberg., antigua capital de Píiisia, está ya cometida á V. M. I.: íué tumeda esta grande ciu dad en 6 do Enero por la vanguardia de! conde Wiitgeil&amp;tein á las órdenes dei mayor genera…</t>
  </si>
  <si>
    <t>Jo</t>
  </si>
  <si>
    <t>…encia del reyno promover, á director subinspector al bri gadier y coronel del expresado cuerpo D Fernando de Gabriel; á coroneles á los tenientes coroneles D. Ramón Ignacio Plana, D. Jo sé Prieto Brigadier y D. Francisco Bustamante, graduado de coro nel; á tenientes coroneles á los sargentos mayores de brigada D, Ví sente Sánchez, D. Miguel Santillana y D Ignaeio Ordovas, gradua do de teniente coronel, D. Juan Bautista Pousich y D, Felipe de…</t>
  </si>
  <si>
    <t>…tados-Unidos merecen los tas de primera clase , y algunas otras embarcaciones mayores elogios. de fuerza menor. La una de ellas está apostada de „ Asimismo presento otra carta del capitán Jo lante de Nueva-Yorck; la otra tiene cuenta con la nes , comandante de la corbeta de guerra el Wasp, entrada de la bahía de Boston , y la tercera cruza en la que comunica la presa de la corbeta ingles» delante de Chesapeakei Estas divisiones están in la Frolie…</t>
  </si>
  <si>
    <t>…lo entendido y dispondréis lo necesario á su cumplimiento. — En Cádiz á 30 de Marzo de 1813. — A D. Antonia Cano Manuel. El intendente de la provincia de S. Salvador de Goaternala D. Jo sé María Reynado, contestando el recibo del decreto de S. M. de 29 de Enero deí año próximo anterior, relativo á la exención del tri buto concedido á los indios y demas castas, dice haberlo hecho des de luego publicar por bando con una proclama * excitando á…</t>
  </si>
  <si>
    <t>…l Jáuregui, 1 id. D. Rosendo Gao, 1 id. D- Antonio Her rero, 1 id. D. Vicente López y U. Manuel del Valle, 1 id. D. To mas de la Casa y Piedra, 6 id. D. Martin de Guisasola, 6 id. D. Jo sé Matías de Elizalde, 2 id. D. Antonio Saenz de Tejada, 2 id. D. Manuel de Santiago, 1 id. D. Martin y D. Felipe Osambela., 10 i'd. D. José Ramón de Idiaquez, 8 id. D Ignacio de Santiago, 6 id. D- Andrés Reboredo, 6 id. D, Antonio Baras, 6 id. D. Manuel de U…</t>
  </si>
  <si>
    <t>…. F*\ncisco de Inda, 3 hombres por un año. D. Rafael López, 3 Ídem. D. Félix Válega y sus dos compañeros, 3 id. D. A:\tonio Ortiz de Taiamo, 3 id. O. José Francisco Miranda, 2 id. D. Jo^é Ig nacio 'PvJacios, 2 id. D Gaspar Rico. 2 id. D. José Medica, 2 id. D. Juan ILmisía de Esrrea, 2 id. D. Juan Gil, 2 id. D. Juan Anto nio d&amp;rriva, I id. i). Juan Hernández, i id. D. Antonio iiodrigsez Hernández, 1 id. D. Mateo Anta, Lid D. M;guel de Arto i…</t>
  </si>
  <si>
    <t>mo 24. D. Gerónimo Andrade, id. por 10, 120. D. Joaá Posso Fernán* de*, id. por 15, 180. D. Juan Amonio Miranda, íi. por 8, 96 D. Jo* sé Quiri&gt;ga,id. por 8. 93. D. J»ian Mnriie&amp;so, id. p:r 4, 48 D Juaa • Rtfymúndae, id por Ü, 96. D. Juan de Sapinos a, id. por 8, 9&amp;¡ D. José Roso, id. por 1, í2. D. Joaquín Martínez, id. por 8 , 96¿ D. Joiá de Herrera, id. por 8, 93 D. Jor&gt;é Ramírez, id. por…</t>
  </si>
  <si>
    <t>…n Una altura á tu derecha, mientras él cún dos compa ñías de cazadores, tres de granaderos y caballería&gt; ai-'ináúdó 'de ios capitanes D. Miguel Orus, del regimiento de Cariñena, y D. Jo sé Eechel del de iNumantinos, atacaba' y tomaba, durante la noche, el monte Torrero. Habiendo reconocido el campo observo que Pa rís tenia fortificado el puente de América, único por donde podría pasarse el canal, con 5 cañones y 500 hombres; en vista de cuyo…</t>
  </si>
  <si>
    <t>…bstante que toda la oficialidad y tropa se han portado con aquella bizarría é intrepidez que tan justamente tienen acreditada, creo de justicia recomendar á WS. particularmente al coronel D. Jo sé Costa ; al teniente coronel D. Pedro No'asco Ba sa; al sargento mayor D. Matías Cantero, que executaron cada uno escrupulosam.n:e las operaciones que les mandé: á los capitanes D. Juan Pa bia Prast, D. Gaspar Estalella y D. Francisco Maserts; al teniente D…</t>
  </si>
  <si>
    <t>…que se dirigirán por Medina del Campo, y al alcalde constitucional de dicha villa de Torrecilla de la Orden. Memoria para el mejor gobierno de los hospitales militares, por el Dr. D. Jo» sef Antonio Oñez, ayudante de la real botica de S# M., y boticario mayor de exér cito. Como los hospitales militares son unas bayonetas sordas, en donde por su mala dirección se sacrifican mas víctimas que al frente del enemigo, el autor de este papel presen…</t>
  </si>
  <si>
    <t>…cubren el camino real, sin duda para proporcionarse sal var la guarnición. Observado esto por el general interino de la primera divisicn, mandó al ayudante segundo de estado mayor D. Jo é Antonio Fació con las compañías de granaderos y cazadores de Cantabria á refor zar la de cazadores de Ciudad -Real,, que se había visto precisada á abandonar Fuerte-Príncipe por U superioridad con que se ha dicho fué atacada. Reunidas las tres compañías, le…</t>
  </si>
  <si>
    <t>…al cumplimiente. = L. de Bar ben , cardenal de Seda, arzobispo d« Toledo, presidente, sa Vedare de Apar. zz-Cx abriel Ciscar. »E* la real Isla de León á 24 de Octubre de 1813. = A D. Jo:é de Limonta. E). Agustín de Pedrsyes, maestro de matemáticas de los caballe ros pag.es-de 1 Rey, ha lucho ce.ion en manos de la Regencia del reyno, y á beneficio de la instrucción é ilustiac'on de la juventud mi» litar, de" vanas obras, de* aquella ciencia ,…</t>
  </si>
  <si>
    <t>…án tenerse ks sesiones, siendo compuesta de los señores Gefe político , presidente; con je de Vilbp^te na, co mo alcalde constitucional; vicario eclesiásrico; vi rador eckT.s.jco; D. Jo?é Arratia y D. Santiago Gutiérrez de Arintero, como r gi 00res constitucionales; D. Juan Ramón Matute, como procurador sín dico general de dicho ayuntamiento; D. Juan Antonio Salcedo, cura párroco de S. Gines , y D. Juan José Barrios , cara pjrrt c'O íis Sta.…</t>
  </si>
  <si>
    <t>Jo, Domingo</t>
  </si>
  <si>
    <t>Domingo Jo</t>
  </si>
  <si>
    <t>…damente , la mayor par te han sido acuchillados y punzados con las bayonetas. NueLtra pér dida ha sido de 3 muertos y 9 heridos , en los que incluyo si ayu dante de campo de V- S. D. Domingo Jo cé, que lo fué después de concluida la acción principal, recorriendo la línea con el objeto de extraer todos los efectos, y entretener al enenvgo ha-^ta ertiada la noche. Ademas de beber conseguido las ventej.. a dichas, he lo grado incorporar en mi batallón…</t>
  </si>
  <si>
    <t>Jo, Miguel</t>
  </si>
  <si>
    <t>Miguel Jo</t>
  </si>
  <si>
    <t>…eñalada con el nóm. 14, tasada en la cantidad de 24675) rs. va. en metálico, lleuda ante el Sr. D. Domingo Benito Quintana, juez de primera instancia, y escribanía de provincia de D. Miguel Jo sef García de la Madrid , en e! término de 30 dias, contados desde 1$ del corrien te, que se admitirán las que sé hicieren, siendo arregladas. ~ ES J.A IMPRENTA NACIONAL.</t>
  </si>
  <si>
    <t>Jo.ré</t>
  </si>
  <si>
    <t>…naeL ) PArte que ñ. áiriAiJo al (.f~1feral tn ~l'fi! ~l s,su.",{o ex;"'cit, dt (Jp~rac;(Jl:es, 1'0,. condl/"cto del CG1I1J,:.11'uiant~ K~1Zeral de la ter.ceril Jivision del mismo, D. Jo.ré d~ Torr~.r, 'co1"'ollel del' regimi-entG de ¡IIJanter{" li~er,. fr;,,,~ro de 7)ol."1.tari~s de Ara..~o1f, s()"r~ 1i.1, "ce;o" ocurr;tla t'n ti pU4rtfl d, Ordal, enJ.. 1t'och.~ ,teJ rz al :1.1 litl mes pr'xllllo anteri9r. "Consecnente , lá órd.ea de V. S. lleg…</t>
  </si>
  <si>
    <t>Joa</t>
  </si>
  <si>
    <t>…es 8 6 10 cañones, machas armas, y habiéndoles aniquilado ente ramente. 71. D. Santiago de Mora, teniente coronel graduado, coman dante del punto del real de Sultepec, comunicó al coronel D. Joa quín del Castillo y Bustamante, que el 29 de Setiembre fué ataca do aquel real por unos 3© rebeldes, mucha parte de ellos negros y pintos, y que de3pues de cinco horas de combate, fueron re chazados y puestos en fuga. La pérdida de los revoltosos fue gran de,…</t>
  </si>
  <si>
    <t>Joaquín</t>
  </si>
  <si>
    <t>199</t>
  </si>
  <si>
    <t>…aliados. Ha desembarcado estos dias mas caballería inglesa. ESPAÑA. Montevideo 7 de Noviembre de 1819. Diario militar de la plata. del que está encargado el capitón de infantería D. Joaquín oé Tejan. Dia 27 de Octubre. — Los enemigos tienen un grueso destaca* mentó acampado en el saladero de Chopitéa, como á 3 millas dis tante de la plaza , sobre la derecha del cerrillo que está á 4 y media de la misma, en el que tienen una gran guardia compiles…</t>
  </si>
  <si>
    <t>…Manuel de Urlonagoena y Aramburu, 5 id. D Francisco Marta Zuloaga, 5 id. D Vicenta de la Riva, 4 id. D José II pólíto y D Ambrosio íbañez, 4 id. D. Juan Miguel de Castañeda, 4 id. D. Joaquín d« Asia, 4 id. D. Pedro de Vülaoampa, 4 id. D Juan Macho, 4 id. D. Be nito Ambrosio Canicoba, 4 id. D. Pedro Moreno Altusarra, 4 id. D Joaquín María Ferrer, 4 id. D. Angel de Alfaro y D. Miguel Vertiz, 4 id. D José de Lasarte, 4ríd. (Se continuará.) CADIZ : E…</t>
  </si>
  <si>
    <t>…sarias á -los gefes de, las respectivas colpnas de apague y. demás,que les fuer* n-confiadas: corno, igualmente los oficiales empleados,&gt;á ¿mb inipediatas órdenes los te-; niéntes D. Joaquín defVélasco y ¿VMannel Caballero del Pozo, y Jos sub-*’ tenientes D. Roque Jacinto Valce y D. Antonio Muñoz KerváG que cons tantemente me acompañan, y en estas ocasiones exercen fundones-de aque llos, en quanto son empleados para el mejor desempeño del servici…</t>
  </si>
  <si>
    <t>…eras de las naciones aliadas &lt;;ue se presentaban en la fachada como símbolo de nuestra unión contra el enemigo común , y un gran, concierto de mú&amp;icay dirigido jior1 el benemérita profesor D. Joaquín/deiLlanos*, producía un tódd; argradabttí* ty sorprehendJo al pueblo, el que al rededor de variás-hogueras concluyó fa noche bailado los bailes del país: . .1 ^ ^ ¡■■■■■*) uñ-n, &gt;1 i</t>
  </si>
  <si>
    <t>Joié</t>
  </si>
  <si>
    <t>…azul celeste en el ojal de la casaca que haga visible su mérito, de lo que se Ies dará certifi cación , y acreditará en su hoja de servicio. Los caballeros c. detes premiados son D. Joié de la Torre por preferencia en las clases de geometría y táctica; D. Tomas Benitez, en la de táctica; D. Dionisio Gisb-.’rt y D. Maittn de Villota en las de aritmética y álgebra; D. Francisco da La a en las de aritmé tica y ordenanzas, y D. Juan Saborido^ por…</t>
  </si>
  <si>
    <t>Jolina, Francisco Espoz y</t>
  </si>
  <si>
    <t>Francisco Espoz y Jolina</t>
  </si>
  <si>
    <t>754</t>
  </si>
  <si>
    <t>754' ESFAffA. Urbasa 2_p de Mayo. Concluyen' los partes del mariscal de campo D. Francisco Espoz y Jolina. Decimosexto* ”.Por los detalles que siguen verá "V. E. la persecución que los dos escuadrones primero y segundo de caballería han sufrido de ia enemiga en estos dias. E SÍOS S£ Iltil ktban en Miranda el 2c, al día si guiente la caballería francesa llego á Fa…</t>
  </si>
  <si>
    <t>Jólseis</t>
  </si>
  <si>
    <t>…in de la Istria;_ El Jfnayor Gavenda, que está apostado con su destacamento en Lippa , mantiene ífesde alia su comunicación-con el general "Ñiigent. El de setiembre fue atacado el general Jólseis porcuna cpjuna enemiga, com puesta de dos batallones de infantería y el regimiento; de lá Reina, qué se adelantaron de Krainburg, con dos cañones y ¡dos obuses. Después de una</t>
  </si>
  <si>
    <t>Jomini</t>
  </si>
  <si>
    <t>…do del príncipe Schwartzemberg, cuyo quartel general se halla en Praga. Continuamos Fortificando á Ems hasta las orillas del rio de este nombre. - - . t . ;• , ,, t .2. . ~ ' , El general Jomini, que se ha pasado á los aliadoses natural de Suiza, sir.vió con el general Moreau, y se le reputa por* uno de los mejores inge** meros del exército francés. El general Moreau se halla actualmente en el quartel general ruso, y creemos que tomará un mando. Del…</t>
  </si>
  <si>
    <t>…y un destacamento ingles de artillería re-i), mandado por el mayor Macdonaid. El número de sitiadores asciende á 42$ hombres. Entre ios franceses que se han desertado se cuenta el general Jomini, gefe del estado mayor de Ney, el cual se pasó al exército ruso el 15 de Agosto : este confirmo la sospecha que se tenia de que Bonaparte intentaba atacar el exército que cubría á Berlín.— Estas son las noticias mas interesantes del paquete que ha traído pa p…</t>
  </si>
  <si>
    <t>Jones</t>
  </si>
  <si>
    <t>…el capitán de navio J. P. Beresford al almirante Sir J. B. Warren, que el na vio de su mando había apresado el mismo dia á la corbeta americana Wasp de 20 cañones, mandada por el capitán Jones, y represado el bergantín de S. M. el Frolic, que la corbeta había tomado después de un combate de ¿0 minutos. El capitán Broke, comandante del navio Shannon , da cuenta de haber apresado el 31 de Octubre del año último el Thorn, corsario americano , de 18 ca…</t>
  </si>
  <si>
    <t>…es fue gravemente herido mandando el 4.?» y siguiendo con ia mayor bizarría en los momentos de menos espe ranza ; habiéndose quedado en su puesto largo rato después de heri do. Ei capitán Jones le sucedió en el mando dé la brigada , y la conduxo con mucha habilidad* »También particulariza Sir J. Leith al capitán Tailor del 48 de infantería, mayor de brigada de la séptima brigada, y al teniente Leblanc del 4.0 de infantería, que dirigió la compañía l…</t>
  </si>
  <si>
    <t>Jor</t>
  </si>
  <si>
    <t>…r 4, 48 D Juaa • Rtfymúndae, id por Ü, 96. D. Juan de Sapinos a, id. por 8, 9&amp;¡ D. José Roso, id. por 1, í2. D. Joaquín Martínez, id. por 8 , 96¿ D. Joiá de Herrera, id. por 8, 93 D. Jor&gt;é Ramírez, id. por 2, 24. D José Pinero, id. por 4,48. D. Loresg® Leqnerica,.vd. por 6,72. D. León Mafia Xinaeua, id. por b, 935. D. Manuel Menacho, id. por 6, 72. Di Manuel de los H id. por S, 96. D.'Mariano Car ranza , id. por 8,96. D. Nicolás Git.ierres, i…</t>
  </si>
  <si>
    <t>Jorigh</t>
  </si>
  <si>
    <t>…le é Isseimonde: entonces se retiraron los franceses que habían lle gado á Dordreet, y evacuaron la ciudad, retrocediendo á Gorcum. Quartel general de Ley den 2-j de noviembre. El general Jorigh marchó ayer sobre Ley den, donde sentó su quartel general, y hoi ha enviado parte de sus tropas á Álphen, con el fin de ase gurar la importante plaza de Voerden. Noticia oficial del exército de los aliados. El 21 de noviembre entró un cuerpo de cosacos en Woo…</t>
  </si>
  <si>
    <t>Jorstensón</t>
  </si>
  <si>
    <t>…atisfacción su porte en varias.- ocasiones, y con particularidad en. la ultima batalla-.. El exército sueco» recordó con orgullo que uno -de sus mejores caudillos el feld-mariscal conde Jorstensón haJbia ya hecho célebres los campos de Jiucerbocñ por la victoria que ganó allí en 1644. Las tropas suecas hicieron, noche, el ó casi ea&lt;el mismo terrena. , . . - —-r-—i' .-r »[ •* .*. . N. B. No copiamos los boletines 8, y 1 qdel mismo exército, porque son b…</t>
  </si>
  <si>
    <t>Jos</t>
  </si>
  <si>
    <t>…~e Cádiz, D. JuanTer~D yD. Joaquia ,Henriquez, teniente eorose!, y sar5eBto mayor del regimL'!nto primero 'voluntarios ,de Arag:&gt;n, h3hiendo ·sido e~.te,úItimo levemente 'herido, ·D. Jos6 He::n'audez de Tejada y .D. Francisco Antonio 'L1oret, teniente coronel y f'argento mayor del de Cid:z; el teniente ~oronel graduado D. J:'sé Jtlondeli, comandante de la columna de gral'Jade"osqne fué nerido, comotambietlel d:gnís~~o oaplíanD. FrancÍsco,Zava…</t>
  </si>
  <si>
    <t>José</t>
  </si>
  <si>
    <t>…mbres en Alemania, y otro de 50© en Italia. — Dícese también que el rey de Bayiera está resuelto á permanecer neutral. ESPAÑA. México 14 de Noviembre de 1812. El mariscal de campo D. José de la Cruz ha remitido al Excmo. Sr. vlrey un impreso que contiene á la letra lo siguiente. Por cuanto no se han dado á luz ni circulado por los varios dis tritos de este reyno de Nueva-Gaücia, los partes de las acciones con- J seguidas contra ios rebeldes, a…</t>
  </si>
  <si>
    <t>…tonio Gailuzo y D. Antonio de la Iglesia y Smith: igualmente ha promovido S. A. á coronel del referido cuerpo en la división de ultramar, al graduada y teuie»to etaronel del mismo D. José de la Fuente Pitá. En la impré&amp;ta mactonál se halla de venta el segundo tóme de los decretos y ordenes? expedidas perlas Cortes generales y ex raordi«uurias, que oomprehende hasta el 24 de Mayo inclusive de lb!2. CADIZ : EN LA IMPRENTA NACIONAL.</t>
  </si>
  <si>
    <t>…la pérdida que tuvieron de algunos muertos y prisioneros, hubieron de desistir de su temerario empeño. A mi llegada á este cuartel ge neral de V. E, he entregado el correo al Sr. brigadier D. José &lt;3Lawlor para que lo remita á las manos de V. £. , las que besa este su humilde y apasionado súbdito. Fresneda Entro 3 ds 1813. — Ge rónimo SaorniL — Excmo. Sr. duque de Ciudad-Rodrigo.” ARTICULO DE OFICIO. Las Cortes generales y extraordinarias se han servid…</t>
  </si>
  <si>
    <t>…00 D. Juan Pedro Zelayeta, 200. D. Dámaso de Arias, 200. D Matine? Partido, 200. D. Martin Axamburu, 200. D. M afras I are a, 200. D. Toribio Acebal, secretario de gobier no, 200. D. José lio dirifo, 200. D. Miguel Fermín Escurra, 200. D. Miguel Cabe’lo, £00. D. Miguel Antonio Ar óla, 200. D. Fran cisco Maíz , 100 D. P&lt; dro M:guel I jibareen, 100. D. Femín Co ya, 100Í £1 conde Villa* do Fuente, 100. D. Luis A¿elmo L&amp;n*</t>
  </si>
  <si>
    <t>899 mismas posiciones que indiqué á V. £. en mí anterior parte; j se rios, últimos aunaos que he recibido , el rey José permanecía en alladolid. .. El cuartel general del éxército del mediodía se ha trasladado de Toledo á Madrid; y el todo del expresado éxército, al parecer, está preparado para un repentino movimiento. ,,Desde que el teniente general Sir Juan Murray hizo el mo…</t>
  </si>
  <si>
    <t>…to ha pasado el Ebro, y nos ha llamos en marcha hácia Vitoria y el .camino real de Francia. Me pro meto que estaremos en posesión de dicha ciudad en uno ó dos días. Se dice que el rey José está en marcha per Haro y Logroño hácia Pamplona. Aun no hemos oido que haya de esta parte del Ebro ninguna considerable fuerza. El ultimo grueso cuerpo de q«© lie ta ñido noticia estaba acampado en Brifeie^ca. En ia noche del 14 vi mos las lumbres de un pequ…</t>
  </si>
  <si>
    <t>…orra, y todas sus&gt; municiones,, bagsges y demás, se tomó inmediato á Vitoria. Tengcr motivos para creer que el enemigo50I0 se llevó un canon y un obús.. „E1 exército del mando del rey José se componía del todo dé los exércitos del Mediodía y Centro, de quat.ro divisiones de infan tería, toda la caballería del exército de Portugal, y de algunas de las tropas del exército del Norte. La división del general Foix , del exér~ cito de Portugal, estab…</t>
  </si>
  <si>
    <t>…tancia me hizo concebir la idea de poder interceptar su retirada, y des pués de haber enviado las tropas ligeras hácia Roncesvalles siguien do el alcance del exército que manda el rey José, puse en movi miento hácia Tudela la división ligera , la tercera , la cuarta y la séptima con las brigadas-de cabañería del mando del coronel Grant, y del general Ponsomby ; y la quinta y sexta con la caballería de la casa Reai y la brigada del brigadier Dur…</t>
  </si>
  <si>
    <t>…para el sitio de S. Sebastian. —- También han pasado hacia Oyarzmi puentes de barcas y escalas ,que se cree sean para el Vidasoa y Ba yona. — Páruplona sigue,sin rendirse..--- El rey José continúa arres tado en su quinta ; y se le forma' causa, y á todos los que se halla ron con mando en la batalla de Vitoria. —dLós des exércitos per manecen en las mismas posiciones.—Las nuevas baterías hacen un fuego vivo contra S. Sebastian, cuya plaza estar…</t>
  </si>
  <si>
    <t>…e Paredes, sirvió igualmente á mi inmedia ción , y tanto él como todos los demas gefes y oficiales de su arma sostuvieron el crédito y buena opinión á que son tan acreedores. ,,E1 coronel D. José de la Fuente-Pita, comandante de Ingenie ros del cuerpo del centro, se me presentó igualmente con vivos de seos de que le ocupase , y permaneció en Soroya á la inmediación del gefe de estado mayor, no dexando que apetecer. ,, El comandante del regimiento de l…</t>
  </si>
  <si>
    <t>…el ser vicio dei rey y del publico, encargo á V. S- no se detenga un mo mento en verilearla , dándome aviso por tod¿s las vías posibles d«l recibo de esta órd n , que comunico al Sr. D. José de la Cruz en ia adjunta que le dirigirá V. S. por extraordinario, continuándomelos d¿.sde los p^rages en que se haile, para que sirvan de gobierno á mis ulteriores determinaciones. «Dios guarde á V. $. muchos años. México 22 de Marzo de 1813. == Calleja.^ Sr…</t>
  </si>
  <si>
    <t>…o. Sr. = Ignacio María Rebollo, ss Excmo. Sí. D. Fé lix María Calleja. Segundo. Excmo. Sr. i El día 5 del corriente recibí en Zamora drdeñ de mi general el señor mariscal de campo D. José de la Cruz para pa sar á Guanaxuato con el objeto de escoltar las platas desde aquella ciudad para la de Querétaro , y recibir en esta el convoy que el se ñor Ordoñez debe haber traído de esa capital para las provincias interiores. *• No salí inmediatamente p…</t>
  </si>
  <si>
    <t>…ción que su honor y valentía, con ser tan grande. Dios gaarde á V. S. muchos años. Salvatierra 17 de Abril de 1813 á las 7 de la mañanaAgustín de Iturvide.zzSz. mariícal de. campo D. José de la Cruz. Madrid 1$ dé Octubre. Bloqueo de Pamplona £ de Octubre, d las 11 de la noche. Los enemigos continúan bloqueados aon con mas estrechez que an tes. El dia i.° se cogió un espía que salla de la plaza con una papele ta en números para Soult, pintándol…</t>
  </si>
  <si>
    <t>…nsideración de V. S., particularmente este biz-rro gefe que en los principios de la acción fué gravemente herido , y su sucesor en el mando el tenien te coronel capitán de Almería D. José lendrera. Las délas columnas de Aleega y Downie y la de estos mismos gefes son dignos de todo elogio , pues que ademas de la valentía y buen orden con que hi cieron sus.ataques, pjrecia que se resentia de no hallar mas que ven cer: esta misma clase de sentimi…</t>
  </si>
  <si>
    <t>Josef</t>
  </si>
  <si>
    <t>…e Torres de Navarra á D- Pablo Maes cañonazos, y dado cinco asaltos, quatro de ellos tre Salas. bien malogrados. Por nuestra parte se han hecho Para el de Huertano al ex-esco!apio D. Josef cinco salidas, todas con el mejor éxito. Lorenzo Feixoó. La pérdida dei enemigo pasa de 2© hombres: Para el de Ausejo al ex-franciscano D. Manuel la nuestra entre muertos y heridos es de 16 oficiales Longarte. y 607 sargentos y soldados, habiendo muerto de Pa…</t>
  </si>
  <si>
    <t>…mos á los pue cordároslos , ya que tío sean rodos, á lo menos al blos el honor y sumisión que se debe al gobier gunos mas dignos de reparo, para que por estos no de nuestro REI el Señor Don Josef i, que podáis iiilerir Ies deroas, é instruirles en ellos. Dios guarde, excitando á la mayor fidelidad y po .El primero y mas principal deber, que es pre sible prontitud en el pago de las contribuciones. ciso estampar en el dia en su corazón como princi Igual…</t>
  </si>
  <si>
    <t>…otísimo de complicación y de cisma, lo que seria el mal"mas lamentable dé qunnValencia^ de febrero. tos se pueden padecer, ha juzgado de su obliga El antiguo arcediano de Alpuente D. Josef ción el declarar: Matmechá fue despójado de su empleo de vicario „Que aquel ó aquellos gobernadores, proviso general del obispado de Segorve, y conducido jus res y vicarios generales que hayan sido nombra tamente al depositó de Jaca por defectos mui esen dos…</t>
  </si>
  <si>
    <t>…nunció en Iz gazeta de 20 de noviembre de 1812. En su consecuencia, y de orden del expresado señor intendente, se hace saber al publico que la oficina de renovación, al cuidado de D. Josef de la Torre, sita en el quarto segundo de la casa en que estuvo la real caxa de descuentos , calle del duque de Alba, está dispuesta á admitir desde las nue ve de la mañana hasta las doce del dia, empezando á contarse el plazo des de el dia i.° de julio próxi…</t>
  </si>
  <si>
    <t>…unció en la gazeta de 20 de noviembre de i$i2. En su consecuencia, y de órden del expresado señor intendente, se hace sabir al publico que la oficina de -renovación, al cuidado de D. Josef de la Torre, sita en el quarto segundo de la casa en q;ue estuvo la real caxa de descuentos , calle del duque de Al-b'i, está di puesta á admitir desde las nue ve de la m-i ña na hasta las doce deí dia, empezando á contarse el plazo des de el dia 1.® de julio…</t>
  </si>
  <si>
    <t>…eleste en el ojal de la casaca, que haga visible su mérito; de lo que se les dará certificación, y acreditará efl su hoja de servicio. • , • . Los caballeros cadetes premiados son D. Josef dJe la Torre por preferen cia en las clases de geometría y táctica;, D. Toi»as Benitez, en la de táctica;. I)., Dionisio Gisbert y D. Martin de Villota en las de aritmética,y álgebra; T&gt;é Francisco de Lara en las de aritmética y ordenanzas, y D. Juan Sabor!do…</t>
  </si>
  <si>
    <t>3 *9 ton ha concluido en los campos de Huarte la obra de la sabiduría y la liber tad. Sotilt ha vuelto á Francia para renovar el terror que introduxeron el general D. Josef y sus dispersos; y los prestigios de poder quedan desvane cidos para siempre. Entre tanto el exércíto combinado maniobra activamente en Cataluña, y se espera por momentos la noth ia de la rendición de Tarragona, cuya plaza se hallaba cinco dias hace con tres…</t>
  </si>
  <si>
    <t>…dicho señor por la escribanía del número de D. Juan Anto nio de Urraza. Manual del cristiano para asistir al santo sacrificio de la misa. Esta obríta, orde nada por el presbítero D. Josef de la Canal, no solamente es útil para hacer entrar á los fieles en el espíritu de Ja Iglesia en la celebración de sus augustos misterios puestos en forma de oraciones, sino que también es una mina, que beneficiada por los oradores cristianos, les servirá mas…</t>
  </si>
  <si>
    <t>JoSéf</t>
  </si>
  <si>
    <t>…Madrid (á cuyo car go háj puesto el gobierno efeuidado de este establecimiento), compuesta de los Sres. D. Antónió Siles, secretario de la sociedad y protector-de dicha escuela;• D. JoSéf;Millanova y Jordán, censor, y el socio D. Fermín de Uria Nafárrondo. El catedrático D. Francisco de Papla Martí leyó un elocuente discurso, en que probó la antigüedad de este maravilloso arte de escribir con tanta velocidad como se habla: dio una idea de los…</t>
  </si>
  <si>
    <t>…se ha hallado igualmente á mi inmediación, y tan-^ to él como todos.ios demás gefes y oficiales de su arma sostuvieron el cré dito y buena: reputación á que son tan acreedores. El coronel D. Josef de la Fuente Pita, comandante de ingenieros del cuerpo del centro, se me presentó igualmente con vivos deseos de que le ocupase, y permaneció.en Soroya á la inmediación del gefe de estado ma yor, no dexando que apetecer. El coronel del regimiento dé la Consti…</t>
  </si>
  <si>
    <t>…nientes los segundos del.propio cuerpo ; Dou Andrés González, teniente del de Oviedo; D. Mantel.Suanez Campa, ca pitán de-la compañía de obreros; D.. Ramón L.Qza6b,; D. Juan:Ruvi, Don Josef íOronqz , capitanes, D. .Felipeí»Riá&gt;alcabai,5iftefiiente * y Di Leonardo Gtícefu ,. subveniente delipriníeío-CiánÜbro,? y/Dt’ Joaquín capira-n dé tiradores de Cantabria. .«&gt;h: .A rib v, : ? ,nr: xveri v crin 'o;Los heridos'son D: Abtonio&lt;iBaosivi:£.«ubténieu…</t>
  </si>
  <si>
    <t>…rques de las Hormazas: para regido res conde de Sáceda, D. Ramón de Angulo, D. Joséf de Tejada Ruiz, D. Antonio Landaiuce, D. Josef Hernández Martínez , D. Santiago1 de las Rivas, D. Josef de las Barcenas, D Tomas Púertolas; y para procurador síndico general D. Josef Teodoro Santos. La Regencia del reino ha dispuesto que el literato ó inteligente que nece sitare ver alguno de los manuscritos árabes, que con los demás del real mo nasterio de{ Es…</t>
  </si>
  <si>
    <t>Josef'García</t>
  </si>
  <si>
    <t>…mayor del centro D. Luis Laviña, herido. . Brigadier gefe;del estado mayor del exército Di. Estanislao Sánchez Sal vador, dos caballos muertos. i. ; Subteniente jy; ayudante suyo D. Josef'García, herido. . Segundo ayudante de estado mayor D. Josef Cienfuegos, un caballo muerto. Los pocos franceses que quedaron en la plaza de S. Sebastian, y se re fugiaron al castillo, pidieron capitulación después de,ver anonadadas sus Q$peranzásijie ser socorrido?y…</t>
  </si>
  <si>
    <t>JosefaMoreno</t>
  </si>
  <si>
    <t>…s que dió de li Mandas de testamentos. mosna un bienhechor por medio de Por una de D. Jaime Mendez........... 1800 Amonio Alonso.................................. iSco Por otra de Doña JosefaMoreno...... 24 Réditos. Por otra de D. Juan Ignacio de Gar- Por los de una escritura de imposi doqui .................................................... 5° ción en la compañía de paños cor Por otra de D. Francisco Antonio de respondientes al año de 1812......... 3…</t>
  </si>
  <si>
    <t>JosefUribe</t>
  </si>
  <si>
    <t>por lo dificultosa que hubiera sido mi.retirada» en razón del terreno que iba siempre baxando hasta S. Feliu, por lo que dispuse que la compañía de ca zadores, al mando de su capitán D. JosefUribe, emprendiese desde luego el fuego con las guerrillas del enemigo, tomando yo al mismo tiempo una posición ventajosa á mi frente para proteger mis guerrillas, las que he refor zado con parte dé la tercera compañía___ Desde el primer momento han se guido i las…</t>
  </si>
  <si>
    <t>JoséP</t>
  </si>
  <si>
    <t>…ó en la gazeta de 20 de noviembre de 1812. : En su consecuencia9 y de orden del expresado señor intendente , se haoe saber al público que la oficina de reftovacion, al cuidado deJ D. JoséP efe vía Torré,-sita en ei quarto segundo de la casa en que* estuvo:«la real caxa de descuentos calle dél duque de Alba, está dispuesta á admitir desde las nue ve de la mañana hasta las doce del dia, empezando á contarse el plazo des decidla i.° de julio próxi…</t>
  </si>
  <si>
    <t>Josué</t>
  </si>
  <si>
    <t>…sué marcha á Binefar, y cubrió los puntos ¿e Lérida con unos cuantos caballos. Yo verifiqué mis intenciones en Monzon, y perseveré en él hasta las 11 del dia siguiente, en que el capitán Josué nse avisó veniau 80 caballos de Lérida para Monzon : salí á reci birlos como era justo con dos cc mprñías de infantería, y vi que •1 Sr. Josué les traía muy de cerca. Mandé entonces al teniente de caballería D. Manuel Alegre se pusiese á su frente con 20 caba…</t>
  </si>
  <si>
    <t>Josué, Fermín</t>
  </si>
  <si>
    <t>Fermín Josué</t>
  </si>
  <si>
    <t>…iano, D. ber nardo ZaTo, D. Francisco Mtmuce, D. Pedro Mancho. D. Matías Ezcay, D. Félix Beroz, D. Bernardo Sonosiain , IT Mañano Ustarroz, D. Felipe Virtus, D. Joaquín Aquerreta, D. Fermín Josué, 1), Martin Ziarriz, D, Francisco Larrodé , D. Matías Alzorr z, D. J uan Ramón Arlegui, D. Bonifacio Jaso, D; Mvouel Sancho, D. Bonifacio Martínez, D. Julián Gofr , D. Justo Taiazona, D. José María Munuce, D. Antonio Longis, D. José Canoras, D Cele Io nio Ler…</t>
  </si>
  <si>
    <t>Jot</t>
  </si>
  <si>
    <t>…cue, 8 id. D. Juan Bau tista O variaba! y D. Pedro Abadía, 20 id. D. Lorenzo Tajonar, 2 id. D. Fermín de Arriaga, 2 id. D. Nicolás Soreguí, 1 id. D. Juen Bautista de Sarrata, 2 id D. Jot,é A tomo de Erna, 4 iii. D Mi guel de Garate, 1 id. D. Joaquín de Lostfa, 1 id. D. Raisuui Ven-</t>
  </si>
  <si>
    <t>Jourdan</t>
  </si>
  <si>
    <t>…endo consi go mucha comitiva, y una escolta de 130 hombres de artillería vo lante, 2QD de infantería / 148 del tren, 400 dragones y 600 infantes: acompañaban también al intruso ei mariscal Jourdan ; el general Didon , de artillería ; el príncipe de Santa Croe2 ; varios coroneles, capitanes y otros oficiales; el expatriarca Arce; otros dos genera les ; el tesorero general de la Coiona; O Farrill, Urqaijo, Azanza, Negrete, tres individuos del consejo de…</t>
  </si>
  <si>
    <t>…» designios se extendían desde Boston á Orleans, sobre el tiempo que han de mantenerse ocupando «empleándose en esto mas de 70 personas.” i dichas plazas las tropas francesas. „Al mariscal Jourdan, ex-gobernador de Maij. El presente convenio se conservará secreto, «drid, parecía se le habia arrestado en París. ’ y no podrá en caso alguno publicarse ni comunicar La primera de estas dos noticias es una conse se á un gobierno extrangero por ninguna de las…</t>
  </si>
  <si>
    <t>…mendarle á su protección. Tendrá el honor de manifestar á V. E. que se tomó la bandera del cuarto batallón del regimiento francés núm. ioo, y el bastón de mariscal d*e Francia del general Jourdan por el regimiento británico núm. 87. Dios guarde á V.E. muchos años. Salvatierra 22 de Junio de 1813. =r Wellington , duque de Ciudad-Rodrigo. j «i-\ D. Acompaño á V. un estado de heridos'y muertos (*): el general Morillo fué herido , é ignoró hasta ahora el…</t>
  </si>
  <si>
    <t>…arle á su protección. Tendrá el honor de ir ai ifestar á V F. que se tornó la bandera del quarto batallen del regimiento francés núm. 100.* y el bastón de mariscal de Fran cia del general Jourdan por el regimiento británico núm. 87." Dios guarde á V. E. muchos años. Salvatierra 22 de junio de 1813. == Weliingicn, duque de Ciudad-Rodrigo. „ P. D. Acompaño á V. F. un estado de heridos y muertos: el general Morillo fue herido, é ignoro hasta ahora el nom…</t>
  </si>
  <si>
    <t>770</t>
  </si>
  <si>
    <t>…da del general Oolviíle en la tercera división ; y. hallándose con este oficLi destacadas en un servicio mui avanzado el día de la batalla de Vitoria, se apoderaron del bastón del general Jourdan, y se le entrega ron á su comandante el geueral Colville, quien al día siguiente le presentó á lord Weílrngton. Del 2 r. La cartas de Varsovia de 23 del mes pasado dicen que pasó por aquella ciudad una diputación del senado de Servia y de Czerni-Jorge, dirigi…</t>
  </si>
  <si>
    <t>Jove, José Atvaroz</t>
  </si>
  <si>
    <t>José Atvaroz Jove</t>
  </si>
  <si>
    <t>…aldonado, y se leyó la felicitación de la universidad de Granada. —El 24 se dió cuenta de las felicite clones del ayuntamiento constitucional de Andujar, y de los vecinos do G-jon D. José Atvaroz Jove , mayor y menor, quienes, al publicar la constitución en aquella "villa, acu ñaron por su cuenta varias monedas de oro y plata para p irpstuar la memoria de tan feliz acontecimiento. — El 26 felicitó al Congreso el cabildo de la Sta. iglesia de Canarias. — El…</t>
  </si>
  <si>
    <t>Jovellanos, D- Gaspar Melchor de</t>
  </si>
  <si>
    <t>D- Gaspar Melchor de Jovellanos</t>
  </si>
  <si>
    <t>…ar y tabicar un confesonario sin noticia ni intervención d® la jurisdicción eclesiástica, al que precede la representación de D. Francisco Perez de Quiñones, y la carta del Excmo. Sr. D- Gaspar Melchor de Jovellanos: un quaderno en 4.* rústica. Se hallarán en la librería de la viuda deQuiroga, calle de las Carretas, casa rúm. &lt;?. EN LA IMPRENTA NACIONAL.</t>
  </si>
  <si>
    <t>Jóvenes</t>
  </si>
  <si>
    <t>Gaceta de Madrid n.º 97</t>
  </si>
  <si>
    <t>…os no comprehendidos en las que avance por ningún lado. El general Regnier clases anteriores..................................... 34»6-í°* tiene su quarfel general en Varsovia, el general Jóvenes inclusos en la conscricion del Durutte en Szulusk, llegando sus puestos avanza Landwehr................................................ 20,000. dos á Stanislavow. Jóvenes que no llegan á la edad de 38 Los alistamientos se hacen con la mayor activi años.......…</t>
  </si>
  <si>
    <t>Joyellanps, Gaspar Melchor de</t>
  </si>
  <si>
    <t>Gaspar Melchor de Joyellanps</t>
  </si>
  <si>
    <t>…a nacional. - : , , Pan y toros. Célebre pracmn apologética,, que en defensa del estado florecien te, de la España en tiempo de-áiárlos , ly-^jipco en la plaz^t de tqros de Madrid Don Gaspar Melchor de Joyellanps: un .quadjerpito en 8.° Véqdf-s&amp;.en Jas Morenas de Perez y. Hurtado, caííe.de las Carretas, y en la.de Villa, plazuela de Sto¿ Do mingo, á '.2 rs.f : . ’ Oí rogos dun gallego. Graciosa, crítica en verso en dialecto gallego contra los abusos de lá inquisición…</t>
  </si>
  <si>
    <t>Jp</t>
  </si>
  <si>
    <t>…la villa de Atienza. Suplente. Sr. Dr. D. Nicolás Escudero, canónigo dignidad de la santa iglesia ma gistral de Alcalá de Henares, natural de Tartanedo. Diputación provincial. i.° Sr. D. Jp?qu in; Montesoro, caballero de la real y distinguida orden española, de Cárlos ni* vecino de la ciudad de Molina. 2.0 Sr. JD. Félix Herreros, cura párroco de la villa de Iriepar. 5 - 3-° Sr. D. Josef López Santa María, canónigo de la santa iglesia catedral de…</t>
  </si>
  <si>
    <t>Ju</t>
  </si>
  <si>
    <t>…e la rapidez con que se tendió la vez, y se uniformaron los sentimientos. Una numerosa concurrencia se dirigió á la calle del Coso á ver entrar la gallarda y briosa caballería del brigadier D. Ju lián Sánchez, quien desde luego á una con la restante tropa y las; . rondas de ciudadanos honrados, depuestas por el ayuntamiento, se dedicó á mantener la tranquilidad públicaComo por un encanto se vieron de improviso iluminadas las; principales calles, y en…</t>
  </si>
  <si>
    <t>…tituto profiero. •D. Pablo,Marquiep, substituto segundo. ; D. Felipe Monasterio, substituto segundo. Barrio (te la puerta de Sigovia. Barrio de Pinto. D. Francisco Vives, alcalde. D. Ju an Icnacio Berriózaba! , alcalde. D. Tomas Peña , substituto primero. 13. ManuelSala y Piran, substituto primero. D.. Estéban Labios, substituto segundo. D. Ignacio Salgado, substituto segundo. , Barrio denlos Caños del. Peral y Santa Alaría. Barrió de Santa…</t>
  </si>
  <si>
    <t>…, Gaudi:i,Laverdo'y Prevost: gefe de estado mayorJuarme?. Han salido esta mañana, y en la misma ha llegado el señor Es poz y Mina con 400 caballos y 3 batallones de infantería., y D. Ju lián Sánchez con 45o-lanceros, que inmediatamente marcharon pi cando la retaguardia á los franceses con fruto: por la tarde han en trado 1500 infantes de la división de Navarra con 50 caballos, y al anochecer el batallón, de Tabuenca que seguirán el camino de…</t>
  </si>
  <si>
    <t>…te "izarro o4cialllenó en todo mis deseos, pues en union con los puestos avanzados y las compañías ~e granaderos y cazadores de AragoD J allnando del capitan graduado de tenL,'nte coronel D. Ju:nt Blancas, coDtuvieroa al enemigo por espa-c;;io de media hora, djndGme lugar á que reforzasen las compañías ie' -eazadores y granaderos de Cidiz IU frente, punto por donde 2ma'Eab~ul el ataq (le; y viendo al parecer que se obstinabara, dí la 6rdea al cor~ne…</t>
  </si>
  <si>
    <t>…mov miento que-te le previno, hiciese un reconocimiento so bre Fraga, con el objeto, si era posible, de apoderarse del fuerte que en abuela ciudad ocupaban los encínteos. Unido al brigadier D. Ju lián -Sánchez, que con la volante dei cuarto exército que está á sus ór denes se hallaba por aquellas inmediaciones, y á quien Decreft convi dó para esta operación , la emprendió como se había propuesto el día 14. teesde e te hasta la noche del 19 al 20 resis…</t>
  </si>
  <si>
    <t>Juan</t>
  </si>
  <si>
    <t>…todos los Príncipes á quienes han prestado que vengan también los rusos por tierra hasta Chi homenage al momento que la fortúna les volvía la china , como si el paso y repaso del -Sr. D. Juan espalda, lo pagan ahora mui bien con la esclavitud Martin desde Sigiienza á mi lugar, y de mi lugar inglesa, con el desprecio de sus conciudadanos, y á Sigüenza, no me tuviera ya en la última miseria, con la privación de las comodidades y de la osten renegand…</t>
  </si>
  <si>
    <t>…on los ricos-hont- »&gt; ñas proporciona mas que sus exageraciones y sus «bres, animados á ellas por la debilidad del carác- «defectos, resultó que habiendo principiado á imi„ ter de D. Juan 11; pero salvó el estado la fldeli- «tar aL Petrarca con bastante felicidad, se tomó „ dad de aquellos magnates que estaban unidos al « después por modelo al napolitano Marini, el qual « Rei por su afición á la poesía (3). «escribió con. hinchazón, con redund…</t>
  </si>
  <si>
    <t>…gustín Tavira, alcaide. D. Alfonso Luceño, substituto primero. Barrio de la pinza de S. Juan. D. Ramón Lancha alcalde. D. Domingo Cabezón, substituto segundo. Barrio de Monserrat, D. Juan .Adan, substituto primero. D. Félix Montexo, substituto segundo. D. Miguel Parte-arroyo, alcalde. Barrio del Hospital General. D. F rancisco Oliva, substituto primero. D. Josef Martínez , substituto segundo. D- Siiverio Perez , alcalde. Barrios a. Guardas de…</t>
  </si>
  <si>
    <t>…ue no sea juzgada su causa por personas parciales convoca das por l^s Sherifes. Si se rae pregunta ¿que es lo que desean? responderé, sus derechos. ¿Qae exigieron los ingleses del rey Juan? sus derechos. Los católicos no piden este ó aquel empleo , sino la representación cíyíI. Si esto es ambición , ambición fué la que nos proporcionó la carta magna ; ambición , la que dictó y nos aseguró la declaración de los Derechos. Si tal es la ambición ¿q…</t>
  </si>
  <si>
    <t>…50. D. Rara el Ló pez, 50. D. Félix Balegi, 59. D. Juan Francisco M -toado, 50. D. Manuel G.j»m&lt; z Zuazo, 50. D. To-ms Jurado, 50. O Sebastian Corrínarefc,50. D. Antonio León, 50. D. Juan y D. M g-id Viña, 50. D Andrés Sánchez Quiroz , 50. D. Antonio Bbras, 50. D Francisco Nnaez, 50. D. Manuel Odrinsola, 50 D. Fulg í c o Z avala, 50. D. Vicente Aborta, 50. D. Francisco Sagasti, 50. D. Pedro Larrañ ga, 25 D. Julián Psraz, 25 O. José Osorio, 25. D. Mig…</t>
  </si>
  <si>
    <t>…dotid/o de abril. gutdores de los abusos pasados.....y otras cosas de El general de brigada Boyer, informado de este jaez; á cuya pintura pudiéramos añadir noso que en Valencia de D. Juan se hallaban algunas tros algunas pinceladas respecto de los que vinie tropas insurgentes, salió coi: precipitación de Rio- ron á lonstitucionalizar á Madrid y provincias in seco el dia 6 de este mes, v logró sorprehenderlas. teriores. Viéndose estas acometida…</t>
  </si>
  <si>
    <t>…encia deben predicar, á imitado» de nuestro Señor Jesucristo, de palabra y con el exemplo. Este celo por la debida obediencia y sumisión de los súbditos obligó á los señores reyes D. Juan « I y&lt; D¿ Henrlqúe III ¿ mandar que si algún fray Le, ó clérigo, ó ermitaño, ú otro religioso se atre viese á decir palabras injuriosas y feas contra el rey ó las personas reales, ó contra el estado ó gobierno, fuese enviado preso ó recau dado á disposición d…</t>
  </si>
  <si>
    <t>…de pa labra ycqn el exemolo, . . 5 . /7p . 7; j A . ' vrv.% ■,* ’.77 .'.-V, * ¿ r/i És$e, zelo por la debida otiedien(eiji(y! stónisipn.dejos subditos obl.igp á [o¿ nepotes Reyes D. Juan i y D^jHcnxiquejfi ^fgaqdar qu es i ál g un Jjaüt % d clérigo 9 6 ermitaño ú otro religioso se ¿trevjkse ^decir^a/abras injurias asyr. feas contra.el Rei ó las personas reales, © contra el estado &lt;5 gobierno, fue se enviado fifes^á Tex;atída,d9, &amp; disposición…</t>
  </si>
  <si>
    <t>…. = Wellin$tén, duque de Ciudad-Rodrigo. »Inc luyo á V. E. el estad-o que manifiesta el número de muer tos y heridos que tuvo la división de Morillo en la batalla del 21.= Exceso. Sr. D. Juan 0-Donojú.= Escocia.” Parte de Sir Tomas Gra-ham. Tolosa 2(7 de Junio de 181¿- = Milord. = « Era tan tarde quando recibí la orden el 23 para marchar por el puerto de S. Adrián sobre Viliafranca, y estaban tan extremadamente malos el tiempo y el ca mino , que s…</t>
  </si>
  <si>
    <t>…la librería de Hurtado, calle dé las Carretas. v En 3o,de noviembre de 1808 se extravió un piño comode unos seis años en tonces, que se llama Cayetano Ycdol, hijo, según dice, de D. Juan, natural de la ciudad dé'Granada , y de Doña Ana del Pozo, de la de Málaga. Su padre ser via eníóncps de sargento primero dé granaderos del regimiento de la Corona: el asistente que tenia su madre sé llamaba N. Madero. Y no habiendo tenido noticias He :sbs pa…</t>
  </si>
  <si>
    <t>…n ■ evalúente la posición de Casta Ha.:?: Dios guarde..á V, E. .muchos años, Quartel general de Zubieta ,10 de julio de 1813. = Wellington, duque de Ciudad-Rodrigo, 5= ExcmQ» Sí. D. Juan 0-Doaojú.” El quartel general del í¿ord estaba el 17 de este mes en Le saca. -.la guarnición francesa de Pamplona está á media ración.—-El general Morillo sigue victorioso, y haciendo prisioneros dentro del territorio francés, exigien do contribuciones y raci…</t>
  </si>
  <si>
    <t>…or ella nuestras operaciones. = Dios guarde áV. S. muchos años. Ibarra y Noviembre 19 de 1812. = El marques de Villa Orellana así Manuel Maten.ss Carlos Montufar. ss Señor coronel comandante D. Juan. Samano.” '</t>
  </si>
  <si>
    <t>…primeros, y tenientes los segundos del.propio cuerpo ; Dou Andrés González, teniente del de Oviedo; D. Mantel.Suanez Campa, ca pitán de-la compañía de obreros; D.. Ramón L.Qza6b,; D. Juan:Ruvi, Don Josef íOronqz , capitanes, D. .Felipeí»Riá&gt;alcabai,5iftefiiente * y Di Leonardo Gtícefu ,. subveniente delipriníeío-CiánÜbro,? y/Dt’ Joaquín capira-n dé tiradores de Cantabria. .«&gt;h: .A rib v, : ? ,nr: xveri v crin 'o;Los heridos'son D: Abtonio&lt;iBao…</t>
  </si>
  <si>
    <t>…ante la secretaria del despacho de Estado, que ipteriñamen^ te desempeñaba D. Antonio Cano Manuel, he ténido; por conveniente'dis poner se encargue de ella en ios mismos^^términos D. Juan; O^Donojuy se* cretario del despacho de*Guérra&gt;=sTendreislo entendido, y dispondréis lo necesario á su cumplimiento.ssCádiz iq de octubre de 1813. = A D;' Fran cisco de Paula Oso rio.” Con la misma fecha se ha servido la Regencia del reino dirigir al señor se…</t>
  </si>
  <si>
    <t>…-'y. valor de heles va sallos y verdaderos soldados. Las cargas de ía división las dexé en la hacienda de S. Nicolás con Dn destacamento ai mando del teniente de patriotas de León D. Juan de la Pila Gómez, quien en tales circunstancias solo pudo conformar-, se con esta comisión, porque no es menor su subordinación que su honor y valentía, con ser tan grande. Dios gaarde á V. S. muchos años. Salvatierra 17 de Abril de 1813 á las 7 de la mañanaA…</t>
  </si>
  <si>
    <t>…rón: y ruego á V. E. me peri^ita le recomiende á su protección. = Dios guarde.á V. E. muchos años. Resaca 9 de octubre de 1813. = VVellington , duque de Ciudad-Rodrigo. =s JExcmo. Sr. D. Juan 0-Donojú.”;= Es copia. (ÓV continuara. ) . EUayuntamiento constitucional, de acuerdo con el señor gefe político, anhelando en quanto sea posible auxiliar á los habitantes de este heroico .pueblo , dispuso el restablecimiento de la junta general de caridad con…</t>
  </si>
  <si>
    <t>Juan, San</t>
  </si>
  <si>
    <t>San Juan</t>
  </si>
  <si>
    <t>…un cuerpo de 1© brillantes caballos, cuyos soldados están perfectamente disciplinados y vestidos; ai paso que en la Mancha se formará otra reserva de caballería, instruida por ei general San Juan.—.Deseamos almacenes bien provistos, y que las pagas, si fuese posible, anduvieran adelantadas; sin embargo que nuestros soldados, batidos y desnudos en otros dias, nos han mostrado por el largo espacio de cinco años, que no necesitan de otro estímulo mas que…</t>
  </si>
  <si>
    <t>Juan.sSr, Juan Roca Togores y</t>
  </si>
  <si>
    <t>Juan Roca Togores y Juan.sSr</t>
  </si>
  <si>
    <t>…cisco Antonio.AguJló. = $r. D. Josef Miralles, canónigo.-sSr. D. Ramón Cubells. - . ' t Suplentes.A * Sr. D. Pedro Vicente Calvo % presbítero, es El coronel D. Agustín Colomina. = Sr. D. Juan Roca Togores y Juan.sSr. D. Valentín Seoane.</t>
  </si>
  <si>
    <t>Juanes, Vicente</t>
  </si>
  <si>
    <t>Vicente Juanes</t>
  </si>
  <si>
    <t>…enirredrá, vacante por promoción de Angers 4; ; el cantón de Metz quatro; la ciu de D. Antonio Agramuntell al curato de Gestaigar, dad de Lieja 50; la ciudad de Brujas 20; la de á D. Vicente Juanes, presbítero. Ñames 50; Mezleres tres; Auxerre seis ; Mans 10; Para el de Font de Encarroz, vacante por as Nanci 15. censo de D. Vicente Llopis al curato de Alcacer, ESPAÑA. á D. Francisco Morelló, presbítero. Y para el de Benavites, vacante por promoción Madr…</t>
  </si>
  <si>
    <t>JuanTer</t>
  </si>
  <si>
    <t>…eteogo el hon~r de mand~r,·tampoco ,·tne es fácil manifestar el.válorcon .que se han comportado los dignísimos gefes D. Ant)nio Bray, coronel del reghl1i~n to Tiradol"cs ~e Cádiz, D. JuanTer~D yD. Joaquia ,Henriquez, teniente eorose!, y sar5eBto mayor del regimL'!nto primero 'voluntarios ,de Arag:&gt;n, h3hiendo ·sido e~.te,úItimo levemente 'herido, ·D. Jos6 He::n'audez de Tejada y .D. Francisco Antonio 'L1oret, teniente coronel y f'argento mayor de…</t>
  </si>
  <si>
    <t>Juares, Higinio</t>
  </si>
  <si>
    <t>Higinio Juares</t>
  </si>
  <si>
    <t>provincias internas á las ordenes de su comandante D. Higinio Juares batió gallardamente en este día una reunión de 500 rebeldes de ¿ caballo y 300 de á pie, acaudillados por Benito Loya, el Teñezache Huerta y otros cabecillas, durando la acción hora y media. Quedó el campo cubiento de cadáveres, se hicieron 25 prisioneros, -e…</t>
  </si>
  <si>
    <t>Julián</t>
  </si>
  <si>
    <t>…a 1,5 por Puente Larra antes que los franceses pudiesen verificarlo. Los cuer pos de infantería y caballería del general ingles Hill y de los generales es pañoles Penne, Morillo y D. Julián van persiguiendo la retaguardia del enemigo ; y aunque este marcha precipitadamente con el objeto de apode rarse del puente de Tudela, es probable que no lo verifique. El exército francés, cuya vanguardia manda Gazan , abandonó á&gt; Briviesca el ió por la mañan…</t>
  </si>
  <si>
    <t>…ce, reconocer la línea de los aliados, y distraer I2 atención del sitio de S. Sebastian. Pamplona sigue bloqueada; y luego que se concluya con S. Sebastian, será sitiada.__ Mina y D. Julián continúan sitiando el castillo dé Zaragoza. — Los 800 caballos, al mando del coronel D. Juan Palarea (el Médico), están sobre el Ebro entre Tu déla y Córella; y dicho coronel en Tolosa es perando las órdenes def Lord. ' La Junta provincial de censura, compues…</t>
  </si>
  <si>
    <t>…a de Balgañon, ar- ' zóbispado de Búrgos, hijo legítimo de D. Santiago y Doña Antonia Serrano Ayala, difuntos, que lo fueron de !a misma, y á ios que han salido mostrándose partís D. Julián, D. Melehor, D. Juan Francisco y Doña Manuela de Aparicio, her manos, como sobrinos carnales del citado D. Antonio Zaldua; por lo que se cita, llama y emplaza á todas y qualesquiera otras personas que puedan tener derecho i sus bienes, á fin de que en el térm…</t>
  </si>
  <si>
    <t>…e, reconocer la línea de los aliados, y distraer la atención del sitio de S. Sebastian. Pamplona sigue bloqueada; y luego que se concluya con S. Se bastian, será sitiada. — Mina y D. Julián continúan sitiando el cas tillo de Zaragoza. — Los So® caballos, al mando del coronel O. Juaa Palarea (ei Médico) están sobre el Ebro entre Tíldela y Cexeila; y dicho coronel en Tolosa esperando las órdenes del lord. CADIZ : IMPRENTA NACIONAL : x8ij&lt;</t>
  </si>
  <si>
    <t>Julián, Francisco S.</t>
  </si>
  <si>
    <t>Francisco S. Julián</t>
  </si>
  <si>
    <t>…undo de Guipúzcoa, y D. Josef Albun , subteniente del primero del mis ino nombre. ! « Los contusos son D. Ruperto Otero, teniente del de Rivero; D. Josef María Carrido, coronel, y D. Francisco S. Julián, capitán del segundo de Asturias; D. Josef Martínez, capitán del primero Cántabro; D. Nicolás Do^ ronzoro, teniente ; D. Josef Arana , subteniente del primero de Guipúzcoa. Los'prisioneros son TX Joaquín González, subteniente del segundo de Asturias; D. Agust…</t>
  </si>
  <si>
    <t>Julián, Francisco Son</t>
  </si>
  <si>
    <t>Francisco Son Julián</t>
  </si>
  <si>
    <t>…dei segundo de Guipúzcoa, y D. José Aibun, subteniente del primero del mñmo nombre. Los contusos son: D. Ruperto Otero, teniente del de R-ivero; D. José María Carrillo, coronel, y D. Francisco Son Julián, capitán del segundo de Asturias; D. José Martínez ,'espitan del primero cántabro; D. Nicolás Doronzoro, teniente ; D. José Arana , subte niente del primero de Guipúzcoa. Les prisioneros son: D. Joaquín González, subteniente del se gundo de Asturias; D. Agust…</t>
  </si>
  <si>
    <t>Julián’JosefÑegrfcte</t>
  </si>
  <si>
    <t>…Geronima. * Los decretos de las Cortes extraordinarias acerca del cultivo y de la industria, acerca de rentas &amp;c. tió se conforman cón los intereses de la España, según pen-sar de D. Julián’JosefÑegrfcte, catedrático’ de "fíioSofia y dc&amp;homía’ política' en el seminario de Nobles de Madr'd: dedicado á las mismas Cortes. Se hallará én las li*dbrerías de Quiroga,' callé de las Carretas, y’ dé ‘Castillo, frente á las gradas dé San .Felipe el Real. ■■'■■■ • &gt; 1 *'…</t>
  </si>
  <si>
    <t>Julien</t>
  </si>
  <si>
    <t>…evar á Al señor Reguier , teniente , culpable de com « efecto qualquicra de estos crímenes, aun quando plicidad con el ex-general Malet, unánimemente; « no se hayan consumado.” Ai señor Julien, sargento mayor, no culpado La comisión militar absolvió y dio por libres de complicidad , unánimemente ; del crimen de complicidad de que estaban indicia Al señor Leícbvre, teniente, culpable de com dos, i.° unánimemente á los señores Gomont, di plicidad con…</t>
  </si>
  <si>
    <t>Juliis</t>
  </si>
  <si>
    <t>…o en. todo el cur ñes del capitán Fránconi, y por un destacamento so del Vístula. dé la compañía escogida de Giula, mandado por el Quaiquier'a que lejos del teatro de la guerra, y señor Juliis. sin conocer el carácter de los rosos, ley ese-los diex últimos boletines de sus operaciones, creería- que IMPERIO FRANCES. iban á invadir toda la Alemania, y que con dificul tad pondría el Rin un término á sus hazañas. El Hamburgo 30 de entro. exército aliad…</t>
  </si>
  <si>
    <t>Jurado, To-ms</t>
  </si>
  <si>
    <t>To-ms Jurado</t>
  </si>
  <si>
    <t>…. D. Martin y D. J.ian Bautiza Estevecorena, 59. D. Ran&amp;on del Valle, 50. D. Rara el Ló pez, 50. D. Félix Balegi, 59. D. Juan Francisco M -toado, 50. D. Manuel G.j»m&lt; z Zuazo, 50. D. To-ms Jurado, 50. O Sebastian Corrínarefc,50. D. Antonio León, 50. D. Juan y D. M g-id Viña, 50. D Andrés Sánchez Quiroz , 50. D. Antonio Bbras, 50. D Francisco Nnaez, 50. D. Manuel Odrinsola, 50 D. Fulg í c o Z avala, 50. D. Vicente Aborta, 50. D. Francisco Sagasti, 50.…</t>
  </si>
  <si>
    <t>Jurdau, Joaquin Tellez</t>
  </si>
  <si>
    <t>Joaquin Tellez Jurdau</t>
  </si>
  <si>
    <t>…te earonel O-Tóole, del regimiento mím. 7 de cazadores en la carga a' la bayoneta sobre nuestra izquierda el dia 28; y la del capitán del regimien to núm. 11 , ambos portugueses , D. Joaquin Tellez Jurdau en el ataque de la montaña del dia 30. ,, No debo omitir el mencionar los particulares servicios que han hecho durante estas operaciones los tenientes generales Sir Rolando Hill, lord Dalhowsie y Sir Tomas Picton ; ni tampoco puedo dexar de expresar que el te…</t>
  </si>
  <si>
    <t>Juste, Simón González</t>
  </si>
  <si>
    <t>Simón González Juste</t>
  </si>
  <si>
    <t>…elos. 6.° p. Francisco Fernandez Gaseolabrador y ganadero, vecino de Da-? ganzo de arriba. 7.0 D. Joaquín Manrique de Manrique , artífice platero en Madrid. Suplentes. ■i i i i.®. D. Simón González Juste, cura párroco de Seseña. 2.0 D. Martin Miguel de Goicochea, del comercio per mayor y g’»FO en Madrid. 3.° D. Juan Francisco Morate, labrador y ganadero.» vecino del ■ . ■ ; ' ' -t’-/; . ; !••••■•• v¿^¥.Soiga- • En la real casa de caridad dé la ciudad de Toled…</t>
  </si>
  <si>
    <t>Kalimachi, Scarlat</t>
  </si>
  <si>
    <t>Scarlat Kalimachi</t>
  </si>
  <si>
    <t>Gaceta de Madrid n.º 104</t>
  </si>
  <si>
    <t>…sociedad que se llama Ayer mañana hizo su entrada solemne en nues ' de los Santos hermanos, la qual se entrega á exercicios piadosos y á continuas y mui ásperas peni tra ciudad el príncipe Scarlat Kalimachi, nuevo hospodar de Moldavia. Su consagración se ha he.- tencias. Ultimamente, los gichtelianos, secta que se cho en la iglesia de S. Nicolás por los obispos que creía ya extinguida en este pais , han encontrado nuevos partidarios entre la nobleza de la provin…</t>
  </si>
  <si>
    <t>Kalkreuth</t>
  </si>
  <si>
    <t>253 cal conde Kalkreuth manda en Silesia laa tropas prusianas, cuyo nú mero es considerable. El cuerpo que debe reunirse á los franceses es ta reunido provisionalmente en Pomersnia; pero se dice que algunea regimiento» de los. que están en Silesia marcharán inmediatamente al Vístula…</t>
  </si>
  <si>
    <t>Kaminsky</t>
  </si>
  <si>
    <t>…andado con un cuerpo á Piestchenitza por Jourieff, encontró, eT29 de Noviembre, un cuerpo ene migo que preparaba cuarteles para el emperador Napoleón, y había hecho prisioneros al general Kaminsky, 30 oficiales del estado ma yor y 217 hombres. La proximidad de las columnas enemigas le obligó á abandonar aquel sitio y dirigirse hácia la izquierda , á ha de retardar todo lo posible la marcha del enemigo. Habiendo flan queado ú este el almirante Tchichago…</t>
  </si>
  <si>
    <t>Kamisky</t>
  </si>
  <si>
    <t>…9 por la mañana la vanguardia dei enemigo en aquel pueblo, donde estaba preparando cuarteles para el emperador Napoleón. El fruto de este ataque inesperado fué el apresamiento del general Kamisky , 2 coroneles , 2 tenientes coroneles , 2 mayores , 24 oficia les ¿e diferentes graduaciones y 217 soldados. La vanguardia del almirante TchichagoíF, persiguiendo vigorosamente al enemigo en Chotosnitschi , le cogió 5 cañones, un coronel, 6 oficiales y mes de…</t>
  </si>
  <si>
    <t>Kamps</t>
  </si>
  <si>
    <t>…a jurado destruirlos á todos, y que no les ofrece la paz sino para preparar con mas seguridad su caída !) El profesor Henry, de Jena, está preso como partidario de los aliados. El doctor Kamps, de Damme, murió arcabuceado por orden de Daroust; su delito fue haber insultado á los gendarmes, y no obedecer al co mandante de estos. (No hace mucho tiempo que los generales de los exércitos aliados proclamaron solemnemente que usarian de las mas severas r…</t>
  </si>
  <si>
    <t>Kanounitzin</t>
  </si>
  <si>
    <t>…zo avanzar nuevas colunas, que habia hecho venir de la parte de Leipsick con el objeto de que apoyaran su flanco izquierdo. Algunos cuerpos sacados de la resérva á las órdenes del general Kanounitzin les hicieron frente. Enton ces por la ,tarde se renovó el combate con mayor fuerza, y el enemigo fue igualmente rechazado en este punto. Todo estaba preparado para volver á la batalla al dia siguiente al romper el sol, y se habían comunicado ór denes al gener…</t>
  </si>
  <si>
    <t>Katzler</t>
  </si>
  <si>
    <t>…l bosque de Bischofswerd; pero luego que salió de éi fue cercada por tcdos lados, y la caballería rusa, mandada por los genérales Witt y Emmanueí. y Ja prusiana, á las órdenes del coronel Katzler, la arrojó dentro de los bos ques; 10 oficiales y mas de 300 soldados de la guardia westfaliana cayeron en nuestro poder, y el campo de batalla quedó cubierto de muertos y heridos. El enemigo, que todavía era superior en fuerzas, marchó á Godau. Este terreno…</t>
  </si>
  <si>
    <t>Keilorman</t>
  </si>
  <si>
    <t>…into. En Bayreuth y Bambérg. El mariscal Augereau con el cuerpo: de reserva. Sexto. En Munich. El general Wxede* comandante en gefe de todos los bávaros. Séptimo. En Francfort. El mariscal Keilorman con el segundo exército de reserva. Octavo. En Italia. El víre! Eugenio, lugarteniente de Bonaparte, el. mariscal Massena y el conde Grenier. Los otros generales comandantes de divisiones ¡en Alemania son los si ■ ' ‘ . ¿i r f ^ guientes: ... ' - ' De caballe…</t>
  </si>
  <si>
    <t>Kellerman</t>
  </si>
  <si>
    <t>6.° Munich. El general Wrede, comandante en gefe de todos los bávaros. j.Q Francfort. £1 mariscal Kellerman con el segundo exército de reserva. 8.° Italia. El virey Eugenio, lugar-teniente de Bonaparte, el mariscal Massena y el conde Grenier. Los otros generales comandantes de divisiones en Alemania son los siguientes : De caballería: el conde_Latónr-Maubourg.— El…</t>
  </si>
  <si>
    <t>Kempt</t>
  </si>
  <si>
    <t>…cal de. campo Kempt, atacó por la parte del ptierte donde hu bo menos resistencia; y el mariscal de campo Carlos, barón de Al ten, expresa en el parte que me ha dado, que tanto el general Kempt como el coren el-Cocí; buril e desp egaion grandes conocimien tos e&lt;i la execucion de .estos ataques. . »&gt;Por la división ligera se tomaron 22 oficiales, 400 prisioneros y</t>
  </si>
  <si>
    <t>Kenlie, M.</t>
  </si>
  <si>
    <t>M. Kenlie</t>
  </si>
  <si>
    <t>…eses, llegaron inmediatamente los pe riódicos de Hamburgo y varias cartas de Heligoland, en las cuales se da cuenta de ella en términos muy diferentes. He aquí co mo la escribe el capitán M. Kenlie, del navio de S. M. B. Calliope&gt; desde las alturas de Cuxhaven, con fecha del 9 de Mayo. La batalla del 2 de Mayo se dio entre Lutzen y Pegau. Los pru sianos fueron los únicos que entraron en acción, y tanto estos como los franceses fueron mandados por sus re…</t>
  </si>
  <si>
    <t>Kenlon</t>
  </si>
  <si>
    <t>…tanta __ En una de las sesiones de la cámara de los pares, crueldad.” en que se ha discutido la cuestión sobre los católi Nombra y describe el carácter de algunos de los cos , el lord Kenlon pidió que se presentase un esta monstruos que, no ponen límite á su furor con pre do indivIduaUde Jos'católico! rmnaflos ingleses, que texto de zelo y amor ardiente de la patria. En esta de diez años á estamparte hayan prestado el jura horrible galería campea…</t>
  </si>
  <si>
    <t>Kenycn</t>
  </si>
  <si>
    <t>…os años lian.prestado,el-jura Doijglas, que en,1802 juró á favor de ía preñez, mento de fidelidad, coa arreglé a Ja proposición de" no se había contradicho: ¿en qué estado pues se lord Kenycn. pondría á ia Inglaterra, si debiendo zanjarse este A propuesta del mismo lord se ha mandadoriin*_ negocio, se reproduxera el testimonio de madama primir esta lista para la noticia de sus señorías. ■Dougías, quando por otra parte no pudieran efec Lord Syd/nou…</t>
  </si>
  <si>
    <t>Kerupt</t>
  </si>
  <si>
    <t>…cal de campo iKempt atacó,por. la parte del puerto dbnde hubo menos1 resistencia ; y ei mariscal de campo* Carlos, barón de Alten, expresa en el parte que me na dado, que tanto el general Kerupt como el coronel Cockburne desplegaron grandes conocimientos en ia exeeucion de estos ataques..</t>
  </si>
  <si>
    <t>Kessciskí</t>
  </si>
  <si>
    <t>…a total era de 700 in fantes y S9 caballos, un escuadrón de mamelucos, y un destaca mento de tártaros de la guaroia , baxo el mando del coronel Murot. Dicen los prisioneros que el general Kessciskí fue muerto. EL fruto de esta victoria ha sido 1500. prisioneros, 5 piezas y 40 oíicíales, 3 de ellos del estado mayor. —• El exércho pardo de aquí,, y está en movimiento scbie la izquierda. Ei cuerpo del general Wittgenstein estaba ayer en Commotau, y el del…</t>
  </si>
  <si>
    <t>Kiccdemus</t>
  </si>
  <si>
    <t>….que era el parces : se acabó el padrinazgo, el inlluxo del samo m": mo. Ya se ve, ¡si á .cada paso se tropieza, en matrimonio y b mojigatería para conseguir em— Madrid con el tal D. Kiccdemus...! Preguntábale &gt;leos: vea vmd. esas nuevas secretarías llenas de \o pues esta mañana: ¿qué le parecen á vnid. esos rombres cargados de servicios y de méritos, y que rei.izüs de ios periódicos de Cádiz que ahora insería solo á estos y á aquellos han debido s…</t>
  </si>
  <si>
    <t>Kíeisc</t>
  </si>
  <si>
    <t>…anecía á la orilla derecha del Elba. El principal exército ruso al mando del general Barclay de Tolly, inclusos los cuerpo* de Wittgenstein y MiLaradowitch, el ecerpo prusiano del general Kíeisc y e! exército austríaco debían obrar ofensivamente desde Bohemia, i las órdenes del general enVefc príncipe Schwartzenberg. El cuerpo de exército del general Blucher, compuesto de la di visión de prusianos ai mando del teniente general D’York, y de las divisi…</t>
  </si>
  <si>
    <t>Kieist</t>
  </si>
  <si>
    <t>…uxi.iar prusiano, creído libres de publicar y de hacer ver ;al inundó confiado antes ai teniente general de Yorck, se le ‘enteró-fós verdaderos -púnaos en que estriba la dis dé ai general Kieist; cusión-, y los ntoíivós que !a han hecho romper. 2.0 Que el teniente general de Yorck sea en Es riiíii ílíipórtante él que se conozcan , confiesen y seguida arrestado y sometido á un consejo de anuncien públicamente nuestros verdaderos princi guerra; pios'so…</t>
  </si>
  <si>
    <t>…desde su izquierda para Hoehkirch. La retirada se hizo en escalones , cubier ta por !a caballería: el enemigo no intentó molestarla; y se efectuó con el mayor orden. El cuerpodel general Kieist formaba la retaguardia del que se d’rigia A Weissemberg ; y una batería de 40 piezas, colocada por el cunde Wittgenstein en las alturas de Wurschen, impidió que ei enemigo avanzase. El general Miiíaradow iteb cubrió la retirada del cuerpo qué iba para Hochkir…</t>
  </si>
  <si>
    <t>…n perfecta tranquilidad, y todos sus habitantes permanecen en ella. Breslau ofrece grandes recursos. Caulincourt y los plenipotenciarios rusos y prusianos conde de Schowalovv y el general Kieist cangearon sus poderes, y declararon neutral la aldea de Peicherwitz. Quarenta infantes y 20 caballos pertenecientes al exército fran cés, y otros tantos del exército aliado ocuparon respectivamente las dos entra das de la aldea. El dia 2 de junio por la mañan…</t>
  </si>
  <si>
    <t>Kíeist</t>
  </si>
  <si>
    <t>…io de Weimar y la duquesa de Oldemburgo, como también muchos destacamentos de la guardia aus tríaca. PRUSIA. Berlín iG de Agosto, Según noticias auténticas, un cuerpo prusiano del general Kíeist y otro ruso dei general Wittgenstein entraron el dia 6 en Bohemia, y se reunieron á los austríacos para operar en concierto con ellos. ALEMANIA. Tires de jG de Agosto. Dicen que un cuerpo de exérdto de mas de igg® hombres será destacado del exército grande pr…</t>
  </si>
  <si>
    <t>…os arrabales, se tuvo por conveniente hacer un ataque con bastantes fuerzas contra la plaza, cuya posesión era de suma importancia. Las tropas ligeras dei conde Wittgenstein y del general Kieist, sufrieron en la derecha, durante la mañana del 27 , alguna pérdida en el ataque dé los jardines q :.e el enemigo había fortificado, y era una empresa sumjmente aiíicil el apoderarte de aquellos puntos. A las 4 de la tarde se pusieron en movimiento las tropas…</t>
  </si>
  <si>
    <t>KÍeist</t>
  </si>
  <si>
    <t>…El B del corriente hubo una ac ción muy reñ da á consecuencia de haber atacado el enemigo con superiores fuerzas al cuerpo del general Wiltgenstein , y á una parte del ene po del general KÍeist, á las órdenes del general Ziethen, los cuales habían avanzado de nuevo, atravesando las montañas, mal, allá de Petera wslde en el camino de Dr sde. El conde W.ittgemtein tenia su cuartel gfneral en Puna cuando el en-migo empezó á avanzar. La principal contie…</t>
  </si>
  <si>
    <t>Kielmansege</t>
  </si>
  <si>
    <t>…n aban donadas en Posen por los franceses ; los cuales se hallan tan abati dos, que hujen apenas se acercan li s rusos.’* Ayer llegó á la secretaría de los Negocios extrangeros él conde Kielmansege, que viene de Holanda. Dice que en las orillas del El ba , del Wesser j del Ems, se hbian armado todos los habitantes para hacer la guerra á los franceses : en su tránsito p r estos países, encontró en tocias partes paisanos armados y banderas inglesas enar b…</t>
  </si>
  <si>
    <t>Kienmayer</t>
  </si>
  <si>
    <t>…a monarquía. Las. tropas de este A esra época se debe atribuir el origen de la exército, mandado actualmente por el teniente feld célebre palabra Elohim del Génesis, que según Mr. mariscal Kienmayer,. están repartidas en los dife Bendavid viene del-singular El (Exód. xv. ti.), rentes distritos de la Gallitzia- 1 Ít significa los genios, las fuerzas personificadas de á naturaleza. En fin, Moisés, que llegó al último GRAN DUCADO DE VARSOVIA. grado de los m…</t>
  </si>
  <si>
    <t>King</t>
  </si>
  <si>
    <t>…erse el número nea, en quienes podía únicamente tener confianza, de heridos y muertos que tuvieron los ingleses. eran mui pocas. El dia 22 hizo todo el exército un movimiento ,,EL capitán King, que está prisionero en el retrógrado hacia el sud, y se ignora su destino: de luerte Jorge, escribia lo que sigue á un oficial de cíase que iba á tomar quarteles de invierno. Dos mi exército. ,, Decid á vuestros amigos que tengan mil milicianos han quedado e…</t>
  </si>
  <si>
    <t>…enas de heridos. El 2 de este mes salieron de Flesinga quatro navios de línea y 17 briques, y se enmararon algunas millas; peto habiendo sido reconocidos de cerca por el honorable capitán King del navio de S. M. Jasón&gt; juntamente con los briques Brit ornar t y Banterer, el enemigo dio principio á su retirada antes que el Jason pudiese llegar á distancia proporcionada para hacer fue go : empezó un cañoneo parcial entre el Banterer y uno de los briqu…</t>
  </si>
  <si>
    <t>…dos los pueblos de esta parte del Rhin están llenos de heridos. El 2 de este, me? salieron de Fíesinga 4 navios de línea y 1*; berganti nes ; pero habiendo sido reconocidos por el capitán King, del na vio de S. M el Jason, y por los bergantines Britomart y Banterer, comenzaren los enemigos á retirarse al puerto antes que el Jasen pu diese llegar á distancia - suficiente para hacerles fuego. Principió un cañoneo par ial entre el Banterez y un bergan…</t>
  </si>
  <si>
    <t>Kínnaid</t>
  </si>
  <si>
    <t>…e. Nuestras últimas victorias han sido celebradas aquí hoi con una descarga de too cañonazos: se ha avisado en Dresde que los franceses dexarán el Elba eu breve. Idem del 2 r. Mr. D. Kínnaid, que acaba de llegar aquí del quartel general raso, di ce, entre otras cosas, que los suecos mandados por Vegesack estaban en posesión de Lubeck, y que se decía que los dinamarqueses habían conclui do un armisticio para sus tropas que se habían retirado en la…</t>
  </si>
  <si>
    <t>Kis</t>
  </si>
  <si>
    <t>…o cuerpo prusiano. Este territorio será limitado sy. zeloso protector de las ciencias » quedó mui sa al otro lado por el Curisch-Haff, de 'modo que to tisfecho de la invención del señor Kis, é igualmen-’ da esta extensión se considerará como entera te de ia prueba que dio, aplicando sus principios á mente neutral mientras la ocupen las tropas prusia la oración dominical, que pronunció uno de los asis nas. En inteligencia que las tropas rusas pod…</t>
  </si>
  <si>
    <t>Kis, Alexandro</t>
  </si>
  <si>
    <t>Alexandro Kis</t>
  </si>
  <si>
    <t>…rdenes Pest 7 de diciembre. del conde Wittgenstein , general mayor JDiebitsch Acaba de publicarse una obra sumamente curio por otra, después de una madura deliberación, han sa del señor Alexandro Kis, asesor de varios con acordado el siguiente convenio : dados , sobre una especie de pasigrafia ó alfabeto art. i.° El cuerpo prusiano ocupará en lo in universal aplicable á todas las naciones. Ei autor ha terior del territorio prusiano la línea á lo largo de…</t>
  </si>
  <si>
    <t>KJeitao</t>
  </si>
  <si>
    <t>…arece que será de 15© hombres el contingente que Barrera debe dar á ios filiados. Una división bávara que esuiba con el exército francés en Freyberg, se seperó de él, y se unió al general KJeitao. En un periódico de Stralsund se anuncia !a entiega de Glogau á lor* a iados.— La: carta' recibidas de G ttcnburgo latieres que el cuerpo de Ney, que hsbi i p: safo á la oriiU derecha dol Elba, y que se di igia a Berlín, fue d-iro-adc c"n mticlu pe reída. Eq…</t>
  </si>
  <si>
    <t>Kkinau</t>
  </si>
  <si>
    <t>1247</t>
  </si>
  <si>
    <t>…ndamme. Sin embargo, á eso del medio dia el enemigo comenzó su retira da de Nol'endoif. Se dke que el enemigo ha enviado fuertes destacamentos hácía Kommotau; y en consecuencia el general Kkinau ha sido reforzado por dos divisiones de tropas ligeras austríacas, á las órdenes del prín cipe Lichtenstein. Los aliados han temado la posición que indiqué á V. E. el dia io. — El resto de las tropas aurtria^as se ha destacado hacia el Elba protegiendo el cam…</t>
  </si>
  <si>
    <t>Klebt</t>
  </si>
  <si>
    <t>…aunque no tardará en ser intercep tada. Ei enemigo recelaba que le sorprendiesen por retaguardia las tropas combinadas de rusos y prusianos. En Hamburgo se daba por cierto que el general Klebt se había apoderado de Wittemberg, aunque se ignoraba si por capitulación ó por asalto. Los exércitos ruso y prusiano, al mando de los generales Wittgensteiu y B’iucher, siguen avanzando sin oposición alguna; pues el enemigo se replega hacia el Mein. Los rusos…</t>
  </si>
  <si>
    <t>Kleiít</t>
  </si>
  <si>
    <t>…este ataque , no solo por ganar tiempo para que se retira sen ías c lum as del exercito por el camino de Dippoldswalde y Alt; nberg , ::in tambi n para desembarazar al cuerpo del general Kleiít, que aun no había atravesado las montañas. El enemigoque marchaba por buenos calinos, y las colum nas sdi das por otros c si intransitables, aunque, mas cortos, se ade lantó coa pr *tez3 s =bre nuestro flanco derecho. - Mucha parte del tren de artillería 3" b…</t>
  </si>
  <si>
    <t>Kleinau</t>
  </si>
  <si>
    <t>…ombres entre muertos y heridos; ia del enemigo fué mucho mas conside rable. S. A. R. el duque de Cumberlsrd se halló aquel día en el cam po de "batalla , y presenció la acción. El general Kleinau fue destacado con un cuerpo hácia Freyberg y Chemnitz por la izquierda, mientras los austríacos se mevian, «orno indiqué en mi anterior oficio, con.-dirección á Aussig y Leutmeritz robre el Elba. El dia 9 siguió él enemigo avanzando , y los aliado* retirándos…</t>
  </si>
  <si>
    <t>Kleist</t>
  </si>
  <si>
    <t>…ar parte de ello al rey de Prusia, que acababa de llegar á esta ciudad. D.cese que el rey ha depuesto al general D'Yorck, dando orden para prenderle ; que ha conferido el mando al general Kleist; y ha llamado las tropas (aunque hay muy poca probabilidad de que puedan retirarse) , mandándoles que esten á las órdenes del rey de Nápoles, á quien deben dirigirse to das las órdenes; y que sobre ello se publique una orden del día al exército francés en Pot…</t>
  </si>
  <si>
    <t>…de la Prusia oriental, que se halla por la retira ha decidido destituir al general de Yorck, hacerle da del exército francés en poder del exército ruso. arrestar, dar su mando al general Kleist, llamar las ,,Las tropas prusianas formarán un cuerpo neu tropas quando sea probable que se puedan reti tral, y se abstendrán de toda hostilidad. Los suce rar, é intimarlas que se pongan baxo las órdenes sos futuros , consecuencias de las negociaciones que de…</t>
  </si>
  <si>
    <t>Gaceta de Madrid n.º 140</t>
  </si>
  <si>
    <t>verse conmigo ni con el general Kleist; y por lo consigo para acomodar.” (Redactor general taimismo conservaré sin rezelo la comandancia gene mero fi§. ) ral de dicho cuerpo, y exerceré las demas funcio Este extravagante es sin duda del partido ter nes determinadas por la orden del gabinete de 20…</t>
  </si>
  <si>
    <t>Gaceta de Madrid n.º 141</t>
  </si>
  <si>
    <t>…nta á V. E. en mi despacho de ayer rolina, princesa deGáles." núm. ni, y el Rei inmediatamente resolvió: Habiendo fixado la princesa la recepción de los i. ° Que fuese nombrado el general Kleist te regidores para el martes, se presentaron este dia en niente general comandante del contingenté. Montague-House-Blackheatn, y S. A. los dixo con 2.0 Que este general hiciera arrestar al general esta ocasión: Yorck, siendo posible, para traerle á Beriin. „ Q…</t>
  </si>
  <si>
    <t>…edecán el mayor vio de xo á 12 cosacos, que llegaban á buscar alo ■Natzmer, que entregará esta carta á V. M-, lleva jamiento para 500 hombres de los suj'os, no obs mis órdenes al general Kleist,para que inmediata tante de que había en la plaza un batallón prusia mente tome el mando de mi cuerpo de exército, no, que nada les dixo; oponiéndose únicamente el destituya al general de Yorck, y le haga arrestar. burgomaestre, que representó tenían allí ya…</t>
  </si>
  <si>
    <t>…, acometió el flanco derecho del exército francés, y Je obli- . gó á retroceder 3 leguas; que la batalla se dio entre Lutzen y Weissenfelds, y al mismo tiempo que confiesan que el general Kleist se habia visto obligado á evacuar á Halle nos aseguran que el dia 2, hallándose ya reforzado con las tropas del general Bullow, volvería á ocupar su antigua posición. Por cartas de Gottemburge, que se han recibido hoy, sabemos que el príncipe real de Suecia h…</t>
  </si>
  <si>
    <t>…mamente , que el día i.° de mayo el gene ral B'ucher se adelantó de Grimma, acometió el flanco derecho del exército francés, obligándole á retroceder tres leguas. Confiesan que el general Kleist evacuó el punto de Halle; pero dicen en. seguida que habiendo recibido re fuerzo , fue repuesto en su antigua posición por el general Buliow. Los franceses se han apoderado de Cuxhaven, y han hecho tentativas contra Hamburgo; pero el general Tettemborn y la l…</t>
  </si>
  <si>
    <t>…eneral mayor Kleist* con la orden de que'.me releve , y se encargue él mismo del mando del cuerpo real prusiano. Sin embargo, Mr. de Natzmer no ha venido á verse conmigo ni ¿Oh el general Kleist ; y por lo mismo conservaré sin recelo la comandancia general de dicho cuerpo, y exérceré las demás funciones determinadas por la orden del gabinete de 20 de Diciembre de 1812, porque es notorio que en los estados prusianos no tiene la gaceta el concepto de u…</t>
  </si>
  <si>
    <t>…?” El canciller le propuso aquello en que habíamos convenido, de que di cuenta á V- E. en mi oficio de ayer núm. III, y el rey inmediatamente resolvió : 1. ° Que fuese nombrado el general Kleist teniente general co mandante del contingente. 2. ° Que este general hiciera arrestar al general York, siendo posible, para traerle á Berlín. 3.0 Que igualmente, si pudiese, conduxera las tropas prusianas a las órdenes de S. M. el rey de Nápoles, y adonde este…</t>
  </si>
  <si>
    <t>…urando envolver nuestra ala derecha; pero fue conte nido por el general Barclay de Tolly, quien se hallaba apostado en Gottamilde para observar a| enemigo, hasta que el cuerpo del general Kleist y las brigadas de Klus y Roeder cayeron sobre la retaguardia del enemigo con un fuego mui vivo de fusilería, causándoles gran perdida, y obligándoles á retirarse; pero por haber destacado estas brigadas, las posiciones que man tenía el general Von Blucher.en…</t>
  </si>
  <si>
    <t>…derarse de Bautzen. A oste fin dio un ataque falso á nuestra izquierda para encubrir ei ver dadero y principal dirigido contra da derecha del general Miílaradowitch. Ei cuerpo del general Kleist. se movió para sostenerle, y entrambos resistieron al enemigo con la mayor bizarría. Yo mismo he presenciado dos cargas muy valé.ntes de la caballería ligera rusa, y el excelente porte que en general han tenido todas las tropas em peñadas en la acción. El gen…</t>
  </si>
  <si>
    <t>…abrigo de una batería, avanzaron deno dadamente, y disputaron solos las alturas , á pesar de. los poderosos esfuerzos, del enemigo , hasta que fueron sostenidos por el cuerpo del general Kleist. . «Entre tanto por el extremo de la derecha los cuerpos enemigos siguieron á los generales Barclay de Toíly y York en su movimiento retrógrado de la expedición que hicieron contra el general Lauriston. - «El cuerpo del general York tomó posiciones por la noc…</t>
  </si>
  <si>
    <t>…do, y que V. M. verá , así por la relación de este%oficial, como por la capitula ción que van adjuntas. Mi ayudante Natzmer, que entregará esta carta á V. M., lleva mis órdenes al general Kleist para que tome inmediatamente el man do de este cuerpo de exército, y arreste al general de York. No tengo necesidad de decir que no he ratificado el convenís. En cuan to á las disposiciones que se hayan de tomar con respecto á las tro pas, esas pertenecen, se…</t>
  </si>
  <si>
    <t>…erarse de Bautzen. A este fin dio un ataque falso á nuestra izquierda para encubrir el verdadero y principal, dirigido con tra la derecha del general Millaradowitch. El cuerpo del general Kleist se movió para sostenerle, y entrambos resistieron ai enemigo con la mayor bi zarría. Yo mismo he presenciado dos cargas mui valientes de la caballería li</t>
  </si>
  <si>
    <t>…al abrigo de una batería avanzaron denodadamente , y dis putaron solos las alturas, á pesar de los poderosos esfuerzos del enemigo, has ta que fueron reforzados por el cuerpo del general Kleist. ,, Entre tanto por el extremo de la derecha los cuerpos enemigos siguie ron á los generales Barclay de Tolly y York en su movimiento retrogrado de la expedición que hicieron contra el general Lauriston. ,, El cuerpo del general York tomó posiciones por la no…</t>
  </si>
  <si>
    <t>í2° ‘ . ral Vandamme marchó inmediatamente, y la repelió; debilitó su linea, y en este crítico momento la fortuna volvió espaldas. Aun consiguió derrotar y matar al general Kleist. Los soldados prusianos arrojaban las armas, y se ti raban por los bosques y vallados. En este conflicto desapareció el general Vandamme: se supone que fue muerto. Los generales Cerbineao, Dumonceau y Filippon se aprovecharon de esta oportunidad para retirar…</t>
  </si>
  <si>
    <t>…ería, pasaron por, su retaguardia. A la tarde fueron reforzadas por algunos batallones de granade ros rusos, y se reunió en Toplitz una cqpsiderabie fuerza. Enviáronse órde nes al general Kleist, cuya coluna de /tropas . prusianas dybía .moverse por Zinwalde hacia-Olendorf, para queíresjtuviese pronto, y atacase, al, general Vandainme por la retaguardia luego que las otras tropas le atacasen por el frente. El dia 30 se reunieron á estas tropas las di…</t>
  </si>
  <si>
    <t>…pasaron por la retaguar dia. Por la tarde fueron reforzadas por síganos batallones de grana deros rusos, y se reunió en Toplitz una fuerza considerable. Se re mitieron órdenes al general Kleist, cuya columna de tropas prusia nas se debia mover por Zinwalde á Holiendorf para estar proato y atacar al general Vandamme por la retaguardia luego que las otras tropas atacasen por el frente. Ei dia 30 se reunieron á estas tropas las divisiones austríacas, C…</t>
  </si>
  <si>
    <t>…n, á quien hoy se pasó revista, está en muy buen estado , pero no tengo noticias á qué número asciende. — Está -saliendo de Praga un refuerzo de 7© hombres del cuerpo prusiano del general Kleist. Tengo ei honor &amp;c, =r &amp;.rStzwárt+ , Xerbst4 de Octubre ' Milord: tengo la honra de iaformar á V. S. que el general Pozzo del Borgo recibió noticias del cuartel general de Bohemia con fe cha de 24 del pasado, de que habiéndose reunido el general Ben-*rúgsen a…</t>
  </si>
  <si>
    <t>Kleistj</t>
  </si>
  <si>
    <t>…ión de la capitulación susodicha, sino que ademas ha man dado : i.° Que el mando del cuerpo auxiliar prusiano, confiado ante» al teniente general de York , lo tenga en adelante el general Kleistj 2.0 Que el teniente general de York sea inmediatamente arresta do y puesto on consejo de guerra;</t>
  </si>
  <si>
    <t>Klenau</t>
  </si>
  <si>
    <t>…e los oficios de Sir C. Stezvart , de JMr. Tkornton y del conde Abcrdeen* V Praga 21 de Setiembre de i8ig. Milord : las tropas austríacas que formaban la vanguardia del cuerpo del general Klenau, baxo del inmediato mando del general Scheiter, entraron en Freyberg* donde cogieron á .400 soldados ene migos con su general Bruno. Es muy singular que los dos escuadro nes restantes de los húsares w estfaiianos que no se habían pasado á nosotros , hacen par…</t>
  </si>
  <si>
    <t>…tzburgo. Tengo motivo pira creer que el exército ruso y prusiano pasa de 8g&gt;© hombres, que tan a Teunirse en la 1 nea de Chemnitz y Freyberg, y debe juntarse á ellos el cuerpo del general Klenau de i o© hombres.—Él cuerpo del general Bcnr.igsen, á quien hoy se pasó revista, está en muy buen estado , pero no tengo noticias á qué número asciende. — Está -saliendo de Praga un refuerzo de 7© hombres del cuerpo prusiano del general Kleist. Tengo ei honor…</t>
  </si>
  <si>
    <t>…erales Wittgeristehi, Kleist y Klenau, des de sus respectivas posiciones, avanzarían sobre Leipsick. El general Colloredo debía adelantarse desde Borne pf?ra foimar la reserva del general Klenau: la retirada de este cuerpo debía ser sobre Chenanira; la de los generales Wittgenstein, Kleist y Klenau, sobre Altemberg y P¿nig. El exército del general Bennigsen debía adelantar desde Colárit* sobre Grimma y Wurtzen. El cuerpo del general Buba* había sido…</t>
  </si>
  <si>
    <t>Kleoau</t>
  </si>
  <si>
    <t>…cos que alcanzan hasta el 29 de Noviem bre. Las noticias mas interesantes que se comunican son : lílhsrre ren dido la capital de Saxonia, Dresde, á las armas abadas del mando dfel general Kleoau, quedando en su poder una gran cantidad de artillería, equipages, carros &amp;c., y hechos prbioxeros ió$ hombres con el mariscal St. Cyr, varios generales, y multitud de oficiales gefiíerales; y Filiarse libre todo el Hannóver. en cuya capital tenia en cuartel g…</t>
  </si>
  <si>
    <t>Kleut</t>
  </si>
  <si>
    <t>…0 piezas de arti le ía y 60 cazones, mucho bagage, y todo el equipage del general Vaadamm;. Batido comple tamente el enemigo por el frente, é interceptado en su retaguardia por el general Kleut, no le restaba mas que una retirada pronta y desesperada. La derrota se hizo general; los toldados enemigos arrojaban L« armas por todos lados, y cesando ya de resistir, y abandonando cañones y estandartes, solo pensaron en bascar abrigo en los bosques. El fr…</t>
  </si>
  <si>
    <t>Klosterlein</t>
  </si>
  <si>
    <t>…cía qüe avanzaba hacia aquí el enemigo (los aliados). Pensábamos que-aup estuviese mui distante, porque las tropas marchaban oon toda tranquilidad retirándose á Wolfenbutel conjel general Klosterlein á su frente. Pero seria como al medio dia quando he aquí á Ips prusianos que se arrojan á casi, to das las puertas. En la de Augusto se hallaban apostados'*ccimt&gt; uños-Vot/ca-</t>
  </si>
  <si>
    <t>Kltist</t>
  </si>
  <si>
    <t>…des de su izquierda para Hochkirch. La retirada se hizo en escalonéis cubierta por la caballería : el enemigo no intentó molestarla; y se efectuó con el mayor orden. El cuerpo del general Kltist formaba k retaguardia del que se dirigía á W eissenberg; y una batería de 4© piezas; colocada por el conde Wittgenstein tn las alturas de Wur schen , impidió que el enemigo avanzase. El general Miilaradowitch cu brió la retirada del cuerpo que iba para Hochki…</t>
  </si>
  <si>
    <t>Knieseback</t>
  </si>
  <si>
    <t>…Qu irtel general de Wurtzen 20 de mayo de 1813. ,,Milord: acabo de recibir el parte oficial de las operaciones de los exércitos aliados desde el 2 del corriente, que me dirige el general Knieseback, cuyo tenor á la letra es como sigue. Traducción del parte. Quartel general de Wurtzen (cerca de Bautzen ) rs&gt; de mayo. Desde la batalla del 2 de este mes el exército aliado no había tenido combate algu no de importancia con el enemigo, y si algunos encuentro…</t>
  </si>
  <si>
    <t>Knorrng</t>
  </si>
  <si>
    <t>…ordenó al general Barclay de Tolly que atacase, lo que execu.ó con fu acostumbrada talento. El dia 30 por la mañana , lis divisiones de Colloredo y BUrrchi, y la brigada rusa del general Knorrng en volvieron la izquierda d i enemigo, al paso que los ru os íe a aca ban la derecha; y el gtneral KList dirigió su marcha á la retaguar—dia del enemigo por el p so de HoHendorf, á fin de-corta le toda retirada. El general Korring, al frente d - su excelente…</t>
  </si>
  <si>
    <t>KnoTring</t>
  </si>
  <si>
    <t>…tan largas y pe* nosas marchas ; y que él mismo iba con las cosacos á Bialystock. Id, 21. El mayor general ToutsclikofF llegó á Kaídanow el 2 con su cuerpo, y el destacamento del coronel KnoTring que se le había reunido. El coronel Grekoff hallándose en Holbzach con dos regi mientos de cosacos, destacó una partida, que hizo prisioneros 4 sol dados de una patrulla enemiga de los húsares de Kieninayer. Id, 22. El teniente general Sácken dice en 12 del c…</t>
  </si>
  <si>
    <t>Kntusow</t>
  </si>
  <si>
    <t>…igo, desando este un giaa nú mero de cañones y almacenes de mucha consideración* Cu rtei general de Wilna 12 de Diciembre. El conde Wittgensieia participa con fecha del í0 q'ie el general Kntusow hizo prisionero un cuerpo bávaro de 126 oficíalas y £024 soldados , entre los cuales un batallón entero , viéndose cercado. rin dió jas anuas sin hacer fuego. $e cogieron al enemigo las contribuciones de toda especie que había exigido á los habitantes, y de e…</t>
  </si>
  <si>
    <t>Knudt</t>
  </si>
  <si>
    <t>…'. — v:;a . ! ¡o7 . : • ; /• - Noticias extrangeras. i Los dinamarqueses tienen ya en Noruega unos 30® hombres y y se teme que el hambre los óbiigue á una irrupción éri Suecia. Su gobernador Knudt se ha matado de úñ: pistoletazo por no poder dar subsistencias al país; pare ce que sé apeló con-una representación ál géneral slieco pidiendo víveres , y que este los prometió con tai que se unan los dirtámarqueses á los suecos. • .. f ' !j- ( Vi’ ■ ’ - í;;'…</t>
  </si>
  <si>
    <t>Korring</t>
  </si>
  <si>
    <t>…go, al paso que los ru os íe a aca ban la derecha; y el gtneral KList dirigió su marcha á la retaguar—dia del enemigo por el p so de HoHendorf, á fin de-corta le toda retirada. El general Korring, al frente d - su excelente cabal ería, ganó la primera batería e tmica , tomando'e tres piezas. Las co lumnas del feldmariscal cond ? Col lo redo se rp aderaron con mucha gallardía de las eminencias del lado i:qu*erdo d i enemigo, y L ar-&gt; rojo de Parenewi z…</t>
  </si>
  <si>
    <t>Koswiq, Je</t>
  </si>
  <si>
    <t>Je Koswiq</t>
  </si>
  <si>
    <t>…nuestros confidentes én Lelpsrck refieren que han llegado allí correos anunciando la entrada de las tropas austríacas en Munich. BOLETIN DECIMOCUARTO DEL EXERCITO ALIADO. Quáttel general Je Koswiq 14 d•&gt; setiembre. Anteayer puso aquí su quar tel general el Príncipe Real de Suecia. El exército ha hecho un movimiento general sobre el Elba, y ya á ocupar las posiciones fuertes que hai en esta orilla para auxiliar al exército grande. Los exércitos del cent…</t>
  </si>
  <si>
    <t>Kou</t>
  </si>
  <si>
    <t>…os los alemaaes que han vuelto de Rusia laboratorio de química baxo la dirección del doctor hacen la misma descripción de la penuria que ex Stefjnos Oikonomos, químico insigne. El Sr. Kou perimenta aquel estado. Las obras que van á publi mas, ayudado por el Sr. Anthimos , arzobispo de carse sobre este imperio nos darán probablemente Esmirna, ha despertado tanto el zelo de los grie algunas nociones mas imparciales que los panegíri gos de esta r…</t>
  </si>
  <si>
    <t>Koumas</t>
  </si>
  <si>
    <t>…puede ser «brillantes para quandó regresara de mí, viage al ítil para los progresos de las artes y ciencias. Lla « Cáucaso; pero ninguna ha tenido cumplimiento: maron de Viena’aL Sr. Koumas, que es natural de »»ya no me pagaban tampoco el sueldo por el ex!a Tesalia, y mui conocido por diversas obras lite » trema apuro en que se hallaban las rentas del rarias, y le han confiado la dirección de su cole n estado j y asi no me creí obligado á perder…</t>
  </si>
  <si>
    <t>Kouraschof</t>
  </si>
  <si>
    <t>…es inmediatas abandonó la Lusacia y la Silesia, y se acercó ai Elba. El general Blucher se puso en marcha desde Jauer el 25 por la mañana, seguido de todas sus fuerzas. El general príncipe Kouraschof, que fué enviado expresamente el campo de batalla inmediato á Dresde por el príncipe Schvvarzenberg á S, A. el príncipe real, llegó á las S de esta mañana con la referida noticia. Este general atravesó por medio del exército ene migo, pasó el Elba á nado con…</t>
  </si>
  <si>
    <t>Koussing</t>
  </si>
  <si>
    <t>150</t>
  </si>
  <si>
    <t>…del bagaga y papeles de gran importancia. El cuartel general está con la vanguardia del general Milloradowitch, para hallarse mas cerca del centro de las operaciones militares. El coronel Koussing participa que ha hallado en Minsk , ademas de una provisión considerable de pan, cerca de 3000 fusiles exce lentes de la fábrica de Lieja. Id. 8. El almirante Tchichagoff comunica en sus partes de 5 y 7, que después de haber perseguido ai enemigo hasta Mollod…</t>
  </si>
  <si>
    <t>KrafF</t>
  </si>
  <si>
    <t>…a y fusilaría pa-ra cubrir su posición; pero los cuerpos avanzados dei general Borsteil se sostuvieron delante de las gargantas- de Koppiug, á 200 pasos de Thusen. La división del coronel KrafF subió a Jas alturas de K.rcpstad para sostener al ge neral Bo:stelí. Ai mismo tiempo el general Dobschutz se hiza señor de las sltnres de Ja ciudad cíe Zahne. Se conservó b cemanic?cion con el penen! Borstdl por el puerto de Wolkrsdorff, de que ha bía tomado…</t>
  </si>
  <si>
    <t>KrafTt</t>
  </si>
  <si>
    <t>…dl por el puerto de Wolkrsdorff, de que ha bía tomado posesión ei mayor Beyer. El resto dd cuerpo dd gene ral Bu cw tomó una posición en Morzalau. La dívidon prudana, que manda el coronel KrafTt, contribuyó principalmente para el buen éxito de la acción , en Gross-Beeren , y sa comandante se distinguió por sa intrepidez. Ei cuerpo del prínci pe de Hesse Hombe'g tomó igualmente una p^rte activa en las accio nes que se dieron , y en todas las ocasiones…</t>
  </si>
  <si>
    <t>Kramer</t>
  </si>
  <si>
    <t>…ados por la caballería de la guardia -nacional. BAVIERA. GRAN DUCADO DE BADEN. Munich a ó de diciembre. Carhtuhe go de nóvii futre. Ha sido muí brídame la junta en que la acade El doctor Kramer, módico de cámara, ha he mia real dé las Ciencias ha celebrado la fiesta de cho insertar en la.gazeta del gran ducado una -de S. M. d dia 13 de octubre. Asistieron á ella S. A. R. claración , en qoe substancialmente-dice: que se fe ei príncipe heredero y el p…</t>
  </si>
  <si>
    <t>Krarnoi</t>
  </si>
  <si>
    <t>…mes qué el enemigo , salió Si. M. guardia bis división -Lamben. .EL segundo. cuerpo, de Smolensko el 13, y el 16 rasó , la noche, en que se baflabaea- Tscherein á las &lt;&gt;rdene#rd¿l duque Krarnoi. ' . 4e Reggio, rccibió órdeir,de:ímarclta¿-hacLi :Br.ri-i Desde el 7'el frió fue creciendo, y en los dial sow para proteger- cimasa dei 'Beredna.oEl.za el 14, x 5 y 16 el termómetro señalaba ios grados xÓ duque de .Reggio encontró? ia. división Láusfercrtí y…</t>
  </si>
  <si>
    <t>Krasemark</t>
  </si>
  <si>
    <t>…as tristes ocurrencias posteriores, pues que V. E y el duque de Bas&amp;ano están bien informados de ellas por las muchas reclamaciones á que han dado motivo. Ademas dt lo di cho , el general Krasemark está encargado de entregar una neta al ministro donde se aclaran m&amp;s los punios referidos, demostrándose que el gobierno Atarees, no guardando consideración alguna á los artículos principales del tratado de alianza en favor de la Prusia, ha absuelto á esta po…</t>
  </si>
  <si>
    <t>Krasinski</t>
  </si>
  <si>
    <t>…as, siem GRAN DUCADO DE VARSOVIA. pre que para este tiempo no haya ningún rezelo, Poten »&lt;T de enero. y haya una completa seguridad de la total extin ción del contagio. El general conde Krasinski ha dirigido tina pro Estas providencias de parte del gobierno de clama 4 ios jóvenes* polacos, convidándolos á entrar Rusia manifiestan lo bien que ha obrado el gobier en el regimiento de lanceros de la guardia imperial no austríaco en mantener constantemente…</t>
  </si>
  <si>
    <t>Krasousky</t>
  </si>
  <si>
    <t>…vanguardia del general Woronzow avanzaron al mismo tiempo para sostener en el ataque de la ciudad á las tropas prusianas y suecas. El regimiento 14.0 de cazadores , mandado por el coronel Krasousky, tomó la puerta llamada Das CrrimmisckeThor. y también algunos cañones. El general barón Áldércreutz se halló en todos los parages del mayor riesgo animando á las tropas con su exemplo. Como el enemigo fue obligado i retirarse por el desfiladero del Pleissa,…</t>
  </si>
  <si>
    <t>Krasowsky</t>
  </si>
  <si>
    <t>…su comunicación con el Elba; fue desalojado pron tamente el 26 por parte de las tropas que manda el general O’Rourke y por dos escuadrones prusianos al mando del mayor Helhvig. Ei coronel Krasowsky ataco y se apoderó del pueblo. El general Benkendorf persiguió al enemigo coa 4 escuadrones de caballería ruta, habiéndosele reunido los dos escuadrones prusianos con 2 piezas de artillería, que estaban en las aldeas de Rohrbeck y Boschaz. El ene migo perdió…</t>
  </si>
  <si>
    <t>Krázonski</t>
  </si>
  <si>
    <t>…ock al coronel Adrianoff, y ocupaba el punto con 600 huíanos polacos y dos batallones, con la idea sindudade favorecer la retirada, y mantener la comunicación con el Elba; pero el coronel Krázonski le atacó el 26: to * mo el pueblo, y el general Benkendorff con quatro esquadrones rusos fue -persiguiendo ai enemigo, quien perdió en estas acciones 300 muertos y mu chos prisioneros. Se nos han pasado muchos oficiales' franceses, y se les ha incorporado á n…</t>
  </si>
  <si>
    <t>Kreiganobski</t>
  </si>
  <si>
    <t>…s. F1 general Milláradovitch participa con fecha de 12 de Noviera* bre, que el mayor general Necff hizo 160 prisioneros en Chaivanaoff. El mayor general Volosdini participa que el coronel Kreiganobski había desbaratado un destacamento de 7G0 hombres que man daba el mayor Aberjeu : parte de ellos fueron muertos, y el resto prisionero, componiendo un total de 370 soldados , 18 oficiales y un cirujano. .Él mayor general Platow participa con fecha de 9 de Novi…</t>
  </si>
  <si>
    <t>Kreust</t>
  </si>
  <si>
    <t>…a pasar allí la noche, fue atacado repentinamente, y se trabó cerca de Belzig una acción mui viva, que no le permitió conservar la ciudad. El mismo 26 volvió á Níemeck de Dahme el coronel Kreust con su regimien to de caballería, después de haber executado brillantemente la,comisión que se le habia encargado. Se vio rodeado,por todas partes , eu términos de no poder conservar su posición; peto;sin embargo á la vista misma de una fuer te coluna enemiga…</t>
  </si>
  <si>
    <t>Kreutzer</t>
  </si>
  <si>
    <t>1200</t>
  </si>
  <si>
    <t>…có el puesto de Nollendorf en los pasos de Bohemia, y íué rech: zado per los cuerpos de Colloredo y Meir, con pérdida de 3 cañones, un estandarte y 4© pri ioneíos , entre ellos el general Kreutzer. W Se asegura que los aliados se hallen dueños de Leipsíck. Es tal la f.-.ita de krrages que hay en Dreíde que mueren algu nos días 200 cabaiks.. El general Thi. Imán, que se halla á l:t retaguardia- de los enemi gos mo estándolos de mil modos , les ha hecho…</t>
  </si>
  <si>
    <t>…la mayor serenidad. El ene migo se vio obligado i refugi rse en el mayor desorden á las alturas de Nollend rf. Qu daro ¡ en pod-r nue tro 7 piezas de ariid.ría, un estandarte, el general Kreutzer, y mas de 2¿¿) prbio-ieros. La densa niebla que hab.a y la obscuridad de ia noche impid.eron la entera</t>
  </si>
  <si>
    <t>Krogh</t>
  </si>
  <si>
    <t>…alias. La disposición que se ha tomado de lla En Lt gazeta de Drontheim del dia f de este mes mar toda la nobleza á la defensa de la patria, va á se lee la siguiente proclama del general Krogh, darnos mas de ao3 hombres de excelente caballería. comandante de la segunda división det exéreito de El señor conde Lauriston ha estado también al N oruega: gunos días en esta ciudad, de donde acaba de salir. ,,Compatriotas: no puedo ocnlrar la satisfacción…</t>
  </si>
  <si>
    <t>Kruger</t>
  </si>
  <si>
    <t>…stacado con 30 hombres, hizo prisione ros junto áGoIdwitz, después de un pequeño combate, á un capitán, dos oficiales y 40 dragones saxones. Seis cañoneras suecas, mandadas por el capitán Kruger, han hecho fue go con buen efecto contra la ciudad de Stettin, el arrabal de Damm y las baterías que cruzan los dos puentes. El 24 de agosto se desmontaron en Damm tres piezas: el teniente co ronel Fermaio, su ayudante, un sargento mayor y muchos soldados que…</t>
  </si>
  <si>
    <t>…Obraos, destacado con 30 hombres j mto á Goldwitz , apri ionó á un capitán, 2 oíici¿Í¿s y 40 dragones s^xones, después de un corto combate. Seis cañoneras sueci? , mandadas por el capitán Kruger, hi Je oíi fuego con mucho acierto contra Stetdn, el arrabal de JDamm y la artiih ría que cruzaba los dos puentes. El 24 de Agosto desmontaron 3 piezas en Datnm: el teniente co ronel Fermain, su ayudarte, un :srgento mayor y muchos rolda dos que iaron m&amp;ertos…</t>
  </si>
  <si>
    <t>Krus</t>
  </si>
  <si>
    <t>…r la noche, fue allí sorprehendido; de resultas hubo una acción muy viva cerca de Beizíg, y el general francés no pudo mantenerse en posesión del pueblo. EI 2Ó volvió á Niemeck el coronel Krus con su regimiento de caballería, de vuelta de su expedición á Dahme, la cus! desempeñó con el mayor acierto. Cercado en todas partes per el enemigo no pudo en verdad mantener su posición ; pero cogió no obstante á vista de una fuerte columna enemiga 70 carros…</t>
  </si>
  <si>
    <t>Kruscmarck</t>
  </si>
  <si>
    <t>547</t>
  </si>
  <si>
    <t>…nas ho le queden todavía algunas dudas al Emperador Na ras antes que el mió, lleva un despacho de S. M. poleón sobre mis deseos eficaces de concurrir con el Rei de Prusia al señor barón Kruscmarck, y es todas mis fac dtades ai grjn designio que se propo te se halla autorizado para leérselo á V.'E. Es la ne, bástenle para desvanecerlas las ordene1 rigoro consecuencia de la decidida resolución del Reí y sus sas con que acabo de renovar la absoluta prohib…</t>
  </si>
  <si>
    <t>Krusemarck</t>
  </si>
  <si>
    <t>…rir el paso de que se trata, hubiera el Rei que rido masque os hub¡ése¡$_ceñ¡Jo literalmente á sus A. xum. v. órdepes; y si en el dia os autoriza para que dilatéis Carta del señor barón Krusemarck al ministro la exccucion del mismo hasta un momento mas de Relaciones exteriores. oportuno, principalmente es porque S. M. se lison jea de que no tardará este en presentarse, de resul 30 de agosto de i8r 1. tas .de una conferencia nueva que acabo de tener o'C…</t>
  </si>
  <si>
    <t>…un oficio de Mr. de San-Mar san. Berlín jG de Mayo de 1811. — Un correo prusiano , que ha sa lido algunas horas antes que el mió, lleva uri pliego de S. M. el rey de Prusia al Sr. barón Krusemarck, y este se halla autorizado para leérselo á V. E. Es la consecuencia de la decidida resolución del rey y sus dos ministros á unirse estrechamente con la Francia. . El rey me ha enviado á decir que considera de la. mayor impor tancia la alianza que propone, y…</t>
  </si>
  <si>
    <t>…131.5. .■/ .'i:" r ! -¡ FRANGIA. ■ Parts 4 de AbriL Continuación 'de ios documentos que acompañaron al.informe del ministro de relaciones exteriores. . ; &gt; Núm. V. Carta del señor barón Krusemarck al ministrb de rela ciones exteriores... ■ ' •' ' '■ • ■ , 1" ~' 1 U* : í..r : •;. 1 ; Berlín j&amp; de Agosto de i8rr. — Sr. duque : entre las cartas de Berlin que V.-E. ha tenido la bondad-de dirigirme , y por cu yo favor le tributo las mas rendidas gracias, ha…</t>
  </si>
  <si>
    <t>Kruseutern</t>
  </si>
  <si>
    <t>…a en un estado floreciente. El hecho Se prosigue trabajando con la mayor actividad siguiente bastará para desengañarlos. en el camino de Niza á Roma por el Litoral. Esta Quando el capitán Kruseutern fue encargado obra, que va á dar un nuevo aspecto al país, pro'de hacer un viage al rededor del mundo, llegó á xrcioñándole el arribage y exportación de que se Inglaterra á comprar dos bastimentos, con los que aliaba privado, asegura ia subsistencia desde la…</t>
  </si>
  <si>
    <t>Ktelmansegge</t>
  </si>
  <si>
    <t>…zó á Gabreu; pero el 26 volvió á mar char hácia Schwerin de donde no se ha atrevido á moverse el enemigo. Los cosacos han hecho unos 100 prisioneros franceses y di namarqueses. El conde Ktelmansegge, de los cazadores hannoverianos, pasó el Elba con su destacamento, cerca de Domitz, el dia 23 por la mañana; atacó al enemigo en una posición atrincherada y le causó una pérdida de 50 entre muertos y heridos, y 103 prisione ■ ros , entre ellos 3 oficiales. El…</t>
  </si>
  <si>
    <t>Kuiusow</t>
  </si>
  <si>
    <t>…rgo á23 y 25 de Noviembre de 1812. Petersburgo 23 de Noviembre* —- „MiIord: .JEn mi oficio de 15 del corriente tuve la honra de participar circunstanciadamente las operaciones del mariscal Kuiusow que hablan, llegado á mi noticia hasta el 9 de este mes, desde cuya época no se ha recibido parte alguno de acontecimientos ulteriores, relativos al cuerpo mandado por el general Ptatow. El mariscal liabia calculado llegar á Krasnoy el 14 del corriente; pero…</t>
  </si>
  <si>
    <t>Kuorrir.g</t>
  </si>
  <si>
    <t>…las operaciones milite res del exército ruso desde el 17 al 25 de l icitmbre de 1812. El mayor general ToutschkofF refiere que habiéndose reunido con su cuerpo al destacamento del coronel Kuorrir.g, saldría de Minsk el 18 de este mes para dirigirse á Novoswerschenne. El general Tormasow dice con fecha del 13 que los cuerpos cuar to , sexto y octavo , y la vanguardia del ayudante general Wa&gt;iltschikoff se acantonaba en los distritos de Wilna, Licia Oscho…</t>
  </si>
  <si>
    <t>Küschtchew</t>
  </si>
  <si>
    <t>…la Puerta otomana. una prueba humilde de la fidelidad, respeto i gra Los mismos diarios publican un parte de oficio titud y amor que os profesan vuestros buenos mali del teniente general Küschtchew, que manda el exér- tuanos. cito ruso en la guerra; con la Persia. Su fecha es de ,, Permitidnos también declararnos prontbs á 31 de octubre en el quartel general de Teflis, y emplear quanrds medios pendan de nuestra poder contiene la relación de muchas accio…</t>
  </si>
  <si>
    <t>Kusentern</t>
  </si>
  <si>
    <t>…s de sus marineros, de Génova se ha concluido La parte nueva entre es -para tener buenas mercancías para un largo viage. ta ciudad y Nervi; y un trecho que tiene de largo El mismo capitán Kusentern es quien contie 8600 metros se ha puesto corriente para ei público sa estos hechos en su viage publicado en ruso y el 10 de mayo último. aieman. Parte t.° de noviembre. Ms parece que una nación que no tiene aun buenos constructores de bastimentos, y que no fa…</t>
  </si>
  <si>
    <t>Kut</t>
  </si>
  <si>
    <t>…del con de Oschahrosky que maniobre h;:.cía Slonim. ,.Acabo de recibir un parle del conde Platnw con una bandera polaca , que tengo la honra de enviar á V. M. I Segundo parte de1 general Kut&amp;sow, dirigido á S. M. I. el 12 de Diciembrc. ,,Después de una corta re rsteocia, el enemigo se vio obligado ayer a abandonar la ciudad de Wilna, de que tomaron inmediatamen te posesión las tropas de Y. M. ai mando del almirante TchÉcliagcíF. Jil enemigo no tu…</t>
  </si>
  <si>
    <t>Kutnsow</t>
  </si>
  <si>
    <t>…os. 3 GAZETA DE* n MADRID*■ , r , o1: * DEL JUEVES { DE AGOSTO DE 1813 BAXO el gobierno DE LA jRÉGENCIA dé las españas. y RUSIA. r Peters burgo 8 de junio* El cadávét del mariscal príncipe Kutnsow ha llegado a! convento de S.* Sergio, cerca de Strina, donde tue recibido con toda pompa militar. No se sabe qual será el lugar* que ét Monarca destine para su sepulcro: para el caso de que se elija la iglesia de nuestra Señora , se ha pensado en recoger los…</t>
  </si>
  <si>
    <t>Kutscher</t>
  </si>
  <si>
    <t>…ustria. Entre otros personajes vendrán aquí el mayordomo mayor, conde de Urbna; el caballerizo mayor., conde Traumansdorf; el general de artillería, barón Duka; el teniente fe Id* mariscal Kutscher; el conde Metternich, secretario de Guerra; el barón Bmder; Mr. de Floret; lord Aberdeen, embaxador ingles; el barón HumboJdt, enviado prusiano; el barón Bildt, enviado sueco; el condeCollowrath , gran burgrave de Bohemia, y destacamentos de las guardias nobl…</t>
  </si>
  <si>
    <t>Kutu-</t>
  </si>
  <si>
    <t>…S. M. el Sr. D. Carlos iv tuvo á bien exónerarel dia 26 delante de Picktiiponen, donde encontró le en 1792 dél ministerio que exercia, v nombrar en posición al general Laíkow; el general Kutu- le gobernador del supremo consejo de Indias, car suw la liabia tomado también en Tilsit sobreda go que desempeñó hasta su supresión , á cuya épo izquierda del Niemen, y el general Dieditch esta ca, acéiiSíéndó el Rei nuestro Señor á sus dilatados ba situado c…</t>
  </si>
  <si>
    <t>Kutu.sow</t>
  </si>
  <si>
    <t>…tivas contra Hamburgo; pero el general Tettemborn y la legión anseática, que se ha adelantado' hasta Haarbúrgo, los han rechazado bizarramente. Se confirma de oficio la muerte del general Kutu.sow, príncipe de Smolensko. Este general, acometido de una fiebre nerviosa, espiró en Baunte— lau el día 28 de abril á los 78 años de edad. Pocas horas antes de su muer te recomendó para sucesor suyo al general. VV ittgenstein. Esta mañana han llegado dos malas d…</t>
  </si>
  <si>
    <t>Kutusow</t>
  </si>
  <si>
    <t>…as inmediaciones de Borodino , dio sus disposiciones para in terceptarle cerca de Smolensko. ^Habiendo sido destacados Platow y los cosacos para fatigar y envolver al enemigo , el mariscal Kutusow reforzó el cuerpo del ge neral Miílaradowitch hasta el número de mas de 18000 hombres ; y le dio ; rden de marchar por la izquierda hácia Viasma. El mariscal se encaminó por Spft'skoy y Celinka , en dirección paralela á la que seguía el general Miílaradowitch…</t>
  </si>
  <si>
    <t>…an ido publicando por su érden las varias acciones ocurridas, recapitularé en compendio los grandes movimientos que se han he cho desde la llegada de los franceses á Moscow. * „Ei mariscal Kutusow permaneció en su posición á orillas del Pokhra hasta el 28 de Octubre, cubriendo el camino antiguo de Kalouga, y los de Tula y Rezan ; pero siempre haciendo movimien tos diferentes, según que el enemigo mostraba amenazar el uno ú el otro flanco. f ,,Al mismo…</t>
  </si>
  <si>
    <t>…Moldavia á primeros de Setiembre. Es verosímil que cuando aquel llegó se encaminase al E. para reunirse, ó con el conde Wittgenstein por la parte de Witepsk, ó con el exército del general Kutusow. Parle del mariscal Kutusow á S. M. I., desde Bwhsvo, cerca da Viasma, á 5 de Noviembre de 1812. „Tengo la honra de comunicar á V MI., que después, de mi oficio de l.c del corriente, el general Platow hizo algunos movimien tos , y de ellos resultó que el ayud…</t>
  </si>
  <si>
    <t>Núm. 3» 17 GACETA DE LA REGENCIA ■ - ■ ■; . DE LAS ESPADAS DEL JUEVES 7 DE ENERO DE 1813. GRAN-BRETAÑA. Londres 11 de Diciembre de ISISEl feld mariscal príncipe Kutusow con fecha de 6 de NoYÍemb*e, desde la ciudad de Alny, comunica lo siguiente á S. M, I. „ ¡ Dios es grande, mi venerado soberano ! Puesto á los pies de V, M. le congratulo por una nueva victoria. „ Acabo de recibir parte , que original remito á V. M., de la co…</t>
  </si>
  <si>
    <t>…tlersburgo 25 de Nydembre. — j,Milord : Ademas de mi oficio de 23 del corriente , tengo ahora la satisfacción de remitir copias de los partes que se han recibid© del feld-mariscal príncipe Kutusow, con fechas de 18 y 20 del presente, refiriendo circunstanciadamente la denota de los cuerpos de exército, mandados por Davoust y Ney. Cerca ele 200 piezas de artillería y 20000 prisioneros han sido el re sultado de et*tas acciones. D ícese que Bonaparte esta…</t>
  </si>
  <si>
    <t>…ador de S. M tí. en Pctersburgo, al vizconde Castiereagh, se cretario de Estafo. Mesumen del diario de operaciones de los diferentes cuerpos de exércilo que tiene baxo su mando al príncipe Kutusow , desde II hasta 15 de Noviembre de 1812. En 11 de Noviembre , el genersl Millaradovitch participó que el 9 del mismo estaba en la aldea de Alexecoli la Vanguardia de su mando , y al dia siguiente en el lugar de Yakoff. El teniente gene ral Sheppelef particip…</t>
  </si>
  <si>
    <t>…de Eleven, embaxador extraordina rio y ministro plenipotenciario de S. M. el emperador de todas las Rusias,' quienX entregói-/ sus credenciales. El emperador Ákxandro ha hecho al general Kutusow príncipe de Smolensko, y caballero de la primera clase de la orden de S. Jor ge, que solo se da al que triunfa de algún feid-mariscal. Bonaparte fué perseguido por un regimiento de cosacos ; pero logró salvarse á costa de muchas incomodidades y riesgos. PORTU…</t>
  </si>
  <si>
    <t>Idem 23 de Diciembre. Parte del príncipe Kutusow á 5. M. í, de 21 de Noviembre en la forteleta de Babinowitch, ,,En el espacio de 14 dias desde mi salida de Moscow, no solo alcancé al enemigo, sino que también despáche' ‘Varios destacamen tos para interceptarle los caminos en su retirada. Dos generalas fran…</t>
  </si>
  <si>
    <t>…sus pies las banderas que he tomado ai enemigo. filemos perdido en estas jornadas mas de 3000 hombres.'’ Id. 5 de Enero de 1813. Hace algún tiempo se habló de la respuesta que el príncipe Kutusow dio á las proposiciones de paz que Bonaparte le hab’a hecho por medio de Lauristón ; cómo también de Jas que hizo Murat al ge neral Millaradovitch ; cuyas conferencias se han publicado en las ga cetas de Suecia en eítós términos: Lauristón fué recibido por el…</t>
  </si>
  <si>
    <t>…del almirante y del conde Platow. „El general Millaradovitch había llegado á BorisoS' á la salida de los últimos partes que se han recibido. ,,Ei Cuartel general del exército del mariscal Kutusow seguí* marchando por el lado meridional del camino real que va de Smo» lensko á Minsk, en línea paralela, aunque muy a tras de los otros cuerpos. j t „Hay grandes desfiladeros que pasar en el camino de BorisofF á Minsk, como igualmente en el que se presume ha…</t>
  </si>
  <si>
    <t>…Polonia están llenes de enfermos y heridos. Han pa sado por Leipsic 200 cirujanos para Varsovia, caminando con to da precipitación. GRAN-BRETAÑA. Londres 1.* de Enero de 1813. El príncipe Kutusow dirigió en 20 de Noviembre una enérgica proclama á sus tropas, que concluye de este modo. „Después de los gloriosos triunfos que conseguimos diariamente combatiendo con los enemigos, solo resta que los persigamos con rapidez; y de este modo cubrirán sus cadáv…</t>
  </si>
  <si>
    <t>…ido A S* M. J. desde su campamento inmediato á Kamen en 4 de Diciembre. Lue«ro que el exército francés pasó el Berezina, en las inmedia ciones de°Studenzi, dispuse que el ayudante general Kutusow se en caminase ó Lepel con el cuerpo de su mando, compuesto en gran par te de caballería ligera, para atacar al enemigo por el flanco, y ob servar al mismo tiempo los restos de las tropas bávaras á las órdenes del general Wrede que se hallaban á poca distanci…</t>
  </si>
  <si>
    <t>H2 partes , uno del mayor general Kutusow de 2 Diciembre, y otro del general conde Wittgenstein del 4 (1). „V. E. verá por estos partes, que el paso del Berczina ha costa do á los franceses mas de 20000 hombres, entre muertos, heridos, ahogados y prisioneros; y que los restos del exército francés pro…</t>
  </si>
  <si>
    <t>…virtud de la resolución del general en gofa.” 2.° Petershurgo 17 de Diciembre.— rMilord : Con mi oficio ante rior de 12 de este mes habrá recibido V. E. dos partes, tino del mayor general Kutusow , y otro del conde Wittgenstein. Según ellos, Bonapsríe, con los restos de su exército, marchaba desde Zembina á -Wiina , el primero por Molodetschno, y el segundo por Na» rotsch y Nementschina. ,,En esta persecución los rusos han acosado muy de cerca al enem…</t>
  </si>
  <si>
    <t>Núm. 20. 157 GACETA DE LA REGENCIA DE LAS ESPAUAS T DEL MARTES 16 DE FEBRERO DE 1813. GRAN-BRETAÑA. Londres 20 de Entro. Paite del general Kutusow, dirigido á S. M. 1. desde JYihm el 14 de Diciembre. ,, Cu and o nuestras tropas se apoderaron de Wilna, el enemigo desfiló por las calles mientras el conde Platow , con el objeto de cortarles la retirada á Kowno, ocupaba el camino que conduce á este pueblo c…</t>
  </si>
  <si>
    <t>…s tropas han expresado su regocijo con repetidos vivas. Las tropas de guardias se han acantonado en el pueblo y arraba les, y en sus íiuneóiaciones. Id. 18. El cuartel general del príncipe Kutusow se halla en Wilna. Id 19 E¡ ayudante general Wasitscbikoff ha llegado boy con su destacamento á Mcsty. Iá. 20. El teniente general Schepeleff dice, que el 10 del cor riente de tacó 1000 hombres de la milicia de Kalouga á Bobrouisk. El ayudante general conde O…</t>
  </si>
  <si>
    <t>…s del pecho, y los últimos esfuerzos que hizo le aceleraron la muerte. Cayó enfermo el 11 del corriente á su llegada á Wilna , donde espiró en la mañana del 20. „ El feld-mariscal príncipe Kutusow mandó que se hiciesen á su cadáver todos los honores militares, y que se erija un monumento en la iglesia protestante para perpetuar su memoria. „En obsequio de la verdad y la justicia debo decir, que lord Tyrconnel mientras estuvo empleado en esta embaxada,…</t>
  </si>
  <si>
    <t>…no sean cortadas si intentan ir á Tilsit, que estaba ocupado el 11 por el conde Wittgenstein , quien se halla próximo á Konigsberg. — Tengo la honra &amp;c.— Catchcart.” Proclamas del príncipe Kutusow que se citan en el oficio anterior. Primera. „A1 avanzar mi exército mas allá de las fronteras de Rusia, el emperador, mi señor, me manda hacer presente que este paso debe considerarse como una consecuencia de las operaciones militares, S. M., fiel á los prin…</t>
  </si>
  <si>
    <t>…spectros. ■ Los papeles de París llegan al 20 de Enero, y nada dicen del exército grande: solo hablan de 120000 hombres que debe levantar el Austria para auxiliar á la Francia. El príncipe Kutusow ha sido nombrado caballero de la primera clase ó gran cruz de la orden militar *de S. Jorge. — El emperador Alexandro fué Tecibido en Wilna y pueblos circunvecinos con inex plicable entusiasmo. Ei emhaxador francés Mr. Cadre ha sido despedido de la corte de S…</t>
  </si>
  <si>
    <t>…r los flancos, frente y retaguardia. : Platow se halló en diferentes ocasiones con sus cosacos delante de los franceses, y cortó repetidas veces su línea de retirada. El ayu dante general Kutusow, habiendo llegado por medio de una marcha rápida á Babinowitch, maniobró contra el costado derecho del ene migo , logrando arrojarle hácia la posición que ocupaba el cuerpo del general Wittgenstein. Persiguiéndole después desde Oraha hasta Borisow, le mató é…</t>
  </si>
  <si>
    <t>…hacia Varsovia. El cuartel general del emperador y del feld-mariscal llegaron es te dia á la aldea de Meretsch. (Se continuará.) El emperador Alexaa 1ro ha premiado nuevamente al príncipe Kutusow haciéndole príncipe de la familia real. Los generales Platow y Wittgenstein han participado también del favor de S. M. I. 8e dice haberse concluido un tratado entre el príncipe Kutusow y el príncipe Schwartzemberg, con arreglo al cual el último retirará su ex…</t>
  </si>
  <si>
    <t>…es son lqs toldados á quienes llama coa desprecio Bo ñaparte tártaros parricidas que se vengan de su in vete • rado enemigo el imperio ruso, quemando sus poblaciones. La caita del príncipe Kutusow remitiendo al metropolitano la plata y petición de los cosacos , es como sigue: ^Bendecid la ofrenda que presentan nuestros guerreros al Dis pensador de las victorias. Los valientes cosacos del Don restituyen á Dios el tesoro robado en sus templos, y me han e…</t>
  </si>
  <si>
    <t>…febrero.' mucho caso de los pedazos de papel, ocultan quanEstán acantonados en nuestras inmediaciones los to pueden. cuerpos de los generales Uwarow y MiloradoHUNGRIA.witsch y del príncipe Kutusow, que ha llegado poco después de ellos. Semlin 15 de febrero. Falta mucho para que este exército sea tan fuerte como publican los rusos. Según las noticias de Belgrado, un comandante Estamos bien persuadidos que no han pasado servio, que quería refugiarse en e…</t>
  </si>
  <si>
    <t>…erzas rusas. El exército roso se divide en tres grandes cuerpos: el primero á las órdenes de Wittgenstein ; el segundo á las de Tehichagoff, y el tercero á las de Wínzingerode. Él príncipe Kutusow manda en gefe-La fuerza principal de Wittgenstein ha pasado el Elba con el objeto de arrojar á los franceses hasta el Mein, y es probable que no esperen estos á ser atacados. Uno de los cuerpos de Wittgens tein , al mando del general BekendoríF, ha entrado en…</t>
  </si>
  <si>
    <t>…rusas. „ El exército ruso se divide en tres grandes, cuerpos : el primero á las ór denes de Wittgenstein; el segundo á las de Tchichagoff, y el tercero á las de A'Vinzingerode. El príncipe Kutusow; manda en gefe. J,' í, . ^ La fuerza principal de Wittgensteiit ha jasado el Elba. coi», el-objeta, dq. arrojar á los franceses hasta el Mein , y es probable que no esperen estosjá ser atacaos. /Uno de los cuerpos ¿e W jttgenstein, al mando del .general Beken…</t>
  </si>
  <si>
    <t>Kütusow</t>
  </si>
  <si>
    <t>…traviesan en este momento (avisan con fecha del 11 de abril) la Prusia oriental, dirigiéndose al exército. La plaza de Mbdlin no puede ya resistir. El exército ruso mandado por el príncipe Kütusow, con fuerza de 30® hombres y ioo piezas de artillería; debe estar en las fronteras de la Saxonia á fines de abril.' Quieren decir qué el Rei de Saxonia ha rehusado decidida mente el convite de Bonaparte para ir á Francfort. La plaza de Spandau su frió el mas…</t>
  </si>
  <si>
    <t>…Ale jandro el conde de Artois: le acompañan su hijo primogénito el du que de Angulema, el conde F. D’Escars, el barón de Roll y E» Dama. v Se ha sabido ya de oficio la muerte del general Kutusow, prín cipe de Smolensko, acaecida el 28 de Abril en Bauntzlau de una fie bre nerviosa, á Jos 70 años de su edad. Dícese que pocas horas an tes de espirar escribió al emperador , recomendando para sucederle en el mando del exército al general Wittgenstein. ESP…</t>
  </si>
  <si>
    <t>…Barclay de Tolíy sobre el Vístula en observación de Dantzick. El general Sachen observa él cuerpo austríaco con dirección á Cracovia. Al Emperador Alexándro con sus guardias y al mariscal Kutusow con unos 20® hombres se les supone en el Oder. Los saxones en Torgau. El general Dornberg se hallaba en Hamburgo, y hacia excursiones entre el Elba y Wesser. Los generales prusianos Lecoq y Blúcher en el Saale. Los genera les'rusos Winzingerode y Wittgenstein…</t>
  </si>
  <si>
    <t>…l rey de Prusia llegaron á Boma en la mañana del i.° de este mes con la reserva, y en las inmediaciones de este pueblo se reunieron otras muchas partidas del exército. El mariscal príncipe Kutusow, que había quedado enfermo en Buntzlau, murió allí; pero su muerte no se publicó por entonces : en su lugar fué nom brado general en gefe del exército el conde Wittgenstein. Este reconoció en el mismo dia la posición del enemigo, y enterado bien de ella, se d…</t>
  </si>
  <si>
    <t>…llegaron á Borna en la mañana de i.° de mayo con la reserva; en el mismo dia se habia reunido la mayor parte dei exército en las inmediaciones de este último pueblo.__ El mariscal príncipe Kutusow se quedó enfermo en su marcha para Buntzlau, donde murió : bien que su muerte aun no se ha publicado. El conde Wittgenstein, que entonces se hallaba en Zwenkau, fue som brado comandante en gefe del exército.—-En aquel dia ya habia reconoci do al enemigo, y ce…</t>
  </si>
  <si>
    <t>10,2 hacia Berlín por Lukau. Nuestros puestos avanzados están á una jornada de Giogau. En Buntzlau fue donde murió el general Kutusow. Nuestros exércitos no han hallado allí ningún entusiasmo. La milicia y levantamiento ge neral solo existe en los periódicos, á lo menos en este país; y los habitantes están lejos de acceder á los deseos de los rusos de quemar sus habitaciones, y desolar el p…</t>
  </si>
  <si>
    <t>…al imperial se trasladó de Jauer á Striegaw el 27, y al siguiente día á esta plaza. «El conde Vittgenstein ha hecho dimisión del mando de los exércitos aliados, que por muerte del mariscal Kutusow le cupo mien tras se hacia un arreglo definitivo : el general Barclay de Tolly lia sido nombrado para exercer el mismo cargo. Con este moávo se Ira hecho una nueva desmembración; á saber, el conde Wítiger..-tcm mandará los rusos, y el general Blucher los prud…</t>
  </si>
  <si>
    <t>…imperial se trasladó de Jauer á Striegaw el 27 , y ai siguiente dia á esta plaza. ,, El conde Wittgenstein ha hecho dimisión del mando de los exércitos aliados, que por muerte del mariscal Kutusow le cupo mientras se,hacia un arreglo definitivo: el general Barclay de Tolly ha sido nombrado para exercer el mismo cargo. Con este motivo se ha necho una nueva desmembra ción; á saber, el conde Wittgenstein mandará los rusos, y el general Blticher los prusia…</t>
  </si>
  <si>
    <t>…a la mayor actividad en todos los estados prusianos: fel landwehr o leva de la Prusia oriental y occidental asciende ya á 40© hombres. El 11 de este mes se trasladó el cadáver del príncipe Kutusow á la igle sia de nuestra Señora de Casan, lugar fíxado por el Emperador para su seÍmltura. A las 11 de la mañana salió del convento de S. Sergio la procesión únebre, y á las tres llegó la guardia cívica de S. Petersburgo cerca det rio Tarakanowha para recibir…</t>
  </si>
  <si>
    <t>Kutusow, GotenistscheiF</t>
  </si>
  <si>
    <t>GotenistscheiF Kutusow</t>
  </si>
  <si>
    <t>…to de dragones de Moscow que acababa de lle gar allí. El general austríaco Froelich, que ocupaba á Grodno , se retiró. El general conde Wittgenstein comunica en 21 que el ayudante general GotenistscheiF Kutusow, persiguiendo al enemigo desde Wilua hasta mas allá de Kowno , hizo prisioneros 69 oficiales de estado mayor y otros; 1570 soldados , y tomó una bandera : también dice que el 17, una partida de-su destacamentoencaminándose á Furbur» , alcanzó ú una pequeña co…</t>
  </si>
  <si>
    <t>L, Francbco</t>
  </si>
  <si>
    <t>Francbco L</t>
  </si>
  <si>
    <t>…stituto segundo. Barrio de Doña María de Aragón. Barrio de las Descalzas Re ates. D. Josef Cañedo, alcalde. D. Fr..neÍsco de 1 ruegas, alcalde. D. Félix Bener, substituto primero. D. Francbco L..yin , 'substituto primero. D. Manuel Urbina , substituto segundo. D. Juan Torre , substituto segundo. Barrio de ¡a Encarnación. Barra de les ring. íes D. Ramón García Muñoz , alcalde. D. Manuel Cardeñoso Herrczueto, alcalde. D. Pedro Monfort y Viergol , subst…</t>
  </si>
  <si>
    <t>L, José Mana</t>
  </si>
  <si>
    <t>José Mana L</t>
  </si>
  <si>
    <t>…aer todo e ganado que te:ia con expresión de los dueño? á que pertenece, y cuando esto se verifique, daré p?rte á V. S. para qu ; me ordene lo que debe efectuarse. «He. dexa do ai capitán D. José Mana L zotraga con toda su compañía de Huexutla y a-guuos caballos en el Cardonal, para que destruya las cercas y parapetos de ios cantones, y conduzca un ca ñón de á 6 que quena allí. «Los ico infini'es que al. mando de su capitán D. Francisco Hi dalgo me remitía-V…</t>
  </si>
  <si>
    <t>L, Manuel</t>
  </si>
  <si>
    <t>Manuel L</t>
  </si>
  <si>
    <t>…o, y dispondréis se imprima, publique y circule. = L. de Borbon, cardenal de Scau, arzobispo de Toledo, presidente. = Pedro de briel Ciscar. = En Cádiz á 30 de agosto de 1813. = A D. Manuel L©pé¿ Araujo.” i La secretaría de las Cortes propuso en 8 del corriente que se la autori zase para que pudiese mandar que se anuncie en la gazeta del Gobierno Ta venta de las actas impresas de estas Cortes, abriendo una subscripción con las franquicias que tien…</t>
  </si>
  <si>
    <t>L, Rafael</t>
  </si>
  <si>
    <t>Rafael L</t>
  </si>
  <si>
    <t>…se replegaba kaeiendo fuego t y' conteniéndolos ea lo posible; inmediatamente orde~ que las co!tlp8ñía~ de cazadores y granaderos de Ultonia, ál malNto «el C:pitf.n de ls segunda D. Rafael L~rrud3, !c adelantasen por derecha é izquierda del camiflo real, á sostener t. predicha gran guardia y avanzadas de infaotería: este "izarro o4cialllenó en todo mis deseos, pues en union con los puestos avanzados y las compañías ~e granaderos y cazadores de Ar…</t>
  </si>
  <si>
    <t>La-Martiniete</t>
  </si>
  <si>
    <t>…cíamos por el punto de Irun, sufriendo el destrozo que producía la dei enemigo. El general Freíre perdió uno-ó dos caballos. Pomparte de los enemigos solo se sabe por ahora que el general La-Martiniete quedó gravemente he rido:, y murieron dos gefes de brigada, dos coroneles, cinco co mandantes, muchos oficiales y millares de soldados.. Soult habia ofrecido á estos seis pagas en el momento de entrar en S. Sebas tian , y doble ración desde Tolosa en adelante…</t>
  </si>
  <si>
    <t>La-Rúa, Casto</t>
  </si>
  <si>
    <t>Casto La-Rúa</t>
  </si>
  <si>
    <t>…es*.i«.,V....... ^Marina. gata................ 3 D. Angel Martínez............. ............ Sargento mayor.. D. Vicente María Jaudenes.,......... Benavente. Teniente............. D. Casto La-Rúa.,.......................... Idem. i; Otro.......... D. DomingoX'ago........................... Idem. b ■Subteniente........ D. Ventura,Lorenzo....................... Idem. . Id. en comisión...^ D. Juan Per£z.. Idem;. Teniente..... D. Manuel Muñiz.í.. 2.0 de A…</t>
  </si>
  <si>
    <t>La-Serna, Fernando</t>
  </si>
  <si>
    <t>Fernando La-Serna</t>
  </si>
  <si>
    <t>…el 18. El secretario del despacho de Marina dio cuenta de que la Re gencia había encargado el de Estado, durante la indisposición del Sr. O-Dónoju , que lo estaba interinamente, ¿ D. Fernando La-Serna. El Sr. Quartero, anunciando que diría verdades amargas para algunos</t>
  </si>
  <si>
    <t>La-Torre</t>
  </si>
  <si>
    <t>…or pura gracia por haberlo parido su del Issel superior, de las Bocas del Issel, de la madre para diputado . como insinuó oportunamen Frisia y del Ems occidental. te su paisano eí señor La-Torre. De mi parte ase La defensa de los astilleros de Ambéres y Fie- guro á vmd. que no me comprometeré mas coa</t>
  </si>
  <si>
    <t>Labanoff</t>
  </si>
  <si>
    <t>…frecuentes conferencias con los ministros. .1 Mr. Thorriton, ministro de Inglaterra cerca de la corte de Suecia» ha llegado á Stralsund. El Cuerpo de exército ruso mandado por el general Labanoff, que está en marcha de Posen para el Oder , es de 20© nombres. El conde Tolstoi avanza sobre el Waíthe á la cabeza de otro exército de 40© hombres. El duque de Brunswick llegó aqui de Haniburgo el día 2 iy partió el el 23 para el exército. ;v Solo de aqui se…</t>
  </si>
  <si>
    <t>Labiano, Angel</t>
  </si>
  <si>
    <t>Angel Labiano</t>
  </si>
  <si>
    <t>IOS de, D. Manuel Ibañez, D. José López, D Prudencio Dallo, D. Ce lestino Ximenez , D. Fermín Al Aúnate, D. Angel Labiano, D. ber nardo ZaTo, D. Francisco Mtmuce, D. Pedro Mancho. D. Matías Ezcay, D. Félix Beroz, D. Bernardo Sonosiain , IT Mañano Ustarroz, D. Felipe Virtus, D. Joaquín Aquerreta, D. Fermín Josué, 1), Martin Ziarriz, D, Francisco Larrodé , D. Matías Alzorr z, D. J…</t>
  </si>
  <si>
    <t>Labiano, José</t>
  </si>
  <si>
    <t>José Labiano</t>
  </si>
  <si>
    <t>…Esca lada, D. Víctor Pastor, D. Francisco Boira , D. Nicolás Uroz, D. Francisco Sarbide, P. Manuel'Inda, D Juan Ignacio Peña, D Diego OteruimDi Gabriel Alegría , D. Félix Sarasa $ D. José Labiano , D. Francisco Morillo , D, Juan Jaurrieta, D. Bartolomé Guiberalde, D- Antonio Ugarte, D. Ignacio "Echeverría, D. Pedro Echegoyen , D. José María Gurrea, D. Francisco Erdozain , D. Ma nuel Sauca, D. Agustín Apezteguia, D. Martin Benuza, D. Miguel Tolqsana ,…</t>
  </si>
  <si>
    <t>Laboida, Francisco</t>
  </si>
  <si>
    <t>Francisco Laboida</t>
  </si>
  <si>
    <t>…á la demarcación del exér cito séptimo. Las intendencias de los exércitos de reserva de Andalucía y Ga licia estarán á cargo , la primera del intendente dei exército de An dalucía D. Francisco Laboida, y la segunda del intendente del exér cito de Galicia, y el distrito de aquel constará de las provincias de Córdoba, Sevilla y Cádiz. Los intendentes de las provincias del distrito de cada exército estarán subordinados al intendente general de él, en cuanto p…</t>
  </si>
  <si>
    <t>Labor</t>
  </si>
  <si>
    <t>…iones en Alemania son los siguientes : De caballería: el conde_Latónr-Maubourg.— El conde Grouchy. — El conde Nansouty. — El conde Valence. — El conde S. Germán. De infantería: el conde Labor de. — El conde Loison. — El conde Bonnet. — El conde Molitor. — El conde Friant. — El conde Legrand. Los polacos, reducidos á 15$, están en Pirna, mandados por el príncipe Poniatowsky, y la caballería por el general Dombrousky.. ESPAÑA. Vinar o z 16 de Setiem…</t>
  </si>
  <si>
    <t>Laborde, Juan Bautista</t>
  </si>
  <si>
    <t>Juan Bautista Laborde</t>
  </si>
  <si>
    <t>…rcado que se había suspendido por la invasión del enemigo. Doña Irene de Andrea, vecina de está capital, á quien en el mes' de agosto del año 12 '^c la desapareció un hijo llamado D. Juan Bautista Laborde, de edad de 18 años, y de copa existencia ha ignorado hasta pocos días há que fa han asegurad» haber pasado e! dia t í dé mayo por Viüalía, provincia de la Mancha, suplica i los que- sépárri su paradero la hagan él favor de noticiárselo verbalmente ó por es c…</t>
  </si>
  <si>
    <t>Labórele</t>
  </si>
  <si>
    <t>…vimos un destaca jü aposento, jvpy ertdq b3$ujpte:jrutdo;, voJtí atras: mento de la décima Icdíidrtfi que estaba apostada enfrente de la puerta,,y bubie'ndosjenos dicho queera el comandante Labórele, que daba al coman dante de la cohdrte la orden’-de qne se retirase; y el oficial que mandaba 'este destacamento estaba en la sala, subimos; y «n efecto encontramos allí ai cocomo, este lálrimo p*eten¡dje?&lt;í::qtt* debtar^Bed&amp;rse ronel de ta décima cohorte.all…</t>
  </si>
  <si>
    <t>Labrador, Pedro</t>
  </si>
  <si>
    <t>Pedro Labrador</t>
  </si>
  <si>
    <t>…ndréis se imprima, publique y circule. — JL. de Jdorbon, cardenal de Scala, arzobispo de Toledo, presidente.— Pedro de Ágar. — Gnbriú Ciscar. — En Cádiz á 12 de Marzo de 1813. — A D. Pedro Labrador. Segundo. D. Fernando vii , por la gracia d^ Dios y por la Constitución de la monarquía española, rey de las Espadas, y en su ausencia y</t>
  </si>
  <si>
    <t>…réis se im prima , publique y circule. — JL. de Bcrbon, cardenal de Scala, ar zobispo de Toledo, presidente.— Pedro de Ágar.— Gabriel Cis car. — En Cádiz á 16 de Marzo de 1813. —A D. Pedro Labrador. Donativo para auxilio de la valiente división navarra el mando del ma riscal de campo D. Fian cisco Espoz y Mina. D. Martin y D. Miguel Osambela, 6000 ps. fs. D. Juan Bautista Oy&amp;rzabal y D. Pedro Abadía, 1000. D. Antonio y IX José Matías Eiizalde, 500. D. F…</t>
  </si>
  <si>
    <t>…y por la cesstitueio* de la monarquía española, y en su ausencia y-cautividad la Regen cia del reyno, nombrada por las Cortes generalas y extraordinaria^ * se ha servido relevar á D. Pedro Labrador, secretario de Estado y de sn Despacho, de la secretaría de Estado y del despacho de la Gobernación para los negocios de la Península , de que había sido encargado interinamente; y ha venido en nombrar para servir dicha secretaría de la gobernación de la Pení…</t>
  </si>
  <si>
    <t>…s se im prima , publique y circule. — L. de Borbfin, cardenal de Scála, ar • zobispo de Toledo, presidente.— Pedro de Agar\—Gabriel Cis~ ear. — En Cádiz á 2Q de Marzo de 1813. — A D. Pedro Labrador. Los secretarios de las Cortes generales y extraordinarias han di rigido cor fecha de 29 del mes anterior al secretario interino del des pache de la Gobernación de ultramar la orden siguiente: „Las Cortes generales y extraordinarias han oido con particular ag…</t>
  </si>
  <si>
    <t>…éis se im prima , publique y circulé. —- L„ de Borbon, cardenal de Scala . ar zobispo de Toledo, presidente.— Pedro de Agar.— Gcbrul Cis car. — En Cádiz á 25 de Marzo de 1813. — A D. Pedro Labrador.</t>
  </si>
  <si>
    <t>…española, y en su ausencia y cautividad la Regen cia del reyno nombrada por las Cortes generales y extraordinarias, he tenido por conveniente separar dé la secretaría de listado á Don Pedro Labrador, y encargarla interinamente á D. Antonio Cano Ma nuel, como secretario de Estado mas antiguo,=Ten'iréMo entendido, y dispondréis lo necesario á su cumplimiento. = Cádiz 11 de Julio de 1813. = A D. Tomas José González Carvajal.” En el proceso sentenciado en co…</t>
  </si>
  <si>
    <t>Labraría, Domingo</t>
  </si>
  <si>
    <t>Domingo Labraría</t>
  </si>
  <si>
    <t>2 64 QUARTEL DB ATAPTES. _ Barrio delaplasuela del Gato. U. Agustín de Estebe, alcalde. r Barrio del Am«r de Dios. D. Domingo Labraría, substituto primero. D. Pedro de las Muelas, alcalde. D. Bernardo Rodríguez-, substituto segundo. D. Manuel Martínez, substituto primero. Barrio de las Niñas de Monttrri. D. Francisco Monteagudo, substituto segundo. D. Agustín Tavira, alcaide. D. Alfonso Luce…</t>
  </si>
  <si>
    <t>Lac</t>
  </si>
  <si>
    <t>…man dado por él Excmo. Sr. D. Francisco Xavier Castaños. Se han establecido adema* dos reservas, una en Andalucía á las órdenes del conde del Abisba!, y otra en Ga licia 1 las del general Lac y.</t>
  </si>
  <si>
    <t>Lacepede</t>
  </si>
  <si>
    <t>…res, los miem „ Quando Newton cesó de vivir la admiración bros del instituto y de la universidad imperial, y grabó sobre su sepulcro esta noble inscripción: Fe en las que el señor conde Lacepede, presidente del licítense ios mortales de haber tenido un orna senado, y gran canciller de la legión de Honor, ha mento tan bello de ¡a especie humana. La poste pronunciado el discurso siguiente: ridad grabará las mismas palabras sóbre la tumba Señores: de La…</t>
  </si>
  <si>
    <t>Lacrhíon</t>
  </si>
  <si>
    <t>El enemigo fue rechazado peleando hasta el Spree. El general Lacrhíon ha entrado en Neustadt. Habiendo el enemigo rehusado asi la batalla , el Emperador volvió el 24 á Dresde para tomar una posición en tas alturas de Weissig. El octavo cuerpo, mandado por el príncipe Poniatowky, ha vuelto á pasar -á la orilla izquierda. El cond…</t>
  </si>
  <si>
    <t>Lacroust, Jofcé</t>
  </si>
  <si>
    <t>Jofcé Lacroust</t>
  </si>
  <si>
    <t>…el María Apeite| 367973 532 732 ( guia. L368046 688 J 15 de 600 peso*. De 300 ps. de Enero de 1809. 1. . . 126538 • • * • « • • • • D. Francisco Bonafont* 2. . . 97891 98380 • • • D. Jofcé Lacroust. 81281 90951 102235" 82526 92703 116544 12. . . (►Al mismo. 84292 93458 122056í 90935 95341 1237741 15 de 300 pesos. De 150 jm. de Enero de 1808. 3. ¿ 273756 277696 280880 D. Juan Dges.. 2. . 290656 293331 .... D. José Lacroust. 2. . 255003 298765 .... D. Mat…</t>
  </si>
  <si>
    <t>Lacroust, José</t>
  </si>
  <si>
    <t>José Lacroust</t>
  </si>
  <si>
    <t>…5 399054 184 394115 40 í 977 644 521 403504 L386463 989 403992^ 386700 387407 397280 ) 5. . 386707 683 403991 ^ Al mismo. 387047 396118 403685 995 412267) 8. • 874 405031 412272 &gt; D. José Lacroust. 994 408328 398893 407816 407955 &gt; rp 6. . 412046 S TeS0 rero n*?01- 401290 900 61 de 600 pesos. De SOO ps. de Mayo de 1808. 3. . 442942 458476 47754S D. Francisco Bon&amp;font. 2. . 487330 487707 .... D. Juan Dges. - f423479 447888 4-53819") 424185 448183 456572…</t>
  </si>
  <si>
    <t>…6975 454647 ¡ 437567 447004 465678 440564 448187 732 24. . .&lt; ►Tesorera mjor. 443431 188 470161 f 711 236 482001 445810 237 485030 .446053 345 493080^ 2. . . 435136 485828 • • • • D. José Lacroust* 1. . . 440304 » « « « • • • ♦ Mr. Dommaoger. :427486 450599 476073 &gt; 8. . !442995 453036 486351 y ' 486352 488926 &gt; 4 vales í 426549 453156 459647 &gt; ™ dinero f 493455 £ Tesorero mayoi. ' 449524 461920 486144 1449709 485529 !^~ ^ D. José Rodas. 12. . . 460921…</t>
  </si>
  <si>
    <t>…3 116544 12. . . (►Al mismo. 84292 93458 122056í 90935 95341 1237741 15 de 300 pesos. De 150 jm. de Enero de 1808. 3. ¿ 273756 277696 280880 D. Juan Dges.. 2. . 290656 293331 .... D. José Lacroust. 2. . 255003 298765 .... D. Matías Bayo. S D. Antonio María Cárde1. . 295988 . . . . • • • • s4 ñas.</t>
  </si>
  <si>
    <t>Lacue'e</t>
  </si>
  <si>
    <t>…a la plaza de se Jos grandes oficiales de nuestra corona, y nos es nador , vacante por fallecimiento del conde Bou- muí agradable el darlos esta prueba de nuestra sa gainville, al barón Lacue'e, primer presidente de la tisfacción. Dado en nuestro palacio del Elúeo-Nacorte imperial de Agen , presentado por el colegio poleon el 5 de abril de 1813.=. Firmado = Na electoral del departamento de Lot y Garona; al poleón. barón de Haubersaert, primer presid…</t>
  </si>
  <si>
    <t>Lacy</t>
  </si>
  <si>
    <t>…te de la segunda brigada de la primera división = Josef Manso. = Sr. D. Francisco de Gopons y Navia. Santiago 10 de agosto. • ' -i ' . ' En el mismo dia que llegó á esta ciudad el general Lacy visitó el depó sito de reclutas y las escuelas militares. Vio maniobrar á los alumnos que e$-&gt; tan al cargo del señor La^Roque, y quedó completamente satisfecho de la</t>
  </si>
  <si>
    <t>…del tribunal de in quisición. Tanto puede en unos ciudadanos amantes del gobierno la justicia de la causa y la energía de los que executan sus órdenes. La actividad y firmeza del general Lacy ha conseguido se lleven á efecto, las justas decisiones de nuestro gobierno benéfico y paternal—— Hoi han llegado aquí 1500 fran ceses prisioneros de los que había en la Coruña, que han sido destinados al quartel del rio de los Sapos/ extramuros de ésta' ciud…</t>
  </si>
  <si>
    <t>…ran hasta 100® vestuarios y fusiles construidos en Inglaterra de or den de nuestro Gobierno, . La reserva de Galicia se está equipando ya, y es de esperar que con la actividad del general Lacy podremos presentar mui pronto otro exército bien disciplinado, que no desmerezca en nada de los valientes gallegos tan elogiados por lord Wellington en la acción del 31 de agosto. PRIMER EXERCITO NACIONAL.___ ESTADO MAYOR. Quarfel general de Vich. —Orden gene…</t>
  </si>
  <si>
    <t>Lacy, Luis</t>
  </si>
  <si>
    <t>Luis Lacy</t>
  </si>
  <si>
    <t>…eneral D. Francisco Espoz y Mina.” (Se continuarán.) JBerga 30 de Noviembre. El mariscal de campo barón de Eróles, con fecha de 15 del pro pio mes desde la Llacuna, dice al Excmo. Sr. D. Luis Lacy lo que sigue. „Excmo. Sr.: La ocupación del castillo de Balaguer era para mí de la mayor importancia, y aunque la consideraba una empresa ar dua , aspiré á ella por una de aquellas tentativas que muchas veces justifican los resultados. Estaba cerciorado de su…</t>
  </si>
  <si>
    <t>23</t>
  </si>
  <si>
    <t>23 Berga 30 de Nl víembre. El coronel D. José Mamo en parte de 8 dd mismo desde Minis tro1 d M ntserrate, dice al Excmo. Sr. D. Luis Lacy lo que sigue: „Excmo. Sr.: Esta tarde me he visto atacado en el punto de casa Massana, por toda ia gran gavilla de incendiarios que estaban en Manresa; y distribuida mi fuerza en las varias posiciones que pro porciona el terreno de derecha é izquierda de dich…</t>
  </si>
  <si>
    <t>105</t>
  </si>
  <si>
    <t>…ado con }a mayor actividad y á mi satisfacción , por jo que los recomiendo á Y. E.—Dios guarde á V. E. muchos‘años. Cáldes 21 de Diciembre de 1812.—Excmo- Sr.— J^sé Manso.— Excmo. Sr. D. Luis Lacy.” Alicante !(&gt; de Enero. Sin déxar Suchet de hacer las incursiones y córrerías mas deso ladoras en los pueblos fronterizos de nuestra línea, se descubren la agitación y abatimiento que han producido en el exército enemigó los últimos sucesos decisivos del Nor…</t>
  </si>
  <si>
    <t>…r desde la plaza de Rostock, el 10 de Setiembre, participándole que el general Walmoden tenia su cuartel general en Domitz el dia 8 del mismo mes.ESPAÑA. Santiago 4 de Octubre. El Sr. D. Luis Lacy, capitán general de Galicia y su exército de reserva \ después de haber hecho ia visita de cárceles por lo res pectivo á lo militar en la Ccruña y Ferrcl, lo realizó igualmente en la de esta ciudad el dia 2 del corriente , acompañado de los se ñores auditor g…</t>
  </si>
  <si>
    <t>Ladrón, Antonio</t>
  </si>
  <si>
    <t>Antonio Ladrón</t>
  </si>
  <si>
    <t>…nade ros y cazadores á D. Fermín Izu , D Sebastian Echarte , D. Mariano Oliver, D Dionisio Antoñana, D. Antonio Andia, D. Eusebio Oraá , D Mariano Gayarte , D. Faustino Irigoyen , D. Antonio Ladrón, D. Antonio Zabalza, D. Felipe Vicuña, D Manuel Arragu i, D Manuel Otayza, D Ramón Tajonar, D. José Hernández, D. Gregorio Beriani, D. Domingo Ihañez, D. Eusebio Ocha de Alda, D Angel Estabulo, D Valerio Landache, D. Miguel Villacampa, D ’B'-roardo Eohsdecu,…</t>
  </si>
  <si>
    <t>…mió ha sido de 55 he ridos y 7 muertos, contándose entre estos el capitán D. Luis Afi lio , que aunque no en ia acción, murió después de resultas de sus heridas, y el subteniente D. Antonio Ladrón ? que quedó en el «am po* Los tenientes D. Tictor Pastor y D. José LpAiano, y el subte niente D. Gabriel Alegría, fueron heridos. Y si bien debo recomen dar á V. S. a todos ios oficiales y soldados de ambos batallones, h?go presente á V. S. el mérito particul…</t>
  </si>
  <si>
    <t>Laforest, Sir Francisco</t>
  </si>
  <si>
    <t>Sir Francisco Laforest</t>
  </si>
  <si>
    <t>…e motivo el rey de Prusia manifestó de nuevo su adhesión á la causa de S. M. el em perador y rey, y su indignación por este acontecimiento. — El con de de Saint Marsen ” El contra almirante Sir Francisco Laforest ha remitido una carta del capitán Westropp , comandante de la chalupa Peruana , en que da cuenta que el 25 de Octubre había apresado á la altura de Sombrero el Yankee, corsario americano de porte de 7 cañones y 44 hombres de tripulación, que habia salido de S…</t>
  </si>
  <si>
    <t>Lafoy</t>
  </si>
  <si>
    <t>…arnición de aquel pueblo : tam bién salieron cerca de 300 dragones para Peñ afiel. Ea el mismo dia llegaron á las inmediaciones de esta ciudad unos 1200 hombrea de la división del general Lafoy, y pasaron á Cigales sin detenerse. El 26 llegó el general Liicotíe de Francia con pliegos para el intruso, que no debieron serle muy satisfactorios, según lo que se incomodó : también llegaron 5 correos , y en uno de ellos la noticia de haber sido nombrado g…</t>
  </si>
  <si>
    <t>Lagandara</t>
  </si>
  <si>
    <t>…par el puente que sale á Tudela por la calle que guia á la catedral; y que el resto del regimiento se echase sobre el campamento enemigo, auxi liando esta operación las tropas del capitán Lagandara y del teniente de granaderos D. Mariano Tabú enea (los que ya estaban sobre el enemigo)*' mientras qué otros soldados ocupaban las calles de la ciudad.. El enemigo al primer tiro de su centinela se alarmó y montó á caballo; pero él vivo y bien dirigido fuego…</t>
  </si>
  <si>
    <t>Lagandara, Josef de</t>
  </si>
  <si>
    <t>Josef de Lagandara</t>
  </si>
  <si>
    <t>…hombres. En esta inteligencia dispuse que el capitán de los dragones de Soria D. Pedro Marc coii los 34 caballos de su mando, y el capitán de la'tercera compañía de mi regimiento D. Josef de Lagandara con parte de la compañía de caza dores, tomasen la vanguardia del regimiento , y se echasen sobre aquella avan zada á todo escape; pero quando llegaron, la avanzada no existía en aquel parage i el enemigo estaba ya acampado en el sitio que llaman el Mercadal.…</t>
  </si>
  <si>
    <t>…justicia si no particularizase al capitán de dragones de So ria D. Pedro Marc y á su alférez D. Aniceto Perez, como también á los capitanes de mi regimiento D. Pedro Sologaistoa, D. Josef de Lagandara y D. Atanasio Muñoz, y al teniente D. Mariano Tabuenca. Dios guarde &amp;c. Calahorra &amp;c. En el dia 2 del corriente la caballería aliada tuvo delante de Toro un choque con 300 dragones enemigos, de los que pocos se salvaron. El 4 se• hallaba en la Mota el quartel generar de lord Wel…</t>
  </si>
  <si>
    <t>Lagándara, Josef de</t>
  </si>
  <si>
    <t>Josef de Lagándara</t>
  </si>
  <si>
    <t>…ue la compañía de cazadores y alguna caballería se dirigiesen hacia Zaragoza ; y habiendo observado que la coluna enemiga hacia un movi miento oblicuo sobre mi izquierda, mandé al capitán D. Josef de Lagándara pasase inmediatamente con su compañía á atacar la coluna, y á D. Antonio Herrera que cubriese con la suya el camino de la puerta del Carmen, por donde se dirigían algunas fuerzas, mientras que el resto del regimiento avan zaba por el centro, desplegando batal…</t>
  </si>
  <si>
    <t>Lagar, Juan Bautista</t>
  </si>
  <si>
    <t>Juan Bautista Lagar</t>
  </si>
  <si>
    <t>…á Y. muchos años. Cádiz 9 de Julio de 1810. En el batallón de infantería de Africa se ha servido promover la Regencia del reyno á teniente á O. José Olmo Zayas, y á subte niente á D. Juan Bautista Lagar. En el de Galicia á capitanes á D. Gabriel Sequeira y D. Alfonso Hernández Ea el de Navarra á ayudante á D. Juan Antonio Pardo; á tenientes á D. Francisco Lo zano y D. Pedro Fernandez, y á subtenientes á D. Bonifacio Ro dríguez , D. José Sánchez y D. Manuel d…</t>
  </si>
  <si>
    <t>Lagarda, Gregorio</t>
  </si>
  <si>
    <t>Gregorio Lagarda</t>
  </si>
  <si>
    <t>…Unciti y D. Sebastian íso : á alféreces á D. Nicolás Sada, D. Lucas Munarriz, D. Francisco Ruiz , D. Cristóbal Pereti, D. Mariano Raqpedano, D. Mariano Amorós, D. Manuel Rodrigo, D. Gregorio Lagarda, D. José García, D. Antonio Ortíz, D. An gel Martínez, D. Antonio Blesa, D Fermín Fabiano, D. Pedro Garrea, D. Pablo Franca, D. Antonio Santos, D. Manuel Uría^ D. Bernardo Uriz, D. Geferino Galindo y D. Seraíin Ockoa. CADIZ ; EN LA IMPRENTA NACIONAL.</t>
  </si>
  <si>
    <t>Lagerbrin</t>
  </si>
  <si>
    <t>…l dia siguiente. En el Haya hubo también riñas sangrientas entre los conscriptos y los franceses. Quartel general de Stralsund 5 de junio. Las tropas suecas, mandadas por el mayor general Lagerbrin, abando naron á Hamburgo el 26 de mayo por la mañana, por haberse sabido que el presidente Kaas , dinamarqués, después de su llegada al quartel, general francés de Harburgo, habia convenido secretamente con el comandante francés en atacar y guarnecer á Hambur…</t>
  </si>
  <si>
    <t>Lagerbring</t>
  </si>
  <si>
    <t>…esertor que acaba ea este momento de llegar de L ips!ek re fiere que e' duque de Dalmicia ha sido batido de nuevo en ertitorio france* por el marques Wellmgton. rLa enfermedad del general Lagerbring, gefe d i estado mayor del exército su.-ce, priva de sus servicios por algún tiempo á es.e exército. El general Sparre le substituye , y cumplirá su com sion cuarto se lo permitan las demas ocupaciones que tiene. Ei príncipe Cár’os de Mecklemburgo Schwerin ha…</t>
  </si>
  <si>
    <t>Lagranderechos</t>
  </si>
  <si>
    <t>…an El Reí de Achem, en la isla de Sumatra ^ ha llegado ademas por Duben 4© hombres para guar formado una marina, y se sirve de ella para exigir necer la plaza. Su gobernador es el general Lagranderechos en los puertos de la costa occidental de. ge. Los ingenieros han construido una cabeza de la isla, de donde se exporta la pimienta. Hemos puente, y trabajan con la mayor actividad en for •-tenido que pagar el rescate de un navio america tificarla. no á este a…</t>
  </si>
  <si>
    <t>Laguna, Gil Antonio</t>
  </si>
  <si>
    <t>Gil Antonio Laguna</t>
  </si>
  <si>
    <t>…sa , substituto segundo. QUARTEL DEL BARQUILLO. Barrio de S. Antón. QUARTEL DE SAN* ISIDRO. Barrio de Mira el Rio. D- Josef Miñones, alcalde. D. Pedro Garrido, substituto primero. D. Gil Antonio Laguna, alcalde. D. Francisco González, substituto primero. D. Ratael Guiri, substituto segundo. D. Josef Llorca , substituto segundo. Barrí) de Gu traías Españolas. Barrio de la Hu rta del Bayo. D. Pedro Petez, alcalde. D. Felipe Santintregui, alcalde. D. Pedro del…</t>
  </si>
  <si>
    <t>Lahorie</t>
  </si>
  <si>
    <t>…tar á los ciudadanos ó habitantes á dente, propuso Jas cuestiones siguientes: que tomasen las armas contra la autoridad imperial. El llamado Claudio Francisco Malet, acusado Al ex-general Lahorie culpable de complicidad criminalmente por perturbador de la tranquilidad con el ex-general Maler, unánimemente; inrérior del Estado, y de un atentado cuyo fin Al ex-general Guidal culpable de complicidad era destruir el gobierno, el orden de sucesión al con e…</t>
  </si>
  <si>
    <t>Laíkow</t>
  </si>
  <si>
    <t>…o de exército llegó S. M. el Sr. D. Carlos iv tuvo á bien exónerarel dia 26 delante de Picktiiponen, donde encontró le en 1792 dél ministerio que exercia, v nombrar en posición al general Laíkow; el general Kutu- le gobernador del supremo consejo de Indias, car suw la liabia tomado también en Tilsit sobreda go que desempeñó hasta su supresión , á cuya épo izquierda del Niemen, y el general Dieditch esta ca, acéiiSíéndó el Rei nuestro Señor á sus dila…</t>
  </si>
  <si>
    <t>Lailave, Pablo</t>
  </si>
  <si>
    <t>Pablo Lailave</t>
  </si>
  <si>
    <t>…mírez y D. Martin de Navas: por el secular á D. Miguel Moreno, D. Manuel Quinta na, D. Felipe Bauza, D. Manuel de Llano, D. Eugenio Tapia y D. Vicente »Sancho ; y para suplentes á D. Pablo Lailave por lo eclesiástico, y D. José Revollo y D. Juan Aeevedo por lo secular. —■ Lo tendrá entendido la Regencia del reyno para su cumplimiento, y lo hará imprimir, publicar y circular. = Florencio Castillo, pre sidente. = José Domingo Rus , diputado secretario. =…</t>
  </si>
  <si>
    <t>Lalinde, Pedro</t>
  </si>
  <si>
    <t>Pedro Lalinde</t>
  </si>
  <si>
    <t>13* de Roo, al subteniente de las expresadas milicias D. José de Can* gas, sargento primero veterano D. Pedro Lalinde, y cadetes D Jo sé Pirele y D, Francisco Farias; y compañ a y tenencia de milicia* disciplinadas al capitán y teniente de caballería de paisanos D Juan Roxas y D. Antonio Moro; gracia de sargentos primeros de milicias á los cabos de la expresada caballería de…</t>
  </si>
  <si>
    <t>Lallave, Pablo</t>
  </si>
  <si>
    <t>Pablo Lallave</t>
  </si>
  <si>
    <t>…ecle siástico; y por el secular á los señores D. Miguel Moreno, D. Manuel Quin tana, D. Felipe Bauzá, D. Manuel de Llano, D. Eugenio Tapia y D. Vi cente Sancho. Los suplentes son D. Pablo Lallave por lo eclesiástico , y Don Josef Revollo y D. Juan Acevedo por lo secular. El Mercurio Lusitano de 7 del corriente inserta una carta, cuyo conte nido, sacado de un periódico ingles , es digno de atención, ya por la nove dad de algunos particulares que nosotr…</t>
  </si>
  <si>
    <t>LallernafidÓiásta</t>
  </si>
  <si>
    <t>…o de la exactitud &lt;de las operaciones y del# síérehidád-ceneque sé éxéciit'aróii. ELgérferialLoison rechazó al ’énemigo ton lá' divisiéh fde Eecheñ*V la tbreera yda cábajfefíá deh general LallernafidÓiásta el puffite de Béthergérdof; y llego' L tiempd •de libertarle del fuego que el enemigó había empázadó á^poiier: inmediata mente tomó ¿1; camino de Wittemberg á Camin , donde se -posicionó. La qtiinta división se retiñió al príncipe en la noche del 21 para el 2…</t>
  </si>
  <si>
    <t>Lam</t>
  </si>
  <si>
    <t>…ki, quien á marfchas forzadas habia venido de Berezina para posesionarse de ellos. La resistencia del enemigo filé porfiada, y el combate largo y empeñado ; pero V. M. tiene en el conde Lam ber! un general activo , diestro, lleno de valor, y capaz de superar toda especie de dificultades. Este, pues, conociendo toda la venta ja de esta situación, en la cual el enemigo habia reunido todas sus fuerzas con el objeto de mantenerla, resolvió tomarla,…</t>
  </si>
  <si>
    <t>Lamarqne</t>
  </si>
  <si>
    <t>…. reservados sus derechos al premio. Ha habido muchos concurrentes al premio por Exército de Cataluña. la fabricación del azúcar de remolachas. Este ramo Extracto de una carta del general Lamarqne, de industria está en un estado mui floreciente, y es comandante de la alta Cataluña, al ministra fliui halagüeño para la sociedad e! haberle dado el de la Guerra. primer impulso, y ofrecido ia primera recompensa á Gerona ap de noviembre de t8rsi. „Arens los…</t>
  </si>
  <si>
    <t>Lamarque</t>
  </si>
  <si>
    <t>…hacer mas con mente, como en efecto lo hizo, saliendo al amane tinua mi correspondencia con V. E. 1 cer del dia 14 de Cardedeu, y llegando en la tarde ,,Con este designio mandé al general Lamarque del mismo dia á S. Andrés. Añadí á las tropas del que enviara á S. Celoni el convoi destinado á Bar general Devaux el regimiento 79.“, para perder to celona, escoltándolo 3*2) hombres, y tomando las do rezelo, y aumentar las fuerzas que había dexado disposici…</t>
  </si>
  <si>
    <t>…alcoba mas có moda que la suya, y añadía: „Tengo cerrojos por En los primeros dias de febrero hizo un movi dentro, y las mejores proporciones para recibir miento sobre la costa el general Lamarque con sus compañero quando Je deseo." Mas de una vez me tropas, y llegó hasta Mataró para encontrar el conha dicho: „ Éstoi maravillada de cómo os contentáis voi que venia de Barcelona con el general en gefe. con sir John solo.” También me ha declarado que Desp…</t>
  </si>
  <si>
    <t>'349 Idem del . Según noticias de Edimburgo el lord Walpole estaba para embarcarse inmediatamente en Leith para ¡r al Norte con una comisión política; ESPAÑA. El general Lamarque* gobernador actual de Lérida, creyendo sacar ven tajas de la circunstancia de ¿star la;infantería de la brigada volante del man do del señor coronel Decreeft, comandante general de caballería de este exército, empleada en varías comisiones, envió en la tarde…</t>
  </si>
  <si>
    <t>…buirá á exatar mas y mas vuestro acrisolado patriotismo. Cuartel general de Vich 27 de Julio de 1813. =k Francisco de Copons y Navia. Id. 5 de Agosto. Primer exircito nacional» E1 general Lamarque, gobernador aetual de Lérida, creyendo sacar ventajas de la circunstancia de es tar la infantéría de la brigada volante del mando del coronel Decreeft, comandante general de caballería de este exército, em pleada en varias comisiones, envió en la tarde del 27…</t>
  </si>
  <si>
    <t>Lamas, Gregorio</t>
  </si>
  <si>
    <t>Gregorio Lamas</t>
  </si>
  <si>
    <t>…chaustegnl, 1 id. D. Francisco Montes, I id. D. Sebastian Compare!, 1 id. D. A i tordo D: ñho, 1 i i. D. Francisco Ambrosi, 1 id¿ La archicofradíade Ntra, Sra. del Rosario, 10 id. D. Gregorio Lamas, 12 id. Son 379 hambres á razón de 192 ps. fs. al año por cada uno. Hacen 72768 ps. fs —D. Alberto Camino , al mes 8 ps. por ua sño, 96. D. Bero?rd no G rdíl-o, id. por 4,4S. D. Cayetano D lis y Rubio, id..por 4 48 D Domingo I*erez, id. por 10, 120. D. Femand…</t>
  </si>
  <si>
    <t>Lamberr</t>
  </si>
  <si>
    <t>…do nueve hombres muer — El señor general de caballería conde de VVrede tos y 2 j heridos, y la Java 6o muertos y ioi he llegó ayer á esta ciudad. ridos, entre quienes se cuenta su capitán Lamberr, Kuremberg 28 de marzo. oficial mui distinguido, y cuyas heridas 'fueron mortales. Las últimas noticias de Lcipsick, que llegan &gt;, El comandante Bainbridge ha puesto en li hasta el 25 del corriente, nada nos dicen de suce bertad baxo su palabra á todos k&gt;s of…</t>
  </si>
  <si>
    <t>Lambert</t>
  </si>
  <si>
    <t>…nen insertos los últimos oficios que había re cibido aquella corte del embaxador de S. M. B. en Petersburgo, y alcanzan hasta el 7 del anterior. En ellos se refiere que el general conde Lambert derrotó el 21 de Noviembre en Borisoff el cuerpo de Dombrowsby, cogiendo 6 cañones, 2 banderas y 5000 prisioneras, y ademas ©tros 2 cañones , y de 2 á 3000 prisioneros en Kaidanoíf. El conde Wittgenstein iba persiguiendo á Víctor y Oudinot¿ ha-</t>
  </si>
  <si>
    <t>…artel general del almirante TchítchagoíF no es taba á grande distancia; pero no ha llegado noticia de la distribu ción y movimientos de este cuerpo desde la acción ocurrida con el conde Lambert. Sin embargo el conde Wittgenstein da á entender en su ultimo, parte que contaba con la cooperación del almirante y del conde Platow. „El general Millaradovitch había llegado á BorisoS' á la salida de los últimos partes que se han recibido. ,,Ei Cuartel gener…</t>
  </si>
  <si>
    <t>…erechura pliegos á Petersburgo para participar á Y. M. cuanto ha sucedido después de mi último parte. Él día siguiente al de mi Hel gada á Minsk reforcé rrd vanguardia, y mandé al general Lambert que se dirigiese hacia Borisow, el cual en la madrugada del 21 de Noviembre atacó los reductos que ocupaba la retaguardia del geneval Dombrowski, quien á marfchas forzadas habia venido de Berezina para posesionarse de ellos. La resistencia del enemigo filé po…</t>
  </si>
  <si>
    <t>…e N.ey y Mortier seguían á Oudinot. Dombrowsky, que según parece había marchado desde Mohilow á Borisow para reunirse con Bonaparte, fue arrojado de aque lla posición el 23 por el general Lambert; aunque el 24 pretenden los franceses haber ganado una batalla á este general. El paso del Berezina en este punto era de la mayor importancia para Bonaparte; pero aquí se frustró también su esperanza, como poco tiempo antes, cuando pensó apoderarse de Toula y…</t>
  </si>
  <si>
    <t>…rck tG de febrero.apresado la fragata de S. M. británica la Java , de 49 cañones , con mas de 400 hombres á bordo, y El teniente Wendell, que ha salido de Búllalo comandada por el capitán Lambert, oficial mui la semana pasada, dice que antes de su salida había distinguido. El combate ha durado una hora y 5 5 llegado allí del exército de Harrison el mayor St6dminutos, y en él ha sido completamente desmante dar, quien dio la noticia de que había habido…</t>
  </si>
  <si>
    <t>Lámele, Dego</t>
  </si>
  <si>
    <t>Dego Lámele</t>
  </si>
  <si>
    <t>…a en el veterano de Maracaybo á su capitán agre gado D * *, primer ayudante del gefe de la división, cuyo nombre se ha preguntado por haberlo omitido en la mencionada propuesta. A D. Dego Lámele, subteniente del euerpo de artillería nacional, agregación de teniente en el mismo. Igual agregación de tenientes en el batallón veterano de Maracaybo á sus subter^ ' tes de granade ros y fusileros, D. Lorenzo de Cangas y D. Miguel Delgado , y al te niente de…</t>
  </si>
  <si>
    <t>Lamerte</t>
  </si>
  <si>
    <t>…allí deberán reunirse, des dcsc-ch..Qos; pero corren voces de que serán nom pués de executadas las órdenes que se darán por el brad s i'.u.'t aloca de! duque de...... lo que esta general Lamerte, y á las quales os conformareis, mos JU'.'i distante de creer. ayudándolas con todo vuestro poder. „ riu la oro ei’:«- se ion es de esperar que la ,, Luego que se hallen executadas estas órdenes oposición se proponga sembrar la discordia antre pasareis á la p…</t>
  </si>
  <si>
    <t>Lamotte</t>
  </si>
  <si>
    <t>…o, me (Aquí se halla impreso un sello redondo con' la dixo , y añadió en latín: n Dicen que e! Emperador letra L.) «ha sido muerto delante de los muros de Moskow.” P. D. «El señor general Lamotte os entregará j* ; Quién os lo ha dicho?__ Estas gentes, de un harébueno de tooá&gt; francos, destinados á pagar signándome los oficiales y soldados que se hallaban el alto sueldo concedido á los soldados, y el doble al rededor de él. sueldo de los oficiales. Tom…</t>
  </si>
  <si>
    <t>…1 f 00 hombres é hicieron otros tantos prisioneros. Estas tropas'jpertenecian al cuer po mandado por Arrighi , conocido con el nombre ae duque de Padua, eí que envió al momento al general Lamotte para' anunciar él armisticio á los generales rusos, que respondieron que ínterin no seles notificase por sus pro pios gefes, no se sujetaban á la suspensión de armas. Publicóse después de ofi cio el armisticio, y estos dos valientes generales se vieron obliga…</t>
  </si>
  <si>
    <t>Lanceros</t>
  </si>
  <si>
    <t>…abroso; pero generalmente hablando es abierto y á pro pos‘to pira todas las armas. Las di.ü'.rOsLiones de ataque del exércit^ **-. h se hicieron del «modo siguiente: El cuerpo del general Lanceros debía atacar y temar á Freyroda, y en seguidit á Radefeld, teniendo por reserva el cuerpo del ge neral Sachen. El cuerpo de txército del general D’York tenia orden de ir á lo largo del camino red que conduce á Leipsick hasta llegar al lugar de Sitzchera, y en…</t>
  </si>
  <si>
    <t>Lancha, Ramón</t>
  </si>
  <si>
    <t>Ramón Lancha</t>
  </si>
  <si>
    <t>…ro. Barrio de las Niñas de Monttrri. D. Francisco Monteagudo, substituto segundo. D. Agustín Tavira, alcaide. D. Alfonso Luceño, substituto primero. Barrio de la pinza de S. Juan. D. Ramón Lancha alcalde. D. Domingo Cabezón, substituto segundo. Barrio de Monserrat, D. Juan .Adan, substituto primero. D. Félix Montexo, substituto segundo. D. Miguel Parte-arroyo, alcalde. Barrio del Hospital General. D. F rancisco Oliva, substituto primero. D. Josef Mart…</t>
  </si>
  <si>
    <t>Landa, Dámaso</t>
  </si>
  <si>
    <t>Dámaso Landa</t>
  </si>
  <si>
    <t>…guel Tartas , D. Manuel Baztan ¿ D. Agustín Oro, D. José Joaquín Ározatena, D. Domingo Chávame, D. Agustín Mora, D. Juan Cruz Larrondo, D. Fran cisco Peralta, D. Manuel Salaberri, D. Dámaso Landa, D. Atanasio Diez, D. Bartolomé Comas, D. Ildefonso Mayo, D» JVLguql Ormachea, D Joaquín Sánchez, D José Migueltorena D Diego Gayarre, D. Fermín San Martin,*O. José Arozarena, D. Angel Esca lada, D. Víctor Pastor, D. Francisco Boira , D. Nicolás Uroz, D. Fran…</t>
  </si>
  <si>
    <t>Landaiuce, Antonio</t>
  </si>
  <si>
    <t>Antonio Landaiuce</t>
  </si>
  <si>
    <t>…y salieron electos para alcaldes el conde de Morezuma y,D. Nicolás de Garro, marques de las Hormazas: para regido res conde de Sáceda, D. Ramón de Angulo, D. Joséf de Tejada Ruiz, D. Antonio Landaiuce, D. Josef Hernández Martínez , D. Santiago1 de las Rivas, D. Josef de las Barcenas, D Tomas Púertolas; y para procurador síndico general D. Josef Teodoro Santos. La Regencia del reino ha dispuesto que el literato ó inteligente que nece sitare ver alguno de lo…</t>
  </si>
  <si>
    <t>Landskoy</t>
  </si>
  <si>
    <t>…tacó 'al enemigo á-bayoneta cerca de Pouny,y le hizo 217 prisioneros. Habiendo después pasado el Niemen esta misma partida, ocupó la posición de Balberchick. Entre tanto el ma yor general Landskoy abrió el camino de Wilkovich , con el fin de establecer comunicación con las tropas del géneral Platow en Kalwary, y despejó de enemigos el territorio intermedio entre la fron tera y la línea señalada. En estas operaciones-hizo prisioneros 14 oficiales y 600…</t>
  </si>
  <si>
    <t>Langa</t>
  </si>
  <si>
    <t>…am refiere que en todas estas acciones las tropas españolas se han portado per fectamente bien. «La guarnición de Pasages, que consistía en 150 hombres, se rindió á las tropas del coronel Langa el dia 30. « El enemigo, viendo llegar al puerto de Deva algunos de nues tros buques, evacuó el fuerte y la villa de Guetaria el dia i.° de este , y la guarnición llegó por mar á S. Sebastian. También han eva cuado á Castro , y su guarnición se ha retirado po…</t>
  </si>
  <si>
    <t>…él valle siguieron &amp; Yasundo, y las tropas se reunieron en ViUafranca, adonde llegaron igual mente en el discurso de la tarde la cabeza del cuerpo del general Girón, y todo el del coronel Langa. „ A la mañana siguiente (del 25) evacuó el enemigo á Alegría, y como habla tomado una posición mui fuerte entre este pueblo y Tólosa, cubrien do el camino de Pamplona, el cuerpo español del coronel Longa marchó por Alz hácia Lizarza para envolver su izquierd…</t>
  </si>
  <si>
    <t>…me me había propuesto este mismo gefe; y en su consecuencia dispuse que el general Barcena con la primera brigada de su división marchase á ocupar los puntos de Vera y Lesaca. »El brigadier Langa noticioso en la mañana del mismo dia de que los enemigos se adelantaban ya sobre el puente de Yanci, des taco á ocuparlo tres compañías de que podia disponer en el momentó, y dio aviso al general Barcena para que concurriese á apoÍar su operación , según lo e…</t>
  </si>
  <si>
    <t>Langerbring</t>
  </si>
  <si>
    <t>…rotado por el general Hiller. Un desertor que llegó á Leipsick refiere que Soult ha sido batido nuevamente en el territorio francés por el marques de WaÜingtott. La enfermedad del general Langerbring, gefe del estado mayor dei exér cito sueco, ha privado al exército de sus servicios por algún tiempo. El ge neral Voii Sparre le reemplaza , y desempeñará sus funciones quanro se lo permítan sus demas ocupaciones. El principo Carlos de Mecklemburgo Schwerin h…</t>
  </si>
  <si>
    <t>Langercn</t>
  </si>
  <si>
    <t>…eron la completa des ruceion del enemigo. Toda la división de Puthod fué destruida delante de Lowenberg; cayó, con su general y todos los oficiales del estado mayor&gt; en po der del general Langercn; los que no fueron hechos prisioneros, se ahogaron en el Bober. Eí exército del mariscal Macdonald puede considerarse ya como aniquilado. Cuartel general de Toplitz g) de Setiembre de 18/y. La vanguardia del exército principal va ganando diadamente ter reno e…</t>
  </si>
  <si>
    <t>Langeron</t>
  </si>
  <si>
    <t>• PRUSIA. Berlín 27 de Abril. Rendida la plaza de Thorn , el cuerpo del conde Langeron, com. puesto de 15® hombres , podrá ya cooperar con las otras fuerzas empleadas en el sitio de Dantzick. Esta plaza está ya padeciendo todas las calamidades de un largo sitio: escasean en sumo grado las &lt;íarnes, los medicamentos, y aun el agua: la mortandad e…</t>
  </si>
  <si>
    <t>…de los quales quedan .aquí 4® para vestirse. Todas estas tropas son alemanas, y están á sueldo de la Inglaterra. * * » / Berlin de abril. —Rendida la plaza dé Thorn, el cuerpo del conde Langeron, compuesto . de 15® hombres, podrá ya cooperar con las otras fuerzas empleadas en el si tio de Dantzick. Esta plaza está ya padeciendo todas las calamidades de 1111 largo sitio': escasean en sumo grado las carnes, Iqs medicamentos, y aun el . agua: la mortand…</t>
  </si>
  <si>
    <t>…ba de la mejor salud. Todas las operaciones militares que se han ejecutado des^ de la abertura de la campaña naip si.do eq nuestro favor.,£0$ prusianos y ru^ sos baxo el mando del general Langeron han sido batidos completamente» Pronto recibiremos un boletín oficial. - Por, otra parte Davoust toqui posesión de Sch^erin , plaza importante y capital del Mecklemburgo, ,Eo fin es probable, que nuestras tropas .entren ctt - ^ T ■',&gt; , ,J t, váP^liri el gj d…</t>
  </si>
  <si>
    <t>…parados tambor batiente, con sus armas y bagsges. Entre los prisioneros hay bastantes artilleros y olida les italianos. PRUSIA. Berlín 6 de Setiembre. Según el parte de oficio del general Langeron, ía pérdida de! enemigo en ia batalla del 29 del mes último en Piagwkz 'en Silesia, consi te en el general de división Pulhod, mas de 100 oficiales, 3® soldada*, 2 águilas, 16 piezas de artillería, y todos ios carros y ba~ gages. El general austríaco príncipe…</t>
  </si>
  <si>
    <t>Langerón</t>
  </si>
  <si>
    <t>…dispersos: la crecida de las aguas del Bober impidió únicamente la completa destrucción del enemigo. Toda Ja división de Puthod fue destruida junto á Lowemberg: cayó en manos del general Langerón con su general y todos los oficiales de su estado mayor: Jos que no quedaron prisioneros se ahogaron en el Bober. Se puede considerar como aniquilado el exército del.mariscal MacdonaldQuartel general de Toplitz $ de setiembre de 1813. Las avanzadas del exérci…</t>
  </si>
  <si>
    <t>…,fuerte cañoneo y algunas cargas brillantes que hizo la caballe ría dei geneial Wi: zingerode. fueren de este lado los acontecimien tos notables de la jomada, excepto al ña que el general Langeron, que había pasado el rio, atacó la aldea de Schonfeld, donde experi mentó tanta resistencia, que por el pronto n© pudo tomarla: se apo deró sin embargo de eha; pero fue echado de allí. El general Blucher dio las órdenes mas positivas de volver á tomarla á la…</t>
  </si>
  <si>
    <t>…uego de canon y algunas cargas brillantes que dio la caballería del general Winzingerode fueron por esta parte los sucesos de este dia; pe ro á la tarde, habiendo pasado el rio el general Langeron, atacó la aldea de Schonfeldt, donde halló una grande resistencia, y al principio no pudo rom per el paso: por fin lo consiguió, pero fue desalojado; y entonces el gene ral Blucher le envió las órdenes mas terminantes para que la recobrase i la bayoneta; lo q…</t>
  </si>
  <si>
    <t>…eral Blucher en que el exército del norte de Alemania marchase á Taucha para unirse por la izquierda con e! exército del general Bennigsen, y que el cuerpo de exército del general conde Langeron operase aquel dia á las órdenes de S. A. R. Pocos momentos después se oyó algún fuego de artillería por el lado del exército de Bohemia, y las tropas marcharon con el objeto de pasar el Partha. El cuerpo del general Bulow y la caballería del general Winzinger…</t>
  </si>
  <si>
    <t>…su pérdida. Los cohe tes produxeron el mas decidido efecto. Entre tanto el enemigo hizo desfilar por su izquierda desde Leipsick un cuerpo numeroso j t]ue marchó contra el general conde Langeron. Este ge neral, que manifestó con sus tropas el mayor valor en la toma de la aidea de Shoufeld , creyó necesario proteger ai general conde St. Priest, que no tenia artillería. Veinte cañones suecos, mandados por el general Ofcrdell, llegaron prontamente. Se a…</t>
  </si>
  <si>
    <t>Langford</t>
  </si>
  <si>
    <t>…. Gordón, Mr. Lámbe y Mr. Morier salieron en seguimiento de su señoría á las quatro y media. El ilustre conde debe hallarse hoi en Yarmouth, y partir de allí en la fragata CydnuSj capitán Langford. La fragata salía el 10 de P*limouth. Del ir. Las cartas de la América habían en los términos mas enérgicos de la mi seria causada por la guerra , y de lo mucho que pierden en la opinión del público las medidas tomadas por el presidente Maddisson. Una de ella…</t>
  </si>
  <si>
    <t>Lanskoy</t>
  </si>
  <si>
    <t>…timo pueblo, „E1 almirante-Tchichagoff'ha perseguido al enemigo en direc ción de Gh-ezno, despejando al mismo tiempo las dos orillas del rio con varios destamentos: entre tanto el general Lanskoy con parte de</t>
  </si>
  <si>
    <t>…s de un riachuelo: le desalojó de este puesto, matándole cerca de 1© hombres, y cogiendo 500 prisioneros, i—Un cosaco aprisionado era por tador de la orden adjunta, enviada por el general Lanskoy pata que se que masen las carretas de la retaguardia rusa. Ochocientas de estas y gran canti dad de bagages fueron quemadas en efecto, y cayeron en nuestro poder 20 cañones, después de haber sido cortadas y perseguidas muchas cólunas de cosacos. _ El virei en…</t>
  </si>
  <si>
    <t>Lanskuy</t>
  </si>
  <si>
    <t>…persiguió el almirante TchichagoíF sin interrupción . consiguiendo repetidos triunfos , y los franceses se retiraron hácia Wdua per Pietcbeimza, Molodetschno y Smorgonia. El mayor general Lanskuy , que había «ido destacado el 26 de Noviembre por FouricíFá Pletchemtza, des pués de haber andado 12 millas por caminos de travesía , encontró el 29 por la mañana la vanguardia dei enemigo en aquel pueblo, donde estaba preparando cuarteles para el emperador N…</t>
  </si>
  <si>
    <t>Laogeronne</t>
  </si>
  <si>
    <t>…antzick consta de 15 á 16000 hombres , la mayor fsrrte de la guarnición de Riga, á las órdenes del general Lewis : delante de Thorri hay otro cuerpo de 10000 hom bres al mando ¿el general Laogeronne. Fxtracto de una carta da las inmediaciones de Dantzick, fecha á Ifi de Marzo. Estamos sumamente satisfechos de la disciplina y humana con ducía del exército sitiador, al que hemos debido la subsistencia en los últimos ocho dias.</t>
  </si>
  <si>
    <t>Lapedreza, Francisco</t>
  </si>
  <si>
    <t>Francisco Lapedreza</t>
  </si>
  <si>
    <t>…il y D. Vicente López, sub tenientes del segundo de granaderos del de voluntarios de Asturias; D. José María Ocampo, subteniente del de Santiago; D. Pedro Oloris, sargento mayor ; D. Francisco Lapedreza , D. José Salama , Don -Gerónimo Londoño, D. Juan del Rio y D. Francisco Mediaviila, tenientes; D. Francisco Solimi, D. Marcelo Ortiz y D. Francisco Salvador , subtenientes del primero cántabro; D. Silvestre Hidalgo, teniente coronel; D. Bernardo Alvarez, D.…</t>
  </si>
  <si>
    <t>Laplace</t>
  </si>
  <si>
    <t>…pacificador del con que tenia de su carácter*}' de su. grandeza. tinente. — Vi»to y se¡Udo=el canciller del sena „ Mi alma se siente oprimida al ver aun'léjana do. =:Fitmaclo = el conde Laplace. s=-El presidente la dichosa paz que únicamente puede darme con y. secretarios. = Firma Jo — Cambaceres.se El conde tento. El Emperador está vivamente -afligido de los de Lappuri.su. Latour-Maabourg.” numerosos sacrificios que se ve obligado á .exigir de Hoi…</t>
  </si>
  <si>
    <t>…llama conde ae Lnpparent. = Latour-Maubourg. = Visto miento de la guardia nacional. y sellado. = hl canciller del senado. = Firmado= 10. Se ponen á disposición del ministro de la conde Laplace. Guerra para la recluta del exército y para la for „ Mandamos y ordenamos que se envien las mación del de reserva 8o© hombres del primer presentes, selladas con los sellos del estado , é in llamamiento de la guardia nacional de la conscridon sertas en el bole…</t>
  </si>
  <si>
    <t>Laplace.-seEl</t>
  </si>
  <si>
    <t>…s escogidos por suer ,, V. M.,,al separarse de nosotros, dexa á su te. Visto y sellado. s= El canciller dcl senadp. eeFir augusta esposa la regencia de su imperio ; la Fran mado = conde Laplace.-seEl presidente -y secreta cia verá en esta disposición un nuevo testimonio rios. =FirmadocsCambaceres.=: El conde de Lappadel afecto de V. M. á sus pueblos , un beneficio rent. Latour-Maubourg. que jamas olvidará, y un premio de este zelo y de La Emperatriz ha re…</t>
  </si>
  <si>
    <t>Laplane</t>
  </si>
  <si>
    <t>…con 3©'hombres, y man general Campredon, comandante de ingenieros, y dada por el general Fornier de Alba. al general Lepiu, comandante de la artillería, se G/ogau, mandada por el general Laplane y el mantiene en la plaza de Dantzick con una guarni de ingenieros Dode, y defendida por 60 hombres. ción que pasa de 30© hombres, provisiones de pan Spandan, á las órdenes del general Brur.y, tie para 810 dias, de carne y de otros artículos para ne una guarn…</t>
  </si>
  <si>
    <t>Lapoype</t>
  </si>
  <si>
    <t>…ellos. El virei salió de Leipsick, y el dia 21 puso su El príncipe de Moskowa llegó el 26 á Wurztquartel general en Magdeburgo. burgo con su quartel general y su cuerpo de exér El general Lapoype mandaba el puente y ¡a cito ; la vanguardia estaba ya pasando las montañas plaza de VVirremberg, que se hallaba bien guarne- de la Thuringia. necida y con víveres para muchos meses. Luego El dia 22 pasó el duque de Ragusa su quartel que el virei llegó á Magde…</t>
  </si>
  <si>
    <t>Lapoypé</t>
  </si>
  <si>
    <t>…reconocer la cabeza de puente jumo á Wittemberg, y baxo el mismo canon de la plaza cogió un cuerpo avanzado y un correo con varias cartas. En|;re¡estas hai algunas del gobernador general Lapoypé , dirigidas al mariscal Ney duque de Elchingen, al duque de Reggio y á los generales Regnieiv, Narbonne y Margaron. El contenido demuestra que no solo desertan diariamente los soldados de esta débil guarnición, ,sino también ios sargentos y oficiales. Ei gene…</t>
  </si>
  <si>
    <t>t-jZÓQ á una avanzada y tm correo que llevaba algunas cartas. Entre es tas hay varias del gobernador general Lapoype, dirigidas al maris cal Ney, duqce.de Elchingen ; ai deque de Reggio ; á los gene rales Regnier , Narbonne y Margaren; por su contenido se ve que ^ ■o solo los soldados , sino también los oficiales y sargentos de la débil guarnición de Wiitemberg desertaban d…</t>
  </si>
  <si>
    <t>Laquidaia, Martin Antonio</t>
  </si>
  <si>
    <t>Martin Antonio Laquidaia</t>
  </si>
  <si>
    <t>…Francisco Moñones , D. León Amedo, D. Manuel Mecolalde y D. Atanasio Mendivil: á tenientes á D. An drés Berrueta, D. Mariano Sauz, D. Juan Ignacio Noain, D. Fran cisco Azcarate , D. Martin Antonio Laquidaia , D Santos Ayerra, D. Tomas Ayerra, D Juan Esteban Alemán, D. León Mayo, D. Aniceto Unciti y D. Sebastian íso : á alféreces á D. Nicolás Sada, D. Lucas Munarriz, D. Francisco Ruiz , D. Cristóbal Pereti, D. Mariano Raqpedano, D. Mariano Amorós, D. Manuel Rodri…</t>
  </si>
  <si>
    <t>Lar, Luis</t>
  </si>
  <si>
    <t>Luis Lar</t>
  </si>
  <si>
    <t>…en los pedidos cqwl mayor moderación que antes» Berga l.° de Enero de 1815. Parte dd coronel D. José Manso, comandante dé la cuarta sección, dirigido al Excmó. Sr. general en gefe D. Luis Lar y. „Ex:cmo Sr: En vista de las instrucciones de Y. E. salí de esta con el batallón de cazadores de Cataluña y el de Barcelona, ayer á las 7 y media de la mañana para Mataré , con el objeto de ex traer los efectos pertenecientes á los vándalos, y sorprehender…</t>
  </si>
  <si>
    <t>Largeron</t>
  </si>
  <si>
    <t>…zinofF. ; ,.E1 general Wittgenstein participa desde la aldea de CheTai en £4 del corriente , que en este día estaba el almirante Tcbicbagcff en BorisefF; desde donde le informa el general Largeron en oficio del 22 , que el general conde I.ambert había derrotado el 21 eñ Boriscff todo el cuerpo de Dombrovísky , tomándole 6 cañones , 2 banderas y SOCO prisioneros , y habiéndole perseguido en el camino de Orsha : que ademas había cogido el conde i ambéit…</t>
  </si>
  <si>
    <t>Lariboissiere</t>
  </si>
  <si>
    <t>161 Bícese que el general, muerto en la batalla del 14 de Diciembre en Kowno, que Platow suponía ser Ney , era el general Lariboissiere , comandante de la artillería. — Aseguran que Murat ha perdido dos dedos de resultas de habérsele helado. Aunque se ha dicho que el rey de Prusia debía salir con 5000 hombres para Bresfau, parece no obstante cierto que Napoleón no ha querido dexarle marchar á…</t>
  </si>
  <si>
    <t>Láridas</t>
  </si>
  <si>
    <t>…la ciudad. A mi regreso fccasa de Mr..Hogendorp,bhre pidiócepte como un favor singular, que me presentase; en Rotterdam/cóm mi mnifómtei y .me* encargase de lle var una carta al; general Láridas. Cotivirie eaállo y y:á!las dos horas Uegué/á 'Rotterdam.? Es i inútil decir que sej repitióalli lá: escena» dej la Haya. El. aU ¿mirante Kikker, que por la mañana se había declarado ipor Orange Booven, me acompañó desde casa del general al muelle,^oyéndose á…</t>
  </si>
  <si>
    <t>Larraga, Vicente</t>
  </si>
  <si>
    <t>Vicente Larraga</t>
  </si>
  <si>
    <t>…ras, D Cele Io nio Lerruz, D. Juan Macáya, D, Luis A lamo, D Francisco íturralde, D. Miguel Ube’za , D. Xavier Mariotegni, D Fermín Adrián, D. Francisco Miranda, D. laucas Zubkta, D. Vicente Larraga, D. M ¿mano Onnaeckea, D. Victoriano Iribarren , D. Juan José Tercero, D. Ignacio Lasa, I), Tomas Faudiño, 1). Gregorio .Eche» garay, D. A n Ionio Arzola, D. Jacinto O na , D José Vinegra, D. Santos Besga , D. Joaquín Ruiz, D. Ma uel Clemente, D. Ra món Marañ…</t>
  </si>
  <si>
    <t>Larrañ, Pedro</t>
  </si>
  <si>
    <t>Pedro Larrañ</t>
  </si>
  <si>
    <t>…50. D Andrés Sánchez Quiroz , 50. D. Antonio Bbras, 50. D Francisco Nnaez, 50. D. Manuel Odrinsola, 50 D. Fulg í c o Z avala, 50. D. Vicente Aborta, 50. D. Francisco Sagasti, 50. D. Pedro Larrañ ga, 25 D. Julián Psraz, 25 O. José Osorio, 25. D. Miguel Jáaregui, 25. D Juan Mella, 95 O. Alonso Ronero, 25. 13 Domingo Ufqu’jo. 25 1). José Oétolasa, 25. D. Fran cisco Muían Rodrí guez , 25. D Manuel Julián G rájales, 20. D. D «mingo Car dan , 20. í). Juan…</t>
  </si>
  <si>
    <t>Larraraendi, José María</t>
  </si>
  <si>
    <t>José María Larraraendi</t>
  </si>
  <si>
    <t>…n de V. S. ios de igual clase D. Mariano Antesana y D. Venancio B 2*1 ávidos , mi ayudaste de órdenes capí* tan graduado D. Casimiro Hoyos, 0. José B^r mudez, vista de esa aduana, D. José María Larraraendi, e*l sargento de primera clase del real de Lima Ildefonso Cadenas, los soldados retirados del tico de Buenos-Ayres Félix Quintana y Manuel Nuñez, y D. José Pe* risena, vecino de Salta. , , „ En la acción murió D. Juan Jesé Lczama, vecino de calma* cion de «di…</t>
  </si>
  <si>
    <t>Larrazabal</t>
  </si>
  <si>
    <t>…alieron electos i.° el Sr. Espiga , europeo: 2.° el Sr^Mendipla., americano: 3,°jel Sr. Creus, europeo: 4.°;el Sr.;Olmedo, americana: 5.? D. Josef Teodoro Santos, eu ropeo: 6.° el Sr. Larrazabal ,' de ultraoTar; y debiendo; decidir la suerte la elección del 7;° diputado entre..un europeo y oti’o de ultramar, se procedió á verificarla entre el Sr. O-Gavan , americano, y el Sr. marques de Espeja, europeo: fue electo este,ultimo. Los Sres. Cévallos, eur…</t>
  </si>
  <si>
    <t>Larrazabal, Antonio</t>
  </si>
  <si>
    <t>Antonio Larrazabal</t>
  </si>
  <si>
    <t>…o Mtndiola, que lo es por la rovincia de Queiétaro; D. Jayme de Creux , por la de Cataluña; &gt;. José Joaquín Olmedo, por la de Guayaquil; D. José TeodoroS Santos, por la de Madrid; D. Antonio Larrazabal, por la de Gua temala; el marques de Espeja, por la dé Salamanca: y en clase de suplentes á D. José Cevallos, diputado por la provincia de Córdoba;</t>
  </si>
  <si>
    <t>Larreta, Matías de</t>
  </si>
  <si>
    <t>Matías de Larreta</t>
  </si>
  <si>
    <t>…id. D Francisco Valles, 2 id D. Francisco Ba llesteros, 1 id. D. Gregorio Fernandez* 1 id D. Julián García Mon_terroso, 1 id. D. Julián Perez, 2 id. D. Lorenzo de Arguiano, 1 id. D. Matías de Larreta, 3 id D. Manuel délos H¿ros, 2 id. D. Ma nuel déla Torre, 1 id. D. Manuel Garbea y Bulillo, 2 id. D. Ma nuel de Aramburu, í id. D. Miguel de Ezcurra, 1 id. D. Ramo* Martínez de Bartolomé, 1 id. D. Santiago Cachonfajro, 1 id. D. Tir so Estevanez, 1 id. D. Fran…</t>
  </si>
  <si>
    <t>Larrondo, Juan Cruz</t>
  </si>
  <si>
    <t>Juan Cruz Larrondo</t>
  </si>
  <si>
    <t>…D; Joaquín Mendiando , Don Pedro Oses* D José María Subirán , D. Miguel Tartas , D. Manuel Baztan ¿ D. Agustín Oro, D. José Joaquín Ározatena, D. Domingo Chávame, D. Agustín Mora, D. Juan Cruz Larrondo, D. Fran cisco Peralta, D. Manuel Salaberri, D. Dámaso Landa, D. Atanasio Diez, D. Bartolomé Comas, D. Ildefonso Mayo, D» JVLguql Ormachea, D Joaquín Sánchez, D José Migueltorena D Diego Gayarre, D. Fermín San Martin,*O. José Arozarena, D. Angel Esca lada, D.…</t>
  </si>
  <si>
    <t>Larruir.bide, JoserAntonio</t>
  </si>
  <si>
    <t>JoserAntonio Larruir.bide</t>
  </si>
  <si>
    <t>…mbre de 1813*=: Josef de Limonta. =: Señor gefe político dé la provincia de Madrid. Los individuos nombrados para las actuales Cortes por la provincia de Guipúzcoa son los señores D. JoserAntonio Larruir.bide, fiscabque fue .de la audiencia de Zaragoza, y D. Santiago Aranguren, conde de Montarron en propiedad; y por suplente D. Pedro dé^Vengoa, arcediano de Náxera y canónigo,de, la,santa iglesia de Calahorra. * ; En el oficio del Sr: D.; Carlos España pasado á est…</t>
  </si>
  <si>
    <t>Larrumbide, José Antonio de</t>
  </si>
  <si>
    <t>José Antonio de Larrumbide</t>
  </si>
  <si>
    <t>…y dispondréis lo necesario á su cumplimiento. —• Pedro de Agar, presidente. —Joa jum B ¿ke, ausente con licencia de las Cortes.—Gabriel Ciscar.— En Cádiz á 24 de Julio de 1811.— A D. José Antonio de Larrumbide, Segundo. D. Fernando vii , por la gracia de Dios , rey de España y do las l idias, y en su ausencia y cautividad el consejo de Regencia, autorizado interinamente, á toaos ios que las presentes vieren y en tendieren , sabed: Que en las Cortes generales y extr…</t>
  </si>
  <si>
    <t>Lasa, Ignacio</t>
  </si>
  <si>
    <t>Ignacio Lasa</t>
  </si>
  <si>
    <t>…l Ube’za , D. Xavier Mariotegni, D Fermín Adrián, D. Francisco Miranda, D. laucas Zubkta, D. Vicente Larraga, D. M ¿mano Onnaeckea, D. Victoriano Iribarren , D. Juan José Tercero, D. Ignacio Lasa, I), Tomas Faudiño, 1). Gregorio .Eche» garay, D. A n Ionio Arzola, D. Jacinto O na , D José Vinegra, D. Santos Besga , D. Joaquín Ruiz, D. Ma uel Clemente, D. Ra món Marañon , D. José Albumes, D. José Luizaain , D. Francisca Ardaiz, D. José Díaz, D Antonio A…</t>
  </si>
  <si>
    <t>Laseher</t>
  </si>
  <si>
    <t>…art, juez de primera Segovta 29 de maree. Instancia en esta viiia, há señalado ei jueves S de este mes en su audiencia, á la hora de la una de su tarde, Noticioso el.señor general conde Laseher, co para el remate de una casa sita en la calle de las Hile mandante de la caballería de la división española, ras de esta corte, distinguida con el número u déla que el gefe de partida Diego de la Fuente, llama manzana 390, que tiene de sitio $748! pies de s…</t>
  </si>
  <si>
    <t>Laso, Antonio</t>
  </si>
  <si>
    <t>Antonio Laso</t>
  </si>
  <si>
    <t>…D. Juan Francisco Guelbenzu , D. Joaquín Diez, D. Do mingo Zaídna, D. José Buesa, D. Antonio Gastón, D. Tomas Otochoreua , D. Antonio Alvarez , D. Manuel Sesé , D Martin Martínez, D. Antonio Laso y D. José Moriones: á subtenientes de granade ros y cazadores á D. Fermín Izu , D Sebastian Echarte , D. Mariano Oliver, D Dionisio Antoñana, D. Antonio Andia, D. Eusebio Oraá , D Mariano Gayarte , D. Faustino Irigoyen , D. Antonio Ladrón, D. Antonio Zabalza, D. Felipe Vicuña,…</t>
  </si>
  <si>
    <t>Lastarvia, M'guel</t>
  </si>
  <si>
    <t>M'guel Lastarvia</t>
  </si>
  <si>
    <t>…los Exeinos. Sres. D. Francheo vos en el servicio de las tropas ligeras. Su exercicio Xavier Castaños y marques de Monsalud , y el ordinario será aprender bien el manejo de sus ar Sr. D. M'guel Lastarvia , gefie político. El ór. Cas mas. No harán servicio interior en las guarnicio taños dixo muchas gracias alusivas a manirest.tr su nes , como el de centinela Scc., si no fuese para la dictamen liberal sobre la limeña en cuestión •. el seguridad del batallón ó…</t>
  </si>
  <si>
    <t>Latidas, Sweerts de</t>
  </si>
  <si>
    <t>Sweerts de Latidas</t>
  </si>
  <si>
    <t>…, en'todas par tes. Dicen los habitantes que antes querrían morir que sujetarse á ellos.” HOLANDA. Quartelgeneral de Rotterdam ¡25 de. noviembre. Ayer llegó á Rotterdam el general barón Sweerts de Latidas, y ocupó á Chapeile é Isseimonde: entonces se retiraron los franceses que habían lle gado á Dordreet, y evacuaron la ciudad, retrocediendo á Gorcum. Quartel general de Ley den 2-j de noviembre. El general Jorigh marchó ayer sobre Ley den, donde sentó su quart…</t>
  </si>
  <si>
    <t>Latnbert</t>
  </si>
  <si>
    <t>…ace grandes elogios pasado en el teatro de Covent-garden, manifes de la tripulación inglesa de la Java y de su valor, tó el público de un modo bien claro su modo de sobre todo del capitán Latnbert, que, dice, mandó pensar sobre la familia real. En una de las es quando le basaban al entrepuente no arriar bande cenas burlescas de esta comedia Foresight pre ra hasta que no quedase un palo sano. El capitán gunta á Valentina : Dime algo de lo que pasa, en L…</t>
  </si>
  <si>
    <t>Latofre</t>
  </si>
  <si>
    <t>…e obligaron a.huir, ynsefugiaise á la alta montaña de Larrtíñi dóftáe pusieron nueva y tenaz resistencia, ¡que venció á pesar de lo asperísimo del terreno la resolución deh señoti general Latofre y bizarría del Segundo batallón de reales Guardias Españolas, al mando de su comandante el brigadier D. Joaquín Urbina , y compañía de</t>
  </si>
  <si>
    <t>Latoijr</t>
  </si>
  <si>
    <t>…evs€¿á'jií)s,ataqu¿s ¡de. Soult. f ía* bia llegado éi íiVó'niettto de decid irla'acción.- Bonaparte hizoun moviinTiénto por la izquierda; y con las guardias, quatro divisiones del general Latoijr;? Maubourg y gran número de artillería marchó ¡en 10 minutos sóbrele], flan co derecho de la posición del enemigoy que se había con vertido eo cen'ro* Las divisiones Mórand 'y wirtemberguesa tomaron la altura en qué¡el ene? migo había forniadó ste pilrrro dé…</t>
  </si>
  <si>
    <t>Latorre</t>
  </si>
  <si>
    <t>…lumna de su mando, habiendo sido los enemigos perseguidos has ta los llanos de Oruna. ,, Estoy obligado á recomendar á V. S. en primer lugar el par ticular mérito contraído por el general Latorre y el comandante de sus cazadores Figueroa , sin embargo de que juzgo que V. S. mas que yo lo ha presenciado , como también el de los ya .citados brigadieres y el dd ayudante primero de estado mayor gefe del de esta división D. Jacobo Escario, que con su activ…</t>
  </si>
  <si>
    <t>…* que obligaron á huir* y refugiarse á la alta montaña de Larrun, donde pu-itran nueva y tenaz resistencia, que venció á pesar de lo asperísimo del terreno la resolución del señor general Latorre y bizarría del segundo batallón de reales guardias Españolas al mando de su comandante el brigadier D. Joaquín Urbina, y compañía de granaderos de la brigada, distinguiéndose en es ta ocasión el batallón de cazadores de la columna , y su bizarro co mandante e…</t>
  </si>
  <si>
    <t>*En las operaciones de este dia se distinguieron particularmente: el señor general Latorre, los señores brigadieres D. José Aymerich,, D. Miguel de Alcega y D. Juan Dowme, los c* rondes D. Alejan dro Hore , del regimiento de Ordenes Mi itares; D. Ramón Figueroa&gt; espitan de reales guardias Españolar, comandante del batallón, de cazadores de la colum…</t>
  </si>
  <si>
    <t>…r tínez y demas oficiales del cuerpo de estado mayor, el coronel Don Raynaldo Macdonall, agregado á mi plana mayor, y el teniente co ronel Camac, que puse á las .órdenes del señor general Latorre, han desempeñado con la mayor actividad y acierto quanto se ha puesto á su cuidado. « Mi secretario de campaña el teniente coronel D. Felipe Prados, mi ayudante de campo el teniente coronel D. Joaquín Montufar, los capitanes D. Leonardo Bonet y D. Domingo Man…</t>
  </si>
  <si>
    <t>…artínez y demas oficiales del cuerpo de estado mayor, el coronel B. Raynraldo Maedonali, agregado á mi plana mayor, y el teniente coronel Camac , que piiíe á las órdenes del señor general Latorre , han desempeñado con la mayor actividad y acierto quanto se ha puesto i su cuidado. ,, Mí secretario de campaña el teniente coronel D. Felipe Prados, mi ayudante de-campo el teniente coronel D. Joaquín Montufár, los capitanes D. Leonardo Bónet y I&gt;. Domingo…</t>
  </si>
  <si>
    <t>…cia de¿ ene migo , que ie hizo perder no poca gente. ,,E1 regimiento de Galicia subió también á lo alto de la montaña, y el de Madrid tue destinado á reforzar la brigada del señor general Latorre. „En este estado nos cogió la noche ; y quedando los enemigos en la inlaccesible cima de Larrun, esta quedó, rodeada de nuestras tropas, menos por 1 a parte única practicable, en que en gran fuerza conservaban los ene migos su comunicación. ,,En las operacion…</t>
  </si>
  <si>
    <t>…la coluna de su mando, habiendo sido los enemigos perseguidos hasta los llanos de Oruña. Estor obligado á recomendar á V. $. en primer lugar el particular mé rito contraído por ej general Latorre y el comandante de, sus cazadores Figuerpa, sin embargo de; que juzgo que V. S. mas que yo lo ,ha presencia do, como también el de,los ya citados brigadieres, y el del ayudante pri mero de estado mayor gefe del de e$t;a división D. Jacobo Escario, que con su…</t>
  </si>
  <si>
    <t>Latorre, José</t>
  </si>
  <si>
    <t>José Latorre</t>
  </si>
  <si>
    <t>…enemigo, le impuso sobrado respeto. «No puedo-menos de recomendar-.al general en gefe de ios exércitos nacionales el zelo; valor y actividad que en esta ocasión han manifestado el brigadier D. José Latorre, comandante de la primera brigada de infantería, que se empleé en este sitio: el del gefe de es=r tado mayor interino del exército el coronel D. Miguel Desmaissieres, que apenas ha descansado un momento durante los tres dias deí sitio: la buena conducta milit…</t>
  </si>
  <si>
    <t>Latorre, José Antonio</t>
  </si>
  <si>
    <t>José Antonio Latorre</t>
  </si>
  <si>
    <t>…de reales guar dias Est añólas, y los regimientos de infantería del Príncipe y Na varra, y 60 zapadores del quinto batallón; puse esta columna á las órdenes del mariscal de campo D. José Antonio Latorre. »La columna de la izquierda la formaban los regimientos de Se villa, Pravia y Almería , y 100 zapadores á las órdenes del mariscal de campo D. Joaquín Virues. »»E1 brigadier D. José Aymerich, comandante general interino de la segunda división del exército, f…</t>
  </si>
  <si>
    <t>…cito de reserva de Andalucía. ,, A consecuencia de las instrucciones de V. S. para la empresa del dia ‘de ayer, la primera brigada de la división de mi cargo al man do d i gen ral D. José Antonio Latorre, obro desde un principio con separación &gt; por cuya razón , aun quando presencié parte de sus operaciones, me ceñiré para detallar el por menor de ellas á mani festar á V. S. el parte que me da dicho general , que á la letra dice:: ,, En virtud de las instrucc…</t>
  </si>
  <si>
    <t>…iempre con éxito. » No es fácil citar los oficiales que se han distinguido; pero cuan do todos han cumplido altamente con su deber,, no seria justo callar que el mariscal de campo D. José Antonio Latorre, el brigadier Don Juan Downie, y el primer ayudante gefe del estado mayor general de la primera división D. Ja cobo Escario, han tenido la buena suerte de sobresalir entre los valientes. Adjunto tengo el honor de inclnir á V. E. el estado de las pérdi das. De…</t>
  </si>
  <si>
    <t>Latorre, Josef</t>
  </si>
  <si>
    <t>Josef Latorre</t>
  </si>
  <si>
    <t>…emigo, le impuso sobrado respeto. ,, No puedo menos de recomendar al general en gefe de los exéreitos na cionales el zelo, valor y actividad que en esta ocasión han manifestado el brigadier D. Josef Latorre, comandante de la primera brigada de infantería, que se empleó en este sitio: el del gefe de estado mayor interino del exército el coro„nel D. Miguel Desmassieres, que apenas ha descansado un momento durante los tres dias del sitio: la-buena conducta militar…</t>
  </si>
  <si>
    <t>Latorre, Josef Antonio</t>
  </si>
  <si>
    <t>Josef Antonio Latorre</t>
  </si>
  <si>
    <t>…llón de reales; Guardias Españolas, y los regimientos de infantería del Príncipe y Navarra y 60 zapadores del quinto batallón: puse está cotona á las órdenes del mariscal de campo Don Josef Antonio Latorre. „ La coluna de la izquierda la formaban tos regimientos de Sevilla-, Pra*via y Almería y 100 zapadores ,1 á las órdenes del mariscal de campo Don Joaquín Virues. - : „ El brigadier D. Josef Ay merich, comandante general interino de-la se gunda. división del…</t>
  </si>
  <si>
    <t>…engo'el honor denncluirle adjunto los partes que,me han dado los se^ ñores cowendantes generales de las divisiones, y por fiw me limito á reco mendar a V. E. al mariscal de campo ;D. Josef Antonio Latorre, al briga dier D. Josef Aymerich, al coronel D. Aiexandro Hore, al capitán de reales Guardias Españolas D. Ramón Figueroa , .y al sargento mayor del regimien to de Pravia D. Francisco Cabrera. - „ Adjunto, tengo?‘el: hqqor de ínciuir á V*. jE&gt;- el estado (num…</t>
  </si>
  <si>
    <t>Látour-Maiibourg</t>
  </si>
  <si>
    <t>…que de Bellune en Altemberg. El príncipe de Móskow se hallaba enTTojrgau ct&gt;n el quarto, séptimo y duodécimo cuférpos.Elduque de Ragusa y el Reí. de Nápoies con, la cabáUeríaí dél general Látour-Maiibourg estaban en mar cha para Grossen Flayn. El príncipe dé Eckmiilh estaba en Ratzeburgo. El exército enemigo deja Silesia estaba en lá orilla derecha' del Spree: el ruso y prusiano de lá Bphémia en la, llanura &lt;je ^opljcz; y uii, cuerpo austríaco» x ’, . f .» • ,…</t>
  </si>
  <si>
    <t>Latour-Mau</t>
  </si>
  <si>
    <t>…n toros, y regresaren á su posición con muchos prisioneres, después de haber dexado 700 dragones muertos en las líneas del enemigo. Quedaron muchos oficiales muertos y heridos. El general Latour-Mau— Jbourg , que mandaba la caballería á las órdenes de .Murar, perdió una pier na. Los dos exércitos quedaron casi en las mismas posiciones que ocupaban antes de la acción. Mientras el exército grande renovaba el ataque la mañana deL i&amp; por sus diferentes punto…</t>
  </si>
  <si>
    <t>Latour-Maubourg</t>
  </si>
  <si>
    <t>…iga ,cín la- fianurade Reickembach. Creyendo el enemigo que no podíamos contar con mas tropas de esta arma, movió una división de su caballería , y detras de esta otras muchas. El general Latour-Maubourg con 14® caballos y los.corace ros sacones reforzaron á Lefebvre, quien dió; en seguida muchas cargas. El enemigó,fadmirado de ver á su frente, if ó 16© caballos, quando no nos. creía con tanta fuerza, se’retiró en desorden. Los lanceros de la guardia son das…</t>
  </si>
  <si>
    <t>…gosto, las siguientes noticias del exército. En los dias 28, 29 y 30 continuamos nuestros felices sucesos. Los generales Castex, Doumer y D’Oudenarde, pertenecientes al cuerpo del general Latour-Maubourg, cogieron 1© carros de municiones y muchos prisioneros. Las aldeas están llenas de heridos enemigos*, ya se cuen tan lo©___El enemigo, según dicen los prisioneros, ha tenido ocho generales muertos ó heridos. El duque de R a gusa ha tenido acciones de puestos…</t>
  </si>
  <si>
    <t>…. El mariscal St. Cyr ocupa á Pirna y la posición de Dohna. El duque de Bellune se mantiene en la posición de Freiberg. El duque de Ragusa, con el sexto cuerpo y la caballería del general Latour-Maubourg, estaba mas allá de Grossenhayn: había rechazado al enemi go á la orilla derecha mas allá de Torgau, para facilitar el paso de un convoi de 20© quintales de harina, que iban en buques por el Eiba arriba , y que llegarán á Dresde. El duque de Padua está en Leí…</t>
  </si>
  <si>
    <t>…rarse, y lo verificó con el príncipe de Moskow , tomando posición sobre el rio Muida. Este príncipe se hallaba el dia 4 en Dalitz, El duque de Ragusa y el cuerpo de caballería del general Latour-Maubourg estaban en Eulenbourg, y el tercer cuerpo se hallaba en Torgau. Doscientos cincuenta partidarios, mandados por un mayor general ruso, se dirigieron á Mulhaus'én, y noticiosos de que en Cassel había pocas tro pas, llegaron hasta las puertas de aquella ciudad c…</t>
  </si>
  <si>
    <t>7/7 qec prisioneros rasos y aiistriacos. El general Latour-Maubourg cogió al gunos centenares de soldados de la guardia rusa. El Emperador hizo avanzar al momento la división Curia! de la guardia para reforzar al príncipe/^Tnbtowsky. El general Curial marcho al pueblo de Dalitz, le atacó á ía bayoneta.,de tomó sin disparar un…</t>
  </si>
  <si>
    <t>…au; y el gene ral Sebastiani junto al Nidda. Carta del duque de Vicenza al eapitan comandante de los dos regimientos de coracero s saxones empleados en el cuerpo de caballería del conde Latour-Maubourg. Mackraiistoede ip de octubre. Señor comandante: me apresuro á infor maros de que el Emperador autoriza á los dos regimientos de coraceros sa xones de la guardia y de Zeschwitz, que están sirviendo en sus exércitos, para que regresen á Leipsick. S. M. cree qu…</t>
  </si>
  <si>
    <t>Latour-Maubpurg</t>
  </si>
  <si>
    <t>to cuerpo» Algunas bombas cayeron en la ciudad, y este momento era crí tico. El Emperador mandó al Reí de Ñapóles que marchase con la caballe ría del general Latour-Maubpurg sobre el flanco derecho del enemigo, y que el duque de Treviso avanzase sobre el izquierdo. Las quatro divisiones de la guardia nueva, mandadas por los generales DumOntier, Barrois, DeCouz y Roquet, desfilaron entonces, dos por la puerta de Pirna, y las otras…</t>
  </si>
  <si>
    <t>LatourMsubourg</t>
  </si>
  <si>
    <t>…y volvieron á sus pcski.ues con gran número de pr sioneros , después de haber dexado 700 dragones muertos en las líneas del enemigo. Verlos oficiales fueron muerr.os ó heridos. El general LatourMsubourg, que mandaba la caballería enemiga á tas ó dt-nes de Murat, ha perdido una pierna. Los dos exérctov quedaron casi en el mimo ter eno que o. upaban ái,t s de i a acción. El exército grande dcb:a comenzar de nuevo el ataque en la ma ñana del iá sobre las pr nci…</t>
  </si>
  <si>
    <t>Lau-</t>
  </si>
  <si>
    <t>…del privilegio solo puede hacerse reducién á estas horas habrá ya pasado de Berlín, se junta dolo á los limites convenientes, que equivale á de otro en Hamburgo á las órdenes del general Lau- cir que tiene sus límites la conveniencia de gober riston , con el nombre de cuerpo de observación del nar bien, y estos están ceñidos á Ja conveniencia Elba, y un tercero en las cercanías de Maguncia, de los puertos exteriores. Pónense en igual. balanza Wess…</t>
  </si>
  <si>
    <t>Lauggent</t>
  </si>
  <si>
    <t>…uel Dexter, H. G. Otis , Tristram Ber- riña real la Alerta, de 20 caroñadas die á 18 y i-?o nard, Santiago Pérkins , Jorge Blake , Daniel Sar- hombres de tripulación, al mando del capitán Lauggent, y el coronel Daniel Alessinger. harue, y el brick King-George, de Liverpool, su Concluida la comida, se echaron los siguientes capitán Atkinson. toasts, á ios que correspondían las salvas de la ar El corsario Yaukee, de 16 cañones y 90 hom-</t>
  </si>
  <si>
    <t>Laurenty</t>
  </si>
  <si>
    <t>…a, que anunciaban el teres , y dar continuas pruebas de su adhesión al deseo que tienen de penerse baxo las banderas adon gobierno. de los 11. nía el honor y la gloria. ESPAÑA. El señor Laurenty , cirujano de esta ciudad, en recompensa de su zelo por la propagación de la Guadafaxara go de diciembre. vacuna recibió el viernes último de manos del El Empecinado se proponía incomodar á una prefecto una medalla de oro, que le concedió el coluna que había…</t>
  </si>
  <si>
    <t>Laurhton</t>
  </si>
  <si>
    <t>…antiguo». El barón de Wesemberg partió de )a capital de Austria para desempeñar en Londres la misión de que iba encargado. Ei general Sebastian! pasó por Francfort para Furia. El general Laurhton llegó el 10 de Febrero á Hamburgo, y el 12 pasa un correo austríaco para Copenhague. , £1 mariscal Díivoust se ha puesto en marcha por la orilla izquier da del Oder, dirigiéndose desde Stettin a Cusma. ESPAÑA. Alcántara 10 de Marro^ Se ha interceptado la sigu…</t>
  </si>
  <si>
    <t>…en las aldeas de Dalitz, Wa chau y Liberwolkowitz. Estas fueron atacadas seis ó siete vecesj el enemi go fue rechazado constantemente, y cubrió las.avenidas con sus cadáveres. El conde Laurhton con 'el quinto cuerpo defendía la aldea de la izquierda (Liberwolkowitz); el príncipe Poniatowsky con sus valientes polacos de fendía la de la derecha (Dalitz), ,y el duque de Bellune sostenía la de Wa chau, , Al medio dia se había rechazado el sexto ataque d…</t>
  </si>
  <si>
    <t>Lauriston</t>
  </si>
  <si>
    <t>…sa de la patria, va á se lee la siguiente proclama del general Krogh, darnos mas de ao3 hombres de excelente caballería. comandante de la segunda división det exéreito de El señor conde Lauriston ha estado también al N oruega: gunos días en esta ciudad, de donde acaba de salir. ,,Compatriotas: no puedo ocnlrar la satisfacción que engo en manifestaros las pruebas recientes de PRUSIA. amor que acaba de dar á ia Noruega y á sus vale rosos habitantes nues…</t>
  </si>
  <si>
    <t>…Estos Dueños Prusia está organizando su contingente entre Stettiu ciudadanos parece que temen que se mire como un y Colberg. sacrificio una demostración de patriotismo, que tie El general Lauriston salió antes de ayer de Pa nen á mucha dicha. rís para llevar su quartel general á Magdeburgo, adonde va llegando el cuerpo de observación del París 28 de enero. Elba, que manda este general. SS. MM. salieron de aquí el martes 19 para ir El general Souharn est…</t>
  </si>
  <si>
    <t>…víveres para muchos meses. Luego El dia 22 pasó el duque de Ragusa su quartel que el virei llegó á Magdeburgo envió el dia 22 al general á Hanau , donde iban reuniéndose sus divi general Lauriston á la orilla derecha del Elba. Et siones. general Maison pasó á Morkern, y adelantó sus El dia 30 de marzo habia llegado ya á Augsburavanzadas hasta Vurg y Ziczar no encontró mas go la vanguardia del cuerpo de ob'ervacion deltaque algunos destacamentos de trop…</t>
  </si>
  <si>
    <t>…acia nosotros, y pasaba el Elster por los puentes de Zwenkam, Pegan y Zeita. Con la esperanza dé anticipar el movimiento, y pensando no ser atacado hasta el dia 3 , mandó S. M. al general Lauriston, cuyo cuerpo formaba el ángulo dé la izquierda, fuera á Leipsick con el objeto de desconcertar Jos proyectos del enemigo, colocar el exército francés en una posición mui diferente de la que había tomado el dia 2 , y sembrar de este modo el desorden y la confu…</t>
  </si>
  <si>
    <t>…después la batalla se renovó con mucho mas ardor hacia el centro, en donde particularmente la artillería tuvo gran acierto,rechazando todos los ataques del enemigo. El cuerpo del general Lauriston se presentó procurando envolver nuestra ala derecha; pero fue conte nido por el general Barclay de Tolly, quien se hallaba apostado en Gottamilde para observar a| enemigo, hasta que el cuerpo del general Kleist y las brigadas de Klus y Roeder cayeron sobre la…</t>
  </si>
  <si>
    <t>…destaco un cuerpo enemigo , quesegíin noti cias era él de Regnier, con dirección á Luckáu y Lubben, pór núes* stra derecha. ■ '• • ’ -v" «Habiéndose sabido ai mismo tiempo que el general Lauriston marcharía el 19 con 9© hombres á reforzar las tropas mencionadas* los generales Barclay de Telly y York pasaron con un grueso cuer po á interceptar y acometer á aquel general. ' ’ n «El general Barclay dé Tólly dio con el enemigo ^n las cerca nías de Konigswe…</t>
  </si>
  <si>
    <t>…Entre tanto por el extremo de la derecha los cuerpos enemigos siguieron á los generales Barclay de Toíly y York en su movimiento retrógrado de la expedición que hicieron contra el general Lauriston. - «El cuerpo del general York tomó posiciones por la noche; pero el de Barclay de Tolly no lo efectuó hasta la.mañana siguiente. «El general MUl,aradowÍtcIi resistió los repetidos esfuerzos del enemigo, dirigidos con todo vigor aromper.su izquierda • de suer…</t>
  </si>
  <si>
    <t>…an rodeo, y tras; de ella venia á una jornada de distancia otra división de 18® honv bres, baxo las órdenes del mariscal Nei. Sabiendo esto , se resolvió por los aliados atacar al general Lauriston antes que pudiese recibír refuerzos, y*l efecto se dieron las órdenes al general Barclay déTolly, quien después de mediodía del 10 se dirigió rápidamente sobre Konigswartha, mientras que el general de Yorck marchaba por Wessie para juntarse con* él. óbos ruso…</t>
  </si>
  <si>
    <t>…al 18 el enemigo destacó sobre nuestra derecha un cuerpo de su exérci to al mando del general Regnier con dirección á Luckau y Lubben. ,, Habiéndose sabido al mismo tiempo que el general Lauriston marcha ría el 19 con 9® hombres á reforzar las tropas mencionadas, los generales Barclay de Tolly y York pasaron con un grueso cuerpo á interceptar y aco meter á aquel general. „E1 general Barclay de Tolly encontró al enemigo en las cercanías de Konigswerde,…</t>
  </si>
  <si>
    <t>…ntre tanto por el extremo de la derecha los cuerpos enemigos siguie ron á los generales Barclay de Tolly y York en su movimiento retrogrado de la expedición que hicieron contra el general Lauriston. ,, El cuerpo del general York tomó posiciones por la noche; pero el de Barclay de Tolly no lo efectuó hasta la mañana siguiente. ,,E1 general Millaradowitch resistió todos los ataques del enemigo, di rigidos á romper su izquierda; de suerte que las colunas e…</t>
  </si>
  <si>
    <t>…uego terrible, mientras otras desfilaban para apoderarse de nuestra derecha. El general Barclay de Tolly fue ata cado por fuerzas muí superiores, mandadas por el mariscal Nei y el general Lauriston ; y despees de una obstinada resistencia se vió obligado á abando nar las aldeas de Klutz y Cannewitz. Barclay de Tolly tenia orden, en caso de ser atacado por fuerzas superiores, de abandonar el terreno que ocupaba enfrente de Cannewitz y Prieslitz, y situar…</t>
  </si>
  <si>
    <t>…Marmont eñ la aldea de EÜsendort: el tercer cuerpo en la aldea de Titersdorf: Víctor entre Glogau y Leignitz. El conde de Bubna llegó X Leignitz, y tuvo conferencias con Maret. El general Lauriston entró en Breslau alas 6 de la mañana el din i.° de junio. Un cuerpo prusiano de 6 X 7® hombres, que cubría esta ciudad para defender el paso del Loira, se vio obligado á retirarse hacia la aldea de Neukerchen. El burgo-maestre y quatro diputados de- ia ciudad…</t>
  </si>
  <si>
    <t>…número.— El día 19 el enemigo se acampo en Zobten.—— Un cuerpo de 12® rusos pasó el Bober, y ataco el puesto de Liebencelzen^) que estaba defendido por tres compañías ligeras. —El general Lauriston mandó que una parte de sos tropas tomara las armas, dexase a Loweinberg, (r) Napoleón se resiente de que Tos aliados violasen 1» neutralidad; y en nues tro concepto no es la violación lo que fe incomoda, y sí solo él que $119 contrarioti se anticipasen á hace…</t>
  </si>
  <si>
    <t>…hambeau se distinguió.__ En el ínterin el Emperador iiegó el 20 á Lauban, y al romper el dia 21 se hallaba en Lowemberg, mandando que se echasen puentes en el Bober. El cuerpo del general Lauriston atravesó el rio á medio dia. El general Maisson con su acostum brado valor destrozó quanto se le oponía á su paso, tomó todas las posicio nes, y arrojó al enemigo cerca de Colberge. Estaba sostenido por el quinto y undécimo cuerpo. A su izquierda el príncipe…</t>
  </si>
  <si>
    <t>…guientes que pueden tenerse por ciertas. El emperador (Napoleón) dexé la Silesia el 22 de Agosto, ha biendo primero derrotado al enemigo el 21 en Loevénberg; después de lo cual el conde Lauriston consiguió señaladas ventajas. S. M. había dexado el mando al duque de Tarento, que dio las disposiciones convenientes para aprovecharse de la victoria, per seguir vivamente al enemigo , y atacarle en las altaras de Jauer; todo hacia creer que esta? disposicio…</t>
  </si>
  <si>
    <t>…Dresde, y el 22 fue á Hartaw. Inmediatamente mandó que saliesen por el bosque de BischoíTkverder el un décimo cuerpo-, ai mando dei duque de Tarento, el quinto, á las órdenes dei general Lauriston , y el tercero, mandado por el general Seuhr.m. El exér«tito enemigo-de‘Silesia, que se habia adelantado, se há retirado repentina mente en esta forma: La derecha, mandada por Saehen, á Cainenz; la iz quierda , á las- órdenes de Langeron, á Neustadt, en la-de…</t>
  </si>
  <si>
    <t>…ivamente: El enemigo esta a nuestra espalda, los fuentes están cortados.,,.1. Estos desgraciados se dispersaron, y procura ron salvarse. El duque de Tarento pasó el rio á nado: el conde Lauriston, menos dichoso, se ahogó; el príncipe Poniatowsky, montado en un caballo fogoso, se arrojó al agua y no ha vuelto á parecer. El Emperador no supo este desastre sino quando ya no era tiempo de remediarle: ningún remedio hubiera tampoco sido posible aplicar. El…</t>
  </si>
  <si>
    <t>…muslo. Nuestra pérdida en esta jornada ha si do de 2500 hombres entre muertos y heridos. No es exagerar calcularla del enemigo en 25©. No puede elogiarse bastante la conducta del conde Lauriston y del prín cipe Po/niatowsky en este dia. El Emperador, para dar á este último una prueba de su satisfacción, le nombró sobre ei campo de batalla mariscal de Francia, y ha concedido un gran número de distinciones á los regimientos de su cuerpo. Al mismo tiemp…</t>
  </si>
  <si>
    <t>Lavedan, Antonio</t>
  </si>
  <si>
    <t>Antonio Lavedan</t>
  </si>
  <si>
    <t>…con las embarcaciones y mer cancías que transportan, y reglas para que los cónsules puedan librar de contagio los puertos (le su carga Está obra traducida y recopilada por el Dr. D. Antonio Lavedan, cirujano de cámara de S. M. Católica, se publicó en el año de 1802; pe ro como la actual peste de Malta da justos motivos para temer su introducción en España, se reitera esta publicación en beneficio de la humanidad*. dos tomos en 4.® 1 Se hallarán en el de…</t>
  </si>
  <si>
    <t>Laviña, Luis</t>
  </si>
  <si>
    <t>Luis Laviña</t>
  </si>
  <si>
    <t>…en mano, cargando con la serenidad y valor que tiene acreditado, en cuyo tiempo recibió un balazo de consideración que le obligó á retirarse; y el ayudante general de estado mayor D. Luis Laviña, que no quiso separarse</t>
  </si>
  <si>
    <t>…quarta división D. Federi co Castañoo^&amp;eridov ; - . Brigadier; segundo gefe del estado mayor del exército D. Antonio Ro$elló,Jiendo. .,1 '■ Coronel gefe de estado mayor del centro D. Luis Laviña, herido. . Brigadier gefe;del estado mayor del exército Di. Estanislao Sánchez Sal vador, dos caballos muertos. i. ; Subteniente jy; ayudante suyo D. Josef'García, herido. . Segundo ayudante de estado mayor D. Josef Cienfuegos, un caballo muerto. Los pocos fr…</t>
  </si>
  <si>
    <t>Lawh, Jos.ef O-</t>
  </si>
  <si>
    <t>Jos.ef O- Lawh</t>
  </si>
  <si>
    <t>…e e tas operaciones; y me valgo de esta opor tunidad tara manifestar lo satis fe che que- estoi de su conducta, igualmente que la del maté cal de Campo D. Miguel de Alava y la del brigadier Don Jos.ef O- Lawh r, quienes hace tanto tiempo que están empleados útilmente conmigo, la artillería se colocó Juiciosamente por el teniente coronel Diksm, y esta arma fue bien servida, y el exército está particularmente reco nocido á este cuerpo. „ La naturaleza del terreno no…</t>
  </si>
  <si>
    <t>Layando, José</t>
  </si>
  <si>
    <t>José Layando</t>
  </si>
  <si>
    <t>…e de 1813.=A D. Manuel López de Arüujo. Por decreto de la Regencia del reyno, dirigido al secretario in terino del despacho de Gracia y Ju ticia, te ha encargado interinaB¡en:e al Sr. D. José Layando, s c. etavio del consejo de Estácfo» del despacho de la secretaría de Estado y del Despicho. Por la junta suprema de sanidad se ha comunicado la siguiente circular á todas las juntas superiores del mismo ramo en la península. »La suprema junta de sanidad, des…</t>
  </si>
  <si>
    <t>Lazcano, Pedro</t>
  </si>
  <si>
    <t>Pedro Lazcano</t>
  </si>
  <si>
    <t>…se halla en estkdo lar D. .Múreos Perez. V de proveer muchos, y por mi parte ofrezco el Para el de Alberique , vacante por ascenso de «mejor de los que tengo, para que le monte un D. Pedro Lazcano á ia vicaría mayor de Murvíedro, »&gt; soldado valeroso.” á D. Agapito Domenech, cura párroco del Rafol Ayer 26 celebraron una jnnta general los vina de Almunia. teros de París, y acordaron en ella la oferta de xo Para el del Arrabal de S. Felipe, vacante por ca…</t>
  </si>
  <si>
    <t>Lbíígá</t>
  </si>
  <si>
    <t>…articipa haber llegado en aquel dia á Tolosa ; y que se le opusieron á la ocupación de esta ciudad las tropas que se retiraban, al mando del general Foix, Re itere tambiéit que él'coronel Lbíígá le había auxiliado -para éstá Operación, é igualmente aós bátaííóries défexército dé Galicia-,1 que 'el general Girón le 1 ‘había dexadó párFel ataqué de la ciudad.' Segpp papelesjde'Cadiz , que sé refieren a'uM carta‘de un capitán ingles, ía^fuerzas,.enenjj¿…</t>
  </si>
  <si>
    <t>Lczama, Juan Jesé</t>
  </si>
  <si>
    <t>Juan Jesé Lczama</t>
  </si>
  <si>
    <t>…del real de Lima Ildefonso Cadenas, los soldados retirados del tico de Buenos-Ayres Félix Quintana y Manuel Nuñez, y D. José Pe* risena, vecino de Salta. , , „ En la acción murió D. Juan Jesé Lczama, vecino de calma* cion de «dicha ciudad, cuya familia huérfana merece la recompea« sa a que él se había hecho acreedor por su valor : también han muerto D. Manuel Nuñez de los Urbanos, de la misma ciudad , un soldado de Cotabambas, otro de les provinciales de…</t>
  </si>
  <si>
    <t>Le</t>
  </si>
  <si>
    <t>…asta la ¡dura, y es el único oficial que que dó vivo de los que avanzaron hasta' all^ »H1 mayor general Robinson hace los mayores elogios de loa capitanes Wilíiamson y Jones, y af teniente Le b lañe del 4 0 de in fantería, que dirigió la compañía ligera de infantería arriba mencio nada. También recomienda altamente al espitan Llbesay, que suce dió en el mando del 47 de infantería por muerte del mayor Kelly* y lo conservó hasta ser herido, recayend…</t>
  </si>
  <si>
    <t>Leaniz, García</t>
  </si>
  <si>
    <t>García Leaniz</t>
  </si>
  <si>
    <t>…de aquel momento, y habiendo recordado otros señores diputados lo que prudentemente se re solvió en la sesión anterior, la propuesta del señor Ocaña no se admitió á discusión. El señor García Leaniz hizo las quatro proposiciones siguientes: Prime ra: que en el dia 24 dei corriente se proceda al nombramiento de la diputa ción permanente, con arreglo á los artículos 157 y 158 de la Constitución. Segunda: que esta diputación se traslade inmediatamente á Mad…</t>
  </si>
  <si>
    <t>Leániz, García</t>
  </si>
  <si>
    <t>García Leániz</t>
  </si>
  <si>
    <t>…que las diputaciones provinciales podrán señalar lo que estimen jus.o, con tal qué no exceda de uno y medio por 100, que deberá cargarse ademas de la contribución-----Aprobado. , Sr. García Leániz: hizo varias adiciones, cuya mayor parte no fue ad mitida. Sesión extraordinaria del dia 8 sobre el crédito ptíblico. Continuó la discusión del dictámen de la comisión especial de hacienda. En quanto á la primera parte del dictámen, ó sea clasificación de la…</t>
  </si>
  <si>
    <t>Lebis</t>
  </si>
  <si>
    <t>…JaAl señor Prevost, teniente , no culpado de com lien y Juan Bautista Caumette, sargentos maj’ores. plicidad , unánimemente; 2.0 Por la suficiente mavoría- de tres votos con ar Al señor Lebis, teniente, no culpado de com reglo á la lei del 13 bruinario, año v, al señor pilad, d, unánimemente; Jorge Roulf, capitán. Al señor Gomont, dicho S. Garlos, subtenien La comisión militar mandó que los absucltos ar te, no cuipado.de complicidad, unánimemente;…</t>
  </si>
  <si>
    <t>Leblanc</t>
  </si>
  <si>
    <t>…el mando dé la brigada , y la conduxo con mucha habilidad* »También particulariza Sir J. Leith al capitán Tailor del 48 de infantería, mayor de brigada de la séptima brigada, y al teniente Leblanc del 4.0 de infantería, que dirigió la compañía ligera de in fantería del regimiento hasta la ¡dura, y es el único oficial que que dó vivo de los que avanzaron hasta' all^ »H1 mayor general Robinson hace los mayores elogios de loa capitanes Wilíiamson y Jones,…</t>
  </si>
  <si>
    <t>Leca, Luis</t>
  </si>
  <si>
    <t>Luis Leca</t>
  </si>
  <si>
    <t>…ión...^ D. Juan Per£z.. Idem;. Teniente..... D. Manuel Muñiz.í.. 2.0 de Asturias. Capiran................ D. Manuel Rio Mayor....... . Corona (voluntarios.) Teniente.............. D. Luis Leca................. ................. Idem. , V ’ :Qtro.................. I). Manuel Martínez Sajazar......... Idem. , Idem.Subteniente....... I}. Ventura .Nogyeira...... , Idem. , . ,Otro..........i. D. Antonio Crespo............................................…</t>
  </si>
  <si>
    <t>Lecby</t>
  </si>
  <si>
    <t>bres solo escapó el general Lecby con caballos *, el resto fue dispersado ea el campo de batalla, y quedó muerto ó prisionero. Quando salió el correp ya habia 900 prisioneros, inclusos un corohei dé artillería y. ocho oficiales, obús, un cañón &gt; dos estándar tes y dos banderas* • ■ , ; ■ . ■…</t>
  </si>
  <si>
    <t>Lecoq</t>
  </si>
  <si>
    <t>…ndrá el mando, carse á las casas inmediatas á sus orillas, sino tam mientras no pueda desempeñar las funciones de go bién para entrar en las que están situadas á consi bernador el general Lecoq. derable distancia de ellas. Estando todavía inmóvil el hielo en la madre del rio, el que cubría el brazo GRAN BRET A Ñ A. del Muhlau volvió á trabarse , y el agua de la ave Londres g de marzo. nida rebosó por las orillas, inundando las partes inferiores del…</t>
  </si>
  <si>
    <t>…du que de Bassano y el conde Darú permanecen aqui todavía. Continúa el frecuente paso de tropas para la Lusacia y Silesia. El exército de Saxonia está acampado junto á Gorlitz. El general Lecoq manda la primera brigada, y el general Sahr la segunda. Estos cuerpos se hallan enteramente comple tos. ( Diario del imperio.) Maguncia 2 de agosto. S. el Emperador, nuestro Soberano, dexó ayer á las seis de la tarde e^ta ciudad para volver á Dresde, y hoi á…</t>
  </si>
  <si>
    <t>Lecor</t>
  </si>
  <si>
    <t>…Cois obligado por medio de un ca ñoneo al enemigo á evacuar el reducto que tenia sobre su derecha enfrente, de Sarre,. y visto que al aproximarse la séptima división del mando del general Lecor á atacar el otro* reducto que t¿nía á la izquierda de dicha villa, lo evacuó igualmente ? Sir Loury Colé atacó , y se hizo dueño; del pueblo, que fué envuelto por ia izquierda por la tercera división del mando del marised de cam po el honorable Cárlbs CoiviUe…</t>
  </si>
  <si>
    <t>…movimientos de la de recha del centro, que se componía de la tercera división del mando del ma riscal de campo el honorable Carlos Colville, de la séptima división del man do del general Lecor, y de la quarta división del mando del teniente gene-r ral el honorable sir Loury Colé; esta última división atacó los reductos al frente de Sarre, este lugar y las alturas á su espalda, sostenida por su iz quierda por el exército de reserva de Andalucía, del…</t>
  </si>
  <si>
    <t>…Colé obligado por medio de un cañoneo al enemigo á eva cuar el reducto que tenia sobre su derecha enfrente de, Sarre, y visto que al aproximarse la séptima división del mando del general Lecor á atacar el otro reducto que tenia á la izquierda de dicha villa, lo evacuó igualmente1, sir Loury Colé atacó, y se hizo dueño del pueblo, que fue envuelto por la izquierda por la tercera división del mando del mariscal de campo el hono rable Cárlos Colville,…</t>
  </si>
  <si>
    <t>Lecord</t>
  </si>
  <si>
    <t>…alia do el mariscal de campo D. Pedro Agustín Girón ataco les puestos enemigos en frente del puerto de Echakr en los días 30 y 31; el teniente general lord Daiho'vvsie hizo que el general Lecord con su brigada portuguesa atacase el 31 los que están en frente de Zugarrái;xurdi; y ei honorable msñscah de campo Goíviiie hizo que el coronel Dcugfep atacase los puestos enemigos el mismo día en fren te del puerto de Maya con la séptima brigada portuguesa.…</t>
  </si>
  <si>
    <t>…ia do ei mariscal de campo D. Pedro Agustín Girón atacó los puestos enemi gos enfrente del puerto de Echalar en los dias 30 y 31; el teniente gene-, ral lord Dalhowsie hizo que el general Lecord con su brigada portuguesa' atacase el 31 los que están enfrente de Zugarramurdi; y ei honorable ¡ ma risca! de campo Colville hizo que el'Coronel Douglap atacase los puestos enemigos el mismo dia enfrente del puerto de Maya con la séptima brigada portuguesa.…</t>
  </si>
  <si>
    <t>Lécóurbe</t>
  </si>
  <si>
    <t>643</t>
  </si>
  <si>
    <t>…po tenian sin cesar fixos los ojos en él, sin que se sal tase nías lágrimasal que hacia esta observación; y én medio de tan tierna escena al ver í la extremidad del an fiteatro al general Lécóurbe, arrimado á él, y apoyado sobre m espada, sin quitar la vista de los jueces , que debían condenar ó absolver á su amigo, era imposible desconocer los maravillosos beneficios de la Providencia que, en la persona de un verdadero amigo, nos ha concedido en la ti…</t>
  </si>
  <si>
    <t>Lécth, Sir Jámés</t>
  </si>
  <si>
    <t>Sir Jámés Lécth</t>
  </si>
  <si>
    <t>…enre se habían hecho én las murallas de la plaza de S, Sebastian , sé dió el asalto á las 11 dé ja mañana del 31, toreándose la piaza. Nuestra pérdida ha sido gran de.'El teniente general Sir Jámés Lécth , que se había unido dos dias antes al exército, y el mariscal de campo OsivaId fueron des graciadamente heridos en la brecha, y el coronel Sir Rícirdo Flecher muerto de una bala de fusil á la salida de las trincharas. Con la muerte de este oficial, y la del…</t>
  </si>
  <si>
    <t>Ledesma, Francisco Rodríguez de</t>
  </si>
  <si>
    <t>Francisco Rodríguez de Ledesma</t>
  </si>
  <si>
    <t>…a para las Cortes ordinarias; y habiéndose procedido á la elección de pre sidente , vice* presidente, y secretarios para las mismas Cortes, re saltaron electos: para presidente el Sr. D. Francisco Rodríguez de Ledesma, diputado por la provincia de Extremadura ; para Vice presidente el Sr. D. Gonzalo Herrera, diputado por la isla de Cu ba ; para primer secretario el Sr? D. Ramoa Felín , diputado por el Perú; para segundo el Sr. D. Miguel Antonio Zumsiacarregai, di putado po…</t>
  </si>
  <si>
    <t>…el dia 25 de setiembre anterior; y habiéndose procedido á la elección de presidente, vice presidente y secretarios para las mismas Cortes, resulta ron electos: para presidente el Sr. D. Francisco Rodríguez de Ledesma, di putado por la provincia de Extremadura ; para vice-présidente el Sr. Don Gonzalo Herrera, diputado por la isla de Cuba ; para primer secretario el Sr. D. Ramón Feliu, diputado por el Perú; para segundo el Sr. D. Miguel</t>
  </si>
  <si>
    <t>Lefdaei, Antonio</t>
  </si>
  <si>
    <t>Antonio Lefdaei</t>
  </si>
  <si>
    <t>…o en la acción demostrar su mérito ; pero así á la ida , como en nuestra penosa retirada, se ha hecho acreedora á la mayor consideración. El coronel D. Marcos .Llano ; el teniente coronel D. Antonio Lefdaei; el teniente coronel 1). Juan Tomas Moscoso , que ha tomado el mando de Abancay, y ha desempeñado mis órdenes con el ratjor acierto , é infatigable buena voluntad; el capitán D. Saturnino Castro, que lleno de es píritu , talento y voluntad ha sido el último d…</t>
  </si>
  <si>
    <t>Lefebre</t>
  </si>
  <si>
    <t>…am, que por su enfermedad de la vista se ve obligado á dexar el exército. Los tiroleses se han preparado para recibir á los fraQceses que entren allí, como hicieron en 1809 con el mariscal Lefebre. PROVINCIAS ILIRICAS. Laybach // de setiembre. Habiendo dexado el virei de Italia algunos batallones en la posición de Weichelsbourgo, retiró las demas tropas para la operación que meditaba. El enemigo aprovechó este momento para atacar el 16 con fuerzas supe…</t>
  </si>
  <si>
    <t>…ón de bagages, y rescató algunos carros dé que él se habia apoderado. Thielman se refugió entonces sobre Zeitz, donde eí coro nel MunsdoríF, partidario austríaco, se le reunió. El general Lefebre Des disfrazan con otro nombre. Veamos quáles son los progresos de Bcnaparte, y de aquí sacaremos la verdad de los hechos; y no olvidemos jamas que después de ha bernos pintado a los alíados huyendo en varias direcciones, amanecieron estos en los alrededores de Dr…</t>
  </si>
  <si>
    <t>…, Ersleben, Bernburgo y Halberstadt. En Guedlínburg nubo un destacamento. Una par te de esta caballería se unió ya al exército grande de Bohemia, y marchó sobre la retaguardia del general Lefebre, quien ha tenido varias escaramu zas con el general Thi-elman. En Leipsick reina la mayor confusión: la ciu dad HO1 puede dar quanto se la pide sin cesar, ya dinero, ya víveres y caballos. El pueblo está reducido á tal miseria, que las autoridades que gobiern…</t>
  </si>
  <si>
    <t>Lefebvre</t>
  </si>
  <si>
    <t>…al y sus inmediaciones contra las reclamaciones de los comandante del fuerte dos intimaciones ridiculas; carólicos- El sabio prelado dixo que esta petición pero este, que lo es el capitán Lefebvre, de! 115.', se habia adoptado unánimemente por una asamblea respondió como hombre de honor Villamil, ayu sumamente numerosa, y que venia firmada de mas dado de 300 á 400 hombres desembarcados de un de mil individuos del clero anglicano, y aun del navio ingles…</t>
  </si>
  <si>
    <t>…a prehender en Yecla un puesto avanzado de caba guer hace mucho honor á la firmeza y acertadas llería enemiga, que se man té nía allí hacia algún disposiciones de su comandante ei capitán Lefebvre,- tiempo. A media noche, estando en la plaza del y al valor de su tropa. El subteniente Dunnée mu pueblo formada en batalla la tropa española . fue rió gloriosamente en el ataque del 11, y el ayu acometida con el mayor ímpetu por los húsares, dante de farmaci…</t>
  </si>
  <si>
    <t>…e por su disposición y conducta sean dig Estados-Un idos que se encontraren en la costa de nos de hacer parte de su guardia. Chile; y ya han sido apresados quatro: ignoramos ,• El general Lefebvre, comandante de la caba aun si esta medida se extiende también á ios buques llería de lá guardia , ha recibido la orden de con ingleses, lo qual es probable, porque c¡ comercio certar con vos el recibo de los hombres y caballos. sobre las costas del Océano pac…</t>
  </si>
  <si>
    <t>Lefevbre</t>
  </si>
  <si>
    <t>144 gun noticias , es el general Lefevbre que estaba prisionero de guer ra en Inglaterra, y el otro un general polaco. ,,La retirada del enemigo parece que es hácia Kowno, y tal vez una columna tomará el camino de Oiita. „Atendido el rigor de ia estación es probable que el Niemen no pueda pasarse á c…</t>
  </si>
  <si>
    <t>Lefevré-Desnoettes</t>
  </si>
  <si>
    <t>…o dd monitor del sábado 30 de^ctubre* pte ofrecimos publicar la gazetade hoi ¡ es cOiiio sfgue. , '.. .A!'".en ^ . NOTICIAS. DEL EXERCXTO. _ : x* • Parts. 4 de octubre. El general conde Lefevré-Desnoettes fue atacado el día 28 de setiembre £nlas sietg de la mapana en .AÍtenbourg por- xo2&gt;, hombrea de caballería y 3© de infantería; en vista de tuerzas tan superiores se- fQtijgsi, -habiendo car</t>
  </si>
  <si>
    <t>Lefort</t>
  </si>
  <si>
    <t>…para Alcali y Segovia. — Se están habilitando los carruages , y tratan de restablecer la guardia cívica.— Desde aquí á Toledo y Talayera tie nen unos 24000 hombres. — Se espera al general Lefort que estaba en la Puebla de Montalvan. — Quitan los caballos á los oficiales de infantería para enviarlos á Francia. Se ha recibido también el siguiente aviso de Toledo: Tejemos 2G00 infantes y poca caballería : Soult exige el 18 por 100 de qada día de atraso…</t>
  </si>
  <si>
    <t>Legrand</t>
  </si>
  <si>
    <t>…aturaleza no doto de un temperamento capaz fue batiéndole dos horas, hasta que se acogió á lade sobreponerse á las vicisitudes de la suerte y de la cabeza de puente de Barisow. El general Legrand, fortuna, se consternaron, perdieron ¿u alegría y oficial *de gran mérito, fue herido gravemente en buen humor, y no veian sino desastres y desdichas; aquella acción , aunque no de peligro. Todo el pero aquellos que están dotados de un tempera exército .franc…</t>
  </si>
  <si>
    <t>…satisfacción y R. sobre ¡a conducta de la Prusia, y acompañóque tenemos en su fidelidad, en sus luces y en su al mismo los documentos que siguen.)afecto hacia nuestra persona. Al conde Legrand, general de división, cubier A. to de honrosas heridas, y al que debemos las ma Documentos relativos d la alianza.yores obligaciones por los servicios que nos ha he cho en las mas criticas circunstancias. A. NUM. 1. Al conde Chasseloup-Laubat, al conde Gassen…</t>
  </si>
  <si>
    <t>…— El conde Nansouty. — El conde Valence. — El conde S. Germán. De infantería: el conde Labor de. — El conde Loison. — El conde Bonnet. — El conde Molitor. — El conde Friant. — El conde Legrand. Los polacos, reducidos á 15$, están en Pirna, mandados por el príncipe Poniatowsky, y la caballería por el general Dombrousky.. ESPAÑA. Vinar o z 16 de Setiembre. El 13 por la noche atacó Sucliet con 20® hombres á la tercera' división de este exército y al d…</t>
  </si>
  <si>
    <t>Leícbvre</t>
  </si>
  <si>
    <t>…ado.” Ai señor Julien, sargento mayor, no culpado La comisión militar absolvió y dio por libres de complicidad , unánimemente ; del crimen de complicidad de que estaban indicia Al señor Leícbvre, teniente, culpable de com dos, i.° unánimemente á los señores Gomont, di plicidad con el ex-general Malet, ünannnemente; cho S. Carlos , subteniente; Joaquín Alexandro Al señor Godard , capitán, no culpado de com Lebis y Amable Amado Prevost, tenientes; Juan…</t>
  </si>
  <si>
    <t>Leiders</t>
  </si>
  <si>
    <t>…su exército á Preyan, con intención de llegar á Minsk por el camino de Slonim y de Nesvichí, y contaba estar én Minsk el 17 ó 19 de Noviem bre. Al mismo tiempo dio orden al mayor general Leiders y al te niente general Eartel para que marchasen á Minsk , el primero des de Volhynia por Pmsk, y el segundo desde Mozern por Lutskr tam bién trataba de enviar partidas de tropas ligeras por el lado de Wilna para mantener la comunicación con los destacamentos…</t>
  </si>
  <si>
    <t>Leith, Sir J.</t>
  </si>
  <si>
    <t>Sir J. Leith</t>
  </si>
  <si>
    <t>…rmitirá V. S. que llame su atención á la conducta del distinguido oficiar mayor general Osivaid, que ha tenido el mando interinamente de la quinu división en ausencia del teniente general Sir J. Leith durante toda la campaña, y que dexó dicho mando á la llegada de Sir J. Leith el 30 dei pasado. . .......... » Habiendo seguido con infatigable atención los trabajos del ata que de la izquierda, ninguna persona habla tan capaz de prestar á Sir J. Leith mejor a…</t>
  </si>
  <si>
    <t>Leith, Sir James</t>
  </si>
  <si>
    <t>Sir James Leith</t>
  </si>
  <si>
    <t>…y, como también el quinto batallón de cazadores de la brigada del mayor general Brsdford á las órdenes del ma yor Hill: todas estas fuerzas esti ban bsxo la dirección del teniente general Sir James Leith, comandante de la quinta división. «Habiéndolo arreglado todo con, Sir James Xeith , atravesé el Urumea hacia las baterías del ataque de la derechadesde donde po día verse todo mas claramente , y darse con mas presteza las órde nes para activar el fnego de la…</t>
  </si>
  <si>
    <t>…rmitid cum plir con este acto de justicia conforme á mis observaciones parti culares, he tomado el mayor trabajo para recopilar noticias de los cüeia’es superiores. ti El teniente general Sir James Leith justifico del modo mas com pleto la confianza puesta en su. experiencia , juicio y distinguida bi zarría , conduciendo y dirigiendo el? ataque hasta .que se vi® obliga do á dexarse retirar después de recibir una terrible contusión en el pecho, y tener el braz…</t>
  </si>
  <si>
    <t>Lema, Francisco</t>
  </si>
  <si>
    <t>Francisco Lema</t>
  </si>
  <si>
    <t>…lix; Car ai ra ,*cbi:ú¿d ,.»y» D. Alberto Gutiérrez, ; teniente, debdeLviyero ; DGlistéban aRodriguez. y' D; Alberto^Rad'figaiéz, capitanes vD.l MánueLLLfoada , L)t Juan .Hevüaqy* D. Francisco Lema, subtenientesedei dec Oviedo;) f):4 Joí é&amp;&gt;Mufí a¿ eMowíoí»* sargento mayor; D. Francisco Xavier Toral, capitán de cazadores; D. Pe1) Omi'tmr&gt;s insertar el parte que la gazeta^3e fa Regenera1 publicó btxo elr c. tiúaí?C aíV^pophíaiiePSe iifiaii'tadú ya^en la…</t>
  </si>
  <si>
    <t>Lemarqae</t>
  </si>
  <si>
    <t>…tería les, que hacía algún tiempo ocupaban su campo, y ligera italiana y tro caballos marchase á atacarla v la cercaban. En efecto, á su llegada se retiró Eró batirla; mandando al general Lemarqae que al mis les. La misma operación debió hacer el general mo tiempo se dirigiese desde Liria al punto de Be Maurice-Mathieu respecto al fuerte de S. Felipe xis con el 3.0 de infantería ligera y 200 caballos. del Coll de Balaguer; pero las tropas de Tortosa A…</t>
  </si>
  <si>
    <t>Lennep, J. de</t>
  </si>
  <si>
    <t>J. de Lennep</t>
  </si>
  <si>
    <t>…: P. A.. de Boetzelaer: D. W. Elias : J. P. Charle: J. Haydeeoper de Maarsseveen , ausente: W. Boreel, au sente: J. N. de Eys , ausente: C. de Oúd; rmtulen: ;Mr. de Loon Janszen : D. J. de Lennep: H. de Siiogelandt: J. Hodshon que se excusó: D. Hooft, ausente : .G. Saiude : A. Mendes de León: J. A. Wiiliflh: J. J. Teysset que se excusó: W. F. Mogge Muilman que se excusó: J. J. May ; P. A. Brugmans: J. D. Meijet: O. W. J. Berg</t>
  </si>
  <si>
    <t>León</t>
  </si>
  <si>
    <t>…escribió la Guerra eiel Peloponeto campaña por campaña, ó en Tito Livio, que realmente no si- Avrso. guio otro orden que el de los tiempos? Mr. de Fe- En virtud de providencia del señor D. León de rtelon tuvo en la literatura, como en algunas otras Sagasta, juez de primera instancia en esta villa, su fe cosas, el ingenio algo quimérico, aunque se halla cha 8 del corriente, refrendada de D. Antonio López ba dotado ciertamente de finísimo tacto para l…</t>
  </si>
  <si>
    <t>León, Antonio</t>
  </si>
  <si>
    <t>Antonio León</t>
  </si>
  <si>
    <t>…D. Ran&amp;on del Valle, 50. D. Rara el Ló pez, 50. D. Félix Balegi, 59. D. Juan Francisco M -toado, 50. D. Manuel G.j»m&lt; z Zuazo, 50. D. To-ms Jurado, 50. O Sebastian Corrínarefc,50. D. Antonio León, 50. D. Juan y D. M g-id Viña, 50. D Andrés Sánchez Quiroz , 50. D. Antonio Bbras, 50. D Francisco Nnaez, 50. D. Manuel Odrinsola, 50 D. Fulg í c o Z avala, 50. D. Vicente Aborta, 50. D. Francisco Sagasti, 50. D. Pedro Larrañ ga, 25 D. Julián Psraz, 25 O. Jos…</t>
  </si>
  <si>
    <t>…ncisco Bosano , 2 id. D. José Gambini, 1 id. D. Juan de Perlica, 8 id. D. Dimaso de Arias, 6 id. D. Jacinto Xiraeno, 6 id. D. Manuel Ortiz de Villate, 4 id. D. José Rodolfo, 4 id. D. Antonio León, 4 id. D Paulino Domínguez, 3 id. D. Martin de Aramburu, 3 id. D. Francisco Vázquez de Usieda, 2 id. D. José Correa, 2 id. D. Juan Bautista Zaracondegui, 2 id. D. Francisco Antonio Goitesolo, 2 id. D. Miguel Fernando Ruiz, 2 id. D. Andrés Sánchez Quiros, 2 id…</t>
  </si>
  <si>
    <t>León, Marcos García de</t>
  </si>
  <si>
    <t>Marcos García de León</t>
  </si>
  <si>
    <t>…n, aun se ignoraba en Colima el resultado *áe las par: d^s de Oteiza y Solorzano, que sin duda hadan muy buena pre&gt;a. r 41.' En 22 de Junio, el comandante de patriotas de Arandas, D. Marcos García de León., destacó una partida de 40 hombres con tra la gavilla de Juan Estrada, á la que acometieron en el rancho deí Buche, dieran muerte á ó de los rebeldes, hicieron prisioneros al cabecilla, á los llamados coroneles Eustaquio Ponce, José de Lugo y Víctor Estrada,…</t>
  </si>
  <si>
    <t>León, Ramón Poace de</t>
  </si>
  <si>
    <t>Ramón Poace de León</t>
  </si>
  <si>
    <t>…Orrantia, quien recibió en un mudo una contusión de bala de fusil; á mis ayudantes de campo el teniente de una de las compañías del regimiento de infantería provincial de Pue bla D. Ramón Poace de León, y el de la misma cíase de ía Corona D. Rafael Calvo, que con el mayor honor, y haciendo un militar desprecio de las bslas comunicaban siempre mis órdín;.s con pronti tud y tino, y se hallaron en el paso dei puente, al siempre intrépi do teniente de Frontera…</t>
  </si>
  <si>
    <t>Leonard, J. T.</t>
  </si>
  <si>
    <t>J. T. Leonard</t>
  </si>
  <si>
    <t>…que sea favorable. = Firmado = Chauncey•’* Los diarios de Boston dan noticia del apresa miento. de un corsario ingles. Exército del Norte. Del a4. Plattsburgo rü de noviembre. El capitán J. T. Leonard pasa de la comandan En este instante se prepara el exército para en cia de ias lanchas cañoneras á la de la fragata del la trar en el Canadá: hasta ayer, que llegó el general go Autorio. Dearborn, no se supo quando se pondría en movi EL National Inteliigencer…</t>
  </si>
  <si>
    <t>Leopoldosalió</t>
  </si>
  <si>
    <t>…jado de El dia 6 del corriente murió en esta ciudad de modo que siempre los ha tenido en una respetuosa una enfermedad müi aguda el señor conde del im sumisión. Su hijo segundo el príncipe Leopoldosalió perio francés Baraguai de Hilliers, general de divi mandando una expedición dirigida poco hace con sión, coronel general de dragones, gran oficial tra las costas de Ñapóles ; la conducta del principa del imperio, grande águila de la legión de Honor, no corres…</t>
  </si>
  <si>
    <t>Lepirus</t>
  </si>
  <si>
    <t>…ador de la orden mili Ayer vimos entrar en esta ciudad al señor ba tar de Polonia. rón de Beaumont, auditor del consejo de Estado; El mayor Sokoluícki, que manda á los reclutas al señor Lepirus, oficial de ordenanza de S. M. el de los departamentos de Cracovia, Lublin,Radom Emperador, y al señor coronel Deprez , edecán de y Sieldce, habiendo tenido noticia el dia 22 de no S. M. el Rei ae España. viembre de que _una quadrilla de cosacos acababa Del s…</t>
  </si>
  <si>
    <t>Lepiu</t>
  </si>
  <si>
    <t>…Grandjean, al general de caballería Cavaignac, al Cusiría, guarnecida con 3©'hombres, y man general Campredon, comandante de ingenieros, y dada por el general Fornier de Alba. al general Lepiu, comandante de la artillería, se G/ogau, mandada por el general Laplane y el mantiene en la plaza de Dantzick con una guarni de ingenieros Dode, y defendida por 60 hombres. ción que pasa de 30© hombres, provisiones de pan Spandan, á las órdenes del general Br…</t>
  </si>
  <si>
    <t>Lera, Rafael de</t>
  </si>
  <si>
    <t>Rafael de Lera</t>
  </si>
  <si>
    <t>…ometría: á los cadetes D,.¡Rafael de ara, D. Alonso Carrasco y D. Juan María-Muñoz, un estuche de: matemáticas, como mas adelantados en fortificación’; y por ultimo^ á los cadetes D. Rafael de Lera, Dr Manuel Fernandez y Üí" Igna cio Martínez , á cada cual un sable con:o más aprovechados, el pri mero en táctica de infantería, éi ségüiido’en la ’dé ‘ caballería, y el tercero en equitación. Concluid©- este acto se presentaron al público* * * 1 * v * ''“tí…</t>
  </si>
  <si>
    <t>Lerruz, Celedonio</t>
  </si>
  <si>
    <t>Celedonio Lerruz</t>
  </si>
  <si>
    <t>…el fuego hasta las 3 de la tarde : ha tenido de pérdida bastantes muertos, 130 heridos , 9 prisioneros , y también se le han cogido 4 caballos : de nuestra parte , el subteniente D. Celedonio Lerruz, de mi batallón, ha sido herido , y posteriormente ha muer to de sus resultas; lo han sido también 7 soldados y 30 heridos, quedando en poder del enemigo 10 prisioneros. Todo lo que tengo el honor de hacer saber á V. S. para su gobierno Dios &amp;c Puente la Reyn…</t>
  </si>
  <si>
    <t>Lery</t>
  </si>
  <si>
    <t>…l. Bonaparte, en persona , en Goerlitz. — Berthier, mayor general de los exércftos. — Murat, sin mando por ahora. — El general conde Eblee , comandante de artillería. — El general conde Lery, coman dante de ingenieros. — Ei general conde Waither, comandante de la caballería imperial. 2.p Linea del Piba inferior. Davomt, en Hamburgo, y á sus órdenes los generales Vendamme y Loison. 3.0 L usada. Oudinot, en Lnbenau &amp;c. 4.0 Silesia. Mariscales: Mort…</t>
  </si>
  <si>
    <t>Lesefinsí</t>
  </si>
  <si>
    <t>…ados muertos, un capitán, dos subalternos y tres soldados4 iieridos '," un Subalterno y un soldado contuso, n;* '." El señor general en gefe ha* mandado Édí las gfaciQS ál 5señdr' coronel Lesefinsí encargándole-que ensti ’npmbr^4ñs dé^aíilsértc&gt;r. ayu'dár!te- segundo "Sfcerlingvy á los demas oficiales1 y tropli1'que concurrieron á esta acción, ac Ei ayudante general gete del errado mayor3= F. X.--Gabanes. •</t>
  </si>
  <si>
    <t>Lesen</t>
  </si>
  <si>
    <t>1230</t>
  </si>
  <si>
    <t>…las inmediaciones de este último, por las compañías de granaderos y cazadores de ios regimientos de Baza y Leales Manresanos, que oportunamente envío d sde S. Feliú de On dinas el coronel Lesen :e , gefe de U primera bridada de la primera división-á las ór ‘enes del gefe de estado mayor de la misma, el ayu dante segundo D. Franci-co Severo Sterling. La oportunidad con que fueron destacadas y sostenidas estas tropas, hace honor ¡d expresado coronel L…</t>
  </si>
  <si>
    <t>Lesenne</t>
  </si>
  <si>
    <t>…nme diaciones de este último por,las compañías de granaderos y cazadores de los regimientos de Baza y Léales manresanos, que oportunamente envió desde S. Feliu de Codinas el señor coronel Lesenne, gefe de la primera brigada de la primera- división , á las órdenes .del gefe del estado, mayor de la misma el ayudante segundo D^ Franci^Ed Severo. Sterling. ¡i ■- ^ : La oportunidad con’que* fueron destacadas y sostenidas estas tropas hace honor, al expresa…</t>
  </si>
  <si>
    <t>…el gefe de estado mayor de la misma, el ayu dante segundo D. Franci-co Severo Sterling. La oportunidad con que fueron destacadas y sostenidas estas tropas, hace honor ¡d expresado coronel Lesenne , así como el .modo con que se portaron manifiesta la oportuna y conducente dirección que supo darles el ayudante Ster ling, y la bizarra con que este y sus dignos oficiales supieron condu cirlas á la victoria. El número de los enemigos era á corta difierenci…</t>
  </si>
  <si>
    <t>Lesenrte</t>
  </si>
  <si>
    <t>…te consiguen las tropas aliadas sobre las francesas* El dia 7 del corriente una división enemiga del éxército de Suchet, com piles ta de 4© hombres, atacó los puestos que cubre el coronel Lesenrte. Este# reuniendo su brigada, cuya fuerza no pasa de 3® hombres, en S. Felfiráe Codinas rechazó al enemigo bizarramente, y le ocasionó una pérdida con siderable*. 1a nuestra fue de unos 50 hombres. Este primer éxército (dice una de las citadas cartas) se compo…</t>
  </si>
  <si>
    <t>Leso</t>
  </si>
  <si>
    <t>…o á pie quieto al enemigó. ¿ A las nueve de la mañana se supo que marchaba sobre toda la línea. A las iq se había ya trabado el fuego de artillería. , El príncipe Poniatowsky y el general Leso! defendían él puente de Connewitz. E| Rei de Nápoles con ei segundo cuerpo estaba en Probstheydej y el duque de Tarento en Holzhausen. ' 1 Todos los esfuerzos del enemigo durante el dia contra QonneWitz y* Probstheyde se; frustraron, El duque'de Tarento salió…</t>
  </si>
  <si>
    <t>Letort</t>
  </si>
  <si>
    <t>…perfectamente organizados y disciplinados. El general de artillería del exército Nourrit, y el general Devaux., ma yor de la artillería de la guardia, merecen ser distinguidos. El general Letort, mayor de dragones de la guardia, aunque herido en la batalla de Wa chau, quiso atacar al frente de su regimiento, y le mataron ei caballo. El 31 por la tarde el gran quartel general estaba en Francfort: el duque de Treviso, con dos divisiones de la guardia n…</t>
  </si>
  <si>
    <t>Letrado</t>
  </si>
  <si>
    <t>…víe la opinión por medio de extractos equivocados. Se hallarán á real cada pliego en el despacho de la misma imprenta desde el núm. 1.® Por la audiencia del Sr. D. Francisco Asín, juez Letrado de primera instancia en esta villa, y por la escribanía del número de D. Josef Antonio Canosa, se ha llan radicados ios autos de testamentaría formados por fallecimiento de D. Domin go de la Peña y Doña Alexandra Caballero, legítimos consortes, vecinos que fu…</t>
  </si>
  <si>
    <t>Leuven</t>
  </si>
  <si>
    <t>…niente general conde Pablen se halla en Welike Sabelie. Dia 30. El cuerpo del teniente general Saken continúa su mar cha en la dirección que se le tenia indicada. El mayor general conde Leuven arrojó al enemigo de Komosehin, donde hizo prisioneros á un capitán y 82 soldados polacos. Dia l.6 de Febrero. El cuartel general del emperador Alexandre y del general, en gefe se trasladará hoy á la ciudad de Mlawa. Dia 2. Los enemigos que componen la guarni…</t>
  </si>
  <si>
    <t>Leva</t>
  </si>
  <si>
    <t>…Torresuer. General en gefe de artillería ®1 general de briga da Bouckn. General en gefe de ingenieros el general de briga da Gar?e. — Infantería: primera división alas órdenes del general Leva!, 4500 hombres, en Madrid. 4í ?gurqla á las del general Daricau, 7500, dé Madrid á Segó vía. Tercera á las ¿el general Yíüaí, 0200: desde Tálavsra pasó á Castilla. Cuasia á las de Conroux, 8200, en Avila y hacia Salamanca. Tota!, hombres.— 'labalíe* ría: dos…</t>
  </si>
  <si>
    <t>Leval</t>
  </si>
  <si>
    <t>…. Están encaxonandú á toda prisa los restos de la casa de moneda y de la bibliote ca real. Id. 18. Se asegura que el intruso llegó á Burgos el 7, y que con tinuó sn viage el 9. Ei general Leval ha manifestado la necesidad que tienen de marchar pronto aunque los exército» aliados no hagan movimiento, y él per si ha pedido 1000 duros, 1'0000 raciones y uu tiro de muías. — E ta tarde ó mañana sale el general Hugo con un convoy. Id. 19. £1 18 salieron d…</t>
  </si>
  <si>
    <t>…falsedad de esta noticia, se entregaron á celebrarla con vivas y aclamacio nes, con banquetes, y aun con la obscenidad y embriaguez. Mas no por esto suspendió sus preparativos el general Leval. Sabia este los movimientos de todos ios exércitos; y la aproximación del Empecinado, asi como el ten sor que notaba en sus soldados, rechazados con tanta gloria nuestra en los campos de Torrejon, le obligaron á no perder momentos. En aquella misma tarde se p…</t>
  </si>
  <si>
    <t>*&lt;5*. El general Leval comunicó despnes del medí» día varías órdenes á las guardias de las puertas de esta capital, para que ninguna persona, fuese soldado ó paisano ,, nombre ó muger, saliese por ellas, permitiendo la entra da á quantos se hallasen fuera. A las tres de la tarde en…</t>
  </si>
  <si>
    <t>Levequé</t>
  </si>
  <si>
    <t>…ánimo que'disj&amp;ingue al generó Drouet. El general Nansouty marchó por la derecha de.estas baterías, y mandó que un cuerpo de 10® nombres de caballería enemiga fuese atacado por el general Levequé, mayor de la guardia antigua, por la división de coraceros de St. Germain, y sucesivamente por los granaderos y dragones de caballe ría de la guardia. T¡odos estos ataques tuvieron el mas feliz resultado: la ca ballería enemiga fue destruida y acuchillada : v…</t>
  </si>
  <si>
    <t>Lewis</t>
  </si>
  <si>
    <t>…10000 hombres y 30 piezas de artillería, mostrando intenciones de atacar. El mayor general Weljaminow recibió orden de retirarse en tal caso á su primera posición , y el teniente general Lewis, que mandaba el cuerpo del coronel Riedinger y Friedrickstadt, tuvo orden de aproximarse á Riga y tomar posición en la orilia derecha del Duna, en tanto que el mayor general Weljaminow debía defender ía izquierda. De este modo quedaba la ciudad en perfecta se…</t>
  </si>
  <si>
    <t>…nor duda en el buen éxito de la acción, mayor Sanduscky, ha sido por desgracia demasiado cierto. mente si considero la disposición de las tropas, y Al destacamento que mandaba el coronel Lewis le el modo cómo recibieron ayer mis. insinuaciones? reforzó con 250 hombres el general Winchester, y por otra parte la pasión que en este momento les tomó su mando el dia 20 en el rio de Raisin; mas agita es el deseo de vengar á sus camaradas, y re el 22 fue…</t>
  </si>
  <si>
    <t>…á 400 hombres, hacien do prisioneros ¿ casi todos. El cuerpo rus© que bloquea á Dantzick consta de 15 á 16000 hombres , la mayor fsrrte de la guarnición de Riga, á las órdenes del general Lewis : delante de Thorri hay otro cuerpo de 10000 hom bres al mando ¿el general Laogeronne. Fxtracto de una carta da las inmediaciones de Dantzick, fecha á Ifi de Marzo. Estamos sumamente satisfechos de la disciplina y humana con ducía del exército sitiador, al qu…</t>
  </si>
  <si>
    <t>Lezama, Tadeo</t>
  </si>
  <si>
    <t>Tadeo Lezama</t>
  </si>
  <si>
    <t>…tán graduado D. Marcos Llamas, que agregué á mis edecanes, no se me separó un momento , y me proporcionó su ca ballo en un lance bien apurado en que me mataron el que monta ba. El teniente D. Tadeo Lezama , intrépido , activo y de toda mi</t>
  </si>
  <si>
    <t>Lfobschutzy</t>
  </si>
  <si>
    <t>…varios ataques volvió á entrar en sus atrincheramientos1 frente de Wittemberg. Al dia-siguíen^ te 5 se renovaron ios mas obstinado^, afaqpes contra Zahme, y á pesar del valor .del general Lfobschutzy de las tropas de su mando, la posición fue to mada: lo mismo sucedió,rdespues de iiUá gran resistencláy á la posición de Seida, qtie ocupaba el cuerpo del general Tavenzien. Los partes que daban los habitantes aefpáisV puestos avanzados "y agentes secretos an…</t>
  </si>
  <si>
    <t>Lgi</t>
  </si>
  <si>
    <t>239 VARIEDADES. inquisitoriales que en tiempo de Felipe n experi mentaron el arzobispo de Toledo y el doctor Lgi— Artículo comunicado. dio, la muerte del doctor Cazalia, la cuestión de tormento del obispo Constantino Ponce, y el trá gico lindel príncipe D. Cario:? IITERATORA. Para que se juzgue con acierto del estado de opresión de los ingenios españoles al empezar el r…</t>
  </si>
  <si>
    <t>Lho-</t>
  </si>
  <si>
    <t>…casionan siempre una fuerte agitación en extracción del ácido pirolignoso de brea y otras Jos golfos y estrechos, y muchas veces inundan los substancias vegetales, asociado coa el señor Lho- terrenos adyacentes; y ñ los ¡ages inmediatos le-, co monJ. munican un. gusto salobre. Los vientos que Jas pie-</t>
  </si>
  <si>
    <t>Li</t>
  </si>
  <si>
    <t>ki Trinidad; pero ninguno de ellos pudo concurrir, reformas", decíanian abiertamente contra ellas, manporque se hallaban ocupados en casa de lord Li tienen"una' guerra declarada contra sus autores, y verpool. aumentan de este modo el d'e'contento del pueblo, Madama Lisie, á quien se ha enviado ya á bus acostumbrado á respetarlas. Todo esto era mui na car por dos veces para ser examinada por los mi tural q…</t>
  </si>
  <si>
    <t>Liaño, Ramón Gómez de</t>
  </si>
  <si>
    <t>Ramón Gómez de Liaño</t>
  </si>
  <si>
    <t>(Convoco al capitán de patriotas D. Ramón Gómez de Liaño ■. qrien partió á unírsele con su faerza, saliendo inmediatamente dól pueblo de Teocaltiche en que se hallaba. Ambos reunidos atacaron intré pidamente á la canalla: Liaño, por la izquierda derrotó una colum na de caballería persiguiéndola por .mas^de 2 leguas…</t>
  </si>
  <si>
    <t>Liauder</t>
  </si>
  <si>
    <t>39</t>
  </si>
  <si>
    <t>…rria, hacerle mu chos prisioneros, y dexarla reducida á solos 300 hombres. El señor general en gefe,^deseoso de que todo el exército y principado celebre la brillante conducta del coronel Liauder y délas bizarras tropas de S. Fernando, Tarragona y la partida de húsares de Cataluña, que esta ba agregada á esta brigada, ha mandado dar noticia de esta acción en la or den general. = El ayudante general gefe de estado mayor = F. X. Cabanes. Madrid 10 de Ju…</t>
  </si>
  <si>
    <t>…„ Tei\go el honor de incluir copia del parte que el general Copons me da de una Btillante acción, que tuvo en Cataluña el 7 de mayo una brigada de tropas españolas mandada por el coronel Liauder. He recibido otro parte, aunque no de oficio, que expresa que el 17 de dicho mayo el general Copons habla batido al enemigo en la posición de Concal, cerca del Abisbal. „ Dios guarde á V. E. muchos años. Irurzun 24 de junio de 1813. = Wellington, duque de Ciu…</t>
  </si>
  <si>
    <t>Lichstenstein, Mauricio</t>
  </si>
  <si>
    <t>Mauricio Lichstenstein</t>
  </si>
  <si>
    <t>…s aldeas que Jvai á la derecha del Keutschove. El general Giulay con 25® austríacos ma niobró en la orilla izquierda del Elster. Las tropas que mandan los generales Thielman, y el príncipe Mauricio Lichstenstein se dirigieron hacia el mismo rio, y el resultado de esta jornada fue que el enemigo perdió mas de 40® hombres, entre muertos, heridos y prisioneros, 65 cañones , y ademas 17 batallones de infantería alemana, que con sus generales y banderas deserta ron en mas…</t>
  </si>
  <si>
    <t>Lichtenstein</t>
  </si>
  <si>
    <t>…una continua nube de balas. El general conde Wittgenstein , el duque de Wittemberg, lo &gt; generales de arti llería conde Colloredo y Meerfeld, el general Ziethen , el teniente feld-mariscal Lichtenstein, Lopstc, Czorich, el mayor LuE Geypert y el capitán Do¿ry, han tenido una particular ocasión de distingairse. Los tres exércitos aliadoi pelearon nuevamente en este día tan fraternalmente unidos como animados del mismo espíritu. Al dia siguiente de la batalla…</t>
  </si>
  <si>
    <t>Lichtenstéin</t>
  </si>
  <si>
    <t>…tidas con el objeto de hacer reco nocimientos , al mismo tiempo qué el cuerpo del gene na i Kíeimu se dvstaccá de nuevo por la izquierda, reforzado por dos divisiones ai mando del príncipe Lichtenstéin. Al medio día del 13 Continuó su retirada el enemigo rompiendo y destruyendo los caminos que conducen á Drecde en todas direc ciones. Esto retardará ea algún modo la marcha de los aliados, y aun dificultará mas cualquier movimiento lateral 6 de flanco. Se han…</t>
  </si>
  <si>
    <t>Lichtenstein, Aloys Von</t>
  </si>
  <si>
    <t>Aloys Von Lichtenstein</t>
  </si>
  <si>
    <t>…a lluvia de balas. El general conde de TVirtgepstein, el duque &lt;de Wittemberg, los generales de artillería conde de Colloredo y Meersfeld, el general Von Ziethen, el teniente feld-mariscal Aloys Von Lichtenstein, los tenientes coroneles Lemony, Lopefte y Czorich , que «e distinguió particuferMente en el principio de la acción, el ma yor Luis Geypert y el capitán Duery tuvieron ocasión de distinguirse con particularidad-----Los exércitos se hallan en la actualidad ani…</t>
  </si>
  <si>
    <t>Lichtenstein, Luis</t>
  </si>
  <si>
    <t>Luis Lichtenstein</t>
  </si>
  <si>
    <t>…a -reserva austríaca de CabsLería. se movieron para desalojar al ene migo de Ilochheiín, cuya ciudad y posición estaban fortificando. E1 cuerpo del generai Meerfeidt, al mando del príncipe Luis Lichtenstein, se dirigid para Donnermiihl entre Hochst ‘y Csssel. Ei ataque comenzó á las 2 de la tarde. El enemigo hizo mucho fuego con su artillería de Hochst contra ó piezas de la columna del príncipe Luis, y arf°jd muchas bombas con sus morteros de Cassd.— Toda la ar…</t>
  </si>
  <si>
    <t>Lichtenstein, Luis de</t>
  </si>
  <si>
    <t>Luis de Lichtenstein</t>
  </si>
  <si>
    <t>…de la batalla envió el emperador de Rusia al ge neral de artihería conde de Colloredo las insignias de la orden mili tar de S. Jorge de tercera cíase; y al teniente fi;ld-maris;al príncipe Luis de Lichtenstein una espada de honor con guarnición de oro en gastada de diaman :es , y una inscripción de las mismas piedras. Las noticias acabadas de recibir de Dantzick son, que ya se habían abierto las paralelas delante de aquella fortaleza. Cuartel general de Toplitz 20…</t>
  </si>
  <si>
    <t>Lichtenstein, Mauricio</t>
  </si>
  <si>
    <t>Mauricio Lichtenstein</t>
  </si>
  <si>
    <t>…izquierda. La columna de la iz quierda la mandaba el príncipe Augusto de Prusia : tres divisiones de austríacos por la izquierda de la ciudad , al mando del conde Colloredo y del príncipe Mauricio Lichtenstein , te reunieron á los prusianos ? estos formaban el centro del ataque. Un horrendo caño neo principió el ataqúe: como las baterías estaban colocadas en for ma circular al rededor de la ciudad , el efecto era extraordinario: los hermosos edificios de Dresde est…</t>
  </si>
  <si>
    <t>Lichtenstein, Mauricio de</t>
  </si>
  <si>
    <t>Mauricio de Lichtenstein</t>
  </si>
  <si>
    <t>…en flanco y reta guardia. Luego que se conoció esto, y viendo que no era posible tomar la plaza aquella noche, se dio órdea para que las tropas se retira sen á sus campamentos. El príncipe Mauricio de Lichtenstein dio ad mirables disposiciones por el lado que el enemigo hizo su salida, y así evito todo desorden. Esta empresa ofrecía grandes dificultades: no hay tropas que se pueden distinguir mas; y en mi opinión, si hubiera sido posible apoderarse de la plaza en estas…</t>
  </si>
  <si>
    <t>Lie</t>
  </si>
  <si>
    <t>\ 226 4.0 Sr. Lie. D.' Francisco Hernanz de Vargas, vecino de Lozoya. '5.0 Sr. D. Baltasar Carrillo Lozano y Manrique, vecino de Atienza. 6.a Sr. D. Ventura de Zudiaur, vecino de Cifuentes. 7.0 Sr. D. Fernando García del Olmo, vecino de Alcolea del Pinar. Suplentes. i.° Sr. D.…</t>
  </si>
  <si>
    <t>Limonta, José</t>
  </si>
  <si>
    <t>José Limonta</t>
  </si>
  <si>
    <t>…ule.— El duque del Infantados—Joaquín* de Mosquera y Fgueroa. —Juan Vi lavieencio — Ignacio Rodrigue*', de Rivas. — Juan Perex Villamil. — En Cádiz á 10 de Diciembre; de 1812. — A D. José Limonta.” Segundo. D. Fernando vii , por la gracia de Dios y perla constitución; de la monarquía española, rey de las Españas, y en su ausencia.y cautividad la Regencia del reyhó,nombrada por las Cortes generales y extraordinarias, á todos los que las presentes viere…</t>
  </si>
  <si>
    <t>…itlaviccudo, presidente. — El JIuque del Infantado. — Joaquín de Mosquera y Figueroa. -— Ignacio Rodriguex de Ricas. — Juan Páren Villamil. — £n Cádiz á li d# Febrero de 1813.-— A D. José Limonta. JLa Regencia provisional del reyno se ha servido expedir el decredo que sigue: D. Fernán no vti, por la gracia de Dios y parla constitución de la monarquía española, rey de las Empañas, y en su ausencia y cautividad la Regencia provisional del reyno vnombrad…</t>
  </si>
  <si>
    <t>…se im prima , publique y circule. — L. de Barbón, cardenal de Scala, ar • zobispo de Toledo, presidente. — Pedro de A$ar. — Gabriel CU» car. ■— En Cádiz á 22 de Marzo de 1813. — A D. José Limonta. La Regencia ha mandado se vista la corte de luto por nueve dias, empezando desde el lunes 26 del corriente, por el fallecimien to de S. A. la duquesa Augusta de Brunswick Wolfembutel, herma na del rey de la Gran Bretaña , y madre de S. A. R. la princesa de G…</t>
  </si>
  <si>
    <t>…m prima y publique.si. de Sorben, cardenal de Seaia, sr¿obispo de Toledo, presidente. = Pedro de Agar. r= Gabriel Ciscar. = E11 la Re¿l Isla de León ¿ i.° de Noviembre de xSx3.s=A D. José Limonta. La Regenc’a del Reyno ha tenivio á bien mandar que se inserte eu la gaceta del Gobierno la circular que en 20 del corriente dirigid desde Aígsciras á_la$ juntas de sanidad de aquel diitrito el comandan te general dal campo de S. Roque. ,,Repetidas veces teng…</t>
  </si>
  <si>
    <t>Limonta, José de</t>
  </si>
  <si>
    <t>José de Limonta</t>
  </si>
  <si>
    <t>…e im prima y publique, si. ele Barbón, cardenal de Scsla, arzobispo de Toledo, presideate.=F&lt;?¿/r* de Agar.zz Gabriel Ciscar.=F.n la Real Isla de Leo» i 18 de Octubre de 1813.5= A D. José de Limonta.</t>
  </si>
  <si>
    <t>Limonta, Josef de</t>
  </si>
  <si>
    <t>Josef de Limonta</t>
  </si>
  <si>
    <t>…n tual cumplimiento.:= L. de Borbon, cardenal de Scala, arzobispo de Toledo, presidente, rs Pedro de Agar. =:Gabriel Ciscar. = En la real Isla de León á 24 de octubre de 1813. = A D. Josef de Limonta.” Por providencia del Sr. D. Domingo Benito Quintana, juez interino de primea ra instancia de e ta villa, refrendada del escribano de provincia D. Manuel López de Rivas, se cita y emplaza 4 todas las personas que por qualquier título ó con cepto crean poder t…</t>
  </si>
  <si>
    <t>Lin</t>
  </si>
  <si>
    <t>…l P. D. No puedo omitir los nombres del coronel Pamplona, del teniente coronel del 18 Pyn, del teniente coronel Grant, coman dante del sexto regimiento de la división del teniente general Lin, y del mayor Mitcheíls del sexto batallón de cazadores de la brigada del coronel Ashworth. Qiro del mismo al mismo, su fecha en Elizondo el r.# de Agosto. ••Milord: Tengo la honra de participar á V. E. de que en cum plimiento de las instrncciones que recibí p…</t>
  </si>
  <si>
    <t>Linares, Angel</t>
  </si>
  <si>
    <t>Angel Linares</t>
  </si>
  <si>
    <t>247 no tuvo mas pérdidá que ía de algunos contusos de-piedra., y un herido de bala levemente. 51. En 22 de ídem, el teniente coronel D. Angel Linares, se gundo comandante de la primera división de este exército, á su trán sito por la congregación de Arandas para la villa de Lagos, con el objeto de escoltar el convoy dirigido de México á esta capital, en contró á las 5 y media de la mañana ua pelotón de mas…</t>
  </si>
  <si>
    <t>Linares, Antonio</t>
  </si>
  <si>
    <t>Antonio Linares</t>
  </si>
  <si>
    <t>…de las tropas del rey. Id- 5 de Marzo. El brigadier D. Tórcuato TruxiUo, con fecha de i.° del cor riente ha entregado á este superior gobierno el parte que le dirigió el teniente coronel D. Antonio Linares, comandante interino de la provincia de Valladolid , relativo á la acción gloriosa que sostuvo el 31 de Enero pasado contra les rebeldes; y dice así: »En el parte que con fecha 3 del corriente remití á V. S. sobre el ataque que sufrió esta ciudad’el 31 de Ene…</t>
  </si>
  <si>
    <t>Linares, Fermín de</t>
  </si>
  <si>
    <t>Fermín de Linares</t>
  </si>
  <si>
    <t>…e se encerró en Mallen. „ Estos dos ge fes merecen mi recomencíaeien*, como igualmente mis ayudantes González y Al vistor; y no estoy menos obligado al caballero auditor de guerra D. Fermín de Linares, por su actividad en comunicar mi» órdenes, y esmero en facilitar la marcha de algu nos cuerpos, cuyo servicio desempeñó útilmente, valido de su co nocimiento en el terreno. &gt;Ld pérdida por ambas partes ha sido poco considerable. — Dios guarde á Y. E. muchos…</t>
  </si>
  <si>
    <t>Linares, Francisco</t>
  </si>
  <si>
    <t>Francisco Linares</t>
  </si>
  <si>
    <t>22 9 8.° D. Francisco Linares, natural y residente en Valdenioro. 9.0 D. Juan Peñuelas de Zamora, natural y residente en Madrid. 10. D. Felipe Artalejo , natural y residente en Pinto... . . , 11. D. Josef Martin y Montes, natural y,residente en Torrejon de Velasco. 12. D. Patricio Magano,…</t>
  </si>
  <si>
    <t>Lindo, Juan Nepomuceno</t>
  </si>
  <si>
    <t>Juan Nepomuceno Lindo</t>
  </si>
  <si>
    <t>…nga. Dios guarde á F. S. muchos años. Sta. Marta 5 de Muzo de 1813 —* Francisco Antonio Lineros. — Sres. del ilustre cabildo del Rio Ha cha. — Es copia de su original. — Apodacm.” D. Juan Nepomuceno Lindo, originario de la cindad de Gomayagua,, capital de la intendencia de su nombre en la provincia dé Goateraala, solicitó permiso para levantará sus expensas en Aqué lla ciudad una columna, que sirviese para perpetuar la memoria di la publicación de la G institu…</t>
  </si>
  <si>
    <t>Lingan</t>
  </si>
  <si>
    <t>…ará imposibilitado de hacer el menor comercio en mucho tiempo, y pagará bien caro el levantamiento de su populacho, en que destruyeron la imprenta de la gaceta federal, mataron al general Lingan, emplomaron al ingles Thompson , y cometieron otros horrores de esta clase*</t>
  </si>
  <si>
    <t>Lion</t>
  </si>
  <si>
    <t>…solo fueron 296 de línea y de milicias. Dícese que los americanos evacuaron la ciudad tres ó quatro dias después que la tomaron. Del 79. Se ha recibido hoi un oficio del brigadier general Lion, empleado en Alemania en servicio particular, con fecha de 4 de junio, cuyo extracto es el siguiente. Habiendo llegado ayer por la tarde de Weismar, aprovecho el primer momento para remitir una copía de la relación oficial firmada por Czevnicheíf, en que da c…</t>
  </si>
  <si>
    <t>Lir.ño, Ramón Gómez de</t>
  </si>
  <si>
    <t>Ramón Gómez de Lir.ño</t>
  </si>
  <si>
    <t>…fl extracto de los partes de Nueva-España* 43. En 5 de Julio, el cura capitán D. Francisco Alvarez con sm cuerpo volante, y algunos fusileros y lanceros destacados por el ca pitán D. Ramón Gómez de Lir.ño, á las órdenes del capitán D. Marcos Hornelas, se dirigieron para el cerro del Alzado, cerca de la hacien da de S. Pedro de los Villalobos, donde se hallaba una gruesa gavi lla, acaudillada por varios cabecillas. El cura comandante, con su in trepidez ordinar…</t>
  </si>
  <si>
    <t>Liraonta, José de</t>
  </si>
  <si>
    <t>José de Liraonta</t>
  </si>
  <si>
    <t>…is se im prima , publique y circule. — L. de Borbon, cardenal de Scala, ar zobispo de Toledo , presidente. — Pedro de Agar. — Gabriel Ciscat\ — En Cádiz á 22 de Marzo de 1813. — A D. José de Liraonta; Segundo. D. Fernando vii , por la gracia de Dios / por la constiíucioa de la monarquía española, rey de las Españas, y en^su ausencia y cautividad la Regencia del reyno , nombrada por las Cortea genera las y extraordinarias , á todos los que las presentes vi…</t>
  </si>
  <si>
    <t>Litigan</t>
  </si>
  <si>
    <t>…rá imposibilitado de hacer el menor comercio en mucho tiempo, y pagará bien caro el levantamiento de su populacho, en qué destruyeron la imprenta de la gazeta federal, ma taron al general Litigan, emplumaron al ingles Thompson, y cometieron otro$ horrores dé esta clase. Washington 2$ de mayo. 7 El presidente de los Estados-Unidos remitió á las dos cámaras del con greso el siguiente mensage: Conciudadanos del senado y de la cámara de los representantes…</t>
  </si>
  <si>
    <t>Litta, Julio</t>
  </si>
  <si>
    <t>Julio Litta</t>
  </si>
  <si>
    <t>227</t>
  </si>
  <si>
    <t>…exército, S. M. continuó su que de Elchingen.” marcha , y yo seguí sin detenerme; pero siempre I&gt;el 08. que e! enemigo se presentó, fue batido. He tenido Extracto de una carta del conde Julio Litta d la pérdidas considerables por el cansancio, por el frío princesa Bagration en Viena.y por la de gracia de haber perdido los caballos de tiro Estas pérdidas me causan el mayor dolor; pe St. Petersburgo 6 (18) de diciembre de i8í2&gt; ro V. A. sabe muí bien que…</t>
  </si>
  <si>
    <t>Liuristan</t>
  </si>
  <si>
    <t>…puentes están cortados ,. decían , y el enemigo á nuestra retaguardia!Estos infelices se dispersaron y buscaron su salud en la luga. El. duq' e de Tarento. pasó ei rio á na do; el conde Liuristan , m nos dehoso, se diogó; el prír cipe Poníatowski montó en un cabado fogoso, arrójese al agua, y no ha pere cido, mas. El emperador no supo este desastre hasta que ro era ya tiempo de remediarlo. El coron.l Monfort y el cabo están en consejo de guerra. Aun n…</t>
  </si>
  <si>
    <t>Liuzo, Marcos</t>
  </si>
  <si>
    <t>Marcos Liuzo</t>
  </si>
  <si>
    <t>…l din siguiente. También han muerto 6 húsares y 27 caballos. Los capitanes Cavatina y Falcoa fueron heridos , igualmente que 30 húsares y 36 caballos. El capitán de flahqiieadores D. Marcos Liuzo&amp;ín perdió su caballo en la acción. Fui testigo presencial de esta, mandé la caballería, y rae arrojé con ella sí enemigo , y con la misma decidí ía batalla. Haría un agravio , tanto á la infantería y caballería, como k sus val-entes y dignos oficiales , sino…</t>
  </si>
  <si>
    <t>Liverpool</t>
  </si>
  <si>
    <t>…l pensar que la dirección de los los Estados-Unidos, y en donde este no ha dismi negocios está confiada al noble vizconde y al ilus nuido en nada. ( Escuchad, escuchad/) tre conde lord Liverpool. Quisiera sin embargo El bilí se leyó por tercera vez, y pasó. olvidar lo que ha pasado en una isla vecina; pero Lord Hollaud propuso entonces sus enmiendas, en una ocasión como esta se me acuerda á pesar á saber: i.* que se empleasen dos jueces de paz en ini…</t>
  </si>
  <si>
    <t>…tar sea del todo satisfactoria para los gación por los naufragios que anualmente cubren intereses de las fábricas cu Inglaterra. sus aguas con los despojos de un gran numero de El conde Liverpool niega que él y sus compa navios; su fondo es mui desigual; sus corrientes rá ñeros hayan cometido error, adoptando la anterior pidas , y muchas veces contrarias unas á otras, y conducta política; al contrario, insiste en sostener sus tempestades largas y viol…</t>
  </si>
  <si>
    <t>…ARA DE LOS PARES. Sesión del dia 18 de Diciembre. Habiéndose leído el mensage del príncipe regente relativo á fa cilitar socorros pecuniarios á la nación rusa (I), tomó la palabra lord Liverpool, comenzando su discurso con la observación de que entre los acontecimientos extraordinarios ocurridos de 20 años á esta parte, no había otros mas importantes, mas singulares, y acaso mas inesperados que los de estos últimos seis meses. Hemo3 visto, dixo, la m…</t>
  </si>
  <si>
    <t>…ire ha mani ció de la renovación de los privilegios exclusivos da festado deseo de que tenga una conferencia sobre la compañía, y se decidió en ella que para discu este asunto con lord Liverpool y con él mismo la tir el asunto con mayor libertad no se escribiese comisión de correspondencia, antes de proseguir la minuta, y al fin de la misma resolvieron comunicar que le es relativa. por escrito su opinión sobre todos los puntos los También ha añadido…</t>
  </si>
  <si>
    <t>Liverpool’</t>
  </si>
  <si>
    <t>Gaceta de Madrid n.º 87</t>
  </si>
  <si>
    <t>…icese también de plan quando el daño haya- llegado á un término ,*que se. les remitieron copias de ella al lord canci t,¡n lamentable! Este es el deseo inas vehemente de ller y al lord Liverpool’; pero el redactor del Mormi corazón, tanto por ei amor de mi hija, como tiine~(hront\l,' sube mui bien qüe ninguna de estas por el ínteres de su país. personas ha recibido la copia que publicó. „ Lo? que han.aconsejado áAr. A. R. que aguarde Fixando pues la a…</t>
  </si>
  <si>
    <t>Lizana, IX Pedro Villacampa Maza de</t>
  </si>
  <si>
    <t>IX Pedro Villacampa Maza de Lizana</t>
  </si>
  <si>
    <t>…guer ra inglesa Martrige, del capitán Hady» con cinco millones y medié de rs. para aquel exército. El dia 16 del corriente se publico en esta capital la siguiente orden del señor gobernador IX Pedro Villacampa Maza de Lizana &amp;c. Debiendo velar sobre la tranquilidad y sosiego público del heroico pue blo de Madrid, modelo de virtud y patriotismo , y siendo responsable de' la seguridad de esta plaza, que va á ser dentro de pocos dias la residencia del cuerpo soberano nacional y de l…</t>
  </si>
  <si>
    <t>Llaader</t>
  </si>
  <si>
    <t>563 £1 Sr. general en gefe, deseoso de que todo el exército y prin cipado celebre la brillante conducta del coronel Llaader, y de las buami trapas de S. Femando, Tarragona y la partida de húsares de Cataluña, que estaba agregada á esta brigada, ha mandado dar noticia de esta acción en la órdon general. — £1 ayudante general gefe de estado mayor — F. X. Cabanes. Ciudad llodi igp 24…</t>
  </si>
  <si>
    <t>Llader</t>
  </si>
  <si>
    <t>…na. «Tengo el honor de incluir copia del parte que el general Copons me da de una brillante acción que tuvo en Cataluña el 7 de Mayo una brigada de tropas españolas mandada por el coronel Llader (1). He recibido otro parte, aunque no de oficio, que expresa que el 17 de dicho Mayo el general Gopons había batido al enemigo en la posición de Concal cerca del Abisbal. «Dios guarde á V. E. muchos años. Irurzun 24 de Junio de 1813. zszWellington \ duque de…</t>
  </si>
  <si>
    <t>Llamas, Francisco Xavier</t>
  </si>
  <si>
    <t>Francisco Xavier Llamas</t>
  </si>
  <si>
    <t>…omiendo muy particularmente el valor y buena con ducta del coronel de Pravia D. Francisco Moreda, que mandó estas tropas, la del digno teniente coronel del regimiento del Príncipe D. Francisco Xavier Llamas, que mandó dicho cuerpo, y la de los oficiales y tropa que los componen, y los hallo muy acreedores á que el Gobierno les dispense las gracias que tenga por convenien te.— En ios dias 27 y 28 hicieron los enemigos varias salidas de la. plazacontra las tropas…</t>
  </si>
  <si>
    <t>Llamas, Marcos</t>
  </si>
  <si>
    <t>Marcos Llamas</t>
  </si>
  <si>
    <t>…is ayudantes el capitán D. Mariano Flores , y el teniente D. Juan Manuel de la Fuente, es tuvieron á mi lado, y llevaron mis órdenes con la mayor puntuali dad. El capitán graduado D. Marcos Llamas, que agregué á mis edecanes, no se me separó un momento , y me proporcionó su ca ballo en un lance bien apurado en que me mataron el que monta ba. El teniente D. Tadeo Lezama , intrépido , activo y de toda mi</t>
  </si>
  <si>
    <t>Llaneras</t>
  </si>
  <si>
    <t>…. La regencia, ya vacilante, fue acusada de con silencio sobre este negocio, y que el señor Ros nivencia en esta falta de cumplimiento del decreto volviese á ocupar su asiento. El señor Llaneras, to de las cortes; y este incidente precipitó su caida en mando otro rumbo, pidió que se señalase la lei ex la noche del-S.Se marzo, en cuya mañana se ha presa en que el tribunal habia fundado su fallo. bian leido en el congreso las tres representaciones El s…</t>
  </si>
  <si>
    <t>Llano, Ciríaco de</t>
  </si>
  <si>
    <t>Ciríaco de Llano</t>
  </si>
  <si>
    <t>…de 181?. — Luis del Aguila.— P. D. Vari as declaraciones contentes de prisioneros y de algunos que se han fugado de Tehuacan , confirman que Morolos está herido en un brazo. — Sr. brigadier D. Ciríaco de Llano.” Efectos cogidos ai enemigo.— Cañones de diferentes calibres , 11. Balas de cañón, 210. Racimos de metralla, 13. Sequillos d® lo mis mo, 100. Cartuchos de cañen , 515. Idem de fusil, 15420. Secos de pólvora, 2. Pólvora á granel, 6 arrobas. Tspspiccs, 30. Pal…</t>
  </si>
  <si>
    <t>…en 20000; pérdid a muy considerable en sus apuradas circunstancias. ESPAÑA. México 17 de Noviembre de 1812. C on fecha de 10 del corriente ha remitido á este superior gobieru o el brigadier D. Ciríaco de Llano el siguiente parte del te-</t>
  </si>
  <si>
    <t>Llano, Juan</t>
  </si>
  <si>
    <t>Juan Llano</t>
  </si>
  <si>
    <t>…án G rájales, 20. D. D «mingo Car dan , 20. í). Juan Matías (ribarren, 20. D. Gerónimo Urriza, 20. D. Joaquín M ^riiuez. S\ D. Juan Bautista Viana, 20. D. Vicente de los Toyos, 20 D. Juan Llano, 17. D José Perez déla Mata, 7. D. José Herrera, 17. D. Gerónimo Vivanco, 10. D. Manuel Ibañ?z, 10. Don Rosendo Gao , 10. D. Ramón Forcelíc 5o, 10. D. Gaspar Gorruehano, 10. El conde San Pascual, 25. D. Martin y D. M guel Ventura Oáambela, por su {demento hec…</t>
  </si>
  <si>
    <t>Llano, Manuel de</t>
  </si>
  <si>
    <t>Manuel de Llano</t>
  </si>
  <si>
    <t>…siástijo al R. obispo de Arequipa D. Pedro Chaves de la Rosa, D. José Miguel Ramírez y D. Martin de Navas: por el secular á D. Miguel Moreno, D. Manuel Quinta na, D. Felipe Bauza, D. Manuel de Llano, D. Eugenio Tapia y D. Vicente »Sancho ; y para suplentes á D. Pablo Lailave por lo eclesiástico, y D. José Revollo y D. Juan Aeevedo por lo secular. —■ Lo tendrá entendido la Regencia del reyno para su cumplimiento, y lo hará imprimir, publicar y circular. =…</t>
  </si>
  <si>
    <t>…ves de la Ro sa, á D. Josef Miguel Ramírez y á D. Martin de Navas por el ramo ecle siástico; y por el secular á los señores D. Miguel Moreno, D. Manuel Quin tana, D. Felipe Bauzá, D. Manuel de Llano, D. Eugenio Tapia y D. Vi cente Sancho. Los suplentes son D. Pablo Lallave por lo eclesiástico , y Don Josef Revollo y D. Juan Acevedo por lo secular. El Mercurio Lusitano de 7 del corriente inserta una carta, cuyo conte nido, sacado de un periódico ingles ,…</t>
  </si>
  <si>
    <t>Llanos, Luis</t>
  </si>
  <si>
    <t>Luis Llanos</t>
  </si>
  <si>
    <t>…Urquijo.” Parts 8 de abril. Por decreto del mismo día el REI se ha digna MINISTERIO DE LA GUERRA. do nombrar alcalde mayor juez de primera instan cia, en comisión, de Valladolid á D. Luis Llanos, Extracto de un informe hecho d S. M. C. por el ministro decano del tribunal criminal de Soria. entera i Reiile, comandante del exército de Portugal i y remitido de Valladolid el jo de Del 30. marzo de i8tj á S. E. el ministro de la Extracto de las minutas de…</t>
  </si>
  <si>
    <t>Llauder</t>
  </si>
  <si>
    <t>562</t>
  </si>
  <si>
    <t>…3. — El ayundante general gefe de estado mayor. — F. X. Gabanes. 11. 8. Orden del día. El Sr. general en gefe de esta exército D. Francisco de Copons y N&amp;via acaba de saber que el coronel Llauder, con arreglo á las oréeos que le tanta dadas, ha empeñado una acoion con uaa co lumna enemiga de 1500 hombres, ¡¿randada por el coronal Mnch&amp;l, cuyo resultado ha sido hacer retroceder á esta columna desde uaa legua de Ripoll hasta Dorna, hacerle muchos prisio…</t>
  </si>
  <si>
    <t>…de gloria; por lo que tan bizarramente se ha portado en esta acción, que será uno de los timbres para cubrir la corona del honor de las armas españolas. Luego que el impertérrito coronel Llauder me pase los detalles de la acción, los trasladaré á V. E.; pues ahora solo aprovecho el momento de esta feliz noticia. Dios guarde á V. E. muchos años. Ribas á las 11 de la noche del 7 de mayo de i8i3. = Excmo. Sr.= Francisco Rovira.” jjExcmo. Sr.: he destroz…</t>
  </si>
  <si>
    <t>…ecciones, que recibe. El reñor general en gefe de este exército D. Francisco de Copons y N,.via tiene la satisfacción de anunciar á las tropas que lo forman, que operando el señor coronel Llauder con la brigada de su mando en las inmediaciones de Olot, consecuente á las in.t mociones que le tenia dadícS, fué atacado ea la mañana del 4 del actual, por fuerzas superiores enemigas al mando del general Pedt, en la posición que se reconoce i derecha é izqu…</t>
  </si>
  <si>
    <t>11 ss Lo que se haee saber al exército para su satisfacción, ínterin se re cibe «I parte detallado del señor coronel Llauder. = Ei ayudante ge neral gefe de estado mayor. = F. X. Cabanes. Sara 14 de Octubre. La noche del 12, fué atacada bruscamente y tomada por los ene migos una obra destacada de la posición que ocupa el exército desde las accÍonerdel 7 y 8: un pequeño reten de gua…</t>
  </si>
  <si>
    <t>…eriores ene migas mandadas por el general Peíit. «Consecuente á las órdenes que yo le habla comunicado para operar en las inmediaciones de Olot, no pudo mirar con indiferen cia el coronel Llauder que la división enemiga que permanece en dicha villa pusiese en contribución impunemente todos los pueblos d~! llano, y amenazase pasar á la montaña á exigirla con ia fuer za. En esta atención baxo el dia 2 con la brigada de su mando, y el primer escuadrón de…</t>
  </si>
  <si>
    <t>…, y perdiendo- bastantes gketes* «Desde luego se corrió el fuego por toda la línea, y como el principal fat'que se dirigía contra la izquierda-, á ia que cargaron 1500 hombres, el coronel Llauder corrió oporcunam- nte sus fuer zas , y lo otó por la reren dad de las tropas y er te movimiento con ferir los d-, 1 enem go por espacio de cuatro horas, curante las que le frutró cuantos hizo pasa flanquearle, y defendió la posición sin que puniesen lo-s fran…</t>
  </si>
  <si>
    <t>X 2o6 como de 300 hombres, 17 oficiales fuera de combate, y entre los muertos se cuenta un gefe de batallón. .»*Él coronel Llauder me asegura que le han llenado de la mayor confianza para ulteriores op raciones el valor y discipÜna'extraórdinaró; que fian a jré riti.to las tropas de la brigada dé su mando en esta gloriosa jornada, de dura memoria para ei enemigo. Todos los géfes á i a ca…</t>
  </si>
  <si>
    <t>…S. Estéban, Burgos y Colltort. Después de rechazadas el dia 7 en S. Feliu de Codinas las fuerzas ene migas que atacaron aquel punto, dispuso el señor general en gefe que el se ñor coronel Llauder con la brigada de su mando maniobrase por retaguardia de Olot, llegando hasta algunos pueblos de Francia; y para distraer las fuerzas que tienen los franceses en dicha villa, mandó al coronel del regi miento de Burgos D. Rafael Casterás que con su cuerpo y un…</t>
  </si>
  <si>
    <t>Llauder, D- Manuel</t>
  </si>
  <si>
    <t>D- Manuel Llauder</t>
  </si>
  <si>
    <t>…ficio siguiente: "Excmo. $r.: El Dios de los exércitos favorece las operaciones de este primero que tengo el honor de mandar. La segunda briga da (Jq; segunda división,4 cargo del coronel D- Manuel Llauder, ha. destrozado cP.mpl'etafnente el dia 7 .de esté una columna enemiga compuesta de 1500 hombres, mandada.por el ¡coronel Marechal, que salió de Puígcérdá para atacar por la espalda á Llauder, que con su brigada bloquea al fuerte de Olot: 4 oficiales, 290 sol…</t>
  </si>
  <si>
    <t>Llauder, Manuel</t>
  </si>
  <si>
    <t>Manuel Llauder</t>
  </si>
  <si>
    <t>…lo que ofrecí á V. E. en el parte dado desde Campsedon de la sorpresa hecha en Francia en la plaza de Prast de Molió (I), remito ahora el parte -circunstanciada que me ha dado el coronel D. Manuel Llauder, comandante de bri gada y del batallón de infantería de línea de S. Fernando» ,}Como dixe ó Y. E., este batallón salió sobre ei medio dia del 19 con su comandante, y este, con arreglo á lo que teriamos acordado , se dirigió á S. Juan de las Abadesas, desde do…</t>
  </si>
  <si>
    <t>jj'Excmo. Sr : conforme eiv mi oficio de anoche decra a V. E., y con secuente al de esta mañana, de haber adelantado á este pueblo,de Ribas ios enemigos, he llamado á Ripoll al coronel D. Manuel Llauder con su brida da, compuesta de ios batallones de Tarragona y S. Fernando, con la parida de caballería; y la actividad de su marcha ha hecho que encontrase á los franceses á una hora y media de Ripoll, que intentaban penetrar hasta aque lla villa. El ataque que…</t>
  </si>
  <si>
    <t>…a 4 en las inmediaciones de Olot, cuyo estruendo se percibía desde esta misma ciudad; pues que todas las noticias que se recibieron aseguraban contestes que la bizarra brigada del coronel D. Manuel Llauder fue atacada por 3© infantes, 200 caballos y dos piezas de artillería de los enemigos: trabóse desde luego una acción mui re ñida,que duró siete horas, en cuyo espacio el enemigo fue siempre batido y rechazado, sin que pudiese penetrar por ios puntos que inten…</t>
  </si>
  <si>
    <t>Llera, Juan Ambrosio de</t>
  </si>
  <si>
    <t>Juan Ambrosio de Llera</t>
  </si>
  <si>
    <t>…unico á V. para su inteligencia y cumpli miento. Dios guarde á V. muchos años. Cádiz 10 de setiembre de 1813.= O-Donóju. En ía villa del Molar se venden para pago de acreedores de D. Juan Ambrosio de Llera , vecino de esta corte , las fincas siguientes: una viña en la Acena grande, caber 1610 cepas, y hoi tiene vivas 1572, lindante por solano camino real de Madrid á Torrelaguna, á mediodía Francisco Mingo, poniente Benito Ortega, y al norte Pablo García, y á 4…</t>
  </si>
  <si>
    <t>Llera, Manuel</t>
  </si>
  <si>
    <t>Manuel Llera</t>
  </si>
  <si>
    <t>…uín Ruiz, D. Ma uel Clemente, D. Ra món Marañon , D. José Albumes, D. José Luizaain , D. Francisca Ardaiz, D. José Díaz, D Antonio Abadía, D. Nicolás Soriano, D. Bernardo Moliner, D. Manuel Llera, D. José Perulan, D. Ray» mundo Marqués, D. José Gorriz, D. Dionisio Fonolitas, D. Can» dido Zunzarren * D. M:guel Quartero , D. Juan Urzaniqui, D. Ruerto Rajum, D. Manuel López, D. Agustín Munarriz, D. Juan Sliutista fnd'.iusti, D. Pedio López de Baylo, D. J…</t>
  </si>
  <si>
    <t>Llopis, Vicente</t>
  </si>
  <si>
    <t>Vicente Llopis</t>
  </si>
  <si>
    <t>…50; la ciudad de Brujas 20; la de á D. Vicente Juanes, presbítero. Ñames 50; Mezleres tres; Auxerre seis ; Mans 10; Para el de Font de Encarroz, vacante por as Nanci 15. censo de D. Vicente Llopis al curato de Alcacer, ESPAÑA. á D. Francisco Morelló, presbítero. Y para el de Benavites, vacante por promoción Madrid 24 de febrero. de D. Silverio Ramón de Huerta al canonicato de Hecha la oposición á los curatos vacantes en el la catedral de Valencia, á D.…</t>
  </si>
  <si>
    <t>Llorca, Josef</t>
  </si>
  <si>
    <t>Josef Llorca</t>
  </si>
  <si>
    <t>…o. D- Josef Miñones, alcalde. D. Pedro Garrido, substituto primero. D. Gil Antonio Laguna, alcalde. D. Francisco González, substituto primero. D. Ratael Guiri, substituto segundo. D. Josef Llorca , substituto segundo. Barrí) de Gu traías Españolas. Barrio de la Hu rta del Bayo. D. Pedro Petez, alcalde. D. Felipe Santintregui, alcalde. D. Pedro del Rio, substituto primero. D. Josef Manuel Aynz Gardazabal, substituto D. Manuel Alba, substituto segundo.…</t>
  </si>
  <si>
    <t>Llóren, Juan Antonio</t>
  </si>
  <si>
    <t>Juan Antonio Llóren</t>
  </si>
  <si>
    <t>…la conducta de S. A. R. Por consiguiente no pue De esta clase sin duda es la obra que empieza á pu de dispensarse S. M., terminando este negocio, de blicar el consejero de Estado D. Juan Antonio Llóren manifestar el deseo y la esperanza que le acompaña te con el título de Anales de la inquisición de España. de que seguirá la princesa en adelante un plan de .El tomo i.°, que está impreso, trata del estableci conducta, que pueda justificar cabalmente las mues…</t>
  </si>
  <si>
    <t>Lloyd</t>
  </si>
  <si>
    <t>…pero me es sensible haber de añadir que el coronel Bernard , del regimiento 9 5 ha sido gravemente herido, aunque espero no peligrará su vida, y que he mos perdido en el teniente coronel Lloyd, del regimiento 94.0, un oficial que se había distinguido frecuentemente, y ofrecía grandes esperanzas. „ El quartelmaestre general el mariscal de campo sir Jorge Murray me ha ayudado mucho en la formación del plan de ataque, y en llevarse á efecto, asi como…</t>
  </si>
  <si>
    <t>Lnóri</t>
  </si>
  <si>
    <t>…y las tropas gran chambelán, duque de Litt.a'; el gran escudero, ¡ se le han iqcprpojjúio ocupan todavía las ori- conde Captara el gran juez ministro de la Jus &lt;jei Prcgel. ticia, conde Lnóri i el ministro .de lo Interior, GAVIERA. conde Vaccari ; -el ministro de Hacienda, conde Trina; el ministro de Guerra , conde Fonranelii; el Hurembrrg ty de enera. ministro del Tesoro, conde Barago; el consejero La* cartas de. Bohemia ¿¡conque se aseguraba sec…</t>
  </si>
  <si>
    <t>Lnscher</t>
  </si>
  <si>
    <t>…9 millones. rio. (Se contimará.) CAPITULO IV. Nota, En !a gzz££2 de ayeí? coluns 7»3* lí— Trabajos públicos. nea 42, al principiar el artículo Segovia, donde dice el señor general conde Lnscher, léase conde Desde la exaltación de S. M. al trono imperial Tascfter. se han gastado Para los palacios imperiales y edificios de la corona...................... 62,000,000. AVISO. Para las fortificaciones ........... 144,000,000. En virtud de providencia del…</t>
  </si>
  <si>
    <t>Lo</t>
  </si>
  <si>
    <t>…onel á D. Juan José Cnlchaga; á comandantes de escuadrón á D. Miguel María Iribarren y D. Manuel Garrea: á sargento mayor á D. Claudio Ich^so : á capitanes á D. Ramón Echeverría , D. Lo renzo Mauleon, D. José Clemente, D. Pedro Francés, D. León Iriarte, D. Pedro Viilarroya, D Domingo Josué y D. Diego Cebadua; á ayudantes á D. Francisco Moñones , D. León Amedo, D. Manuel Mecolalde y D. Atanasio Mendivil: á tenientes á D. An drés Berrueta, D.…</t>
  </si>
  <si>
    <t>Lo, Francisco</t>
  </si>
  <si>
    <t>Francisco Lo</t>
  </si>
  <si>
    <t>…subte niente á D. Juan Bautista Lagar. En el de Galicia á capitanes á D. Gabriel Sequeira y D. Alfonso Hernández Ea el de Navarra á ayudante á D. Juan Antonio Pardo; á tenientes á D. Francisco Lo zano y D. Pedro Fernandez, y á subtenientes á D. Bonifacio Ro dríguez , D. José Sánchez y D. Manuel de los Santos. En el de Ir landa á capitán ¿ D. Miguel Miangolarna; á ayudante á D. José Alba; á teniente á D. José Benet, y á subteniente á D. Felipe Negrete.…</t>
  </si>
  <si>
    <t>Lo, Juan</t>
  </si>
  <si>
    <t>Juan Lo</t>
  </si>
  <si>
    <t>…y tropa de su compañía , y hacer elogios del capitán Dubourdieual servicio de S. M. B., de su oficialidad y tropa. El sargen to mayor del cuarto escuadrón de artillería á caballo D. Juan Lo riga , no contento con llenar sus deberes, tan bizarramente como acos tumbra, en la batería, marchó a la cabeza de los tiradores, que fue ron á alojarse en las ruinas de la cabeza dei puente. en medio de un fuego de fusil muy vivo-y muy inmediato : recomiendo…</t>
  </si>
  <si>
    <t>Lo, Lorenzo</t>
  </si>
  <si>
    <t>Lorenzo Lo</t>
  </si>
  <si>
    <t>…dados ilición todos héroes : solo añadiré que mandaba-la partida de coraceros el capitán D. Juan Sucíes, á quien he visto casi quemado el uniforme de balazos: y I?, de húsares el teniente D. Lorenzo Lo* pez. Apelo íl la generosidad de! Gobierno por medio de V. ’E. para la debida recompensa de sóida,dos en tan alto grado beneméritos; y reciam.) la plaza vacante de subteniente en el escuadrón de corace ros para el cadete de húsares O. Pedro Graells , que hi c…</t>
  </si>
  <si>
    <t>Ló, Manuel</t>
  </si>
  <si>
    <t>Manuel Ló</t>
  </si>
  <si>
    <t>…prima &gt; publique y circule. s= ¿. de Borbon, cardenal de Scaia, ar zobispo de Toledo , presidente. = Pedro de Agar. z=. Crabriel Cis car. = En Cádiz á 24 de Setiembre de 1813..= A D. Manuel Ló pez Araujo.” El ayuntamiento consdíueáonaí d¿ la vi la dt: Campanario, en la provincia de Extremadura, noticioso de las necesidades que pade cen ios soldados del cuál ro exéreito ha contribuido voíun-ariamente, tar en Badaj z D. Jo-é Blaiuo; y de que dicho ge…</t>
  </si>
  <si>
    <t>Ló, Manuel Luciano</t>
  </si>
  <si>
    <t>Manuel Luciano Ló</t>
  </si>
  <si>
    <t>…id. por 25; 300. D. Juan Bautista Garata , por una vez , 200. D. Juan G-.rc a de Ponte, id., 100. D. Mariano Vázquez de la Riva, id., 100. I). Manuel Vázquez de la Riva, id., 100. D. Manuel Luciano Ló pez, id.,, 100. D. Sergio Quintaiio^ id., 1Ó0..D. Francisco Noya,id., 625. D.. Manuel de Labirrera. id., 12. Son 79385 ps. fs. Lima y Diciembre 6 de 1811. — Firmado—Manuel de ligarte * Es copia del original. — Juan Miguel de Sostra. Excitado el consulado de G…</t>
  </si>
  <si>
    <t>Lo-, Simón</t>
  </si>
  <si>
    <t>Simón Lo-</t>
  </si>
  <si>
    <t>…establecerla Litaban fondos; pero el ra los dicterios que en todos los escritos liberales se zeta ingenioso lu superado estos obstáculos, v los prodigan á lo? diputados Ostolaza, D. Simón Lo-</t>
  </si>
  <si>
    <t>Loaces, Domingo</t>
  </si>
  <si>
    <t>Domingo Loaces</t>
  </si>
  <si>
    <t>…ez de navio D. Martin de Asas , que con 16 individuos de brigadas mandaba las dos piezas de tren volante de la tercera division, es natural lo digan de oficio á los gefes de ellas D. Domingo Loaces y D. Gerónimo Galiano, pues me han hecho»los mayores elogios de todos, y no puedo menos de recomendarlos á Y. É. en esta ocasión. Dios guarde á Y. E. machos años. Montevideo 31 de Diciembre de 181 2 —Exemo. Sr.—Miguel de la Sierra.-*-Excmo. Sr. D. José Vázquez Figueroa.” El Sr. du…</t>
  </si>
  <si>
    <t>Loar</t>
  </si>
  <si>
    <t>…s de caballería de. los generales Rock y Anson, marcharon el 20 á'Murguía, de donde salieron siguiendo el camino reai de Bil bao á Vitoria. También, tenia consigo la división del -coronel Loar ga, y la del general Girón que había estado destacada sobre la iz quierda del exército, considerando el estado de cosas'baxo otro as&lt;7 pecto ; fue llamado, llego á Orduña el dia 2®, de ckmde salid aque lla .mañana para el campo de balaba para hallarse pronto…</t>
  </si>
  <si>
    <t>Loar, Juan</t>
  </si>
  <si>
    <t>Juan Loar</t>
  </si>
  <si>
    <t>…con vivos de seos de que le ocupase , y permaneció en Soroya á la inmediación del gefe de estado mayor, no dexando que apetecer. ,, El comandante del regimiento de la Constitución D. Juan Loar te, á quien con su cuerpo encargué, después del segundo ataque, arrojase á los tiradores enemigos de un bosque, que ocupaban en bas tante numero, lo hizo con singular denuedo, y recibió un balazo de consecuencia en esta empresa. ,, Llenaron su deber á complet…</t>
  </si>
  <si>
    <t>Loarte, Juan</t>
  </si>
  <si>
    <t>Juan Loarte</t>
  </si>
  <si>
    <t>…rdia enemiga situada de:ante del puente del Bidasoa, y la des alojó de su fuerte posición con tanta bizarría como inteligencia. ,, El regimiento de la Constitución, al mando de su coronel D. Juan Loarte, y la compañía de cazadores del segundo regimiento de Asturias fue ron los destinados al ataque. Estas tropas se han portado con un valor que no dexa nada que desear. ,,Los enemigos conservaron las cabezas del puente ; y habiendo reconoci do su posición , con…</t>
  </si>
  <si>
    <t>…rdia enemiga situada delante del puente del Bidasoá, y la desalojó de su fuerte posición con tanta bizarría como •inteligencia. «El regimiento de la Constitución , al maniáp de su coronel D. Juan Loarte, y la compañía de cazadores del segundo regimiento ■de Asturias, fueron los destinados al ataque. Estas tropas se hara portado con un valar que no me dexa nada que desear. «Los enemigos conservaron las cabezas del puente, y habiendo reconocido su posición, co…</t>
  </si>
  <si>
    <t>…lmente con vivos deseos de que le ocupase, y permaneció.en Soroya á la inmediación del gefe de estado ma yor, no dexando que apetecer. El coronel del regimiento dé la Constitución D. Juan Loarte, á quien con su cuerpo encargué después del segundo ataque arrojase á los tiradores ene migos de un bosque que ocupaban en bastante número, lo hizo con un sin» guiar denuedo, y recibió un balazo de consecuencia en esta empresa. Llenaron su deber á completa sa…</t>
  </si>
  <si>
    <t>…sé María Ezpeleta , Don Estanislao Sánchez Salvador, gefe de estado mayor dc*l cuarto exér— cito, y D. Antonio Rosefló; y de los coroneles Fuentes-Pita, co mandante de ingenieros, D. Juan Loarte , del regimiento de la Cons titución, y D. Juan Ugarte-Mendia. El mariscal de campo Ingiis, y los regimientos de su brigada de la séptima división, se coadnxeron señaladamente bien. El regimiento 51 del mando del coronel Mitcheíl, y el 68 de el dei teniente c…</t>
  </si>
  <si>
    <t>…n Islafoyo, D. Josef Tejada, D. Jdsef Caña y.D. Fran cisco Vargas, subteniente del segundo de Asturias; I&gt;. Josef Rico, capi tán, y D. Juan de Odoqui, teniente del de Guadalaxara; D. Juan Loarte* coronel; D. Antonio Villegas y D. Antonio Martínez, tenientes; D. Luis •Alcalá, subteniente del de la Constitución; Mariano Castell, teniente coronel; D. Josef Rio-mayor, capitán ;D. Nicolás Collar, D. Manuel Rajnon Castell, D. Josef María Hernández y IX Jos…</t>
  </si>
  <si>
    <t>Lobaa</t>
  </si>
  <si>
    <t>…de 7 de este mes condene ios pormenores siguientes: El emperador (Napoleón) á su vuelta ha pasada revista á casi todo el cuerpo del general Vendamme,, reunido baxo las órdenes del conde Lobaa. Estas tropas, que han salido con tanta bizarría de la crítica y peligrosa situación en que las había puesto eL valor im prudente de su ge fe (4) , están animadas de nuevo ardor, y S. M. les ha dado muestras de su satisfacción, concediendo ascensos y re compe…</t>
  </si>
  <si>
    <t>Lobanpw</t>
  </si>
  <si>
    <t>…de la gazeta de Petersburgo de n de junio un cuerpo de 40&amp; ¡rusos, continuaba su marcha por el Vístula; y por noticias de A; leinania se sabe que este mismo cuerpo, mandado por el general Lobanpw,, sp. había*reunido ya á Wittgenstein. Los* últimos despachos del lord Cathcart son de fecha de 16 de junio : na da dicen relativo á la prolongación del armisticio, como falsamente había corrido por. noticias de Francfort._* Dicen que han desembarcado en Ru g…</t>
  </si>
  <si>
    <t>Lobau</t>
  </si>
  <si>
    <t>…perador volvió el 24 á Dresde para tomar una posición en tas alturas de Weissig. El octavo cuerpo, mandado por el príncipe Poniatowky, ha vuelto á pasar -á la orilla izquierda. El conde Lobau ocupa aun á Grieshuheí con el primer cuerpo. El mariscal St. Cyr ocupa á Pirna y la posición de Dohna. El duque de Bellune se mantiene en la posición de Freiberg. El duque de Ragusa, con el sexto cuerpo y la caballería del general Latour-Maubourg, estaba mas…</t>
  </si>
  <si>
    <t>…o hacia Dresde* y dexó tam bién á Nollendorf. El cuerpo prusiano á las órdenes del general Ziethen le siguió muy inmediato.— Se interceptó una orden del ma riscal Berthier para él general Lobau, que manda las tropas avanza das del enemigo 9 que le determinaba hacer todas sus disposiciones para retirarse sobre Dresde. —Todas las notieias e*tan conformes sobre la penuria del exército francés en las montanas; todos los dias pierde bastantes cabal'os ,…</t>
  </si>
  <si>
    <t>…Holanda con motivo del restablecimiento de su antiguo gobierno. El rio Meu&lt;e está libre de franceses. Dicen que el general Bulovtf ha llegado á Amersfort. Ei mariscal St. Cyr y el conde Lobau, que mandaban la guarnición francesa en Dresde, compuesta de 16® hombres, se han entregado á discre ción prisioneros de guerra, porque el genera! Kíenau no quiso admitirles ca pitulación. La toma por asalto de las líneas deHoekheim, por la qual los austríacos…</t>
  </si>
  <si>
    <t>Lobo, Gabriel</t>
  </si>
  <si>
    <t>Gabriel Lobo</t>
  </si>
  <si>
    <t>…ro , D. Benito Canales , D. Tomas Cortés, D. Francisco Melero, D. Tomas Bao darán, D. Epifanio Esteban, D. Temas Terreiro, D. Manuel Ubiña, D. Juan Jaldon , D. Alexandro Buitrón , D. Gabriel Lobo , D. Femando Castro, D. Juan Areliano y D. Antonio Matamoros. También han sido examinados por la referida brigada, y promovidos á subtenientes del propio cuerpo, D. J03Ó Roldan, guardia del real cuerpo de guardias de CoTps, y D. Mariano Geiavert, cadete del r…</t>
  </si>
  <si>
    <t>Loder</t>
  </si>
  <si>
    <t>…baños, se ha hundido tam de su edad. bién hasta xi pies. Por una precaución'que reco El profesor Erfurth, excelente filólogo, y el mienda la prudencia, mas que por temor de un pe profesor Loder, hábil anatómico, han fallecido en ligro inminente, deberán demolerse estos edificios; Koenigsberg, víctimas de la epidemia que han lle pero hai todavía mucha distancia del estado real de vado los rusos. las cosas á la siniestra noticia que se habia esparci S…</t>
  </si>
  <si>
    <t>Loeches, Jacinto Gaona y</t>
  </si>
  <si>
    <t>Jacinto Gaona y Loeches</t>
  </si>
  <si>
    <t>…..... 144,000,000. En virtud de providencia del Sr. D. Juan Bautista Para los puertos marítimos..... 117,000,000. Guitjrt, juez de primera instancia de esta corte, re frendada por D. Jacinto Gaona y Loeches, se ha seña Para los caminos........................ 277,000,000. lado el miércoles 7 del corriente para el remite de un Pata los puentes,....................... 31,000,000. gran medallón de brillantes al aire, apreciado en las Para tos canales y navegación p…</t>
  </si>
  <si>
    <t>…al señor ministro cia de. esta villa, y por 1» escribanía de! número.de ele lo Interior y señores son tejer os de Estado D. Luis Pcrez Penurias, que despaché por sus enfer medades D. Jacinto Gaona y Loeches. Lo que sé avisa comisionados para presentar la exposición del al público para que Jos que tuviesen algún derecho' i estado del imperio. los bienes del D. Francisco Manuel de la Herran acu dan en el término preciso de 10 dias, contados desde Señores. " ^ «1 3…</t>
  </si>
  <si>
    <t>Logroño, Clausel Jiácia</t>
  </si>
  <si>
    <t>Clausel Jiácia Logroño</t>
  </si>
  <si>
    <t>196</t>
  </si>
  <si>
    <t>…DE OFICIO. El señor secretario del despacho de la Guerra ha recibido por extraordi nario el siguiente parte del señor duque de Ciudad-Rodrigo. „ Excmo. Sr.: habiéndose retirado el general Clausel Jiácia Logroño después de haber sabido que nuestras tropas estaban el 22 de junio en Vi toria, y asegurándose del resultado de la acción del dia 21 , todavía conti nuó permaneciendo en las inmediaciones de Logroño el dia 24, y hasta mui tarde del 25. Esta circunstancia me h…</t>
  </si>
  <si>
    <t>Loh.cn</t>
  </si>
  <si>
    <t>…exéreito que está á Iss órdenes del príncipe de Eckmuhl marchó en dos columnas por el camino de Gadebush y Rhena, é hizo alto á media mi.la alemana de Ratzeburgo. La división del general Loh.cn se retiró en la misma dirección de Wismar, por Grevesmullen á Schonberge : en este pueblo se separaron las tropas dinamarquesas de las francesas: las últimas marcharon á Ratzeburgo, y las primeras á .Lubeck, donde dexaron una guarnición, y después se acamparo…</t>
  </si>
  <si>
    <t>Loison</t>
  </si>
  <si>
    <t>…s *4 de diciembre. PRUSIA. Continúan los documentos y declaraciones relati Berlín 1.° de diciernbre. vas al expediente dél señor conde Frochot. El cuerpo de reserva mandado poi el general Loison se dirige de Tilsir á Wilna. XUMERO VII. En el discurso de octubre han pasado por las inmediaciones de Danrzick 1 &lt;¡ regimientos de infan Copia de los interrogatorios hechas el t$ y i 6 de tería para incorporarse al exército grande. octubre próximo pasado' al…</t>
  </si>
  <si>
    <t>…los siguientes : De caballería: el conde_Latónr-Maubourg.— El conde Grouchy. — El conde Nansouty. — El conde Valence. — El conde S. Germán. De infantería: el conde Labor de. — El conde Loison. — El conde Bonnet. — El conde Molitor. — El conde Friant. — El conde Legrand. Los polacos, reducidos á 15$, están en Pirna, mandados por el príncipe Poniatowsky, y la caballería por el general Dombrousky.. ESPAÑA. Vinar o z 16 de Setiembre. El 13 por la noch…</t>
  </si>
  <si>
    <t>…o de exército al mando del príncipe de Eckmiiih marchó en dos co limas por el camino de Gadebush y Rhena, é hizo alto á cosa de media mi lla alemana de Ratzeburgo. La división del general Loison se retiró de Wismar en la misma dirección por Grevesmuilen á Schomberg: en este lugar se separaron las tropas dinamarquesas de las francesas. Estas marcharon ha cia líatzeburgo, y las primeras hacia Lubeck, donde dexaron yna guarni ción , y después se acampar…</t>
  </si>
  <si>
    <t>Lom, Antonio</t>
  </si>
  <si>
    <t>Antonio Lom</t>
  </si>
  <si>
    <t>…blo de Begis , con objeto de poner á cubierto parte de los amenazados. Verificado mi arribo aquí en la tarde de ayer, y cerciorado déla posición y fuerzas enemigas, dispuse que el capitán D. Antonio Lom bas, comandante accidental de la caballería de esta división r con 150 caballos disponibles , saliese á la una de la miñaría de este dia á si tuarse en las inmediaciones de Vivel, entre este y el pue blo de Torás , con instrucciones para que pudiese sorpreheu…</t>
  </si>
  <si>
    <t>Lombas</t>
  </si>
  <si>
    <t>…hizo los mayores esfuerzos para tener parte en ella por la velocidad con que esta dió la primera carga , recelosa de que fluyesen los enemigos á la vista de nuestras fuerzas. „El capitán Lombas recomienda encarecidamente, y yo á V. E.,, la unión, valor y bizarría de los oficiales y soldados, particular mente el denuedo del teniente D. Francisco Míller, que con los ca bos Pablo Berdoy y Pascual Benedicto , el soldado distinguido Don Joaquín Tarín , y…</t>
  </si>
  <si>
    <t>Lombas, Antonio</t>
  </si>
  <si>
    <t>Antonio Lombas</t>
  </si>
  <si>
    <t>…saquear los pueblos, habían robado á varios pasageros y arrieros que encon traron en el camino : con este motivo dispuse que á media noche sa liesen 130 caballos á las órdenes del capitán D. Antonio Lombas, comandante accideutal de la caballería, y 70 infantes del segundo batallón de voluntarios de Aragón, al mando del capitán D. Martin</t>
  </si>
  <si>
    <t>Lombera</t>
  </si>
  <si>
    <t>…ltimo tambor del exército son acreedores á los premios que ea relación separada pediré a V. E. hasta la j usía confirmación del Go bierno. „A los dos dias de mi llegada me pasó el coronel Lombera el parte número 4. ’: entró con su disciplinada división, y quedará con ¿000 hombres de guarnición en este punto para su futura seguridad: el coronel Imaz pasa á tomar el mando de Oruró y su carrera: el brigadier Ramírez, con fuerza respetable, va á Clt«yanta…</t>
  </si>
  <si>
    <t>Lombera, Gerónimo</t>
  </si>
  <si>
    <t>Gerónimo Lombera</t>
  </si>
  <si>
    <t>…obre esta ingrata provincia, á cuya reconquista resolví salir en persona combinando un plan de ataque general á todos sus partidos; y de reunión á su capital. „A este fin mandé al coronel D. Gerónimo Lombera, que dexando bien guarnecido á Oruro , se dirigiese á batir al enemigo con las tropas de su cargo: que el intendente de la Paz enviase una columna al partido de A y opava: que el teniente coronel D. Agustín de Huid entrase por el Valle grande y Chilon á reuni…</t>
  </si>
  <si>
    <t>114</t>
  </si>
  <si>
    <t>…se establezcan, seTán juzgados militarmente como contumaces. Y para que llegue á noticia de todos &amp;c. &amp;c. — Cuartel general de Coehabamba SI de Mayo dé 1812. — Goytneckt Parte del coronel D. Gerónimo Lombera al general en gefe. Núm. 4.° ,,La incertidumbre del punto y destino en que V* 9. se halla con el cuerpo dei exército, no obstante las noticias que hoy se me han comunicado por conductos poco fidedignos, me deter mina á aventurar este extraordinario á esa capi…</t>
  </si>
  <si>
    <t>Londoño, Gerónimo</t>
  </si>
  <si>
    <t>Gerónimo Londoño</t>
  </si>
  <si>
    <t>…da de granaderos del de yoluntarios de Asturias; D. Josef María Ocampo, subteniente del de San? tiago; D. Pedro Oloris , sargento mayor; D* Francisco Lapedra?a * TXtJosef Salama , D. Gerónimo Londoño;, D. Juan del Rio y D. Francisco: Median villa, tenientes; D. Francisco Solimi, D. Marcelo. Ortiz y D.. Francisco Salvador, subtenientes del primero Cántabro; D. Silvestre Hidalgo, tenien te coronel; D. Bernardo Alvarez, D. Josef Talla y D. Manuel Mendez, cap…</t>
  </si>
  <si>
    <t>Long</t>
  </si>
  <si>
    <t>…unda, la división ligera y la del mando r del conde de Amarante, la división española del general’ftlurilio-, y asimis mo los cuerpos de caballería 'del mando del general Fane,del general Long, del general Víctor Alten, la brigada de la caballería de la casa real, con el 6.° regimiento portugués, y el cuérpo español de D. Julián Sánchez; po niendo igualmente en movimiento el 22 del corriente desde Fresneda el quar^ tel general. ,, El enemigo ha ¡ev…</t>
  </si>
  <si>
    <t>Longa</t>
  </si>
  <si>
    <t>…sente , los franceses en traron en Bilbao , adonde fueron acometidos por las tropas de Longa, que dentro del mismo pueblo les causaron la pérdida de 200 hom bres. En seguida dicho coronel Longa cayó sobre la guarnición de Salinas de Abanadla sorprehendió y cogió 250 prisioneros. El genéral Cáffarelly con bastante fuerza llegó á reforzar la guarnición de Santcña, y de allí se dice que habrá venido á Santander el 22 ó 23, hasta cuyo tiempo no se había…</t>
  </si>
  <si>
    <t>303</t>
  </si>
  <si>
    <t>…co á V. S. para conocimiento de la Regencia del reyno, sirviéndose V. S. al mismo tiempo poner en consideración de S. A. el particular mérito que continuamente está contrayendo el coronel Longa y sus bizarras trepas.Oios guarde á Y. S. muchos áños. Cuartel general déla Fresneda 12 de Marzo de 1813.— WeU lin&amp;on, duque de Ciudad Rodrigo. — Sr. secretario interino de] des pacho de la Guerra." Nota. Los tres paites que se citan con loa números primero,…</t>
  </si>
  <si>
    <t>…„No ha habido movimiento alguno de importancia. Las tropas enemigas que pasaron el Ezla, se han vuelto á retirar. „Después de dirigir á V. E. mi anterior oficio, recibí partes del coronel Longa participándome que en 25 de Febrero habia toraedo el fuerte del Cubo cerca de Pancorbo , y que el 13 del mismo habia sorprehendido en Poyo de Sal un destacamento de la división de Palombini que mandaba el mismo general, habiéndole muerto y heri do 16 oficiale…</t>
  </si>
  <si>
    <t>334</t>
  </si>
  <si>
    <t>…nte mas inferior cuesta 50 reales, oon lo euflJ robará insensiblemente de 80 á 100000 reales cada año. Hasta el dia 10 no ha ocurrido novedad particular. Dia II, Se asegura que el Sr. Longa ha tenido dias pasados un encuentro en Poza , cuyo resultado ha sido coger 10 -caballos y el equipage del general Palombini, un cañón, y de 70 á 80 prisione ros : que volvió á perder el cañón después que se reforzaron los franceses, pero ya le habían clavado.…</t>
  </si>
  <si>
    <t>…o dinero. La misma suerte aseguran que ha tenido la de Huesca.” Con los 3000 hombres arriba indicados han salido los cantineros, motivo porque citemos que salen para no volver. El Sr. Longa ha salido para' Castro-Urdíales; ha enviado dos batallones para Villadiego , y uno hácia Ezcaray. Dia 25. Han entrado de Valladolid 1500 infantes, algunos de caballería desmontados, varios cantineros, 2 generales , 47 carros de municiones , un cañón de á 6, u…</t>
  </si>
  <si>
    <t>…retirarse, executando dicha retirada el 25 por la tarde, en cuyo dia quedaban nuestras fuerzas en las alturas de Santoullan y Gtaños, habiendo entrado en la pkza aquella noche el comandante Longa con algunos caballos. También refieren el enunciado patrón y pasageros que los batallones de Vizcaya hacia cuatro dias se estaban batiendo cerca de Bilbao. Lo que pongo en noticia de V. S. para su conocimiento. — Dios guarde a V. S. muchos años. Gíjm 29 de Ma…</t>
  </si>
  <si>
    <t>…sobre el grueso del exército, que marchaba desde Pancorbo á Vi toria de donde salieron anoche. «Se me ha informado de que el enemigo ha desmantelado á Pancorfco. «La di visión del coronel Longa se unió al exército á su llegada á Medina de Pomar. «El conde del Abisbal llegará con sus tropas á Burgos el 24 y 25. «No he tenido noticia alguna de la costa de Levante desde que escribí á V. E. últimamente. «Dios guarde á V. E. muchos años. Subijana sobre e…</t>
  </si>
  <si>
    <t>Q J' que de frente , e inutilizaba la-artillería y caballería: -esto me-decidióla tomar ''inis disposiciones en otra forma. Hice marchar al coronel Longa con seis ba tallones sobre Oñate , para que al dia siguiente entre 10 v io y inedia de la mañana estuviese en el alto de Descarga á retaguardia de Vergara: me puse en comunicación con el general Mendizabal, que estaba en Durango , y le rogué hiciese marchar a…</t>
  </si>
  <si>
    <t>…e haya acabado de arrojar por esta parte de nuestro suelo al enemigo.” El general D. Pedro Agustín Girón, con fecha de ayer, me dice lo si guiente : „ Excmo. Sr. Encargué al señor coronel Longa, comandante de la sexta división del exército, tomase los fuertes de Pasages, lo que ha verificado des pués de dos dias de ataque. „La guarnición, compuesta de 146 hombres y un comandante, ha sido prisionera de guerra: se han encontrado en el fuerte ocho caño…</t>
  </si>
  <si>
    <t>…ó? caballería cíe Jos generales Rock y Anson , marcharon el 20 á Murguía, de donde salieron, •siguiendo el camino real de Bilbao á Vitoria. También tenia consigo la di visión del coronel Longa, y la del general Girón, que había estado destaca da sobre la izquierda del exército, considerando el estado de cosas baxo otro aspecto; fue llamado, llegó á Orduña el dia 20, de donde salió aquella ma ñana para el campo de batalla para hallarse pronto á sost…</t>
  </si>
  <si>
    <t>…e en la execucion de este servicio los portugueses y españoles se portaron admirable mente bien. El quarto y octavo batallones de cazadores se distinguieron par ticularmente; y el coronel Longa, que se hallaba sobre la izquierda, tomó el pueblo de Gomarra menor. ,,Luego que tuvimos posesión dejas alturas, el lugar de Gomarra ma yor fue asaltado y tomado por la brigada de la quinta división del brigadier Robinson, que se adelantó en colunas de batall…</t>
  </si>
  <si>
    <t>…erta de Vitoria, fué tal como puede esperarse de estos cuerpos tp.n distinguidos; y la columna de la izquierda hizo igual honor á las armas españolas y portuguesas. «Ei cuerpo del coronel Longa, después de una serie de largas y penosas marchas, emprendió y executó con la mayor bizarría las mo lestas'tareas de esta jornada.» y se portó con el mayor valor. Los ba tallones enviados de Azpeytia por ei general Mendizabal rechazaroncon gran firmeza un ata…</t>
  </si>
  <si>
    <t>…aniobras, para lizaba la superioridad en un ataque de frente , é inutilizaba la arti llería y caballería: esto me decidió á tornar mis disposiciones en otra forma. Hice marchar al coronel Longa con seis batallones sobre Olía te, para que al día siguiente entre 10 y 10 y media de la mañana estuviese en el alto de Descarga, á retaguardia de Vergara: me puse en comunicación con el general Mendizabal que estaba en Durango» y le rogué hiciese marchar alg…</t>
  </si>
  <si>
    <t>…y en seguida hicimos el general Graham y yo un reconocimiento so bre su posición. Esta era á uno y otro lado de Tolosa con 4 bata llones en masa á retaguardia: se hizo marchar al coronel Longa por la derecha, y se adelantaron dos batallones españoles por la izquier da. Una columna inglesa se adelanto por el centro con artillería : ios enemigos fueron prontamente arrojados de sus posiciones, en cuya defensa no se empeñaron, pero sí en la del pueblo…</t>
  </si>
  <si>
    <t>…am refiere que en todas estas acciones las tropas españolas se han portado perfectamente bien. ,,La guarnición de Paságes, que consistía en 150 hombres, se rindió á las tropas del coronel Longa el dia 30. ,,El enemigo, viendo llegar al puerto de Deva algunos de nuestros bu ques , evacuó el fuerte y la villa de Guetaria el dia i.u de este, y la puarnicion llegó por mar á S. Sebastian. También han evacuado á Castro, y tu guarnición se ha retirado por…</t>
  </si>
  <si>
    <t>…extraen los mercaderes sus efectos. Burgos 8 de Julio. ,Parte del general D. Pedro Agustín. Girón al Exorno. Sr. Don Francisco Xavier Castaños. " ííExckio. Sr.; Encargué al señor coronel Longa, comandante de la sexta división del exército, tomase los fuertes de Pasages, lo que ha verificado después de dos dias de a.taque.</t>
  </si>
  <si>
    <t>…ante ha sido prisionera de guerra; se han encontrado en el fuerte 8 cañones, y algunas municiones de boca y guerra. mNo puedo menos de manifestar á V. E. que la conducta del señor coronel Longa en todo el tiempo que ha que está á mis or denes, es la mas distinguida baxo todos aspectos, y que sus tropas se conducen perfectamente bien en todas las ocasiones. os guarde á V. E. machos años. Cuartel general de Ernani Julio 2 de 1813. = Excmo. Sr. = Pedro…</t>
  </si>
  <si>
    <t>…ana siguiente (del 25) evacuó el enemigo á Alegría, y como habla tomado una posición mui fuerte entre este pueblo y Tólosa, cubrien do el camino de Pamplona, el cuerpo español del coronel Longa marchó por Alz hácia Lizarza para envolver su izquierda, mientras que el teniente generalMendizabal, á petición mía, despachaba algunos batallones desde Azpeytia para envolver su derecha, apoyada en una elevada montaña con un reducto inaccesible.</t>
  </si>
  <si>
    <t>…, pasaron prontamente la iz quierda de la ciudad. , „ El general Bradíord y los batallones de línea alemanes cayeron sobre el enemigo por su frente por el camino de Pamplona, y eí coronel Longa por la parte de la montaña mas á la derecha envolvió y desalojó de mui fuertes posiciones á todos los- cuerpos enemigos situados á la derecha de la ciudad. Todavía estaba apoderado el enemigo de esta, que era mucho mas capaz de defensa que lo que al principio…</t>
  </si>
  <si>
    <t>…encionar la conducta exemplar de las tropas emplea das en este asaltp quando llegaron á posesionarse de la ciudad. No se co metió un solo exceso. La legión alemana y el cuerpo del coronel Longa pa saron adelante, y se formaron inmediatamente mas allá de la ciudad. ^ „ Tengo la honra &amp;c.”----Es copia. , Historia de la revolución de España, ó sea rápida ojeada sobre los principales sucesos de la península desde principio de 1807 hasta mayo de 1811, y…</t>
  </si>
  <si>
    <t>…Santa Bárbara, la villa de Vera y el puerto de Erhalar, conservando la comunicación con el valle de Bastan. La sexta división formaba la reserva de estas tropas en S. Esteban. El general Longa con su división de infantería española mantenía la co municación entre las tropas de Vera, y la* del mando del teniente general Sir Tomas Graharn. El mariscal de campo D. Pedro Agusiin Girón con la infantería española de su mando cubría el camino real de S. S…</t>
  </si>
  <si>
    <t>…ta parte de la frontera de España.—Mientras que las tropas estaban empleadas en la inmediación de Pamplona, en la forma que expreso en mi oficio de l.° del corriente, el brigadier general Longa ocupaba con su división esta parte del Bidasoa, incluyendo la villa de Vera. La parte del exército enemigo, que quedó de observación de las tropas aliadas sobre el camino real de Irun, le atacó el 28, y le rechazó con considerable pérdida. Tengo gran satisfac…</t>
  </si>
  <si>
    <t>…parte déla frontera de España.-_Mientras que Jas, tropas estaban, empleadas en la inmediación de Pamplona, en la forma que .expreso en mi oficio dé h° deI corriente, eÍ brigadier general Longa ocupaba con su divi-, sion esta parte del Bidasoa, incluyendo la villa de Vera La p3rte del exér cito enemigo, que quedó de observación de las tropas aliadas sobre el ca mino real de Ir un, le atacó el 28, y le rechazo' con considerable pérdida. Tengo gran sa…</t>
  </si>
  <si>
    <t>…nte sobre Pamplona» se habían visto forzados á retirarse; y premeditando que alguna de sus columnas pudiese replegarse por Santi - Esteban, traté de dexar expedita la división del brigadier Longa, para que inquietase en sus movimientos al enemigo conforme me había propuesto este mismo gefe; y en su consecuencia dispuse que el general Barcena con la primera brigada de su división marchase á ocupar los puntos de Vera y Lesaca. »El brigadier Langa notici…</t>
  </si>
  <si>
    <t>966 ■Cop ia del parte que se cita en el anterior. «Consecuente al contenido del oficio del brigadier Longa que dirigí á V. S. ayer á las 7 de la mañaña, continué la marcha á Lesaca , y procuré instruirme por él mismo de la dirección de los ene migos : me informó qae se hallaban en Yanci, por no haber podido impedir que penetrasen por el puente del propio nombre, á…</t>
  </si>
  <si>
    <t>…amanecer fui avisado de la reti nada del exércko enemigo, que V. E. batió ten glcrioíamente so bre Pamplona, y creyendo conveniente dexar expedita ia división del mando del señor brigadier Longa, para que acósese el enemigo en su retirada, como este oficial me lo propuso, dispuse que el ge neral Barcena con la primera brigada de ia división de su mardo, que se hadaba en posición en ei monte de Arechulegui, marchase sobre iVers y Lesaca para tomar los…</t>
  </si>
  <si>
    <t>…ca del mando del mariscal de cam pó Howard, por la brigada del mando del mariscal de campo lord Ayimer, que estaba sobre su izquierda á retaguardia de Irun , y por la ^¡visión del general Longa, que estaba acampada á retaguardia de su derecha en la sierra de Aya; con el fin de protegerles aun mas, hice que marchasen á las órdenes del; teniente general Colé, el 30, dos brigadas de la cuarta división al convento de S. Antonio, una “d¿ las cuales era d…</t>
  </si>
  <si>
    <t>…cal de campo Cárlos, barón de Alten, atacó con la división ligera ios airincheramiertos que el enemigo tenia en el puerto de Vera, sostenido por la división esprñola del mando del brigadier Longa; y el mariscal de campo D. Pedro Agustín Girón atacó los atrincheramientos y puestos que el enemigo tenia en la mon taña llamada Le-Rhune, inmediatamente sobre la derecha de la di visión ligera, con el exército de reserva de Andalucía. El coronel Ccckhurne de…</t>
  </si>
  <si>
    <t>…po Garlos , barón de ¡Alten , ata¡cóícon’ la. división li gera los atrincheramientos que el.enemigo tenia'en el puerto de .Vera, sos tenido por la división española del uñando del brigadier Longa; y el maris cal de campo D. Pedro Agustín Giran atacó los atrincheramientos y pues tos que el enemigo tenia en la montaña llamada LerRhune, inmediatamente sobre la derecha de la divisiou ligera, con el exército dé reserva de Anda lucía-El coronel Gockburne de…</t>
  </si>
  <si>
    <t>1301 la: Pe ti te La Rhune , y alturas á retaguardia del pueblo de Ssrre. „E1 mjriscal de campo Carlos» barón de Alten , atacó con la división ligera y la división española del general Longa la posi ción del enemigo sobre la Petite La Rhune, y habiéndola tema do , cooperó con la derecha del centro en el ataque de las al turas á ia espalda de Sarre. ,,La bridada de cabalkría d.*l general Alten, dirigida por el te niente general Sir Stapieton Cotto…</t>
  </si>
  <si>
    <t>…so de la Petite La Rhune, y alturas á retaguardia del pueblo deSarre. ' . ,, El mariscal de campo Cárlos , barón de Alten, atacó con la división li gera y la división española del general Longa la posición del enemigo sobre ia Petite La Rhune; y habiéndola tomado, cooperó'con la derecha del cen tro en el ataque de las alturas á la espalda de Sarre. i „La brigada de caballería del general Alten, dirigida por el teniente ge-^ neral sir Stapleton Cotto…</t>
  </si>
  <si>
    <t>Longa, D Francisco de</t>
  </si>
  <si>
    <t>D Francisco de Longa</t>
  </si>
  <si>
    <t>…tado interino el duque de Cadore , en lugar del conde Daru, que ha quedado en el exército , hasta nueva orden, con el carga úm intendente ganeral. ESPAÑA. Pota 30 de Noviembre* ET coronel D Francisco de Longa en oficio dirigido al Fxeme. Sr* R Gabriel de Mendizabal con aquella fecha dice lo siguiente: —■ „Mi venerado general: creo haber comunicado anteriormente &amp; V. E. la entrada en el valle de Sedaño de varios franceses proceden tes de Burgos , cuyo número y obje…</t>
  </si>
  <si>
    <t>Longa, Francisco</t>
  </si>
  <si>
    <t>Francisco Longa</t>
  </si>
  <si>
    <t>821</t>
  </si>
  <si>
    <t>…ce atrasada. El gobierno Ha determinado que k división del mariscal de campo Don Francisco Espoz y Mina pase de guarnición á la plaza de Badajoz. Y la sexta división, que manda el brigadier D. Francisco Longa, debe acantonarse en Zamora, Toro y Medina dei Campo, donde se halla la re serva del exército de Galicia. (£1 Vascongado,) Del quartcl general de Vich hemos recibido con fecha 28 de noviembre el siguiente aviso.</t>
  </si>
  <si>
    <t>…Perder: la primera brigada de esta división se halla distribuida en ks pt eblos de Ir un* y Guetaria, y la segunda bridada en el bloqueo de Santoña. Sexta división , que manda el brigadier D. Francisco Longa, en Brivlesca y pueblos inmediatos. Séptima división, que manda el mariscal de campo D. José Gsrcés Marcnla, en la guarnición de la plaza de S. Sebastian, y dos cuerpos de la misma división en el bloqueo de Santoña. Octava división, que manda el mariscal de c…</t>
  </si>
  <si>
    <t>Longa, Francisco de</t>
  </si>
  <si>
    <t>Francisco de Longa</t>
  </si>
  <si>
    <t>…nes, y se hicieron prisioneros varios generales. El general en gefe de los exércitos españoles, duque de CiudadRodrigo , ha dirigido á la Regencia del reyno el parte siguiente del coronel D. Francisco de Longa. „Excmo. Sr.: Por una rara casualidad ha vuelto ó mis manos la correspondencia que últimamente dirigí á V, E., críticamente cuan do regreso de Salinas de Añana, fuerte francés el mas inexpugnable de los de esta circunferencia, sitiado por tres dias con 9500 h…</t>
  </si>
  <si>
    <t>…— Ea Cádiz á 22 de Marzo de 1813.—A D. Antonio Cano Ma nuel. El Sr. duque de Ciudad-Rodrigo lia dirigido al secretario inte rino de! despacho de la Guerra ei oficio siguiente: „E1 coronel D. Francisco de Longa, comandante de la división</t>
  </si>
  <si>
    <t>Longáá</t>
  </si>
  <si>
    <t>…la fecha dél‘ sucésoVy que si acaso se rompió el armisticio fue algo después de los io días. Las mismas cartas dicenqué el señor Morí-i lio ha ascendido á mariscal de campo, y el señor Longáá brigadier, en justo premio de lo mucho que se distinguieron estés beneméritos patriotas en ía acción del 21. - v ■ j ' ;, ;. í,. ; . ... Logroño $0 de julio. Nuestro exército forma una línea irripenetrablé desdé Irún á Jaca. Mi! caballos ingleses que había en…</t>
  </si>
  <si>
    <t>Longford</t>
  </si>
  <si>
    <t>…ó mis de ha puesto á los dos países, el orador encuentra estas diferentes composiciones. iguales motivos de satisfacción.” «La tragedia podrá hacerse en verso libre ó Concluye el lord Longford proponiendo que suelto; pero precisamente ha de constar de cinco se haga al Etíncipe Regente un discurso de gracias actos, porque no serán admitidas al concurso las que tn los términos que ha indicado, y lo apoyó el solo consten de quatro ó de tres. El premio…</t>
  </si>
  <si>
    <t>Longis, Antonio</t>
  </si>
  <si>
    <t>Antonio Longis</t>
  </si>
  <si>
    <t>…ancisco Larrodé , D. Matías Alzorr z, D. J uan Ramón Arlegui, D. Bonifacio Jaso, D; Mvouel Sancho, D. Bonifacio Martínez, D. Julián Gofr , D. Justo Taiazona, D. José María Munuce, D. Antonio Longis, D. José Canoras, D Cele Io nio Lerruz, D. Juan Macáya, D, Luis A lamo, D Francisco íturralde, D. Miguel Ube’za , D. Xavier Mariotegni, D Fermín Adrián, D. Francisco Miranda, D. laucas Zubkta, D. Vicente Larraga, D. M ¿mano Onnaeckea, D. Victoriano Iribarren…</t>
  </si>
  <si>
    <t>Looren</t>
  </si>
  <si>
    <t>…todo este tan considerable vecindario, y última fatigas, no les quedaba ninguna «speranea delibrar mente esperaba que hiciese tuerza á todos la exac se de una muerte tan cruel. El señor Looren, sub titud dé su argumento. teniente del réfguardo de las aduanas de Ulieland, Mr. Konnet-Smhh. dixo que la carta de privi concibió el proyecto de intentar á todo riesgo su legio de la compañía de las Indias orientales se le -salvación, el que ininedutauieute…</t>
  </si>
  <si>
    <t>López, Antonio</t>
  </si>
  <si>
    <t>Antonio López</t>
  </si>
  <si>
    <t>…n la literatura, como en algunas otras Sagasta, juez de primera instancia en esta villa, su fe cosas, el ingenio algo quimérico, aunque se halla cha 8 del corriente, refrendada de D. Antonio López ba dotado ciertamente de finísimo tacto para las be de Salazar, escribano del número de ¡a misma, y para llezas literarias» y nadie le aventajará en buen gus hacer pago á acreedores, se ¡ia mandado sacar á públi to ; y asi aconsejo á los que quieren elevar á…</t>
  </si>
  <si>
    <t>…cuita, varones sapientísimos, que por hasta dicho día, que ha de ser en moneda metálica , acu *« tales mereceís ser habidos en todo país donde se da á la escribanía del número de D. Antonio López, ** cuida tanto como en el vuestro de la cómoda que se admitirán. »»conservación del individuo.... Paciencia, caballe aros; pues sabido es, y sirvaos de consuelo, que d GRASADO. r&gt; cada cerdo le llega su sanmartín." A estas indi rectas, pero duras bufonadas,…</t>
  </si>
  <si>
    <t>López, Celedonio</t>
  </si>
  <si>
    <t>Celedonio López</t>
  </si>
  <si>
    <t>…S. M., el ministro secretario de Barrio de Legdnitos. Estados Firmado = Mariano Luis de Urquijo.” D. Alfonso Martínez , alcalde. D. Francisco Xavier de Plaza , substituto pri mero.D. Celedonio López , substituto segundo. En el de la Cruz se «recularázzatko. la comedia titulada la Barrio del Rosario. Virtud consiste en medio, y pródigo y rico Avarien D. Nicolás Perez, alcalde. to; seguirá una escena de müsica qúe significará b D. Tosef Meneses, substituto…</t>
  </si>
  <si>
    <t>López, Faustino</t>
  </si>
  <si>
    <t>Faustino López</t>
  </si>
  <si>
    <t>…anuel de los H id. por S, 96. D.'Mariano Car ranza , id. por 8,96. D. Nicolás Git.ierres, id. p; r 8, 96*. D. Juan Santos Fiáríaní, i i. por 4, 48. ü. Aa'ouío Mora, id. por 4, 48. D. Faustino López, id. por 12, 144 D. Francisco Al Tares Calle* .ron, id. por 8, 9#. D. Ambrosio A!bajar, id. p rS, 96 D. Francia©o Antonia Iharbia, id. pnr'S , §S. D. Juan M-io.uel Campo blanca, id. por 8,96. D. Mateo Gona z, id. por 8, 96, O. Rain .ai Qrtiz , id. por 8,96 D.…</t>
  </si>
  <si>
    <t>López, Francisco</t>
  </si>
  <si>
    <t>Francisco López</t>
  </si>
  <si>
    <t>■9)5 Ionio Malet y D. Francisco López , el teniente de caballería D. Ma tías. Mascaró, y los demas oficiales y tropa que han.cooperado á la acción, se hacen recomendables por la intrepidez con que han executado.. su mancha y ataque á doshoras de Barcelona , habiendo 4® enemigos desde Mariorelí .…</t>
  </si>
  <si>
    <t>López, Joaquín</t>
  </si>
  <si>
    <t>Joaquín López</t>
  </si>
  <si>
    <t>…ta Bellvef cbn el resto de su compañía, debiendo realizar el asalto, al tiempo que se abriese brecha con picos y azadones en la puerta de Lanós, tapiada por los enemigos. capá tan D. Joaquín López, á las 11 ( hora destinada en; la orden..general para atacar por todas partes) principió el fuego mas vivo de fusil y de cañón, cuyo horror aumentaban las innumerables granadas de mano qüe disparaba el enemigo, la multitud de gruesos peñascos que arrojaba de…</t>
  </si>
  <si>
    <t>López, José</t>
  </si>
  <si>
    <t>José López</t>
  </si>
  <si>
    <t>IOS de, D. Manuel Ibañez, D. José López, D Prudencio Dallo, D. Ce lestino Ximenez , D. Fermín Al Aúnate, D. Angel Labiano, D. ber nardo ZaTo, D. Francisco Mtmuce, D. Pedro Mancho. D. Matías Ezcay, D. Félix Beroz, D. Bernardo Sonosiain , IT Mañano Ustarroz, D. Felipe Virtus, D. Joaquín Aquerreta, D.…</t>
  </si>
  <si>
    <t>López, José Antonio</t>
  </si>
  <si>
    <t>José Antonio López</t>
  </si>
  <si>
    <t>…nte, vice presidente y uno de sus secretarios, salieron electos, para presidente el Sr. D. Andrés Morales de los Ríos, diputado por la p ovineia de Cádiz ; para vice-presidente el Sr. D. José Antonio López de la Pla ta, diputado por la provincia de Goatemala; y para secretario el Sr. D. Francisco Ruiz Lorenzo, diputado por Córdoba. La Regencia del reyn§ se ha servido expedir el decreto siguiente: D. Fernando vii, por la gracia de Dios y por la Constitución de l…</t>
  </si>
  <si>
    <t>López, Josef</t>
  </si>
  <si>
    <t>Josef López</t>
  </si>
  <si>
    <t>…cionales en el cole gio de Madrid. f5,. 3.0 D. Francisco Crespo de Tejada, del comercio por mayor y giro en Madrid... . .. ,-,:r ■ ’. 4»0 IX Domingo Puta ri, presbítero. ^ : V $«° D. Josef López. Alonso, labrador, y alcalde constitucional d* Cienpozuelos. 6.° p. Francisco Fernandez Gaseolabrador y ganadero, vecino de Da-? ganzo de arriba. 7.0 D. Joaquín Manrique de Manrique , artífice platero en Madrid. Suplentes. ■i i i i.®. D. Simón González Juste,…</t>
  </si>
  <si>
    <t>López, Josef Antonio</t>
  </si>
  <si>
    <t>Josef Antonio López</t>
  </si>
  <si>
    <t>…nte, vice-presidente y uno de. sus secretarios, salieron electos, pará presidente el Sr. D. Andrés Morales de* los Ríos, diputado por la provincia de Cádiz; para vicepresidente el Sr. D. Josef Antonio López de la PIajr|, diputado por la provincia dé Góaternala; y para secretario el Sr. D.„EVán&lt;fisco Ruiz Lorenzo» diputado por Cprdoba.. La Regencia del reino se ha servido expedir el decreto siguiente i : í D. Fernando vii, por la gracia de Dios y por ia constituc…</t>
  </si>
  <si>
    <t>López, Manuel</t>
  </si>
  <si>
    <t>Manuel López</t>
  </si>
  <si>
    <t>…, D. Manuel Llera, D. José Perulan, D. Ray» mundo Marqués, D. José Gorriz, D. Dionisio Fonolitas, D. Can» dido Zunzarren * D. M:guel Quartero , D. Juan Urzaniqui, D. Ruerto Rajum, D. Manuel López, D. Agustín Munarriz, D. Juan Sliutista fnd'.iusti, D. Pedio López de Baylo, D. José García, D. Andrés Diaz y D. Félix Quitarte. Igualmente se ha servido S. A. promover en el regimiento de caballeril ligera húsares de Navarra de la misma división á teniente c…</t>
  </si>
  <si>
    <t>…se im prima , publique y circule. = de Barbón, cardenal de Scala, ar zobispo de Toledo , presidente, ss Pedro de Agar. 2 Gabriel Cis car. 2 En Cádizá 16 de Setiembre de 1813. = A D. Manuel López •de Araujo. Renovación de vales. Aunque por resolución de S. A. la Regencia del reyno , su fe cha 18 de Febrero anterior, á consulta de la junta del Crédito pú blico, se concedió la proroga de tres meses prefixos para la pre sentación de los vales de la creac…</t>
  </si>
  <si>
    <t>López, Rafael</t>
  </si>
  <si>
    <t>Rafael López</t>
  </si>
  <si>
    <t>…ra.” Confuye la lista de los individuos del comercio de Lima que se han suscrito para mantener soldados en el exército del Desaguadero. D. F*\ncisco de Inda, 3 hombres por un año. D. Rafael López, 3 Ídem. D. Félix Válega y sus dos compañeros, 3 id. D. A:\tonio Ortiz de Taiamo, 3 id. O. José Francisco Miranda, 2 id. D. Jo^é Ig nacio 'PvJacios, 2 id. D Gaspar Rico. 2 id. D. José Medica, 2 id. D. Juan ILmisía de Esrrea, 2 id. D. Juan Gil, 2 id. D. Juan A…</t>
  </si>
  <si>
    <t>López, Ramón</t>
  </si>
  <si>
    <t>Ramón López</t>
  </si>
  <si>
    <t>…espon dientes á su acreditado cuerpo de artillería ruciond- se hicieron dignoe de .umentcr el cprecío con que mira la-ríicion sus servicios. «El brig.dier comandante de ingenieros D. Ramón López, y Tos oficiales de su cargo, sirvieron tan honrosamente como acostumbren sus funciones respectives , y U trop¿ de z-ip dores tr..b jó con una sctivid d increíble á la -cabez de las columnas en facilitar los pasos y de moler los parapetos enemigos. «N da me h…</t>
  </si>
  <si>
    <t>López, Ventura</t>
  </si>
  <si>
    <t>Ventura López</t>
  </si>
  <si>
    <t>…e. Barrio de S. Nicolás. D. Francisco Peralta, substituto primero. D. Mariano del Portillo, alcalde. D. Salvador Alarcon, substituto segundo. D. Vicente Puyol, substituto primero. D. Ventura López, substituto segundo. QUARTEL DE SAN MARTIN. Barrio del Sacramento. Barrio del Cdrnien Calzado. D. Ramón de Segcvia, a'calde. D. J aime Bouhde, alcalde. D. Francisco JCavier Correa , substituto primero. D. Benito Rodríguez,, substituto primero. D. ManueL Casad…</t>
  </si>
  <si>
    <t>…iente á las nueve y media de la mañana' el séñor gefe póiíticó ’sQpériór efi comisión dq Madrid y su provincia, y los señorea electores f á saber: pór la parroquia dé' Santa María D. Ventura López; por la de 'S. Martin D. Jác’obo Manuel Manrique, D. Tomas Púertolas y D!. Manuel.Centurión; por la de S. Gi líes D Pedro Marcelino Blanco; pot la 4e Santa Cruz D Francisco An tonio Rucabado y D. Diego Crespo de Tejada; por la de S. Sebastian Don Juan Antonio…</t>
  </si>
  <si>
    <t>López, Vicente</t>
  </si>
  <si>
    <t>Vicente López</t>
  </si>
  <si>
    <t>…, subtenientes del de volunta rios de Ja Corona; D. Andrés Parga, ayudante; D. Ramón Suero Díaz, y D. Francisco Salgado, tenientes, el primero de granaderos; D. Josef Villar mil y D. Vicente López, subtenientes del segunda de granaderos del de yoluntarios de Asturias; D. Josef María Ocampo, subteniente del de San? tiago; D. Pedro Oloris , sargento mayor; D* Francisco Lapedra?a * TXtJosef Salama , D. Gerónimo Londoño;, D. Juan del Rio y D. Francisco: Me…</t>
  </si>
  <si>
    <t>Lor.ga</t>
  </si>
  <si>
    <t>…le si guieron á Yasnndo, y-las tropas se reunieron en Villafiatíca , adon de llagaron igualmente en el discurso de la. tarde la Cabeza ¿el cuer po dei general Girón, y todo el del coronel Lor.ga. t»A la mañana siguiente-(del 25 ) evacuó el enemigo á Alegría , y como había tomado una posición muy fuerte entre este pueblo y Tolosa , cubriendo el cami.no de Pamplona, el cuerpo español del co-.ronel Loriga marchó por Alz hácia Lizarza para envolver su iz…</t>
  </si>
  <si>
    <t>Lorenzana</t>
  </si>
  <si>
    <t>i } \ . r ^ r + A' ' , i- * * n ?■ 337 Santos Padres toledanos, qne sin óniítir gastos’y | sd costamindó imprimfr en casa de Ibarra el Emmo. Sr. cardenal Lorenzana, cuyo producto les cedió en beneficio de los pobres de dicha real casa; y el director actual lo hace presente al público 9 para quedas personas que quieran hacerse con esta preciosa colección,, puedan verificarlo á los precios siguientes equitativos re gulado…</t>
  </si>
  <si>
    <t>…en la Rioja , provincia de Burgos. A los 20 años de edad fué nombrado catedrático de leyes en la universidad de Toledo; a los 22 pasó á ■M éxibo'en compañía del Excmo. y Emmo. Sr. cardenal Lorenzana, nombrado entonces arzobispo de aquella ciudad, con el destino de 'fiscal eclesiástico de aqnel arzobispado, del que poco después fué he cho provisor y vicario general; y en calidad de tal asistió al último</t>
  </si>
  <si>
    <t>Lorenzo</t>
  </si>
  <si>
    <t>…liz de la presente lucha-, tengo la satisfacción de' poder comunicaros los felices progresos de nuestras armas tanto pdr mar co mo por tierra. Tal es la victoria conseguida por el capitán Lorenzo , de la V</t>
  </si>
  <si>
    <t>…rable de la presente lucha* tengo la satisfacción de ma nifestaros los progresos felices de nuestras armas, tanto en el mar co mo en la tierra. Tal es la victoria alcanzada por el capitán Lorenzo en la chalupa. Hornet, que destruyo una chalupa de. guerra britá nica con una rapidez' sin igual, y comuna pérdida tan inferior á ia que sufrió'e-1 Hornet, que merecen los vencedores el mas distin guido elogio , y la recompensa que para tales casos tiene dete…</t>
  </si>
  <si>
    <t>…usqüehann. Después de la toma de Havre el contra-almirante envió un destacamento de cañoneras para tomar y destruir ?tuanto hallasen en el rio, mientras que él en persona , con el capitán Lorenzo, ue en busca de una fundición , y logró encontrarla á distancia de tres mi llas hacia él norte. Se apoderó de ella sin resistencia, y destruyó entera mente todas las piezas y materiales, asi como las máquinas y otras cosas de que se componía dicha fundición.…</t>
  </si>
  <si>
    <t>Lorenzo, Francisco Ruiz</t>
  </si>
  <si>
    <t>Francisco Ruiz Lorenzo</t>
  </si>
  <si>
    <t>…ales de los Ríos, diputado por la p ovineia de Cádiz ; para vice-presidente el Sr. D. José Antonio López de la Pla ta, diputado por la provincia de Goatemala; y para secretario el Sr. D. Francisco Ruiz Lorenzo, diputado por Córdoba. La Regencia del reyn§ se ha servido expedir el decreto siguiente: D. Fernando vii, por la gracia de Dios y por la Constitución de la monarquía española, rey de las Españas, y en su ausencia y cautividad la Regencia del reyno nombrada po…</t>
  </si>
  <si>
    <t>Loresg</t>
  </si>
  <si>
    <t>…a, id. por 8, 9&amp;¡ D. José Roso, id. por 1, í2. D. Joaquín Martínez, id. por 8 , 96¿ D. Joiá de Herrera, id. por 8, 93 D. Jor&gt;é Ramírez, id. por 2, 24. D José Pinero, id. por 4,48. D. Loresg® Leqnerica,.vd. por 6,72. D. León Mafia Xinaeua, id. por b, 935. D. Manuel Menacho, id. por 6, 72. Di Manuel de los H id. por S, 96. D.'Mariano Car ranza , id. por 8,96. D. Nicolás Git.ierres, id. p; r 8, 96*. D. Juan Santos Fiáríaní, i i. por 4, 48. ü. Aa'ou…</t>
  </si>
  <si>
    <t>Lorge</t>
  </si>
  <si>
    <t>…á toda priesa hácia DenneWitz. La guardia avanzada del enemigo fue rechazada por la división dél general Moránd* que hizo prodigios de valor. La división ligera de caballería del general Lorge, empeñada imprudentemente , y retroce-* diendo desordenada, causó alguna confusión, qué en breve fue reparada por la firmeza dé la infantería. Habiendo sido reforzado el eüeiñigo rápida mente, el quarto cuerpo se vio también Á las manos con él. Llegó ipor fin…</t>
  </si>
  <si>
    <t>Lori, José</t>
  </si>
  <si>
    <t>José Lori</t>
  </si>
  <si>
    <t>…demia , á este la sabteneiicia de bandera; y para reemplazar la vacante que resulta de subté*' mente en ei tercer batallón por ei ascenso de D. Juan Escolar, ftá: nombrado S. A. á D. José Lori, sargento primero del citado quinto batallón de zapadores. En los seis batallones de infantería que componen la división de voluntarios de Navarra del mando del mariscal de campo D. Fran cisco Espoz y Mina, se ha servido la Regencia del rey no hacer la promoc…</t>
  </si>
  <si>
    <t>Loriga</t>
  </si>
  <si>
    <t>…és de un terrible fuego de dos horas desalojó á los enemigos de toda ia cordillera. Al mismo tiempo la división del general Graham , con la que iba la sexta división del mando del coronel Loriga , flan queó la derecha enemiga , cuya resistencia fue igual á la de la izquierda. En el centro solo había caballería y la artillería inglesa, que hizo el ma yor destrozo. Fueron tantos y tan acertados los movimientos del Lord Duque por los flancos del enemigo…</t>
  </si>
  <si>
    <t>…mando del mariscal de campo D. Carlos España, y pérdida que sufrieron, se gún el estado que igualmente acompaña. También remito los partes dados por los generales Girón, Morillo y brigadier Loriga : el pri mero de la toma y obstinada defensa del puente de Yaaci por la primera brigada de la cuarta división del cuarto exército ai mando del mariscal de campo D. Pedro de la Barcena; ei segundo de Jjss acciones y movimientos que ha tenido la división de su…</t>
  </si>
  <si>
    <t>Loriga, Antonio</t>
  </si>
  <si>
    <t>Antonio Loriga</t>
  </si>
  <si>
    <t>…tes frá^céseS'por 'nuestras tropas. Para seguridad de sü cúimplimiento se llevó-en rehenes el capitán del corsario, que es oficia-l de la marina francesa, al capitán de artillería D. Antonio Loriga y al de infantería I&gt;. N. Delgado, que sé hallaban de pasageros en el ber gantín apresado. ESPAÑA. Calátayud &lt;16 de Mayo- ^ La junta superior de esta provincia con su gefe político se hah trasladado á esta ciudad desde Orihuela de Aibarracin, donde resi dían…</t>
  </si>
  <si>
    <t>…los franceses por nuestras tropas. Para seguridad de su cumplimiento se llevó en rehenes él capitán del corsacib , queres oficial de la marina france sa, al capitán de artillería D. Antonio Loriga y al de infantería D. Dele gado, que se hallaban de pasagéros en el bergantín apresado. ' j Del 12. 1 Ademas de la relación de la batalla del 2 de mayo comunicada por lord Catchart, traen los papeles ingleses otra copiada dé la -gazeta de'Berfin del dia 9, la…</t>
  </si>
  <si>
    <t>Loriga, Juan</t>
  </si>
  <si>
    <t>Juan Loriga</t>
  </si>
  <si>
    <t>…a dé sú compañía, y hacer elogios del capitán Dubourdieu, al servicio de S. M. Británica, de su oficialidad y tropa. El sargento mayor del quarto esquadron de artillería á caballo D. Juan Loriga, no contento con llenar sus deberes tan bizarramente como acostumbra en la batería, marchó á la ca beza de los tiradores que fueron á alojarse en las ruinas de la cabeza del puente en medio de un fuego de fusil mui vivo y mui inmediato: recomien do á V. E. mu…</t>
  </si>
  <si>
    <t>Lorkouski</t>
  </si>
  <si>
    <t>…forcé ai general Millaradonvitcfr con él oc? tavo cuerpo , mandándole impidiese que el mariscal avanzara y to mase posición cerca de las aldeas de Syroberie y Tcheniska. El ma yor general Lorkouski observó á las 3 de la tarde que el enemigo avanzaba ; pero una niebla muy densa le impidió reconocer su .nú mero hasta que llegaron cerca de las baterías. El enemigo procuró, aunque en vanó , forzar nuestras líneas, y recibió una descarga ge neral de fusilerí…</t>
  </si>
  <si>
    <t>Losada</t>
  </si>
  <si>
    <t>…ltima carga de los enemigos, y habiéndose portado con igual valor que los. demás. Creo de mí deber recomendar á V. E. para las recompensas que S. A* estime oportunas el mérito del general Losada, que fue herido: el singular que contraxo mi gefe de estado mayor el brigadier D. Estanislao Sánchez Salvador., oficial mui benemérito é inteligente, quien después de haberle he rido dos caballos, tuvo que continuar á pie el resto dé la acción en cumplísrdeni…</t>
  </si>
  <si>
    <t>…ma carga de los enemigos, y habiéndose portado con igual valor que los demas, ,,Creo de mi deber recomendar á V. E., para las recompensas que S. A. estime oportunas, el mérito del general Losada, que fué herido*, ei singular que contraxo mi gefe de estado mayor el brigadier D. Estanislao Sánchez Salvador, oficial muy benemérito é inteligente, á quien después de haberle herido dos caballos, tuvo que continuar á pie el resto de la acción en cumplimient…</t>
  </si>
  <si>
    <t>Losada, Antonio</t>
  </si>
  <si>
    <t>Antonio Losada</t>
  </si>
  <si>
    <t>…ñarle el estado de pérdida que ha tenido este exército en la acción citada del dia 7; y con el motivo de la sensible que ha sufrido con la muerte del bizarro co ronel de Benavente D. Antonio Losada, cuya esposa y familia han quedado sin amparo alguno, me tomó la libertad de rogar á V. E. se digne dispen sar su protección en favor de una viuda desgraciada, para que en atención á los muchos servicios de su marido, la facilite el supremo gobierno la cor re…</t>
  </si>
  <si>
    <t>…tado número 7.0 de pérdida que ha tenido este exército en la acción cit d-\ del dia 7 , y con el motivo de la sensible que h-», sufrido con k muerte del bizarro coronel deBemvente D. Antonio Losada, cuys esposa y familia, han qued do sin amp.ro alguno, me tomo la li bertad de rogar á V. E. se digne dispensar su protección en f vor de una viud - desgraci dr, p ra que en atención á los muchos servidos de su marido la facilite el supremo Gobierno la corres…</t>
  </si>
  <si>
    <t>Losada, Francisco Xavier</t>
  </si>
  <si>
    <t>Francisco Xavier Losada</t>
  </si>
  <si>
    <t>…;&lt; Josef María: Soladura y. D. Aato» nio Soloviano, tenientes del de Laredo. ..i f &lt; T ^ Asimismo ha s:do herido el comandante general de las tropas del centro «Lmariscal de campo D. Francisco Xavier Losada; el brigadier segundo gefe de estado mayor del quarto exército D. Antonio: Roselló ; el de igual elase^D. Federico Castáñon * gefe de la primera brigada de.laPquarta divi-í sion:*y:el subteniente D. Mariano García ayudante de, órdenes deXgéfe de ^tadoTnaycr;…</t>
  </si>
  <si>
    <t>Lostau, Francisco</t>
  </si>
  <si>
    <t>Francisco Lostau</t>
  </si>
  <si>
    <t>…dado prisionero. Nota. Lo^ cficiaies heridos son el capitán de Zapadores D. Bal tasar Vidal, el teniente del Príncipe D. Juan Fuer, y prisionero el de la misma ctese.de artillería D. Francisco Lostau.= Montallá iS de Setiembre de 1813. zz. Salvador Valencia. s= Es copia. ~ Miguel Sarasa. = Es copia. = Cabanes. ARTICULO DE OFICIO. El Sr duque de Ciudad-Rodrigo da parte al Sr; secretario de Estado y'del despacho de la Guerra de haberse rendido á las armas n…</t>
  </si>
  <si>
    <t>Lostfa, Joaquín de</t>
  </si>
  <si>
    <t>Joaquín de Lostfa</t>
  </si>
  <si>
    <t>…20 id. D. Lorenzo Tajonar, 2 id. D. Fermín de Arriaga, 2 id. D. Nicolás Soreguí, 1 id. D. Juen Bautista de Sarrata, 2 id D. Jot,é A tomo de Erna, 4 iii. D Mi guel de Garate, 1 id. D. Joaquín de Lostfa, 1 id. D. Raisuui Ven-</t>
  </si>
  <si>
    <t>Lostra, Joaquín</t>
  </si>
  <si>
    <t>Joaquín Lostra</t>
  </si>
  <si>
    <t>…ar, 100. 13. Faustino del Campo, 100. D. Santiago Rodríguez, 100. I). J uan Antonio Ariaiburu*, 100. D. Cristóbal Aznilcueta, 100. D. Martin Gubasola, 100. D. Ramón Azcarato, 100. D. Joaquín Lostra, 100. D Juii To nas Senoseain , 100. D. Jom B ufhta Garate, 100. D. Angd Alfar*, 103. D. Antonio Tarancc, 100. D. Fernando Mazo, 100. O. J &gt;aqnlu M^ría Ferror, 100. D Ignacio Sobrado, 100. D. Juan del Valle Ponga, 100. D. J ose Correa, 100. D. Juan Bautista S…</t>
  </si>
  <si>
    <t>Lottum</t>
  </si>
  <si>
    <t>…os, á saber; . que restablece la paz de la Iglesia. Conde de Goltz, m'nistro de Estado mtcr.no; de Kircheisen, ministro íntimo de Estado y de Jus Juan Sifrcin Mauryficc. ticia; el conde Lottum , general mayor v consejero Ai clero y á los líeles de la diócesi de París, de Estado intimo; de Schuckmann y de Bulow, salud y bendición en nuestro Señor Jesucristo. consejeros de Estado intimo?. Acabamos de saber con gran consuelo, por Esta combina queda au…</t>
  </si>
  <si>
    <t>Loukowkin</t>
  </si>
  <si>
    <t>…persiguiendo el resto de Las fuerzas enemigas híista dispersarlas completamente. ,,Al mismo tiempo que rai vanguardia se dirigía desde Minsk á JBorisow, el general Ischapiitz y el coronel Loukowkin marcharon á Lembin,'aquel'para observar el paso del Berezina, y este para apoderarse de ios efectos que el enemigo se habia visto obligado á abandonar. Algunos destacamentos de Dombrowski hablan pasado yvb .este rio, y el coronel Loukowkin los atacó , y les h…</t>
  </si>
  <si>
    <t>Lovau</t>
  </si>
  <si>
    <t>…del exército ías noticias siguientes , con fecha de 6 del corriente por ia tarde. El 2 de setiembre e! Emperador pasó revista en Dresde a! primer cuer po i cuyo mando confirió al conde Lovau. Este cuerpo se compone de tres divisiones, Du monceau, Phiiippon y Teste. Ha perdido menos gente de lo que se había creído, y se presentan muchos dispersos. El general Vandamme no murió, quedó prisionero: el general de inge nieros Haxo, que habia ido en comi…</t>
  </si>
  <si>
    <t>Lowcnstern</t>
  </si>
  <si>
    <t>…ia 3 de Octubre junto á Wartenburgo, le derrotó y le mató mucha gente, destruyó los atrincheramientos, tomó 16 piezas de artillería, 70 caxones, é hizo 1©-prisioneros. Eí teniente coronel Lowcnstern combatió con un corto destaca mento de cosacos contra mas de 20 enemigos en las calles de Betnburgo Después de des horas de refriega , habiendo sido reforzado el eBesnigo coa artillería, tuvieron que abandonar la ciudad; pero la tomaron ai dia siguiente. La p…</t>
  </si>
  <si>
    <t>Lowe</t>
  </si>
  <si>
    <t>…hostilidades. V. S. conoce tan bien el distingu do mérito, y los eminentes s rvicios del geueral Gneis¡.:au, y as* es in útil volver á hablar de ellos ahora. Yo había agregado el general Lowe al general Blucber en el ramo de batalla; y habiéndome ido á la eutrada feí cíia al ¿ado del ríncipe real , debo á este oficial la justicia de hacer saber a V. S.f que sus informes me han servido de mucho socorro. Mi ayudante de carneo el capítan During. o-ci…</t>
  </si>
  <si>
    <t>Lowe, H.</t>
  </si>
  <si>
    <t>H. Lowe</t>
  </si>
  <si>
    <t>…ficíales y soldados ^ue se hallen existentes en lista el último día del mes precedente. El primer pago datará desdé. i.° de Abril de 1813 para ei nú mero expresado en la lista del coronel H. Lowe , al servicio de S. M. B., que fue nombrado para inspeccionar la Lgica en el mes de Abril. Respecto á los enfermos que han quedado en los hospitales de Rusia no entrarán en cuenta hasta'que hayan pasado la fronte:a rusa después de su convalecencia. Por alguna…</t>
  </si>
  <si>
    <t>Lowenstern</t>
  </si>
  <si>
    <t>…uerzas1 J fue dérrolíaaQ y*' perseguido hasta las puercas de Delitsch con uña pérdida1 ébmiderábié?de muertos y heridos, ademad de 150 prisioneros,incluso un'oficial. El teniente^ coronel Lowenstern continuó persiguiendo la caballería del enemigo frente de Barneburg, la qual, aunque superior en número, manifestó retirarse ha cia Magdeburg. El mayor barón de Essen, ayudante de campo del Príncipe Real, y el capitán ruso Krasnakutky ifujerén con un regimien…</t>
  </si>
  <si>
    <t>…ior en fue zas, fué derrotado y perseguido hasta ios puertos de Delitsch con pérdida considerable de muertos y heridos, adema* de 150 prisioneros, in cluso un oficial. K1 teniente coronel Lowenstern continuó persiguien do la caballería enemiga en frente de Beroeburgo, la cual. aunque superior en número, se retiró hásia Magdeburgo. El mayor bar n de Essen , ayudante de campo del Príncipe real, y el c .pitan ruso Krasnakutzky fueron con un regimiento de co…</t>
  </si>
  <si>
    <t>Lowínteselr, Gustavo</t>
  </si>
  <si>
    <t>Gustavo Lowínteselr</t>
  </si>
  <si>
    <t>…f; V- .-r... -*v - ,*** ES general barón Aldreuitz es gcfe del estado mayor del exército aliado del norte de Alemania,* y tiene á sus órdenes al mayor gfenfcrai barón Tarvast y al conde Gustavo Lowínteselr como ayudantes genéralls encargados de recibir y comunicar las órdenes. Se han tomado las disposiciones de modo que en el espacio de dia y me dio pueden presentarse en línea mas de 80® hombres. El 11 de este mes, á tiempo_que S. A. R. ^pasaba revista á las tr…</t>
  </si>
  <si>
    <t>Lownilesshn, Gustavo</t>
  </si>
  <si>
    <t>Gustavo Lownilesshn</t>
  </si>
  <si>
    <t>…cuerpo de 3© ingleses. El general barón de Aldrenitz es el gefe del estado mayor del exército del norte de Alemania, y tiene á sus órdenes al mayor ge neral barca de Tarvast y al conde Gustavo Lownilesshn, ccmo ayu dantes generales encargados de recibir y de circular las órdenes. Las disposiciones que se han tomado son tales que en dia y me* dio mas de 8oS hombres pueden estar en línea. El 11 del corriente por la mañana, mientras S. A. revistaba las tropas que…</t>
  </si>
  <si>
    <t>Loza, Antonio</t>
  </si>
  <si>
    <t>Antonio Loza</t>
  </si>
  <si>
    <t>…seguido á- fuerza de sacrificios y de protección Por los deán y canónigos cabildo .de la santa divina conservar aquella misma unidad de gobierno iglesia catedral de Segorve. = Dr. D. Antonio Loza que la mantiene en su ser, y sin la que este cuer no, canónigo decano-y presidente. = Dr. -D. Fran po iría al través de los acontecimientos humanos. cisco Guimerá, canónigo, re Dr.D. Antonio Vale ,, Enrre otras puede servir dp (jsemplo, de edi ro, canónigo-cu…</t>
  </si>
  <si>
    <t>Lozano, Juan.'</t>
  </si>
  <si>
    <t>Juan.' Lozano</t>
  </si>
  <si>
    <t>…te ines mu uó en el hospital de mujeres de esta ciudad, á ios 112 años de edad, María í guacia Losado , na tu. a ¿3 las orillas del Jordán, negr&lt;i libre, que había sido esclava de D. Juan.' Lozano y de Doña Ana Ga nót ales. Adquirida sa libertas! casó con Juan Veas, negr© iga&amp;lmentc libre, d.-i que no consta si tuv© hijos. Ea 10 de Noviembre de este año se presentó en e hospital sin otra enfermedad que ei estado de debilidad a que la habían reducido' l…</t>
  </si>
  <si>
    <t>Lozano, Pedro</t>
  </si>
  <si>
    <t>Pedro Lozano</t>
  </si>
  <si>
    <t>…es al año de 1812......... 3000 Ibarreche........................................ 300 Multas. Limosnas. De una entregada por el agente de Por la que dexó un devoto, sin ma policía D. Pedro Lozano.................. 22 Esta, como todas, habrá empezado su carrera con los bienaventurados optimistas insurgentes. La nueva una proclama, en que prometerá montes de oro á la regencia se ha instalado á mediados de marzo: tres me gloriosa insurrección ; los perio…</t>
  </si>
  <si>
    <t>Lsngcron</t>
  </si>
  <si>
    <t>…thai. Los guardias rusas y ía vanguardia debida adelantarse sebre el camino real de Leipsick. El cuerpo del general St. Priest, partiendo de M.rseburgo, debía seguir al cuerpo del general Lsngcron La caballería y las diferentes reservas se formaron en el terreno abierto entre los pueblos. Ya era *€rca del medio día ántes que las tropas se colocasen en sus posi ciones respectivas. ■ * El enemigo, pocé despnes de principiar la acción, abandonó los pueblos a…</t>
  </si>
  <si>
    <t>Lsngeron</t>
  </si>
  <si>
    <t>…s, el día 20, desde Liegnitz, Goldbergy Jauer sobre Buntzlau y Lowenbürgo : el cuerpo de Sachen se movió por la derecha sobre Banízüau; el del general York por el centro, y el del general Lsngeron por la izquierda. El enemigo abandonó á Buntzlsu, des truyo sus obrsis y voló el almacén de pólvora qne tenia allí: las fuer zas del general Blucher avanzaron hacia el Bober, donde fueren ata cadas el 21 por el enemigo, que te movió con muchas fuerzas desde B…</t>
  </si>
  <si>
    <t>Lu, Pedro</t>
  </si>
  <si>
    <t>Pedro Lu</t>
  </si>
  <si>
    <t>…substituto primero. Barríc de S. Basilio. D. Antonio Poma redo, substituto segundo. D. Francisco P.uiíio, alcalde. Barrio d’ tas Vistillas. D. Ansí res Ortiz , su'vriiuto primero. D. Pedro Lu is Nápolt, alcalde. D. Santiago de la Peña, substituto segundo. D. Migue! Oquendo,substituto primero. Barrio de la Buena-Dicha. D. Angel de Sata, substituto segundo. D. Rafael Flores, alca,Je. Barrio de la Latina. D. Manuel Gómez Delgado, substituto primero.…</t>
  </si>
  <si>
    <t>Lubienski</t>
  </si>
  <si>
    <t>…ziny; Federico conde de Scorzewski , nuncio del dist.ito de Lremberg; 1. Wybicki, Valentín Subdewski, senadores Joaquín Owinzki, nuncio del distrito de Lubún; palatinos; Francisco conde Lubienski, diputado de los dis— Alexandro conde Beniski, nuncio del distrito tritos de Sikalmierz y de ElcbJow; Carlos Skor- de Obornieki (departamento de Po nan); howski, diputado de la ciudad de Cracovia; r ran Estanislao conde Soltyk, nuncio dei distrito de Scidlowi…</t>
  </si>
  <si>
    <t>Lubomlrski, Casimiro</t>
  </si>
  <si>
    <t>Casimiro Lubomlrski</t>
  </si>
  <si>
    <t>…eutiu) -:j sin encontrar ninguna otra embarcación á diversas Cunde la mortandad en los hospitales militares: alturas: el 30 de noviembre dieron la vela para ha rosos de Dubn, y el príncipe Casimiro Lubomlrski, cerlo entré las Bermudas y el Cabo de Virginia, en señor de esta ciudad, que los visitaba.con frecuen cuyo mar han permanecido hasta que han tenido cia por humanidad , ha adquirido en ellos una fie necesidad de tocar en este puerto para tomar pro bre de que…</t>
  </si>
  <si>
    <t>Luceño, Alfonso</t>
  </si>
  <si>
    <t>Alfonso Luceño</t>
  </si>
  <si>
    <t>…o Rodríguez-, substituto segundo. D. Manuel Martínez, substituto primero. Barrio de las Niñas de Monttrri. D. Francisco Monteagudo, substituto segundo. D. Agustín Tavira, alcaide. D. Alfonso Luceño, substituto primero. Barrio de la pinza de S. Juan. D. Ramón Lancha alcalde. D. Domingo Cabezón, substituto segundo. Barrio de Monserrat, D. Juan .Adan, substituto primero. D. Félix Montexo, substituto segundo. D. Miguel Parte-arroyo, alcalde. Barrio del Hosp…</t>
  </si>
  <si>
    <t>Luceta, Pedro</t>
  </si>
  <si>
    <t>Pedro Luceta</t>
  </si>
  <si>
    <t>…nde. Dios guarde á Y. S. muchos años. Cá diz 24 de Diciembre de 1812. Por providencia del tribunal del consulado de esta plaza, en au tos de concurso de acreedores á los bienes de D. Pedro Luceta , se manda citar y emplazar á cuantos se estimen con derecho á los refe ridos bienes, á fin de que en el perentorio término de 12 meses acu dan á deducirlo con los documentos que les comprueben ; preveni dos , que de no hacerlo en dicho término, se verificará…</t>
  </si>
  <si>
    <t>Luciano</t>
  </si>
  <si>
    <t>…varra al cx-cistcrcienTal es la fiel relación de los principales sucesos se D. Joaquín Pardo. de este sirio, que ha durado 35 dias, en cuyo dis Para el de Sansol al ex-benedictino D. Luciano curso el enemigo ha volado quatro minas, abierto Antonio Falcou. cinco brechas, ya por medio de aquellas como á Para el de Torres de Navarra á D- Pablo Maes cañonazos, y dado cinco asaltos, quatro de ellos tre Salas. bien malogrados. Por nuestra parte se han…</t>
  </si>
  <si>
    <t>Lucót</t>
  </si>
  <si>
    <t>…e iást'xo, su teniente y fiscal, y 99 prisioneros sacados de la cár cel de Villa, salieron al amanecer del 8 para Francia acompañados de mucho paisanage y carros á las órdenes del general Lucót, ma yordomo mayor del rey. Este, con el conde de Mriilo, todos los del ramo de la intendencia, el montero mayor Benebéll y los del suyo, los dependientes de la casa del Campo y otros, fueron despe-</t>
  </si>
  <si>
    <t>Lúeas</t>
  </si>
  <si>
    <t>…xtraviar la Opinión de los rústicos á quienes hemos quedado sin justicia suprema!” {Redactor dirige su plática; y baste decir para muestra de la ¿eneral núm. ¡68.) sanidad de este D. Lúeas, que propone sea conde Claro está adonde va á parar esta ironía. nado a! último suplicio el que no tenga ni lea el — ,,El suplemento al núm. tS del Tribuno del evangelio en triunfo, y el que se burle de la inqui ando una proposición, que se dice pasada al con…</t>
  </si>
  <si>
    <t>Luini</t>
  </si>
  <si>
    <t>…e Tarracvitallones repartidos en l*s plazas del reino, se reunie cini, de Adda, Colle, $ant’ermo, conde Cossoni, sen pira formar un cuerpo de tropas que debía conde Pollranceschi, conde Luini, Pcdrazzini, con marchará i* Gallitzja, yqué hará parte de un con- sejeros legislativos. Peüavícim, pre ¡dente ; Óoprani'deraWj jt^ércljiO austríaco, que ha dé haber de ob- si, Fagnani, Barbó, Valdrighi, Cmnpaguoni , RisfrV^idoa »n¡a$ fronteras de la Rusia oc…</t>
  </si>
  <si>
    <t>Luis</t>
  </si>
  <si>
    <t>…ior á las órdenes del general Chandler. La noticia de esta derrota llegó por expreso ú Newark el domingo por la noche, y á la una de la madrugada del martes salió de esta plaza el general Luis para tomar el mando de las fuerzas que se retiraban, á quienes se reunió en el mismo dia. El martes 8 por la mañana temprano se presentó la esquadra inglesa á la altura de Angra de lasQuarenta millas, donde se hallaba entonces el exército americano, é intimó…</t>
  </si>
  <si>
    <t>…del segundo de Asturias; I&gt;. Josef Rico, capi tán, y D. Juan de Odoqui, teniente del de Guadalaxara; D. Juan Loarte* coronel; D. Antonio Villegas y D. Antonio Martínez, tenientes; D. Luis •Alcalá, subteniente del de la Constitución; Mariano Castell, teniente coronel; D. Josef Rio-mayor, capitán ;D. Nicolás Collar, D. Manuel Rajnon Castell, D. Josef María Hernández y IX Josef de Puga» tenientes; IX Ventura Nogueyra y IX Laureano Triarte,, subte…</t>
  </si>
  <si>
    <t>…e dirigid para Donnermiihl entre Hochst ‘y Csssel. Ei ataque comenzó á las 2 de la tarde. El enemigo hizo mucho fuego con su artillería de Hochst contra ó piezas de la columna del príncipe Luis, y arf°jd muchas bombas con sus morteros de Cassd.— Toda la ar tillería austríaca avanzo con tal valor y rapidez, que haciendo cesar el fuego enemigo, las columnas de infantería pudieron avanzar tam bién, y apoderarse de los atrincheramientos y de la ciudad ,…</t>
  </si>
  <si>
    <t>LuísPereira</t>
  </si>
  <si>
    <t>…del,Prado: á .80 rs. cada juego. := Ensayo de i los ele mentos de la ciencia del buen gobierno, dedicado al pueblo español, y presentado al augusto y supremo Congreso nacional por D. LuísPereira de la Guardia: á 18 rs. i la rústica. Se hallarán en las librerías de Quiroga, calle de las Carretas, y en U de la viuda de Alonso, frente á S. Felipe el Rea!. i &gt; EN LA IMPRENTA NACIONAL.</t>
  </si>
  <si>
    <t>Luizaain, José</t>
  </si>
  <si>
    <t>José Luizaain</t>
  </si>
  <si>
    <t>…diño, 1). Gregorio .Eche» garay, D. A n Ionio Arzola, D. Jacinto O na , D José Vinegra, D. Santos Besga , D. Joaquín Ruiz, D. Ma uel Clemente, D. Ra món Marañon , D. José Albumes, D. José Luizaain , D. Francisca Ardaiz, D. José Díaz, D Antonio Abadía, D. Nicolás Soriano, D. Bernardo Moliner, D. Manuel Llera, D. José Perulan, D. Ray» mundo Marqués, D. José Gorriz, D. Dionisio Fonolitas, D. Can» dido Zunzarren * D. M:guel Quartero , D. Juan Urzaniqui, D.…</t>
  </si>
  <si>
    <t>Lumby</t>
  </si>
  <si>
    <t>…la altura de Sombrero el Yankee, corsario americano de porte de 7 cañones y 44 hombres de tripulación, que habia salido de Salem ¿8 dias ántes, y no habla hecho ninguna presa. El capitán Lumby, del navio Narciso , ha dado parte que el 24 de Noviembre último , en la altura de la isla de Nabaaa , el teniente Criric, con las lanchas del Narciso, habia apresado al corsario ameri cano José y María, que llevaba 4 cañones y 73 hombres. El capitán Hillyer,…</t>
  </si>
  <si>
    <t>Lumky</t>
  </si>
  <si>
    <t>…s, civiles y militares obedecerán esta leal orden. — Sóndete, teniente general. GRAN-RRETAÑA. Londres 2Q de Abril* La gaceta ministerial de 10 del corriente contiene un oficio del capitán Lumky , comandante del Narciso, en que dice htber api*, ísado al corfário americano Shephefd, con 4. cañones y 18 hombres. O tro del capitán Bordett, comandante del Maidsíone, da cruenta de haber apresado ai cortario americano Cora de 258 tonelada*. 6 ca ñones y 40…</t>
  </si>
  <si>
    <t>Lumpo, Lorenzo Coello</t>
  </si>
  <si>
    <t>Lorenzo Coello Lumpo</t>
  </si>
  <si>
    <t>…o la cañada atacase de frente , y el desta camento de zapadores con el regimiento de Pravia, al manco este de su coronel el brigadier D. Francisco Moreda , y aquél ai del capi tán D. Lorenzo Coello Lumpo á mi inmediaciorr en-calidad de res¿r-va para acudir adonde mas urgiese En esta disposición se emprendió el ataque por el batallón de cazador s con la mayor bizarría, desalojando á los enemigos de todas las posiciones avanzadas de las que defendieron con tesó…</t>
  </si>
  <si>
    <t>…o la cañada y atacase-de fren te; y el destacamento de capadores con el regimiento de Pravia, al mando este de su coronel el brigadier IL Francisco Moreda, y aquel ai del capitán? D. Lorenzo Coello Lumpo, á irfr inmediación en calidad de reserva para, acudir adonde mas urgiese. ,, En esta disposición se emprendió él ataqué por ti batallen de cazado res con- la ma) or bizarría, des.dcj-óndo á los enemigos de todas las posicionesdanzadas, de las que defendieron…</t>
  </si>
  <si>
    <t>Lún-v, Saqtiago</t>
  </si>
  <si>
    <t>Saqtiago Lún-v</t>
  </si>
  <si>
    <t>…d p i- van entrando á consecuencia de las providencias del vada de los fundadores, se cometieron los primeros excelentísimo señar prefecto central. al cuidado, zelo y actividaJ de D. Saqtiago Lún-v j, Todos. i#s efectos de uso quotidiano se hallaa</t>
  </si>
  <si>
    <t>Luna, Alvaro de</t>
  </si>
  <si>
    <t>Alvaro de Luna</t>
  </si>
  <si>
    <t>…eso Lope de Vega, Espinel, Villegas y otros, no devada por las turbulencias que se suscitaron con ocasión xaron de criticar severamente aquel extravío de la sana de la privanza de D. Alvaro de Luna , y los emules del razón y del arte de bien hablar. marques obscurecieron ó quemaron sus libros , calum (ó) Don Estéban Manuel de Villegaa, á quien el niando su memoria por espíritu de facción , y no por redactor concede el título de marques de Viilagas, pu o…</t>
  </si>
  <si>
    <t>Lurvide</t>
  </si>
  <si>
    <t>…s empre lo em baraza para sus expediciones militares, que son ve daderamente muy acertadas y oportunas: por lo que he resucito continuar con el con voy, reunirme con el expresado Sr. Lurvide, rec bir las platas, re gresar á esta misma ciudad, y si luere necesario , dexarlo en libertad para que tome Jas direcciones que juzgue mas convenientes al mejor sérvelo del rey, lográndose por este medióla segur dad de los cauda les del erario y del público,…</t>
  </si>
  <si>
    <t>Lutken</t>
  </si>
  <si>
    <t>…disson por presidente y i Mr. Gerry por vice-presidente; pero en Nueva-Yorck quien tiene Nuestra gazeta trae de oficio los partes del con el partido mas fuerte es Mr. Clinton. tra-almirante Lutken, del capitán Holm y del te Los estados del Oeste y del Mediodia están uná niente Dietrichsen sobre la pérdida de nuestra fragata nimes en que la guerra continúe con todo vigor, y la Ndva.ie, después de un obstinado combate con en que re reelija por presidente…</t>
  </si>
  <si>
    <t>Lutzen</t>
  </si>
  <si>
    <t>…iéndoles inti mado el armisticio el 8, declararon que harían la guerra por su cuenta; y como han seguido portándose del mismo modo, se han enviado contra ellos algunas colunas. El capitán Lutzen, que mandaba una dé estas paradas , fue muerto; 400 hombres de su partida fueron muertos y hechasprisioneros, y p ’ ; . f (1) Este Schill es aquel célebre aleman que en i8op hizo la guerra contra el misino Bonapajte armando partidas, exaltando los espíritus,…</t>
  </si>
  <si>
    <t>L’hermite</t>
  </si>
  <si>
    <t>…as de artillería, y ha ido á re perio'francés. Ya hace un mes que esran pasando el unirse con el general Carra-Saini-Cyr. Kin continuamente en Strasburgo, Maguncia y We- El contra-almirante L’hermite está delante de sel legiones nuevas para incorporarse con el exc'rci- Cuxhaveo con una división de lanchas cañoneras to grande. defendiendo este paso, y protegido por el fuerte. Se asegura que ha llegado orden de París para ha REINO DE ITALIA. cer á Brema cap…</t>
  </si>
  <si>
    <t>…ebaxo de nuestros el aprecio universa! del público; y tal vez también muroí, y se incorporó al general Carra Saint-Gyri. la habréis vos juzgado ya.digna de la aprobación El contra-almirante L’hermite con una división de del cuerpo legislativo. cañoneras está delante de Cuxluven; defiende ia „ El estilo de las leyes debe ser conciso: e&lt;tas entrada del canal, hallándose protegido ppr el sientan las reglas generales, sacan á veces las con tuerte. secuencias…</t>
  </si>
  <si>
    <t>M, J.</t>
  </si>
  <si>
    <t>J. M</t>
  </si>
  <si>
    <t>…u ría de la municipalidad....... ............ 200 nicipalidad encargada de la dirección y admi- Por otra que entregó ai inspector nistración de los hospitales generales civiles de D. J. M................................................ 29 Madrid de las cantidades que han entrado en Por otras dos del señor cura de S. An caxas para la subsistencia de dichos estable drés; la una por mano de D. Beni cimientos , y de su inversión desde &lt;T de diciem…</t>
  </si>
  <si>
    <t>M, Joaquín</t>
  </si>
  <si>
    <t>Joaquín M</t>
  </si>
  <si>
    <t>…’jo. 25 1). José Oétolasa, 25. D. Fran cisco Muían Rodrí guez , 25. D Manuel Julián G rájales, 20. D. D «mingo Car dan , 20. í). Juan Matías (ribarren, 20. D. Gerónimo Urriza, 20. D. Joaquín M ^riiuez. S\ D. Juan Bautista Viana, 20. D. Vicente de los Toyos, 20 D. Juan Llano, 17. D José Perez déla Mata, 7. D. José Herrera, 17. D. Gerónimo Vivanco, 10. D. Manuel Ibañ?z, 10. Don Rosendo Gao , 10. D. Ramón Forcelíc 5o, 10. D. Gaspar Gorruehano, 10. El…</t>
  </si>
  <si>
    <t>M, Juan Francisco</t>
  </si>
  <si>
    <t>Juan Francisco M</t>
  </si>
  <si>
    <t>…an Gil , 100. D Lo renzo Machiianda, 100. I). Miguel Arneta,50. D. Martin y D. J.ian Bautiza Estevecorena, 59. D. Ran&amp;on del Valle, 50. D. Rara el Ló pez, 50. D. Félix Balegi, 59. D. Juan Francisco M -toado, 50. D. Manuel G.j»m&lt; z Zuazo, 50. D. To-ms Jurado, 50. O Sebastian Corrínarefc,50. D. Antonio León, 50. D. Juan y D. M g-id Viña, 50. D Andrés Sánchez Quiroz , 50. D. Antonio Bbras, 50. D Francisco Nnaez, 50. D. Manuel Odrinsola, 50 D. Fulg í c o Z av…</t>
  </si>
  <si>
    <t>M, S.</t>
  </si>
  <si>
    <t>S. M</t>
  </si>
  <si>
    <t>…é siempre ha honrado la quier personas que se consideren cóii derecho á los bie fidelidad y la adhesión de su consejo dé Estado. ” nes quedados per el fallecimiento abintcstato de Doña S. M» respondió én los térrtiinos siguientés: Agustina Carlota Abad, vecina que fue dé esta corte, Señores consejeros de Estado. acudan í dedurirle dentro de dicho término ante el re ferido señor juez, y por Ja escribanía del. húmero de ,, Cada vez qué éiittb éri…</t>
  </si>
  <si>
    <t>…í la.dis tiebemos echar en olvido medio alguno para con posición sola y particular de S. M. el Emperador vencer á estos desgraciados, cuyo e'píritu dcbe es; Napoleón ó de su lugar-teniente S. M. el Reí dé tar irritado con tan larga adversidad, que no nos Ñipóles. contará nada qualquier esfuerzo ó quahuiera con Mr. de Natzmer, ayudt de campo de S. M. el cesión conveniente paira poner fin á un estado de Rc-i, portador de estas órdenes, ha salido ya par…</t>
  </si>
  <si>
    <t>M, V.</t>
  </si>
  <si>
    <t>V. M</t>
  </si>
  <si>
    <t>…ades, respondieron lla Ísroducir un trastorno general, procurando alterar marse como sigue: a fidelidad de los pueblos.‘Fuera de los estados de El primero Claudio Francisco Malet, general V. M., Señor, hai pocos países donde la audacia de brigada retirado; y .las maniobras de los desorganizadores no hayan El segundo Victor Claudio Alexandro Fauneaupropagado la inquietud entre los depositarios de la Xahorie , ex-gcneral de brigada ; pública autoridad…</t>
  </si>
  <si>
    <t>M-arwitz</t>
  </si>
  <si>
    <t>…ales y 360 soldados se paso á los aliados. En Magd .burgo había mucha miseria. Bonaparte manió que í-e tomase á I&gt;essau á toda costa : los aludos la abandonaron antes. El teniente coronel M-arwitz entró ea Bruns wick y aprisionó 400 francese;. D isriameate se prson de 30 á 40 enemigos á los aliados. — Según noticias de Petersxurgo, ti aíbtamiento mandado hacer por el emperador Aiexsndro debe producir 180$ hambres. El mismo emperador firmó en Top itz un…</t>
  </si>
  <si>
    <t>Ma</t>
  </si>
  <si>
    <t>…, D. Francisco Morillo , D, Juan Jaurrieta, D. Bartolomé Guiberalde, D- Antonio Ugarte, D. Ignacio "Echeverría, D. Pedro Echegoyen , D. José María Gurrea, D. Francisco Erdozain , D. Ma nuel Sauca, D. Agustín Apezteguia, D. Martin Benuza, D. Miguel Tolqsana , D. Juan Bautista Acosta , D. Xavier Azanza , D. Juan de Ortigosa, D, Basilio Oilabarren , D. Sebastian Cortazar, D. Teo doro González, D. Juan Oyaga, D. Remigio Crespo, D. Mauricio Segu…</t>
  </si>
  <si>
    <t>…en , D. Juan José Tercero, D. Ignacio Lasa, I), Tomas Faudiño, 1). Gregorio .Eche» garay, D. A n Ionio Arzola, D. Jacinto O na , D José Vinegra, D. Santos Besga , D. Joaquín Ruiz, D. Ma uel Clemente, D. Ra món Marañon , D. José Albumes, D. José Luizaain , D. Francisca Ardaiz, D. José Díaz, D Antonio Abadía, D. Nicolás Soriano, D. Bernardo Moliner, D. Manuel Llera, D. José Perulan, D. Ray» mundo Marqués, D. José Gorriz, D. Dionisio Fonolitas,…</t>
  </si>
  <si>
    <t>…er saber á V. S. para su gobierno Dios &amp;c Puente la Reyna 19 de Diciembre de 1812. — José Gorrit. — Sr. D. Fran cisco Espoz y Mina.” 7.° „Con fecha de 25 del corriente me avisa el capitán D. Ma tías Ilzarbe , encargado del punto de Lesaca , haberse apestado en la carretera de Irun con el objeto de sorprehenden el correo de Fran cia ; y que habiendo llegado la vanguardia enemiga, que constaba</t>
  </si>
  <si>
    <t>…ordenanzas del exército, se examinaron testigos, y entre ellos el gefe superior de esta provincia que lo 1 labia sido de la de Málaga, y el intendente que fué del quinto exército D. Ma nuel Saenz de Yiniegr*?, destinado ántes en Algeciras, á quienes cons taba por pública voz y fama la conducta de Villareal y su partida; y en ei dia 13 se celebró un consejo de guerra ordinario público , el cual oidos los cargos*y acusaciones, como los descar…</t>
  </si>
  <si>
    <t>…1 id. D. Gregorio Fernandez* 1 id D. Julián García Mon_terroso, 1 id. D. Julián Perez, 2 id. D. Lorenzo de Arguiano, 1 id. D. Matías de Larreta, 3 id D. Manuel délos H¿ros, 2 id. D. Ma nuel déla Torre, 1 id. D. Manuel Garbea y Bulillo, 2 id. D. Ma nuel de Aramburu, í id. D. Miguel de Ezcurra, 1 id. D. Ramo* Martínez de Bartolomé, 1 id. D. Santiago Cachonfajro, 1 id. D. Tir so Estevanez, 1 id. D. Francisco Bosano , 2 id. D. José Gambini, 1 i…</t>
  </si>
  <si>
    <t>…de la guardia nacional: la nuestra ha side muy corta, lo que n? es de extrañar á vista de la completa sorpresa que se lo gró : sin embargo ia hace sensible la muerta del ayudante D. Ma riano Abello, que fué muerto en la plaza desde una ventana, después de haberse comportado coa ei valor que en todas ocasiones acreditó; fueron igualmente muertos 2 soldados , uno herido y otro prisio nero. El fruto de esta brillante erapTcsa es el habernos ap…</t>
  </si>
  <si>
    <t>…o en 4.0, á t8 rs. en rústica. Cartilla del ciudadano español, ó breve exposición de sus fueros y privilegios: obra compuesta por el Robespierre español, y publicada por su esposa Doña Ma ría del Carmen Silva. Se trata en ella de ilustrar aquella parte del pueblo que por falta de educación desconocía sus principales privilegios: el método que sigue es de un diálogo sencillo, qne está al alcance aun de los menos instruidos, proce diendo de ío c…</t>
  </si>
  <si>
    <t>…del exército (y algunos trabajadores paisanos), como fueron subidas á ella con rapidez las seis piezas de artillería, que colocó en la misma el coronel mayor general de esta arma D. Ma tías Ferraz, perfectamente ayttdado por el veniente coronel del propio cuerpo D. Josef Saravia, y el sargento mayor D. Bartolomé Gutierrez y demas oficiales subalternos: á las ocho horas de empezada la bate ría hacían fuego las piezas situadas en ella, y el a…</t>
  </si>
  <si>
    <t>§9 2 ' voy se componía de cerca de 2® cargas y 9 coches. 64. Ei capitán de patriotas y subdelegado de Qaautitlan D. Ma nuel Moreno , sabedor de que en Teoexi estaban los cabecillas Mar tínez , Ricardo, Alcántara, Meló y Tomas Barrera con i6q hom bres robando 2 todos los caminantes, salid de S. Miguel de los Xagiielles con 24 patriotas para ir en su busca. A las 8 de la noche…</t>
  </si>
  <si>
    <t>■9)5 Ionio Malet y D. Francisco López , el teniente de caballería D. Ma tías. Mascaró, y los demas oficiales y tropa que han.cooperado á la acción, se hacen recomendables por la intrepidez con que han executado.. su mancha y ataque á doshoras de Barcelona , habiendo 4® enemigos desde Mariorelí . á San Boy, y la división de Snchet…</t>
  </si>
  <si>
    <t>…e para comunicar órdenes en lo mas vivo del fuego; y yo lo hago á V. S. esperando se servirá hacer presente su mérito al Excmo. Sr. general en gefe, debiendo recomendar también al coronel D. Ma nuel de Benedicto, que no contento con ofrecerse pura ser emplea do en Ies asuntos, de mas riesgo y fatiga, baxó también al puente para contribuir á su defensa. La tropa, que á pesar de lo fatigada que debía hallarse por la larga marcha que hizo antes de la a…</t>
  </si>
  <si>
    <t>…os capitanes D. Leonardo Bonet y D. Domingo Manso , y el teniente D. José Ramón Ferradas, han llenado plenamente mis deseos. «El comandante general de ingenieros mariscal de campo D. Ma nuel Zappiño, el brigadier comandante general de artillería D. Agus tín García Carrasquedo , el coronel mayor general de la misma arma D. Matias Ferraz, y el brigadier subinspector de infantería del exér cito D. Félix Prat, han asistido á mi inmediación en to…</t>
  </si>
  <si>
    <t>Ma, Antonio Cano</t>
  </si>
  <si>
    <t>Antonio Cano Ma</t>
  </si>
  <si>
    <t>…se im prima , publique y circule. — L. de Barbón, cardenal de Scala, ar zobispo de Toledo , presidente. — Pedro de Agar. —* Gabriel Cis~ car. — En' Cádiz á 8 de Marzo de 1813. —A D. Antonio Cano Ma nuel. Se hace saber al público que desde el 15 de Mano de este año estará corriente en la torre de la isla de Taritá un fanal provisional, compuesto de ocho mechas fixas de mecha circular, ínterin se da la competente elevación á la misma torre para colocar el…</t>
  </si>
  <si>
    <t>…is se im prima, publique y circule. — L. de Sbrbon , cardenal de Scala , ar zobispo de Toledo , presidente. — Red o de Agar. — Gabriel Cis car. — Ea Cádiz á 22 de Marzo de 1813.—A D. Antonio Cano Ma nuel. El Sr. duque de Ciudad-Rodrigo lia dirigido al secretario inte rino de! despacho de la Guerra ei oficio siguiente: „E1 coronel D. Francisco de Longa, comandante de la división</t>
  </si>
  <si>
    <t>…is se im prima , publique y circule. — L. de Borbon, cardenal de Scala, ar zobispo de Toledo, presidente.— Pedro de Agar.— Gabriel Cism car. — JEn Cádiz á 14 de Abril de 1813. — A D. Antonio Cano Ma nuel. Circular del ministerio de Hacienda. La Regencia del reyno, considerando la proximidad de la cose cha , y la necesidad de formar grandes almacenes de víveres para mantener los exércitos en cualquiera parte que obraren, según las operaciones que debieren…</t>
  </si>
  <si>
    <t>…cia del reyno nombrada por las Cortes generales y extraordinarias, he tenido por conveniente separar dé la secretaría de listado á Don Pedro Labrador, y encargarla interinamente á D. Antonio Cano Ma nuel, como secretario de Estado mas antiguo,=Ten'iréMo entendido, y dispondréis lo necesario á su cumplimiento. = Cádiz 11 de Julio de 1813. = A D. Tomas José González Carvajal.” En el proceso sentenciado en consejo de guerra de oficiales ge nerales en la pla…</t>
  </si>
  <si>
    <t>Ma, Antonio Cuno</t>
  </si>
  <si>
    <t>Antonio Cuno Ma</t>
  </si>
  <si>
    <t>…se im prima , publique y circule. — L. de Barbón , cardenal de Scala, ar zobispo de Toledo , presidente. — Pedro de Agar. — Gabriel Cis car. — En Cádiz á 12 de Abril de 1813. — A D. Antonio Cuno Ma nuel. CADIZ: EN LA IMPRENTA NACIONAL.</t>
  </si>
  <si>
    <t>Ma, Femando</t>
  </si>
  <si>
    <t>Femando Ma</t>
  </si>
  <si>
    <t>…cen 72768 ps. fs —D. Alberto Camino , al mes 8 ps. por ua sño, 96. D. Bero?rd no G rdíl-o, id. por 4,4S. D. Cayetano D lis y Rubio, id..por 4 48 D Domingo I*erez, id. por 10, 120. D. Femando Ma ría Gómez, id. por 8, 96. D. Francisco García Carriaga, id. por 2,</t>
  </si>
  <si>
    <t>Ma, José</t>
  </si>
  <si>
    <t>José Ma</t>
  </si>
  <si>
    <t>…e Sanabriá. „No tengo noticia de que haya habido mas movimientos. — Dios guarde á V. E. muchos años. Fresneda 24 de Febrero de 1813. — Welíington, duque de Ciudad-Rodrigo.— Exeme. Sr. D. José Ma ría de ^Carvajal.” Extracta del parte dirigido por el coronel Harison al teniente general Sir lio'ando Hill, fecha en Bejar á 20 de. Febrero de 1813. ,,Tengo el honor de informar á V. que esta mañana, poco éñtes de amanecer, fueron atacados nuestros piquetes,…</t>
  </si>
  <si>
    <t>…s que se bailaron en esta expedición se distinguieion sobre manera , dtbo hacer particular mención dtl teniente do caballería D. Manuel Alegre, y del de igual clase de infantería, D. José Ma ría Gurrea, quienes se portaron con la mayor bizarría, p r cuya causa los juzgo dignos del aprecio de V. S., c ya vida guarde Dios muchos años. Eát&amp;diila 31 de Marzo de 1813» -—Amonio Oro. —</t>
  </si>
  <si>
    <t>…pación de aquella capital por los revoltosos de Bilertos -Ayr©6, ha sido tratado con respeto en prueba de su .buena conducta , la que también se halla apoyada con los informes del general D. José Ma nuel de Goyeneehe, y con el hecho de haberle reintegrado en ei inundo militar y político de la provincia, para darle un testimonio público del aprecio que hacia de su persona, á la que S. A. atende rá oportunamente,. CADIZ ; IMPRENTA NACIONAL : 1813-</t>
  </si>
  <si>
    <t>…tuvieron á medio tiro de bala de fusil del castillo. Mi pérdida ha consistido en io mueitos y 9S heridos, entre estos 4 oficiales, y cupo la suerte de serlo igualmente al valiente capitán D. José Ma ría Barrical, que exercia funciones de sargento mayor en ei primer regimiento, muriendo detpues de resultas de la penetrante herida. La del primero de Rioja na consistido en 4 muertos y 24 heridos, según me avisa sil comandante , debiendo ser muy considerable…</t>
  </si>
  <si>
    <t>…e particular mención del sargento segundo graduado d@ primero Jo&gt;é Bo et; y el de Aasona del granadero José Font; asimismo se manifiesta el co ronel Liauder agradecido al teniente coronel D. José Ma anés, ayu dante segundo de estado mayory encargado del de su brigada , quien dice le apoyó en todas las opert cíónes. «• Elogia el acreditado valor con que se porté en las tropas de la derecha el capitán dé cazadores dé S. Fernando D. Narciso Iglesias, su ayu…</t>
  </si>
  <si>
    <t>Ma, José Antonio Saenz de Santa</t>
  </si>
  <si>
    <t>José Antonio Saenz de Santa Ma</t>
  </si>
  <si>
    <t>140</t>
  </si>
  <si>
    <t>…ticos con efectos de artillería. Una tartana con tabaco, y otra con efectos de artillería. En 14 de Enero falleció en esta plaza, á los 87 años menos dos dias de su edad, el limo. Sr. D. José Antonio Saenz de Santa Ma ría , colegial que fué en el mayor de Santa Cruz de la universidad de Yalladolid , canónigo doctoral y dignidad de" prior de la santa iglesia de Zamora, arcediano de Madrid, y canónigo de la de To ledo, primada de las Espadas, consejero de la gobernación, y v…</t>
  </si>
  <si>
    <t>Ma, Josef</t>
  </si>
  <si>
    <t>Josef Ma</t>
  </si>
  <si>
    <t>…rma do 60. -,r ! ESPAÑA. Zaragoza 14 de setiembre. * El señor gefe político de esta provincia recibid en la noche de ayer 13 del corriente ia plausible noticia, que le comunicó el coronel D. Josef Ma ría Colubi, comandante militar interino del baxo Aragón, por medio del ofi cio siguiente: „Con fecha de 11 del corriente me avisan deí quartel general del pri mer exército, que el coronel D. Josef Manso sorprehendió en el punto de Palleja un esquadron de húsa…</t>
  </si>
  <si>
    <t>Ma, Juan</t>
  </si>
  <si>
    <t>Juan Ma</t>
  </si>
  <si>
    <t>…de un conde de Atareos , que despües nación española, traen en resumen otro romance no da haber contraido esponsales con cierta infanta lla menos verosímil., atribuido al infante D. Juan Ma mada S -lisa, tuvo el atrevimiento de enamorarse de nuel. otra señora, y de casarse en secreto con ella. Al Después pasa Mr. Guizot á hablar de nuestra cabo de muchos meses llegó á oídos de la señora literatura con la ligereza 6 inexactitud que vamos Solisa s…</t>
  </si>
  <si>
    <t>…armas. 35. En 12 del mismo, el capitán de una de las compañías de pa triotas de la Barca, D. Diego Moreno Jaso, con la tropa de su man do, y auxiliado cen 20 infantes al mando del capitán D. Juan Ma cad , de la división del coronel D. Pedro Celestino Negrete , atacó en la Ciénega de Snmuato, cerca del pueblo viejo, á 2c© bandidos acaudillados por el asesino Miguel del Rio- La situación de^ aquel parage, circundado por todas partes de fango y ?gua, que ll…</t>
  </si>
  <si>
    <t>Ma, Ricardo Perez</t>
  </si>
  <si>
    <t>Ricardo Perez Ma</t>
  </si>
  <si>
    <t>…bre de este, \año han sido Kelegid$&amp;¡por la provfnciq.de Valencia para las próxi mas ordinarias por el orden de su nombramiento. Licenciado D. Tomas Martin’, abogado. =rLicenciado D. Ricardo Perez Ma reo. = D. Antonio Bernabeu, presbítero. = Licenciado D. Joaquín Moliner, abogado. z= Licenciado- P. Antonio"Colomer, abogado. = Sr. D. Bernar do Falcó , presbítero. = Sr. IL iXÍartiniatio- francisco, Pastor. = Licenciado 1&gt;. Tadeo Ignacio Gil, abogado. = Lice…</t>
  </si>
  <si>
    <t>Mac</t>
  </si>
  <si>
    <t>…tonces orden de reunir todas sus fuerzas, y con las precauciones m ee su rjas persiguió al enemigo por los caminos de Eckau y Midan* Por todos !os infjTmes recibidos parece que el mariscal Mac *onald concentraba todas sus fuerzas en Eckau; de lo que con seguridad se puede inferir que su objeto es unirse al exército grande francés con i» mayor parte de sus tropas; y con efecto&gt; aquel tiene grande necesidad de este refuerzo.” Id. 24 de Diciembre. Se…</t>
  </si>
  <si>
    <t>Macáya, Juan</t>
  </si>
  <si>
    <t>Juan Macáya</t>
  </si>
  <si>
    <t>…ui, D. Bonifacio Jaso, D; Mvouel Sancho, D. Bonifacio Martínez, D. Julián Gofr , D. Justo Taiazona, D. José María Munuce, D. Antonio Longis, D. José Canoras, D Cele Io nio Lerruz, D. Juan Macáya, D, Luis A lamo, D Francisco íturralde, D. Miguel Ube’za , D. Xavier Mariotegni, D Fermín Adrián, D. Francisco Miranda, D. laucas Zubkta, D. Vicente Larraga, D. M ¿mano Onnaeckea, D. Victoriano Iribarren , D. Juan José Tercero, D. Ignacio Lasa, I), Tomas Faud…</t>
  </si>
  <si>
    <t>Macdonaí</t>
  </si>
  <si>
    <t>…to ma yor D. Tomas Peñaranda , quien con sus oficiales daban el mayor»«exemplo de valor, maniobrando tan pronto en guerrilla (según su instituto) como en ■coluna á la bayoneta. El coronel Macdonaí, que llevaba la orden del genera} en gefe á ias tó ^patá atacar de firme él reducto principal, me ha servido de mocho, condu ciendo ef regimiento de Sevilla para sostener mi ataque ai reducto. ■ ■ Suplico á V. S. haga presénte al general en gefe la bizarra co…</t>
  </si>
  <si>
    <t>Macdonaid</t>
  </si>
  <si>
    <t>…ndido el rigor de ia estación es probable que el Niemen no pueda pasarse á causa de los hielos flotantes. „E1 oficial que manda en Riga dice, con fecha de 2 de Diciem bre , que el mariscal Macdonaid no ha hecho mudanza alguna en su posición. „No sé de cierto si en el número de cañones mencionado en el avi so que se ha pasado á los ministros extrangeros. se r« fiere exclusiva mente á los que&gt;. se han tomado en Wilna si comoir rehunde también los que se rs…</t>
  </si>
  <si>
    <t>Macdonald</t>
  </si>
  <si>
    <t>…so trasladarle ministerial de nuestros periódicos, el Cotirrier puá la otra parte del rio. El general Brock y .su ede ., biiea un artículo que contiene a!gunas noticia* cán , y el coronel Macdonald, del exércitó ingles, curiosas sobre‘el ^estJÜo de los partidos en Ingla terra. La fuente de donde dimana este artículo, fueron muertos en el mismo combare. Pasó entonces el- rio el general \Vadstvorth con .. dieyida sin la menor duda por el ministerio, basta…</t>
  </si>
  <si>
    <t>…n número de muertos de hambre y de frió en todo el terreno que va dexando su exército. ,,Ei feld mariscal se halla en el exércíto de Moldavia. „E1 comandante de Riga reñere que ei mariscal Macdonald ocu pa una línea que corta el ángulo formado por el Duna con el Bál tico , teniendo su derecha en Frederiekshana , la izquierda en Tu tuma , y el centro en Eskoy. — Amenaza á Riga , pero probable mente con intención de impedir la interceptación délos víveres…</t>
  </si>
  <si>
    <t>…ta en el oficio anterior. Dia 4 de Enero. — El general conde Wittgeustein participa con fecha de 31 de Diciembre, que en su marcha hácia la Prasia para operar contra el cuerpo del mariscal Macdonald, habia superado todas las dificultades que se le habian opuesto en el camino , persi guiendo al enemigo , que ya se halla en Tilsit, Dice que cercó la vanguardia de Macdonald con su caballería , separándola de las tro pas prusianas al mando del general York c…</t>
  </si>
  <si>
    <t>…ital de Píiisia, está ya cometida á V. M. I.: íué tumeda esta grande ciu dad en 6 do Enero por la vanguardia de! conde Wiitgeil&amp;tein á las órdenes dei mayor genera! Schepe'cíF. El mariscal Macdonald ocu paba el pueblo con un cuerpo c!e exército, compuesto de la anti gua guardia flaneesa y algunas tropas que se habían salvado de la destrucción general deí exéicito grande enemigo, comprehendiéndose en estas fuerzas 2500 hombres, restos del cuerpo particula…</t>
  </si>
  <si>
    <t>…enberg; cayó, con su general y todos los oficiales del estado mayor&gt; en po der del general Langercn; los que no fueron hechos prisioneros, se ahogaron en el Bober. Eí exército del mariscal Macdonald puede considerarse ya como aniquilado. Cuartel general de Toplitz g) de Setiembre de 18/y. La vanguardia del exército principal va ganando diadamente ter reno en Saxonia. El del general Wittgenstein tuvo syer una brillante acción, y arrojó ni enemigo de Pirna…</t>
  </si>
  <si>
    <t>…se halla cada vez mas estrechado en su posición de Dresde, donde , según dicen los desertores y prisioneros., se experimenta cada dia mas falta de forrages y provisiones. El 22 el mariscal Macdonald salió de &gt;u po sición de Schmiedefeldt contra Bischofswerd. La vanguardia al mando del general ruso Rudzewitz y del coronel prusiano Kaízler le obligo a marchar Í&gt;or un terreno disputado continuamente; pero la superioridad de sus fuerzas e habilitó para ocupa…</t>
  </si>
  <si>
    <t>MacdonaldQuartel</t>
  </si>
  <si>
    <t>…eral Langerón con su general y todos los oficiales de su estado mayor: Jos que no quedaron prisioneros se ahogaron en el Bober. Se puede considerar como aniquilado el exército del.mariscal MacdonaldQuartel general de Toplitz $ de setiembre de 1813. Las avanzadas del exército principal ganan diariamente terreno en la Saxonia. Las del,general conde Wittgenstein tuvieron ayer una acción mui brillante: arrojaron ai ene-</t>
  </si>
  <si>
    <t>Macdonall, Raynaldo</t>
  </si>
  <si>
    <t>Raynaldo Macdonall</t>
  </si>
  <si>
    <t>…u celo, y me ha sido de la mayor utilidad en toda la operación. «Los ayudantes generales D. Pascual Henriíe y D. Domingo Mar tínez y demas oficiales del cuerpo de estado mayor, el coronel Don Raynaldo Macdonall, agregado á mi plana mayor, y el teniente co ronel Camac, que puse á las .órdenes del señor general Latorre, han desempeñado con la mayor actividad y acierto quanto se ha puesto á su cuidado. « Mi secretario de campaña el teniente coronel D. Felipe Prados, mi…</t>
  </si>
  <si>
    <t>Macdonell</t>
  </si>
  <si>
    <t>…tos y heridos debe de haber sido considerable. Creo que la nues tra ha sido comparativamente pequeña : no ha habido rúas oficiales muertos que el mayor general Brock y el teniente coronel Macdonell, ayudante provincial, que por su valor y mérito era estimado de su gefe. ,,Los capitanes Dennis y Williams , comandantes de las compa ñías de.cazadores del 49*, que estaban apostados en Queenstown, han sido lloridos , combatiendo con valor al frente de sus tr…</t>
  </si>
  <si>
    <t>Macha</t>
  </si>
  <si>
    <t>…Copons y Navia acaba de saber que el eorónel Liauder, con arreglo á las ordenes que le tenia dadas, ha empeñado una acción con una £oluna; enemiga de 1500 liombres, mandada por el coronel Macha!, cuyo resultado ha sido hacer re-, troceder á ésta coluna desde una legua de Ripoll hasta Dorria, hacerle mu chos prisioneros, y dexarla reducida á solos 300 hombres. El señor general en gefe,^deseoso de que todo el exército y principado celebre la brillante…</t>
  </si>
  <si>
    <t>Machado, Joaquín</t>
  </si>
  <si>
    <t>Joaquín Machado</t>
  </si>
  <si>
    <t>523</t>
  </si>
  <si>
    <t>…enemigo*, entre ellos 11 oficíale* y 9 jurados, con 40 caballos: de nuestra parte 10 muertos y 25 he ridos. ,,Recomiendo á Y. E. á los capitanea de caballería y de infectería y á D. Joaquín Machado, quienes han acreditado su valer. — Dios guarde á Y. E. muchos años. Arauzo 19 de Abril de 1813* ——■ Bxcmo. Sr. — Gerónimo Merino* — Excme. Sí. presidente y voca les de la junta superior de Burgo s.” Madrid 7 da Mayo* Ayer salió un gran convoy con muchos coch…</t>
  </si>
  <si>
    <t>Mackie</t>
  </si>
  <si>
    <t>…re que la á la princesa de Gales. Cerca de un mes antes que efendiera. El dia en que parí vino á mi casa, y se S. A. R. estuviese en el Devoushire, vi á b ven empeñó en entrar. El doctor Mackie que me asis tana de su palacio á este niño, y esto: cierta tam tía cerró la puerta por el lado opuesto de.....; pero bién que era el mismo. Poco tiempo después de eolito estaba otra abierta al otro lado de la alcoba, haber visto al niño la primera vez me dixo…</t>
  </si>
  <si>
    <t>Macleod</t>
  </si>
  <si>
    <t>…eridad de estas expresiones, el consejo del ío vario; mas al siguiente se reforzaron nuestras común, auxiliando al noble ardor de vuestros vasa-, tropas con el cuerpo del 'entente coronel Macleod, líos, humildemente, Señor, os ofrece y suplica que y se decidieron á dar un golpe dechivo. aceptéis 100 soldados de caballería para que parti El palacio del Sultán coge un ámbito de cerca cipen con los -invictos de ia gran nación del honor, de tres millas ,…</t>
  </si>
  <si>
    <t>MacraélMesa</t>
  </si>
  <si>
    <t>•perfectas. Van 1 publicarse los métodos de los her distinguido el teniéttte D. MacraélMesa y el sar manos Gonin. - gento primero de su esquadron Nicolás,Porcuna!'1 En’ótró tiempo empleaba la Francia por valor Esta pequeña'ventaja, que'mirada militarmente 'de un millón en cochinilla» y en los siete años prin es bastante para hacer digna de elogió á…</t>
  </si>
  <si>
    <t>Maddisson</t>
  </si>
  <si>
    <t>…estado del Ohio 4® votos mas que Mr. Clinton. sumir que torne su mando el general Chandler, por* El mismo periódico afirma también que Mr. que el general Dearborn se vuelve, y el general Maddisson tiene la mayoría de votos del mismo mo Bloomfield está enfermo. do en la Carolina del Norte, en Kentuchy y en la La mala, que salió de Charlestown el dia 12 cf* Lusiana. este mes, se ha encontrado en el rio á ias cercanías de Washington , y las cartas estaban…</t>
  </si>
  <si>
    <t>Madras, Domingo</t>
  </si>
  <si>
    <t>Domingo Madras</t>
  </si>
  <si>
    <t>…D. Juan María de Sola, oficial del regimiento de dragones de Madrid, 200 camisas, 2®o pantalones y 27 chaquetas.__ A D. Pedro de la Llave, oficial de artillería, 200 camisas.__ A D. Domingo Madras, del Inmemorial del Rei, 800 botines y 800 pantalones.__Al comandante y á D. Josef Villanueva, del de Infiesto, 1© botines, 1® camisas y 1® pan talones.----A D. Francisco Ramón Cabañas, del de Cangas de Tineo , 245 camisas-----A D. Felipe Díaz, del segundo es…</t>
  </si>
  <si>
    <t>Madrid, Intendente de</t>
  </si>
  <si>
    <t>Intendente de Madrid</t>
  </si>
  <si>
    <t>…ge neralmente se hallan los pueblos. 0e orden de S. A. lo comunico á V. S. pa ra su cumplimiento. Dios guarde á V. S. muchos años. Cádiz 12 de abril de 1813. = González Carvajal. =Sr. Intendente de Madrid. El día 31 de agosto se celebra en la villa de lllescas la feria de ganados de toda especie según costumbre. En la gazeta anterior artículo de Londres fecha del 6, en una noticia co piada á la letra del diario de la Coruña línea 6 y 7, dice añadiendo que vien…</t>
  </si>
  <si>
    <t>Madrid, Joaquín José Gil'de la</t>
  </si>
  <si>
    <t>Joaquín José Gil'de la Madrid</t>
  </si>
  <si>
    <t>…sentes;vieren!y cuten» dieren , sabed: Que las Cortes han decretado-lo siguiente : j „Las Curies generales y extraordinarias, .á consecuencia; dé¡ía , solicitud quedes ha dirigido D. Joaquín José Gil'de la Madrid, re sidente en la ida de Pneriorico, relativa á que se sirviesen conceder el pase para dickú isla á una información de hidalguía que ha pre sentado, fundándose en que por las leyes de Indias se previene que no se dé cumplimiento á tales documentos sin el pase…</t>
  </si>
  <si>
    <t>Madrid, Ju</t>
  </si>
  <si>
    <t>Ju Madrid</t>
  </si>
  <si>
    <t>…ubreton. Para el de Baños de Riotobia al ex-franciscano D.F rancisco Sauz. Para el de Hornillos al ex-franciscano D. Ma ESPAÑA. nuel Robles. Para el de Zihuri al ex-premostratense D. Ju Madrid 7 de enera. lián González de Uriarte. Extracto de las minutas de la secretaría de Es Para el de Sojuela al ex-benedictino D. Benito tado. Galilea. En nuestro palacio de Madrid á j de enero Para el de Matute al ex-franciscano D. Josef de 1813. María Hernacz. D…</t>
  </si>
  <si>
    <t>Madrid, Julián Manuel</t>
  </si>
  <si>
    <t>Julián Manuel Madrid</t>
  </si>
  <si>
    <t>…licitud en otras mas extraerles, seis ó siete que sin estt) ya hubieran pe felices? (Sí continuara.) recido, y que como aquellos deberán la vida al zeta verdaderamente pastoral de D. Julián Manuel Madrid s 6 de atril. de ligarte, vicario eclesiástico de Torde: lilas, que Extractos de tos periódicos de Cádiz.ha promovido su extracción y crianza, luciéndola asunto de sus platicas y exhortaciones parroquiales. —,, El Conciso propone un proyecto para juntar Sigui…</t>
  </si>
  <si>
    <t>Maedonali, B. Raynraldo</t>
  </si>
  <si>
    <t>B. Raynraldo Maedonali</t>
  </si>
  <si>
    <t>…u zelo, y me ha sido de la mayor utilidad en toda la operación. „ Los ayudantes generales D. Pasqual Henrile y D. Domingo Martínez y demas oficiales del cuerpo de estado mayor, el coronel B. Raynraldo Maedonali, agregado á mi plana mayor, y el teniente coronel Camac , que piiíe á las órdenes del señor general Latorre , han desempeñado con la mayor actividad y acierto quanto se ha puesto i su cuidado. ,, Mí secretario de campaña el teniente coronel D. Felipe Prados,…</t>
  </si>
  <si>
    <t>Maestri</t>
  </si>
  <si>
    <t>…o, conde Barago; el consejero La* cartas de. Bohemia ¿¡conque se aseguraba secretario de Estado, conde Stfige.lí; conde B?rgennr^tfncBte qu¿ un correo qué acababa de llegar nardi, conde Maestri, Bargnani, L Giovio, Guasi Praga desde Viena traía la orden de que los ba-' taviilani, Bazetta , conde Scopoli, conde Tarracvitallones repartidos en l*s plazas del reino, se reunie cini, de Adda, Colle, $ant’ermo, conde Cossoni, sen pira formar un cuerpo de t…</t>
  </si>
  <si>
    <t>Mag, Sofía</t>
  </si>
  <si>
    <t>Sofía Mag</t>
  </si>
  <si>
    <t>…alderoes 16 de Octubre de i8i3.r=Excelentdimo Sr.r^Vedro Agustin Girón. = Excmo. Sr. dutpe de Ciu dad Rodrigo. = Es copia. — WimpjfenA Por fallecimiento de la reyna viada de SuecU Doña Sofía Mag dalena ha resuelto la Regencia del -reyno que se vi ta la corte de luto por quince dias, les s'ete primeros con media negra , y les re$tantts de alivio, principiando el 3 del corrienre. Se halla de venta en la Imprenta nacional el tonto cuarto y ulti mo de le…</t>
  </si>
  <si>
    <t>Magano, Patricio</t>
  </si>
  <si>
    <t>Patricio Magano</t>
  </si>
  <si>
    <t>…Zamora, natural y residente en Madrid. 10. D. Felipe Artalejo , natural y residente en Pinto... . . , 11. D. Josef Martin y Montes, natural y,residente en Torrejon de Velasco. 12. D. Patricio Magano, natural de Fuencarral, y residente en Madrid. 1 ' , Del partido de Alcalá. i.° D. Manuel Anchuelo, vecino de Anchuelo. 2.0 D. Felipe Perez Valle , cura dé la villa de Camarina de Esteruelas. 3.0 D. Francisco Fernandez Gaseo, vecino de Daganzo de arriba. ARTI…</t>
  </si>
  <si>
    <t>Magdale, María</t>
  </si>
  <si>
    <t>María Magdale</t>
  </si>
  <si>
    <t>…s do cumentos que les comprueben, baxo prevención que pasado dicho término, se cancelarán cualesquiera» garant as dadas, respecto á la adjudicación que se ha declarado en favor de Doña María Magdale na de la Vega, viuda del referido Algarra, de los bienes respectivos á la quiebra, parando la omisión el mismo perjuicio que si fuese con intervención y audiencia. Cádiz 30 de Enero de 1813. CADIZ: EN LA IMPRENTA NACIONAL.</t>
  </si>
  <si>
    <t>Magie</t>
  </si>
  <si>
    <t>…idades, sin que hayan tomado providencia alguna para impedirla, y que mientras «1 Dr. Róbinson llevaba estas palabras ¿e paz á las provincias del rey Fernando vii, un ayudante del general Magie üegó á. N&amp;ioh boches é buscar fusiles, vestuarios , pólvora y municiones ; y coa la mayor presteza se ie procuraron 3 carros cargados de eilas en aquella plaza, que salieran ímn^duUameme para el Espíritu .Santo, en donde el exército insurgente del coronel Ber…</t>
  </si>
  <si>
    <t>Maison</t>
  </si>
  <si>
    <t>…e Ragusa su quartel que el virei llegó á Magdeburgo envió el dia 22 al general á Hanau , donde iban reuniéndose sus divi general Lauriston á la orilla derecha del Elba. Et siones. general Maison pasó á Morkern, y adelantó sus El dia 30 de marzo habia llegado ya á Augsburavanzadas hasta Vurg y Ziczar no encontró mas go la vanguardia del cuerpo de ob'ervacion deltaque algunos destacamentos de tropas ligeras que ar lia, el qual iba pasando todo por el T…</t>
  </si>
  <si>
    <t>…ación Be ios exércitos hasta él 27 en la tarde. „El 2&amp; estaba eí quartel general.de Lauriston en Haynau (en la Silesia prusiana, á 16 leguas mas allá de.Bautzert). Un batallón del general Maison se vio dé improviso cargado por 3® caballos, y obligado á retirarse al pue blo. Perdió dos cañonés y tres caxones que estaban á su cuidado. La divi sión tomó las armas: el enemigo intentó cargar al regimiento 153-°; pero fue arrojado del campo de batalla, que…</t>
  </si>
  <si>
    <t>«Tengo la satisfacción de comunicar á E. que lacsballería del v. cuerpo que man Ja el general Blucher, tuvo, ura acción gloikea con la división del general Maison al salir esta de Hsynau. Según el parte circunstanciado que he recibido de esta acción debe jusismente ce lebrarse como uno de los ataques mas distinguidos de\caballería con tra cuadros sólidos de infantería, que se hrn viíto en esta guerra, La caballería pru…</t>
  </si>
  <si>
    <t>…nde Pahiin por indisposición. ,, Tengo la satisfacción de comunicar á V. E. que ía caballería del cuer po que manda el general Blucher tuvo una acción gloriosa con la división del general Maison al salir esta de Haynau. Según el parte circunstanciado que he recibido de esta acción debe justamente celebrarse como uno de ios ataques mas distinguidos de caballería contra quadros sólidos de infantería, que se han visto en esta guerra. La Caballería prusi…</t>
  </si>
  <si>
    <t>…de car gar á metralla, y tiraron con tanta agilidad¿ querel enemigo fue rechazado en un instante. En este intermedio avanzó la caballería francesa para sos tener sus baterías. El general Maison, comandante de una división', oficial de la mayor dis tinción, fue herido. Al general Latour-Maubourg, comandante de la caba llería, le llevó una bala un muslo. Nuestra pérdida en esta jornada ha si do de 2500 hombres entre muertos y heridos. No es exagerar c…</t>
  </si>
  <si>
    <t>Maisson</t>
  </si>
  <si>
    <t>…r iiegó el 20 á Lauban, y al romper el dia 21 se hallaba en Lowemberg, mandando que se echasen puentes en el Bober. El cuerpo del general Lauriston atravesó el rio á medio dia. El general Maisson con su acostum brado valor destrozó quanto se le oponía á su paso, tomó todas las posicio nes, y arrojó al enemigo cerca de Colberge. Estaba sostenido por el quinto y undécimo cuerpo. A su izquierda el príncipe de Moskowa hizo que el tercer cuerpo atacase al…</t>
  </si>
  <si>
    <t>Maitland</t>
  </si>
  <si>
    <t>…al mariscal Soult en su marcha. . la que depende tanto tiempo hace la gloria y la "■ Sabemos con dolor por las cartas que tenemos prosperidad de la Gran Bretaña. presentes que «1 general Maitland, habiéndose que dado metido en Alicante, los cuerpos que están ba Reflexiones sobre el discurso que pronunció el xo las órdenes de los generales Hill, Sierret , Cook Príncipe Regente al cerrarte el parlamento. y-Ballesteros; no-pueden emprender ninguna cosa i…</t>
  </si>
  <si>
    <t>Malaehowrsky</t>
  </si>
  <si>
    <t>…lcancé al enemigo, sino que también despáche' ‘Varios destacamen tos para interceptarle los caminos en su retirada. Dos generalas fran- . ceses, Hautren y Casin, el coronel polaco conde Malaehowrsky, muchos oficiales, y gran número de soldados' cayeron en poder de estos destacamentos. Tendré la honra de remitir á Y. M. la relación de los sugetos que se han distinguido por su celó y actividad en es-" tos diversos reencuentros. El conde príncipe Volkoüskje…</t>
  </si>
  <si>
    <t>Maldemasen</t>
  </si>
  <si>
    <t>…e dexar los heridos franceses en el hospital de Astudillo; baste decir que ademas de estar inundada de enemigos la provincia de Paten cia , en el paTtido de Castro , se hallaba el general Maldemasen con una columna de 3500 hombres de ámbas armas, y 3 piezas de ca~ ñon. Dicha acción fué á la vista del Sr. gobernador é intendente de esta provincia. —~ Dios guarde á V. S. muchos años. Kcjno&amp;a y marzo 16 de 1813.-— Francisco Solazar” Idem 16 de Marzo. El mis…</t>
  </si>
  <si>
    <t>Maldonado, Francisco</t>
  </si>
  <si>
    <t>Francisco Maldonado</t>
  </si>
  <si>
    <t>…linadas al capitán y teniente de caballería de paisanos D Juan Roxas y D. Antonio Moro; gracia de sargentos primeros de milicias á los cabos de la expresada caballería de paisanos D. Francisco Maldonado, D. J oaquín Angarita, D: Pedro Rey y D. Manuel Marque*. El uso de la me.irdla de oro con el real busto al capitán y tenientes de milicias de pardos José Antonio Nuñez, Calixto Ramírez y Ni colás Morales; y al capitán, teniente y subteniente de indios José An…</t>
  </si>
  <si>
    <t>Maldonado, Rodrigo Reieha Barrantes</t>
  </si>
  <si>
    <t>Rodrigo Reieha Barrantes Maldonado</t>
  </si>
  <si>
    <t>…ando colocados los trofeos enemigos á los pies del retrato del Rei Fernando, se retiró con su acómpañamiento; des pedido con las iqismas formalidades con que se le recibió. *, / ? D. Rodrigo Reieha Barrantes Maldonado, natural de la ¡ vilia de Valen cia de Alcántara, y residente en* la corte de Lisboa , deseando ser útil á su patria, y condoliéndose de los grandes perjuicios que sufren, dos habitantes de las provincias por donde, han transitado y transita ni las tropas ing…</t>
  </si>
  <si>
    <t>Maldonano, Juan</t>
  </si>
  <si>
    <t>Juan Maldonano</t>
  </si>
  <si>
    <t>…Espinosa con un cuerpo de tropas de Sonora, reforzado con dos destacamentos del apostadero de S. Blas y Tepic, á cargo aquel del alférez de fragata-D. Mateo Plowes, y este al del capitán D. Juan Maldonano, atacó en la madrugada de este dia la gavilla de Cecilio González» que de resulta de sus anteriores derrotas se había fugado á la sierra fixándose en el rancho de los Encinos» distante 6 leguas del pueblo de Acatlan. Quedó el campo cubierto de cadáveres, fue…</t>
  </si>
  <si>
    <t>Malee</t>
  </si>
  <si>
    <t>…ía. pable ? Después de haber enterado á los acusados de los El llamado Gomont, dicho S. Cárlos, acusa hechos que resultaban contra cada uno de ellos, y do de complicidad con el ex-general Malee, ;es de haberles manifestado los documentos escritos, culpable? cuerpo material del delito, y al acusado Malet las El llamado Josef Antonio Viallevielhe, acusado pistolas y sables unidos al proceso como instrumen de complicidad con el ex-general Malet, ¿es cu…</t>
  </si>
  <si>
    <t>Maler</t>
  </si>
  <si>
    <t>…contra la autoridad imperial. El llamado Claudio Francisco Malet, acusado Al ex-general Lahorie culpable de complicidad criminalmente por perturbador de la tranquilidad con el ex-general Maler, unánimemente; inrérior del Estado, y de un atentado cuyo fin Al ex-general Guidal culpable de complicidad era destruir el gobierno, el orden de sucesión al con el ex-general Malee, unánimemente; trono, y excitar a los ciudadanos ó habitantes á que Al gefe de…</t>
  </si>
  <si>
    <t>…ex-general Malet, unánimemente; artículos lxxxvii y Lxxxvtrt del código penal de Al señor. Beatunonc, teniente, culpable de com i8to, que literalmente dicen asi: plicidad o^Fl ex-general Maler, unánimemente; t art. lxxxvii. „ H! atentado ó la conspiración .a Al señor. Piquerel, ayudante mayor, culpable «que-tenga por objeto, de cbaipilcidad con el ex-general Malet, unánime « Ya sea tiesta uir ó mudar el gobierno ó el or mente'; , den do sucesión ál…</t>
  </si>
  <si>
    <t>Malet</t>
  </si>
  <si>
    <t>…general contestó que lo consultaría con el conde. Huitín; pero habiéndolo logrado * les dixo madama Entonces nos fuimos á la cárcel, donde entra Huíljn que pocos minutos antes el general Malet mos sin obstáculo, y llevamos 4 la casa del minis lí^Viá venido 4 prender á su marido de orden del terio de Policía al señor ministro y al prefecto en el rginistro 4e Policía, y le habí? tirado un pistole coche de Mr. Saulnier. tazo. Coi) efecto, el general e…</t>
  </si>
  <si>
    <t>El undécimo Joaquín Alexandro Lebis, tenien de complicidad con el ex-general Malet, ¿es cul te de !.i décima cohorte de la guardia nacional; pable ? El duodécimo Amable Amado Ihevost, re- El llamado Gabriel Soulier, acusado de compli niente de la décima cohorte de ia guardia nacional; cidad con el ex-general Malet, ¿es culpable? lil décimot…</t>
  </si>
  <si>
    <t>ig6 Al BoMIeneux, capitán , culpable d;1 com tra los susodichos delincuentes con arreglo á los plicidad con el ex-general Malet, unánimemente; artículos lxxxvii y Lxxxvtrt del código penal de Al señor. Beatunonc, teniente, culpable de com i8to, que literalmente dicen asi: plicidad o^Fl ex-general Maler, unánimemente; t art. lxxxvii. „ H! atentado ó la conspiración .a Al señor. Piquere…</t>
  </si>
  <si>
    <t>Malet, Eduardo</t>
  </si>
  <si>
    <t>Eduardo Malet</t>
  </si>
  <si>
    <t>…se hallaron á mi inmediación durante toda la batalla los subtenientes D. Roque Jacinto Valle y D. Antonio Muñoz y Hervas, empleados á mis inmediatas órdenes. ,, El capitán ingles D. Eduardo Malet, comisionado por V. E. á mi inmediación, se me presentó para que le emplease, y fué muer to de un balazo de fúsil; recomiendo también a V. E. su gloriosa memoria por las calidades que le habían hecho estimable de todo el exército. No lo hago menos de todos lo…</t>
  </si>
  <si>
    <t>Malo, Pedro</t>
  </si>
  <si>
    <t>Pedro Malo</t>
  </si>
  <si>
    <t>…las Trinitarias. Barrio a l Hospicio. D. Martin Enseña , alcalde. D. Bernardo Delgado, alcalde. D. Ramón González Quitos, substitut&lt;Jprimero. D. Luis González, sub ¡ñuto primero. D. Pedro Malo, substituto segundo. D. Lorenzo Riega, suhsrituto segundo. B ‘-rm de ?'rs Baronesas. B ir rio de S 1' •cfonso. L&gt;. Juan Sainz de Tejada, alcalde. D Minie! Iisarratru'rre , alcalde. J). Pedro V arge.s, substituto primero. D. Petra Viña, substituto primero. D.…</t>
  </si>
  <si>
    <t>Mame</t>
  </si>
  <si>
    <t>…n Dijon, departa rica y el continente de Europa, ¿creeis que se ha mento de la Costa de Oro, y actualmente en Pa ría al presente una exportación considerable de este rís, casa del señor Mame, inspector, calle de Potartículo del continente de Europa á la América ? de-Fer, núm. 14, por tiempo de 10 años por su R. No; podemos fabricar todos los artículos bas método para aprender á un mismo tiempo á leer y tos de hierro á precio mas baxo que qualquie…</t>
  </si>
  <si>
    <t>…escuadrones de caballería de Puebla, S. Luis y México, consi guiesen este día afianzar su anterior reputación , adquiriendo nuevos derechos á la gloria. „Eí comandante de Puebla, capitán D. Mame! Fíon, perdió en la carga su ccballo ; el teniente coronel D. José Motan, á quien había fiado el mando de la cübillería, perdió también el suyo, y se di&amp;tínguió como siempre. El comandante de México capitán O. Francisco de Palacio, el capitán graduado D. José…</t>
  </si>
  <si>
    <t>Mamo, José</t>
  </si>
  <si>
    <t>José Mamo</t>
  </si>
  <si>
    <t>23 Berga 30 de Nl víembre. El coronel D. José Mamo en parte de 8 dd mismo desde Minis tro1 d M ntserrate, dice al Excmo. Sr. D. Luis Lacy lo que sigue: „Excmo. Sr.: Esta tarde me he visto atacado en el punto de casa Massana, por toda ia gran gavilla de incendiarios que estaban en Manresa; y distribuida mi fue…</t>
  </si>
  <si>
    <t>…e publicarán. , Vich 23 de Setiembre. Parte dado al general en ge fe del primer exéretto, el 11 del cor riente y por el comandante de la segunda brigada de. la primera división el coronel D. José Mamo. r A pesar de que los franceses son generalmente reconocidos por militares, no dexan muchas/veces de cometer .errores crasos que pro porcionan á sus enemigos ocasiones en quedarles golpes duros y lec ciones humillantes, con respeto al orguiio con que tan quer…</t>
  </si>
  <si>
    <t>Man</t>
  </si>
  <si>
    <t>…e acuerdo de eso. Nunca he oido decir que de la princesa he entregado á Sictard algunos plie la princesa ha es'ado embarazada hasta este dia en gos cenados para que los enviase al capitán Man que he venido aqui. Estaba mui distante de imagi by. El 11 de juüo es el dü en que nació el niño nar que se me habían de hacer preguntas relativas que tiene'consigo Li princesa, según me ha dicho á saber si la princesa habia estado embarazada. No su madre, y…</t>
  </si>
  <si>
    <t>Man, José</t>
  </si>
  <si>
    <t>José Man</t>
  </si>
  <si>
    <t>93°Primer exército nacional. = Estado mayor. = El señor general en gefe acaba de recibir dei coronel D. José Man o el siguiente parte. «No habiendo ayer llegado los enemigos á Vil-afraaca, se ha po dido sorprehender una compañía enemiga en Sant Climent. Según me ha dicho el oficial de caballería que se hallaba en la acción, ha quedado toda en nuestro poder, entre muerto…</t>
  </si>
  <si>
    <t>Manby</t>
  </si>
  <si>
    <t>…cio de fuego y en evoluciones en grande. pasar con las personas que la acompañaban al nú- mero 7 : muchas veces pues vi qpe la princesa, des GRAN BRETAÑA. pués de haber ido con el capitán Manby y toda su sociedad á dicho n’úméro 7, Se Volvía del mismo LSndret /j de marte. con aquel sola, y cruzando por el número 8 se pa saba al 9, donde se acostaba: por manera que sos Información acerca de la conducta de S. A. R. la peché que el capítan Manby dormía…</t>
  </si>
  <si>
    <t>■*j L para preparar el desayur o de la princesa. Confie Hayales 5 de abril. ro que no me gustaba ver entrar con tanta frecuen cia al capitán Manby , y retirarse tan tarde; y aun Grande:! sucesos preparados con sigilo han es esto último me incomodal a. Tengo presente que se tallado estoi últimos dias en Palermo. Se liabia sa le envió á dicho capitán una lámpara de plata, que cado al Rei Burilando de las…</t>
  </si>
  <si>
    <t>…ma ni indispuesta por el'otoño de 1802. Yo era Ek pasado ya bastante tiempo, si vi alguna con quien vestía á S. A. K.; y no podía "estar ^enferma versación en que se murmurase del capitán Manby. ó indispuesta sin que la advirtiese. Est'oi segiíra de Lfc he visto á este en el número 9 solo con la prin que en todo aquel otoño no guardó un dia de cama cesa en la sala de South-Eud, y creo que haya si*ni de quietud en su quartó. No ha habido en la do úna…</t>
  </si>
  <si>
    <t>Mancheno, Joaquín</t>
  </si>
  <si>
    <t>Joaquín Mancheno</t>
  </si>
  <si>
    <t>…ue quedarán indultados de la pena de vida, excepto ID. Nicolás de la Peña, Dr.-D. Prudencio Balcones, Dr. D. Miguel Rodríguez, D. Ra.mon Chriboga, Mateos Bayon, de nación francés, D. Joaquín Mancheno, el cura de S. Roque D. José Correa y e! provisor Caycedo; á quienes se perseguirá para que irremisiblemente peguen sus atroces delitos, Segunda. Que en el. término de 24 horas deberán aprontar entre todos los demas la cantidad de 500$ pesos para atender á la…</t>
  </si>
  <si>
    <t>Manchiaco</t>
  </si>
  <si>
    <t>…; proporciones de Mr. Russel, le diri timore-Whig ¡fecha en la Nueva-Orleans d 14gió este la carta que ::gue: de setiembre. i-° de setiembre de 181.2, „ Tenemos noticias de que el coronel Manchiaco „M'To:d: h: sabido coa sentimiento par vues ha temado á S. Amonio en el Nuevo-México. E11</t>
  </si>
  <si>
    <t>Mancho, Pedro</t>
  </si>
  <si>
    <t>Pedro Mancho</t>
  </si>
  <si>
    <t>IOS de, D. Manuel Ibañez, D. José López, D Prudencio Dallo, D. Ce lestino Ximenez , D. Fermín Al Aúnate, D. Angel Labiano, D. ber nardo ZaTo, D. Francisco Mtmuce, D. Pedro Mancho. D. Matías Ezcay, D. Félix Beroz, D. Bernardo Sonosiain , IT Mañano Ustarroz, D. Felipe Virtus, D. Joaquín Aquerreta, D. Fermín Josué, 1), Martin Ziarriz, D, Francisco Larrodé , D. Matías Alzorr z, D. J uan Ramón Arlegui, D. Bonifacio Jaso, D; Mvouel Sancho,…</t>
  </si>
  <si>
    <t>Mando, Satcrio</t>
  </si>
  <si>
    <t>Satcrio Mando</t>
  </si>
  <si>
    <t>…asiguiendo* en un;todo su,suerte, ó?Incluyo á’"\rjs. el estado de'.pérdida que ha: tenido mi divi sión en los días que ha dorado ,éi fuego, sien do la muerte del te niente coróne! D. Satcrio Mando muy sensible a tocos:.ca general, poique se ha perdido un oficial que siempre, y especialmente el 25, se conduxo con-Já maye r' bizarría. = Dios guarde á V. S. muchos años. Cuartel general de EiLzondo 2 de Agosto de 181 ^.'zzPablv Morillo. =;Sr. D. Luis Wim p…</t>
  </si>
  <si>
    <t>Mangino</t>
  </si>
  <si>
    <t>…disperso el 29 de Mayo en la hacien da de Cítala una reunión de 400 rebeldes, matando como unos 4c, é hiriendo mucho mayor numero de ellos. 29. Al siguiente dia el mismo teniente coronel Mangino, diri giéndose á Ti zapan el alto, atacó y derrotó completamente otra ga villa de 600 insurgentes que infestaban aquel pueblo é inmediacio nes. El capitán Galli, reunido al mismo cuerpo volante, persiguió con un destacamento de caballería é infantería montada…</t>
  </si>
  <si>
    <t>Mangino, José María</t>
  </si>
  <si>
    <t>José María Mangino</t>
  </si>
  <si>
    <t>…n el alcance se mataron 14, se hicieron 5 prisioneros, entre ellos un nombrado capitán Barajas, los que fueron pasados por las armas, y se les tomaron 53 caballos. %%, El teniente coronel D. José María Mangino, comandante del</t>
  </si>
  <si>
    <t>Manhv</t>
  </si>
  <si>
    <t>…pañado á ¡a prin El senado conservador, reunido el número de cesa en South-End, donde tentados casas núms. 8 y miembros prescrito por el artículo' xc del acta de 9. He conocido al capitán Manhv, qué vidtaba las constituciones del 13 de diciembre de 1799: con frecuencia á S. A. R. qoando su fragata estu Deliberando sobre lo eme se le ha comunicado vo en este fondeadero. No rengo noticia ni mo por S. A. S. ti príncipe archicanciller del imperio, tivo…</t>
  </si>
  <si>
    <t>Maniau, Joaquín</t>
  </si>
  <si>
    <t>Joaquín Maniau</t>
  </si>
  <si>
    <t>…generales y extraordinarias en la sesión de 24 del corriente á la renovación de su presidente , vice-preaidente y uno de sus secretarios ; salieron electos, para presidente el £r. D. Joaquín Maniau, diputado por Veracruz; para vice-presidente el Sr. D José de Salas Boxadors, diputado por Mallorca; y para secretario el Sr. D. Domingo Rus, diputado por Maracajbo. La Regencia del reyno se ha servido expedir el decreto siguiente• D. Fernando vii, por la gra…</t>
  </si>
  <si>
    <t>…y con esto ruego á Dios os cofaserve en su divina guardia. = Alexandro. ESPAÑA. Cádiz $ de octubre. Por encargo de varias señoras de Veracruz ha puesto el señor diputado en Cortes D. Joaquín Maniau á disposición de la Regencia del reino 1295 pesos fuertes tres y medio rs., con que han contribuido las mismas señoras y las demas de aquella ciudad para las atenciones de la península, hasta fines de diciembre último; y S. A. ha dispuesto se entregue esta ca…</t>
  </si>
  <si>
    <t>Manpoey, Alberico</t>
  </si>
  <si>
    <t>Alberico Manpoey</t>
  </si>
  <si>
    <t>…el regimiento de Zapa dores-minadores, á D. Manuel Obeso , capitán de granaderos del re gimiento iufimtepa, de Jaén,, actualmente mayor del detall en él d*j Prayia: á capitanes, á D. Alberico Manpoey, ayudante mayor del regimiento de Zamora, D. Lorenzo José Limpo Cuello Texeyra, teniente del de voluntarios de Madrid , D. Manuel Fuentes de Toro, ayudante del de voHuitarios de Mérida, y D. Cayetano Oiloqái^ te niente del de Lean?: á ayiidauté niayor segundo…</t>
  </si>
  <si>
    <t>Manresa, Joaquín</t>
  </si>
  <si>
    <t>Joaquín Manresa</t>
  </si>
  <si>
    <t>…oficíales heridos son el capitán gra duado de teniente coronel D. Vicente de Irañeta; el teniente Don Santiago Medrano, y el subteniente D. José Miguel, del regimiento de Baza; el capitán D. Joaquín Manresa, y él teniente D. José An tonio de Miguel, de Leales Manresanos ; el subalterno contuso lo es «1 subteniente del regimiento de Baza D. Juan del Castillo. Seguida. Ei único prisionero que se tuvo faé por haber sido in te* herido. = San Feliú de Codlnas 8 de No…</t>
  </si>
  <si>
    <t>Manrique, Baltasar Carrillo Lozano y</t>
  </si>
  <si>
    <t>Baltasar Carrillo Lozano y Manrique</t>
  </si>
  <si>
    <t>\ 226 4.0 Sr. Lie. D.' Francisco Hernanz de Vargas, vecino de Lozoya. '5.0 Sr. D. Baltasar Carrillo Lozano y Manrique, vecino de Atienza. 6.a Sr. D. Ventura de Zudiaur, vecino de Cifuentes. 7.0 Sr. D. Fernando García del Olmo, vecino de Alcolea del Pinar. Suplentes. i.° Sr. D. Patricio Sanz Pinilla, vecino de Alustante. 2.0 Sr. Lie. D. Pedro Josef Ibarrola, vecino de Mondeja…</t>
  </si>
  <si>
    <t>Manrique, Jác’obo Manuel</t>
  </si>
  <si>
    <t>Jác’obo Manuel Manrique</t>
  </si>
  <si>
    <t>…el séñor gefe póiíticó ’sQpériór efi comisión dq Madrid y su provincia, y los señorea electores f á saber: pór la parroquia dé' Santa María D. Ventura López; por la de 'S. Martin D. Jác’obo Manuel Manrique, D. Tomas Púertolas y D!. Manuel.Centurión; por la de S. Gi líes D Pedro Marcelino Blanco; pot la 4e Santa Cruz D Francisco An tonio Rucabado y D. Diego Crespo de Tejada; por la de S. Sebastian Don Juan Antonio de Urraza, D. Joaquín Almazan y D. Juan Josef de…</t>
  </si>
  <si>
    <t>Manrique, Joaquín Manrique de</t>
  </si>
  <si>
    <t>Joaquín Manrique de Manrique</t>
  </si>
  <si>
    <t>…ero. ^ : V $«° D. Josef López. Alonso, labrador, y alcalde constitucional d* Cienpozuelos. 6.° p. Francisco Fernandez Gaseolabrador y ganadero, vecino de Da-? ganzo de arriba. 7.0 D. Joaquín Manrique de Manrique , artífice platero en Madrid. Suplentes. ■i i i i.®. D. Simón González Juste, cura párroco de Seseña. 2.0 D. Martin Miguel de Goicochea, del comercio per mayor y g’»FO en Madrid. 3.° D. Juan Francisco Morate, labrador y ganadero.» vecino del ■ . ■ ; ' ' -t’-/…</t>
  </si>
  <si>
    <t>Manso</t>
  </si>
  <si>
    <t>…lo en aquellos llanos para la mañana si guiente , fiado en que el valor y entusiasmo de las tropas supliría la inferioridad de su número. A este efecto destaqué desde la Bisbal al coronel Manso para que con sus tropas , pasando por la derecha de la Granada, fuese aquella misma noche á colocarse al pie de Ordalj y yo, mientras descansaban las demas tropas, me acerqué con la vanguardia hasta media legua de Villafranca. De allí envié al te* Diente coro…</t>
  </si>
  <si>
    <t>…el camino de este á Bombuey , lo que fue infructuoso por haberse marchado los fran ceses al Cerezal después que robaron algunas vacas del pueblo ; pe ro mudó también de plan dicho coronel Manso, y mandando hacer alto á la infantería en dicha altura, se dirigió él mismo con la ca ballería en alcance de los enemigoshaciendo que 20 lanceros al mando del teniente O. Tomas Renovales se adelantasen á Cerezal, y que el capitán D. Félix Vicente con 30 cabal…</t>
  </si>
  <si>
    <t>…iembre de í8jj. Daniel, Denia, Dinamarca. El señor,general en gefe hace conocer al exército la hermosa Operación que en lá madrugada del io del actual verificó en Paíleja el señor coronel Manso con la brigada de su mando, sprprehendiendo á un cuerpo fuerte enemigo deIrifanteríá "y caballería. Él resultado ha sido hacer un número bastante crecido de prisioneros, y proporcionar á este exércíto de 90 á 100 caballos, ademas dé los que mató en aquel pueb…</t>
  </si>
  <si>
    <t>…divisiones éfctan abriendo las avenidas de ésta ciudad ¿queséteWén amenazadas, y sé Láhíañ en Centellas1, S. Feiiu dé Cudlnaspéxtéridiéridbse hasta Esparraguera, éri donde está el coronel Manso. Suchet sigue rc¿bando él VaííésLy jrbasüéciéfido á Barcelona. El;ctiérpd-ft@l; ségundo éxército, á las órdenes de Sarsfield, ocupa el atrin*</t>
  </si>
  <si>
    <t>Manso, Jcsé</t>
  </si>
  <si>
    <t>Jcsé Manso</t>
  </si>
  <si>
    <t>…jos de ministros, distribuyendo ór denes y extendiendo decretos, relativas a mejora? la crisis' en que le hsn puesto las circunstancias. ■ ESPAÑA. ... Valencia 7 de Diciembre. «El coronel D. Jcsé Manso con ioi valie¡éí‘es de su brigada acaba de batir en Sta. Eulalia una división francesa fuerte de 3500 infantes y 2©o caballos, habiendo causado á las enemigos una pérdida de mas de 3©o hombres fuera de combate. ;i' ' • ¡Gloria á las armas del p.Imer exército…</t>
  </si>
  <si>
    <t>Manso, José</t>
  </si>
  <si>
    <t>José Manso</t>
  </si>
  <si>
    <t>…axara, erí que ha hecho unos 80 prisioneros» Rey na en-:los-. enemigos el mayor disgusto, y hacen los pedidos cqwl mayor moderación que antes» Berga l.° de Enero de 1815. Parte dd coronel D. José Manso, comandante dé la cuarta sección, dirigido al Excmó. Sr. general en gefe D. Luis Lar y. „Ex:cmo Sr: En vista de las instrucciones de Y. E. salí de esta con el batallón de cazadores de Cataluña y el de Barcelona, ayer á las 7 y media de la mañana para Mataré ,…</t>
  </si>
  <si>
    <t>«01 tataña y el regimiento de Tarragona al mando del eoronel D. José Manso. £1 general Milán» y el Dr. Rovira con unos 4000 hombres en traron en Mataré , obligando al enemigo á encerrarse en el convento de Capuchinos, que debió ser atacado por las mismas tropas. ARTICULO DE OFICIO. \ Habiéndose notado el abusó escandaloso de celebra…</t>
  </si>
  <si>
    <t>…irva elevarla á noticia de.S. A. la Regencia del reyno, copiadel parte de la bridante acción que ha ocurrido entre las tropas de la segunda brigada, primera división, al mando del coronel D. José Manso en la villa de S. Sadurní, y el primer batallón ligero italia no del exército del mariscal Sachet. = Dios guarde á V. E. muchos años. Cuartel general de Igualada 12 de Agosto de 1 di3.~Hxcmo. Sr r= Francisco de Copons y Navio.. =r Excmo. Sr. D, Juan O-Donoju.…</t>
  </si>
  <si>
    <t>…zadas ó guerrillas en ?3 ermita d santuario de nuestra Señora de la Misericordia de Reus. El general D. Pedro Sarsfield se halla en Mas Bnjols, formando la lí nea con aquellas. El coronel D. José Manso desde la Uacuna pasó al puente de Armentéra, y de allí se ha dirigido á Valis , donde se halla con la brigada. Ei ex-ircito de Suchst-se componía de 31® hombres , de los cua les 7® eran conscriptos que solo llevaban la casaca de uniforme. De los enemigos solo…</t>
  </si>
  <si>
    <t>…ana Combi, comandante militar interino del baxo Aragón, por medio del oficio siguiente: a? Con fecha de 11 del corriente me avisan del cuartel general ¿el primer exército , que el coronel D. José Manso sorprehendi© en el punto de Paiieja un escuadrón de húsares del núm. 4.°, habiendo quedado en poder de dicho coronel 90 caballos, y los restantes, ig norándose su número, muertos ó heridos, sin h&amp;berse escapado ni ano solo de dicha sorpresa. Lo que participo…</t>
  </si>
  <si>
    <t>Manso, Josef</t>
  </si>
  <si>
    <t>Josef Manso</t>
  </si>
  <si>
    <t>…VES 26 DE AGOSTO DE 1813 * BAXO EL GOBIERNO DE LA REGENCIA DE LAS ESP ANAS. I / ESPAÑA, ;7 n? Vich 2$ de julio. i '»■ &lt; ■ . . ' ■- *E1 señor general en ge fe acaba de recibir del coronel D. Josef Manso el siguiente parte. No habiendo ayer llegado los enemigos á Villafranca ha tenido lugar el sorprehender una compañía enemiga en S. Climent. Según me ha dicho el oficial de caballería que se hallaba en la acción, ha quedado toda entre muertos y prisioneros, ha…</t>
  </si>
  <si>
    <t>…ría Colubi, comandante militar interino del baxo Aragón, por medio del ofi cio siguiente: „Con fecha de 11 del corriente me avisan deí quartel general del pri mer exército, que el coronel D. Josef Manso sorprehendió en el punto de Palleja un esquadron de húsares del número 4.0, habiendo quedado en po der de dicho coronel 90 caballos, y los restantes, ignorándose su -número, muertos ó heridos, sin haberse escapado ni uno solo de dicha sorpresa. Lo que partici…</t>
  </si>
  <si>
    <t>…. JosefUribe y el teniente de la mis ma D, Antonio Romero, con los demas oficiales y tropas de mi mando, son dignos de la recomendación de V. S.” . Asimismo por parte que el señor coronel D. Josef Manso ha dirigido al señor general en gefe resulta lo siguiente. „E1 dia 8 dei actual., á las dos de la madrugada, el capitán de cazadores de Cataluña D. Francisco Damon, con dos subalternos y ioo hombres, lle gó á la torre del Baró , medio tiro de fusil del fuerte…</t>
  </si>
  <si>
    <t>*82 2 ERIMER EXERCITO NACIONAL.___. ESTADO MAYOR. El señor coronel D. Josef Manso con Jos valientes de su brigada acaba de batir en Sta. Eulalia una división francesa fuerte de 3500 infantes y 200 caballos, habiendo causado á los enemigos una pérdida de mas de 300 hom bres fuera de combate. ¡ Gloria á las armas del primer exército español!…</t>
  </si>
  <si>
    <t>Manso, Josefi</t>
  </si>
  <si>
    <t>Josefi Manso</t>
  </si>
  <si>
    <t>…y ’ sátk«facck)n;‘*;I&gt;i'Os- guarde á V. E. tnüchós años. = A postadero del Ampurdan 24 de agosto de i8i3.=rEl Dr. Rovira.sr Excmo. Sr. D. Francisco Copóos y- -N-a'vial ’ - ' ,, El coronel D. Josefi Manso, continuando las instrucciones-de su ge nera.!-en. gefe de permanecer1 en S. SapduriLobservando lósi; movimientos' del enemigo , en la tardé'-del 21- foenátacadó'ipor stíperiot'e's- 1-íPérzaS deh éxé^‘ cito del mariscal’Suchet en las iníriddiácibrte-s'desaque…</t>
  </si>
  <si>
    <t>Manso, Simón</t>
  </si>
  <si>
    <t>Simón Manso</t>
  </si>
  <si>
    <t>…caballos enemigos, procedentes de Bombuey , se pie» sentaron en la tarde del 17 de Febrero delante de Lagartjos : el co ronel del regimiento de caballería de cazadores de Galicia D. Simón Manso, que con 120 caballos del dicho y 200 infantes de), primero de Asturias se hallaba en Asturianos, biso que la ird&amp;niería ocupa se la altura de Lag&amp;rejos., y la caballería tomase el camino de este á Bombuey , lo que fue infructuoso por haberse marchado los fra…</t>
  </si>
  <si>
    <t>Manteuffle</t>
  </si>
  <si>
    <t>…rín cipe Real mandó á la caballería rusa que atacase. El enemigo afloxo en sus movimientos, perdió quatro cañones, y volvió á entrar en las aldeas. Pocos momentos después murió el general Manteuffle, herido de una bala de cañón. Se ha sentido generalmente la pérdida de este distinguido oficial. Nuestras colunas marchaban á Leipsick quando se avistaron grandes cuerpos enemigos, desfilando entre Molka y Englesdorff, que amenazaban envolver nuestra izquierd…</t>
  </si>
  <si>
    <t>Manuel</t>
  </si>
  <si>
    <t>…ara el de Huertano al ex-esco!apio D. Josef cinco salidas, todas con el mejor éxito. Lorenzo Feixoó. La pérdida dei enemigo pasa de 2© hombres: Para el de Ausejo al ex-franciscano D. Manuel la nuestra entre muertos y heridos es de 16 oficiales Longarte. y 607 sargentos y soldados, habiendo muerto de Para el de Berceo al ex-franciscano D. Segun estos últimos en las acciones ó de resultas de sus do Serrano. heridas 304. Para el de Medrano al ex-ag…</t>
  </si>
  <si>
    <t>…omu mereciere este nombre. He pedido at coronel Don nicado el gobernador de esta plaza. No he tenido á Francisco de la Peña, á quien V. A. ha encargado mi lado mas que al teniente coronel D. Manuel de me acompañe, me procure un coche en que pueda la Lastra, que ha recibido siete heridas en diteven- pasará Málaga con la menor incomodidad posible; tes encuentros, y un tiro en el pecho, del que aun allí me embarcaré para el lugar de mi destine, no ha curad…</t>
  </si>
  <si>
    <t>…id D. Francisco Ba llesteros, 1 id. D. Gregorio Fernandez* 1 id D. Julián García Mon_terroso, 1 id. D. Julián Perez, 2 id. D. Lorenzo de Arguiano, 1 id. D. Matías de Larreta, 3 id D. Manuel délos H¿ros, 2 id. D. Ma nuel déla Torre, 1 id. D. Manuel Garbea y Bulillo, 2 id. D. Ma nuel de Aramburu, í id. D. Miguel de Ezcurra, 1 id. D. Ramo* Martínez de Bartolomé, 1 id. D. Santiago Cachonfajro, 1 id. D. Tir so Estevanez, 1 id. D. Francisco Bosano , 2…</t>
  </si>
  <si>
    <t>…es, lo 3.0 de nuestro decreto de 3 de marzo de este mui conocido en todas las provincias de Vizcaya, año, deberán entregarlo en el, preciso término d¿ de Asturias y de Galicia, al coronel D. Manuel ocho dias después de comunicado el presente de Domingnez, que se decía gobernador de Zamora, creto. dos .capitanes, un teniente y ocho, soldados, que art. 11. Este inventario deberá expresar cirera todo lo que había en el puebio. cUnstanciadamente: los crédit…</t>
  </si>
  <si>
    <t>…nte se acercaban á sus acostumbrados latrocinios, y en que no pocas veces fueron escarmentados por las partidas que salie ron de esta, plaza á las ordenes del capitán de patriotas D. Manuel de la Concha, y del teniente D. Domingo Pacheco. El 30 por la mañana recibí aviso de que se arrimaban á esta ciudad , y que en el dia se situarían en las lomas de Sta. María los que venían de Paztcuaro y Navarrete en Sindurio. Para cerciorarme mejor del nú me…</t>
  </si>
  <si>
    <t>…iglesias, y residente en ella. 3.0 D. Agustín González Sanz, natural y residente en Miraflores^ 4.0 D. Nicolás Martínez de Tej'ada, presbítero, natural y residente en Madrid.’ j.° D. Manuel de la Torre y Rauri , natural y residente en Madrid. 6.° D. Leandro Rozalen, natural y residente en Colmenar viejo. 7.0 D. Antonio Villanueva y Collado, natural de Madrid, y cura de Majadahonda. -</t>
  </si>
  <si>
    <t>9C3 JdiTii mím. z.° wCon el oficio c¡e V. S. de ayer he recibido el que en 19 le pasaron el marques de Villa Orellana, D. Manuel .Meten y D. Car los Montafar desde la villa de Ibarra, donde manifiestan haberse re tirado con toda la trepa, armas y pertreches, á fin de consultar la natural defensa á que se hallan resueltos, y para evitar mayor efu sión de sangre entre con vasallos y herm…</t>
  </si>
  <si>
    <t>…que ocupaban en bas tante numero, lo hizo con singular denuedo, y recibió un balazo de consecuencia en esta empresa. ,, Llenaron su deber á completa satisfacción mía los capitanes Don Manuel dei Pozo y D. José Cacho, el teniente D. Tomas Domín guez, y el alférez D. Manuel Jácome, mis ayudantes de campo, desempeñando con valor conocido cuantos encargos puse á su cui dado: también se hallaron á mi inmediación durante toda la batalla los subteniente…</t>
  </si>
  <si>
    <t>Manuel, Antonia Cano</t>
  </si>
  <si>
    <t>Antonia Cano Manuel</t>
  </si>
  <si>
    <t>…e citada secretaría del despacho de Hacienda á D. Tomas González Carvajal,—Tendreislo entendido y dispondréis lo necesario á su cumplimiento. — En Cádiz á 30 de Marzo de 1813. — A D. Antonia Cano Manuel. El intendente de la provincia de S. Salvador de Goaternala D. Jo sé María Reynado, contestando el recibo del decreto de S. M. de 29 de Enero deí año próximo anterior, relativo á la exención del tri buto concedido á los indios y demas castas, dice haberlo hec…</t>
  </si>
  <si>
    <t>Manuel, Antonio Cano</t>
  </si>
  <si>
    <t>Antonio Cano Manuel</t>
  </si>
  <si>
    <t>…ho de Hacienda; ha venido en nombrarle en propiedad para la expresada secretan'». Tendréislo entendido, y dispondréis lo necesario á su cumplimiento. Cádiz 8 de Febrero de ISIS. A D. Antonio Cano Manuel. * CADIZ: EN LA IMPRENTA NACIONAL.</t>
  </si>
  <si>
    <t>…uan ViUavicencio, presidente. — El duque del Infantado. — Jozquin, de Mosquera y Fifueron. — Igna cio Rodríguez de Ricas.—Juan Perez Villamil. — En Cádiz á ó de Febrero de 1812.—A D. Antonio Cano Manuel. Cuarto. \ D. Fernando vii , por la gracia de Dios , y por la constitución de la monarquía española, rey de las Españas, y en su ausencia y cautividad la Regencia del reyno nombrada por las Cortes generales y extraordinarias, á todos ios que las presentes vie…</t>
  </si>
  <si>
    <t>…uín óe Mosquera y Fgueroa 7 presi dente. — El duque del Infantado. — Juan María Viilavivemw — lanació Rodrigues de llims. —Juan Peres Vil'amiL— En Cádiz á 26 de Euero de 1813. — A D. Antonio Cano Manuel.</t>
  </si>
  <si>
    <t>…Villavicendo, presiden te. — El duque del Infantado. — Joaquín de Mosquera y Figueroa. — Ignacio Rodríguez de Riñas. — Juan Perez ViUamil. — En Cádiz á 19 de febrero de 1813. — A D. Antonio Cano Manuel. Circular del ministerio de Hacienda. Enterada la Regencia del rey no de que con grave perjuicio del estado no se entrega.al ramo de artillería el producto del 5 por i00 de extracción, establecido últimamente por fas Cortes, según pre viene la circular'de 6 d…</t>
  </si>
  <si>
    <t>…ía Vüla^icerxio, presidente. — El jDuque del Infantado. — Joaquín de Mosquera y Figueroa.— Ignacio Rodrigues de Rirns. — Juan Pevex ViUamil. — En Cádiz á 23 de Febrero de 1813.— A D. Antonio Cano Manuel.</t>
  </si>
  <si>
    <t>…María Vi lavicencío presidente. — El duque del Infantado. —Joaquín de Mosquera y Figueroa — /?• nado Rodríguez de Ricas. —Juan Perez VWawii.— En Cádiz á 23 de Febrero de 1813. — A D. Antonio Cano Manuel. Tercero. D. Fernando vii , por la gracia de Dios , y por la constitución de la monarquía española , rey de las Españas, y en su ausencia y Cautividad la Regencia del reyno nombraaa por íes Cortes generales y extraordinarias, á todos los que las presentes vie…</t>
  </si>
  <si>
    <t>…n Fillamceneio. presidente.— El duque del Infantado. — Joaquín de Mosquera y Figueroa,— Igna cio Rodrigue* de Rivas. — Juan Pcrez VillamiL — En Cádiz á 23 de Febrero de 181S. —r A D. Antonio Cano Manuel. Circulares del ministerio de Hacienda, Primera. ,\:'v ‘ * • ' 1 Et Sr. secretario del despacho .de Marina me comunica con fecha de ayer la orden siguiente : 4 ,, Reasumidas las funciones de los mayores generales de infante ría, caballería y dragones en el es…</t>
  </si>
  <si>
    <t>…á D. Juan Alvarez Guerra, en atención á su instrucción y conocimientos. Tendreislo entendido , y comunicareis las órdenes á quienes corresponda.—En Cádiz ¿ 30 de Marzo de 1813.—A Don Antonio Cano Manuel. ■ Tercero. D. Fernando vii , por la gracia de Dios y por la constitución de la monarquía, rey de las Españas, y en au ausencia y cautividad la Regencia del reyno nombrada por las Cortes generales y extraor dinarias; atendiendo á las reiteradas instancias que…</t>
  </si>
  <si>
    <t>…horribles aten de mi aderada patria. „No sé como el ministro de Gracia y Justicia tados añadió el de hundirme en una prisión, agoviándome después con mil denuestos y vilipendios, D. Antonio Cano Manuel pueda decir lo que se lee en el Conciso del 13 del próximo agosto (artí á qual mas denigrativos. ¿Quién podrá imaginarse que mi casa saqueada, destrozada y batida por tres culo de Cortes), á saber, que no he dirigido d la regencia representación alguna igual…</t>
  </si>
  <si>
    <t>…réis se im prima , publique y circule. — L= de Borbon , cardenal de Scala, ar zobispo de Toledo , presidente. — Pedro de Agar. — Gabriel Cis car.—En Cádiz á 23 de Abril de 1813.—A D. Antonio Cano Manuel. Por providencia del tribunal del Consulado de esta plaza , dic tada en autos ními. 134 de este año , que son de concurso de aereeres á la testamentaría de D Juan Francisco Espelosin , se manda citar y emplazar á cualquiera que se considere con derecho á los…</t>
  </si>
  <si>
    <t>…ondréis se im prima, publique y circule. =£. de Borbon, cardenal de Scala, ar-¿ zpbispp de Toledo, presidentes Pedro de, Agar.—Gabriel Ciscará Én Cádiz á 19 ,de Abril de 1813. = A D. Antonio Cano Manuel. • . ‘ ' ■ i . . v ;•&gt; • Segundo. í D. Fernando vil, por la gracia de Dios y por la constitución dé la monarquía española, rey de las E^pícñas, y en su ausencia y cautividad la Regencia del reyne , nombrada por las Cortes genera les y extraordinarias. Atendie…</t>
  </si>
  <si>
    <t>…dispondréis se imprima, publique y circule. = L. de Borbon, cardenal de Scala ^arzobispo de Toledo, presidente. s Pedro de Agar.=Gabriei Ciscar. =En Cádiz á 8 de abril de 1813.=A D. Antonio Cano Manuel. El señor gefe político de esta provincia, noticioso dte que muchos pue blos y la mayor parte de los particulares de ella carecen de la constiíñcion de la monarquía española ; y considerándose obligado á facilitar su adquisi ción por quantos medios son imagin…</t>
  </si>
  <si>
    <t>…is se impritna, publiqué ycirculé. == .£. de Béébpii% «ardenal de Scala , arzobispo de Toledo, presidente. = Pedro de Agar. = Gabriel Ciscar. = En Cádiz á 11 de Junio de 1813. = A D. Antonio Cano Manuel. El brigadier D. José O-Lawlor, secretario de campaña del señó» duque de Ciudad-Rodrigo ¿ ha- dirigido al Sr. secretario del despacho de la guerra el parte siguiente:. j&gt; Kxcmo. Sr.: El todo del exército ha pasado el Ebro, y nos ha llamos en marcha hácia Vito…</t>
  </si>
  <si>
    <t>…ndréis se imprima, publique y circule. = Z. de Borbon* cardenal de Scala , arzobispo de Toledo, presídeme. =r Pedro dt Agar.~ Gabriel Ciscar. = En Cádiz á 11 de Junio de 1813. = A D. Antonio Cano Manuel. La corminidad.de naturales del pueblo de nuestra Sra. de Mon— serrate del Chinchero, y su anexó de Umasvamba en el partido da Calca de la provincia del Cuzco, queriendo dar una prueba mas de la lealtad que los anima, y de los eficaces deseos que tienen de co…</t>
  </si>
  <si>
    <t>…éis se impri ma, publique y circule. =£. de Barbón , cardenal de Scala, arzo bispo de Toledo, presidente. = Pedro de Agar.'szG-abriel Ciscar. = En Cádiz á 22 de Junio de 1813. = A D. Antonio Cano Manuel. Nota. A consecuencia del anterior decreto celebro la junta su primera sesión, y en ella quedaron nombrados, presidente el R. obis po de Arequipa: vice-presidente el Sr. D. Manuel Quintana: secre tario en propiedad el Sr. D. Francisco Martínez de la Rosa; y s…</t>
  </si>
  <si>
    <t>…is se imprima, pu blique y circule. = L. de Borbon , cardenal de Scaia ». arzobispo de Toledo, presidente. — Pedro de Agar. = Gabriel Ciscar. = Jtn Cádiz á 11 de junio de 1813.= A D. Antonio Cano Manuel. En la gazeta anterior, pág. 160, donde dice cuestiones atraídas} léase cuestiones atrevidas.</t>
  </si>
  <si>
    <t>…éis se imprima, pu blique y circule. = L. de Borbon, cardenal de Scala , arzobispo de Toledo/ presidente. = Pedro de Agar. = Gabiiel Ciscar. == En Cádiz á 11 de junio de 18/3. = A D. Antonio Cano Manuel.” . Deseando la Regencia del reino.acercarse quanto sea posible al rigoroso cumplimiento de la ordenanza en materia de raciones para restablecerla lau' dable frugalidad de nuestras tropas, y da r á los pueblos ei alivio.de que tan to necesitan; y teniendo pre…</t>
  </si>
  <si>
    <t>ManueL, Antonio Cano</t>
  </si>
  <si>
    <t>Antonio Cano ManueL</t>
  </si>
  <si>
    <t>…se im prima, publique y circule. =5 L, de Barbón, cardenal de Scala, ar zobispo de Toledo , presidente. = Pedro de Agar. =s Gabriel CtS’,far.zzEa. Cádiz á 19 de Julio de 1813. =_A D. Antonio Cano ManueL</t>
  </si>
  <si>
    <t>…impri ma, publique y circule. == X. de Borbon, cardenal de Scala, arzo bispo de Toledo, presidente. =s Pedro, de Agar. ss Gabriel Ciscar. 3= En Cádiz á 17 de Agosto de 1813. es A D. Antonio Cano Manuel. CADIZ : IMPRENTA NACIONAL : 1813.</t>
  </si>
  <si>
    <t>…do , y dispondréis su cumplimiento. = Z. de Barbón, cardenal de Seal», arzobispo de Toledo, presidente. = Pe dro de Agar. ~ Gabriel Ciscar,— Un Cádiz á 8 de Setiembre de 1813. = A D. Antonio Cano Manuel. El señor secretario de estado y del despacho de la Guerra ha re cibido d siguiente oficio del señor duque de Ciudad-Rodrigo. »Exemo. Sr. : En la relación de oficio que dirigí á V. E. desde Ostiz, con fecha de 3 de Julio último pasado (*-), dixe que el genera…</t>
  </si>
  <si>
    <t>…prima, publique y circule. = X. de Barban, cardenal de Scala, ar zobispo de Toledo , presidente, — Vedro de Agar. = Gabriel Cis~ car.-zz En Cádiz á i.° de Setiembre de 1813*. = A D. Antonio Cano Manuel. El señor secretario del despacho de la Guerra ha -recibido por extra ordinario el siguiente parte del señor duque de Ciudad «Rodrigo. íj Hxcino. Sr.: Se construyó con gran diiiqaltad en ei hornabeque una batería que abrid sus fuegos en la mañana del 8 del co…</t>
  </si>
  <si>
    <t>…m prima, publique y circule, ss L. de Barbón, cardenal de Scala, ar zobispo de Toledo , presidente, ss Pedro de Agar. ss (rabriel Cis car. r= En Cádiz á 4 de Octubre de 1813. ss A D. Antonio Cano Manuel. CADIZ : ^IMPRENTA NACIONAL : 1813.</t>
  </si>
  <si>
    <t>…ncia y cautividad la Regencia del reyno nombrada por las Cortes generales y extraordinarias: »Hallándose vacante la secretaría del despacho de Estado que interinamente desempeñaba D. Antonio Cano Manuel, he tenido por conveniente disponer se encargue de ella en los mismos términos D. Juan O-Donojú, secretario del despacho de Guerra.— Tendréislo entendido, y dispondréis lo necesario á su cumplimien to. = Cádiz 10 de Octubre de 1813.= A D. Francisco de Paula O…</t>
  </si>
  <si>
    <t>…se im prima, publique y circule. =r X. de Barbón, cardenal de Scala, ar zobispo de Toledo, presidente. 2 Pedro de Agar.zz. Gabriel CíVcap.sz En Cádiz á % de Octubre de 1813. zb A D. Antonio Cano Manuel. Las Cortes han resuelto que se publique en la gaceta el si guiente ANUNCIO. El artículo f6 del reglamento de las Cortes previene: »Luego que se apruebe el acta, y la fírmen el presidente y secretarios, se mandará imprimir para que la nación sepa diariamente…</t>
  </si>
  <si>
    <t>…y cautividad ia Regencia del reino nombrada por las. Cortes generales y extraordinarias: „Hallándose vacante la secretaria del despacho de Estado, que ipteriñamen^ te desempeñaba D. Antonio Cano Manuel, he ténido; por conveniente'dis poner se encargue de ella en ios mismos^^términos D. Juan; O^Donojuy se* cretario del despacho de*Guérra&gt;=sTendreislo entendido, y dispondréis lo necesario á su cumplimiento.ssCádiz iq de octubre de 1813. = A D;' Fran cisco de…</t>
  </si>
  <si>
    <t>…dispondréis se im prima, publique y circule. = 2k de Borbon9 cardenal ¿e Scaia ar~ zobispo de Toledo, presidente. d'e Agar. za Gabriel Ciscar. = En Cádiz á 8 de Setiembre de 181 A D. Antonio Cano Manuel.</t>
  </si>
  <si>
    <t>…réis se imprima, publique y circule.= L. de Borbon, cardenal de Scala, arzobispo de Toledo, presidente. = Pedro de Agar. “Ga briel Ciscar. = En Cádiz á 4 de setiembre de 1813. = A D. Antonio Cano Manuel/’ .En virtud de providencia del Sr. D. Manuel Fernandez Gamboa, juez de pri mera instancia de esta villa, refrendada del escribano del número D. Ramón de Milla Cuchar, se cita, llama y emplaza á todos los que se creyeren con* derecho'» la he/eheia abintestato…</t>
  </si>
  <si>
    <t>…ido y dispondréis su cumplimiento. ~X. de Bar bón, cardenal de Scala , arzobispo de Toledo, presidente, sr Pedro Agar, =s Gabriel Ciscar. = En Cádiz á 13 de Setiembre de 1813.=: A D. Antonio Cano Manuel. El general en gefe del primer exército de operaciones dice al se ñor secretario del despacho de !a Guerra lo que jigüe: «Exorno, Sr.: La venida á e te Principado del exército del ma riscal Súchel, aunque ha privudo á este exercito de recur.-os-impon derables…</t>
  </si>
  <si>
    <t>…dréis se imprima, publique y circule. = L. de Borbon, cardenal de Scaia , arzobispo de Toledo; presidente. = Pedro de Agar. = Gabriel Ciscar.=En Cádiz á 8 de setiembre de 1813.= A D. Antonio Cano Manuel. Habiendo aprobado las Cortes el plan de subscripción que se les ha pre sentado, consiguiente al decreto de que se imprimiesen las actas de sus se siones para que la nación sepa diariamente con exactitud lo que se trata en ellas, se ha arregla-do en los térmi…</t>
  </si>
  <si>
    <t>…y dispondréis su cumplimiento. =r Luis de Borbon, cardenal de Scala , arzobispo de Toledo, presidente. = Pedro de Agar. = Gabriel C¡scar. = En Cádiz á 4 J de setiembre de 1813.= A D. Antonio Cano Manuel. En virtud de providencia del Sr. D. Francisco Assin, juez letrado de primen instancia en esta coite, que como tal entiende en los autos de abintestato formados por el fallecimiento de Ramón Armesto, natural que fue del reino de Galicia, se cita, llama y empl…</t>
  </si>
  <si>
    <t>…s se imprima, publique y circule. = L. de Borbon, cardenal de Scala, arzobispo de I*oledo, presiiepte. = PeXo de Ag¿r. ss jb.riei Ciscar. = En Cádiz ¿ 13 de setiembre,de,aglij.= A D. Antonio Cano Manuel. . ¡ k. ;• •) : ' v ■ ! ib L i Regencia del reino se ha servido expedir la orden siguiente• . : * 1 » ■ . , - \ i ’’ ' ¡vi v:- •* ; . * . ■ ^ ^ Xas reiteradas queja?..é instancias ,á que d3n motivo los robos v;aresmw y.crímenes d,e. to^á clase» ^ A r la sombr…</t>
  </si>
  <si>
    <t>Manuel, Antonio Cario</t>
  </si>
  <si>
    <t>Antonio Cario Manuel</t>
  </si>
  <si>
    <t>…s se impri ma, publique y circule. r=£. de Barbóny cardenal de Scala, arzo bispo de Toledo, presidente. r: Pedro de Agar .ssG abriel Ciscar, sí Ea Cádiz á 17 de Julio de 1813. = A D. Antonio Cario Manuel.</t>
  </si>
  <si>
    <t>Manuel, Antonio Cuna</t>
  </si>
  <si>
    <t>Antonio Cuna Manuel</t>
  </si>
  <si>
    <t>241 gues de Ricas. — Juan Perex VWamfl.—En Cádiz á 8 de Marzo de 1813.A D. Antonio Cuna Manuel. Segundo. D. Fernando vn,por!a gracia de Dios y por la constitución de la monarquía española, rey de la9 Españas , y en su ausencia y cautividad la Regencia del reyno, nombrada por las Cartea genera les y extraordinarias, á todos los que las presentes vieren…</t>
  </si>
  <si>
    <t>Manuel, Francisco</t>
  </si>
  <si>
    <t>Francisco Manuel</t>
  </si>
  <si>
    <t>…D. Jacinto Gaona y Loeches. Lo que sé avisa comisionados para presentar la exposición del al público para que Jos que tuviesen algún derecho' i estado del imperio. los bienes del D. Francisco Manuel de la Herran acu dan en el término preciso de 10 dias, contados desde Señores. " ^ «1 3 de este mes, por dicho juzgado y escribanía á so „La exposición del estado del imperio, que oí licitar lo que les convenga-, con apercibimiento de que mos siempre con nuev…</t>
  </si>
  <si>
    <t>Manuel, Juan</t>
  </si>
  <si>
    <t>Juan Manuel</t>
  </si>
  <si>
    <t>…promover á brigadier y director subinspector al coronel D. José del Pozo y jarqui; á coronel al teniente coronel D. Juan Camargo.; á teniente coronel al sargento mayor de brigada D. Juan Manuel de la Cruz; y á este empleo al capitán D. Manuel de Hita. Por providencia del tribunal del consulado de esta plaza de 27 del corriente, se manda citar y emplazar á los acreedores que se es timen con derecho á los bienes de D. Juan de Algarra,, para que en el…</t>
  </si>
  <si>
    <t>« época mas distante los romances que correa con «oposición de los partidos no contribuyó á otra co„ el nombre de D. Juan Manuel (2). En el reinado «sa que á hacerlos mas exclusivos (4). »de O. Juan «, gran protector Je las letras, la «El estilo de los italianos prevaleció un mo** monarquía castellana estuvo á pumo de perecer « mentó en España ; y como un estilo prestado ape«por las se…</t>
  </si>
  <si>
    <t>…pido; sn segundo D. Car los Samborainy D. Casimiro Figueroa, que fué voluntario á la descubieita desde el principio de la acción. Mis ayudantes el capitán D. Mariano Flores , y el teniente D. Juan Manuel de la Fuente, es tuvieron á mi lado, y llevaron mis órdenes con la mayor puntuali dad. El capitán graduado D. Marcos Llamas, que agregué á mis edecanes, no se me separó un momento , y me proporcionó su ca ballo en un lance bien apurado en que me mataron el qu…</t>
  </si>
  <si>
    <t>Manuel.’, Antonio Cano</t>
  </si>
  <si>
    <t>Antonio Cano Manuel.’</t>
  </si>
  <si>
    <t>…pondréis se imprima , publique y circule. = L. de Borbon, cardenal de Scala, arzobispo de Toledo, presidente. = Pedro de Agar.rsGa briel Giscar.=En Cádiz á 17 de agosto de 1813.=A D. Antonio Cano Manuel.’* REsroVACtok DE VALES. La Regencia del reino, conformándose con lo expuesto por la junta na cional del crédito público acerca de la necesidad de prorogar nuevamente el término señalado para la presentación de los vales reales de la renovación de setiembre dé…</t>
  </si>
  <si>
    <t>ManueLManrique</t>
  </si>
  <si>
    <t>…otos han recaído en las personas que se expresan. Diputados d Cortes. limo. Sr. D. Ramón Ia*pez Pelegrin, ñscal del supremo tribunal de Jus ticia , natural de la ciudad de Molina. Sr. D. ManueLManrique, canónigo de la santa iglesia catedral de Cuen ca , natural de la villa de Atienza. Suplente. Sr. Dr. D. Nicolás Escudero, canónigo dignidad de la santa iglesia ma gistral de Alcalá de Henares, natural de Tartanedo. Diputación provincial. i.° Sr. D. Jp?qu in;…</t>
  </si>
  <si>
    <t>Maples</t>
  </si>
  <si>
    <t>…mericana Ellen y Emeline, armada con un cañón giratorio de á 12, y con muchos fusiles. La presa liabia salido de Nantes hacia tres dias con cargamento de seda para Nueva-Yorck. El capitán Maples, de la corbeta de S. M. el Pelícano, ha dado cuenta que el 12 de Agosto, estando cruzando en el canal de S. Jor ge, tuvo noticia de que no estaba muy distante un buque enemigo; én efecto, habiéndole encontrado, después de un reñido combare, se rindió Ja corbe…</t>
  </si>
  <si>
    <t>Maqueda, Josef Rodríguez</t>
  </si>
  <si>
    <t>Josef Rodríguez Maqueda</t>
  </si>
  <si>
    <t>…calá para asistir d la junta electoral de provincia, que se ha de celebrar el martes *7 de este mes. Del partido de Madrid. i.° D. Rámon Montero, presbítero de Fuencarral¿ ^ 2.0 ; D. Josef Rodríguez Maqueda, natural de S. Martín de Valdeiglesias, y residente en ella. 3.0 D. Agustín González Sanz, natural y residente en Miraflores^ 4.0 D. Nicolás Martínez de Tej'ada, presbítero, natural y residente en Madrid.’ j.° D. Manuel de la Torre y Rauri , natural y residen…</t>
  </si>
  <si>
    <t>Mar</t>
  </si>
  <si>
    <t>…por S. A. S. el bres, y por lo mismo tienen la principal influencia príncipe vice-aran-elector. en la corrupción de las costumbres; hemos hecho El presidente de esta diputación el señor Mar después la triste observación de que estos vicios ra coni dirigió á S. M. el discurso siguiente: dicales han residido en España , porque la educación Señor: se confiaba á gentes interesadas en fomentarlos, y „ La ciudad de Roma y su departamento nos que poseí…</t>
  </si>
  <si>
    <t>…la de los enemigos en 20 de los primeros y 32 de los segundos, lo que iia podido averiguar por noticias que se le han comunicado, de Toiosa. Todo lo que me ha hecho saber ei dicho comandante D. Mar tin Sildias con fecha de 10 del que rige; y yo lo hago presente á V. E. para que conozca el mérito de esta partida, que no ha cesado ni dexa de incomodar al enemigo.■= Nuestro Señor guarde á V. E. .muchos años. Sangüesa 12 de May® de 18 £3. == Excmp. Sr. -zz…</t>
  </si>
  <si>
    <t>Mar, Hilario</t>
  </si>
  <si>
    <t>Hilario Mar</t>
  </si>
  <si>
    <t>…inuación de lar promociones ñedhns pon la Regencia del reyno en la división que mando el mariscal de campo D. Francisco Espoz y Mina• A capitanes de fusileros á D. Ramón Navarlaz, D. Hilario Mar co, D. Ramón Marichalar, D. Juan Badina y D. Juan Francisco Zarimluqui: á ayudantes á D. Pascual Sanz, D. Domingo Olejua , Don Juan Esteban Anant, D. Juan Monton ,D. Ramón Díaz de Itarraza, D. Ambrosio Dorregaray, D. José Mari a Larcano j Joaquín Mezquiriz, D…</t>
  </si>
  <si>
    <t>Mar.by</t>
  </si>
  <si>
    <t>…ba-en Sotith^End, es quad imposible que Id hubiera sin que yo lo número 9, mui inmediata á la de ia princesa, y no supiese. No hago memoria de que la princesa es he visto jamas al capitán Mar.by en este departa tuviese mas gorda él aSo,íhi'i8o¿ que los demás, y mento, ni en otra parte de él que en la sala, ni ten estoi mui segura de que no estuvo embarazada. Co go antecedentes para suponer que hayan estado mo era yo propia quien la*vestía; no hubiera…</t>
  </si>
  <si>
    <t>Mar.ímiüabo</t>
  </si>
  <si>
    <t>…acia Bztitzeii. Pirita ij de Agosto. Los puestos avanzados de los franceses entraron en Friedland y Rombargo. Au'gsburgo 20 de Agosto. SS. AA. SS. el príncipe y princesa, el joven príncipe Mar.ímiüabo y toda su familia han llegado al palacio de JN y npfacmbnrgo. El territorio y ci?.idaá de Saltzburgo, donde actualmente reside el prin cipe real, se ha declarado por c-1 general Wrede en estado de sitio. ITALIA. TJdin* 20 de Agosto. Ya hace sígnaos dias que s…</t>
  </si>
  <si>
    <t>Marc, Juan</t>
  </si>
  <si>
    <t>Juan Marc</t>
  </si>
  <si>
    <t>…ería^ el ayudante mayor D. Manuel Baso, y el teniente D. Josef Vi•tal.,. del "regimiento segundo de Sevilla : el capitán ele cazadores. D. Josef García Orczco , ) los subtenientes D. Juan Marc y D. Vicente Alcina, del segundo de Cataluña; el subteniente D. Juan Manuel Quevedo ,-del bata llón del General, y el subteniente de granaderos* de Ordenes Dv Teodoro Martínez. Campo de Larrun 8 de octubre de i8i3.=V.° B.° = Pedro Agustín Gi’ron, comandante en gefe.=El brigadiér…</t>
  </si>
  <si>
    <t>Marc, Pedro</t>
  </si>
  <si>
    <t>Pedro Marc</t>
  </si>
  <si>
    <t>…emigo estaba alojado, y que á la distancia de una media hora de la ciudad habia una avanzada de nueve hombres. En esta inteligencia dispuse que el capitán de los dragones de Soria D. Pedro Marc coii los 34 caballos de su mando, y el capitán de la'tercera compañía de mi regimiento D. Josef de Lagandara con parte de la compañía de caza dores, tomasen la vanguardia del regimiento , y se echasen sobre aquella avan zada á todo escape; pero quando llegaro…</t>
  </si>
  <si>
    <t>…ro infiéralo v . S. por el resultado. Los recomiendo á todos como dignos defensores de ia patria, mas faltaría á la justicia si no particularizase al capitán de dragones de So ria D. Pedro Marc y á su alférez D. Aniceto Perez, como también á los capitanes de mi regimiento D. Pedro Sologaistoa, D. Josef de Lagandara y D. Atanasio Muñoz, y al teniente D. Mariano Tabuenca. Dios guarde &amp;c. Calahorra &amp;c. En el dia 2 del corriente la caballería aliada tuv…</t>
  </si>
  <si>
    <t>Marcelo</t>
  </si>
  <si>
    <t>…o; D. Pedro Oloris , sargento mayor; D* Francisco Lapedra?a * TXtJosef Salama , D. Gerónimo Londoño;, D. Juan del Rio y D. Francisco: Median villa, tenientes; D. Francisco Solimi, D. Marcelo. Ortiz y D.. Francisco Salvador, subtenientes del primero Cántabro; D. Silvestre Hidalgo, tenien te coronel; D. Bernardo Alvarez, D. Josef Talla y D. Manuel Mendez, capitanes; D. Vicente Noriega, D. Francisco Xavier Alvarez y D. Fran cisco Fresno , tenientes;…</t>
  </si>
  <si>
    <t>Marchámalo, Francisco</t>
  </si>
  <si>
    <t>Francisco Marchámalo</t>
  </si>
  <si>
    <t>…bogado;del colegio de Madrid. : Eiebtores* D. Pedro Aznar, cura de Hortaleza. D. Antonio Martel, vecino y abogado del colegio de Madrid. D. Manuel Aleas, vecino de Colmenar viejo. D. Francisco Marchámalo, magistrado de la audiencia de Castilla la nueva. D. Francisco López Alcaraz, vecino de Madrid. D. Rafael Oseñalde , cura propio de S. Andrés de Madrid. 1). Francisco Crespo de Texaaa, d^l comercio de (Madrid. ARTICULO DS OFICIO* las.Cortes generales y extrao…</t>
  </si>
  <si>
    <t>…s de Castrefíuerte; por la de S. Míllan D. León de Ja , Cámara Cano, D: Antonio Marte 1 y D. Josef Martínez Moscoso; por lá de S. Salvador D:/Juan'de Lera'Cañó1; por da'de S. Luis D. Francisco Marchámalo y D. Fáustirrá‘Sánchez'Sevillano; por la de Santiago D. Cayetano Aravaca y el señor secretario del aytmtamibnto de esta dicha viila D. Angel González Barreyro. Y asi reunidos,* pro cedieron á puerta abierta á la nominación de los citados señores alcaldes, re gidores y procu…</t>
  </si>
  <si>
    <t>Marchand</t>
  </si>
  <si>
    <t>Gaceta de Madrid n.º 136</t>
  </si>
  <si>
    <t>…e una división de tropas acordará por mucho tiempo de la repentina apari wurtemberguesas, badesas, hessesas Scc. á las ór ción de los ingleses, y del modo rúas repentino denes del general Marchand. Este primer cuerpo aun con que se les ha arrojado. lo manda el señor mariscal duque de Elchingen. La batería de Blexen fue recobrada por los de Ayer llegó aquí artillería de la guardia , é igual pendientes de la aduana, que formaban la vanguar mente cazadore…</t>
  </si>
  <si>
    <t>Marcilla, Josef Garcés</t>
  </si>
  <si>
    <t>Josef Garcés Marcilla</t>
  </si>
  <si>
    <t>…brigada en el bloqueo de Santoña. Sexta división , que. manda el brigadier D. Fran cisco Longa, en Briviesca y pueblos inmediatos. Séptima división, que manda el mariscal de campo D. Josef Garcés Marcilla, en la guarnición de la plaza de S. Sebastian, y dos cuerpos de la misma división en el bloqueo de Santoña. Octava división, que manda el mariscal de campo D. Francisco Espoz y Mina, en Sangüesa, y dos cuerpos de la misma división de guarnición ea Zaragoza. E…</t>
  </si>
  <si>
    <t>Marcnla, José Gsrcés</t>
  </si>
  <si>
    <t>José Gsrcés Marcnla</t>
  </si>
  <si>
    <t>…a bridada en el bloqueo de Santoña. Sexta división , que manda el brigadier D. Francisco Longa, en Brivlesca y pueblos inmediatos. Séptima división, que manda el mariscal de campo D. José Gsrcés Marcnla, en la guarnición de la plaza de S. Sebastian, y dos cuerpos de la misma división en el bloqueo de Santoña. Octava división, que manda el mariscal de cam po D. Francisco Espoz y Mina, en Sangüesa, y dos cuerpos de la misma división de guarnición en Zaragoza.…</t>
  </si>
  <si>
    <t>Marco, Cristóbal</t>
  </si>
  <si>
    <t>Cristóbal Marco</t>
  </si>
  <si>
    <t>…idoleig, vacante por promoción dadanos principales á satisfacer su contingente, re de D. Josef Alania á la parroquial de Bélgida, á parándose en algunos, que despwes de haber subs D. Cristóbal Marco, patrimonista presbítero. crito á una suma bastante crecida, volvieron des Para el de Aguacor, vacante por ascenso de pués ¿ doblarla , por manera que las subscripciones D. Joaquin Espi al curato de Tibí, á D. Mariano voluntarias, hechas en menos de 24 horas,…</t>
  </si>
  <si>
    <t>Marcos</t>
  </si>
  <si>
    <t>…ncia. ?,La columna de vanguardia no pudo en la acción demostrar su mérito ; pero así á la ida , como en nuestra penosa retirada, se ha hecho acreedora á la mayor consideración. El coronel D. Marcos .Llano ; el teniente coronel D. Antonio Lefdaei; el teniente coronel 1). Juan Tomas Moscoso , que ha tomado el mando de Abancay, y ha desempeñado mis órdenes con el ratjor acierto , é infatigable buena voluntad; el capitán D. Saturnino Castro, que lleno de es…</t>
  </si>
  <si>
    <t>Marean</t>
  </si>
  <si>
    <t>…, y aun os animarán á perseverar en vuestra generosa empresa. = Cárlos Juan. = Quartel general de Juterbock io de setiembre de 1813. Carta del Emperador Ale x andró á la viuda del general Marean. „ Madama: quando el general Moreau recibió á mi lado el terrible gol pe que me privó de los conocimientos y experiencia de aquel hombre céle bre, me lisonjeé con la esperanza de que á fuerza de cuidado lograría con servarle á su familia y á mi amistad; pero…</t>
  </si>
  <si>
    <t>Marechal</t>
  </si>
  <si>
    <t>…ga da (Jq; segunda división,4 cargo del coronel D- Manuel Llauder, ha. destrozado cP.mpl'etafnente el dia 7 .de esté una columna enemiga compuesta de 1500 hombres, mandada.por el ¡coronel Marechal, que salió de Puígcérdá para atacar por la espalda á Llauder, que con su brigada bloquea al fuerte de Olot: 4 oficiales, 290 soldados prisio neros , 12 caxas de guerra, mas de 500 fusiles, y haber quedado re ducido el enemigo á unos 300 hombres, ha sido el re…</t>
  </si>
  <si>
    <t>Maret</t>
  </si>
  <si>
    <t>…saber: ción de la Silesia alta, del condado de Glatz y de S. M. el Emperador de los franceses, Rei de los principados de Breslau, de Oels y de Brieg. Italia, á Mr. Hugo Bernardo, conde Maret, du No entrarán en esta parte de la Silesia, ni en aque que de Bassano &amp;c., su ministro de Relaciones ex llos países que no la formaren de las líneas de ope teriores ; raciones. La ciudad de Postdam estará exenta del Y S. M. el Rei de Frusia á Mr. Federico Gu…</t>
  </si>
  <si>
    <t>…s pre- suyos, á saber: guntas de la misma especie, y respondió á todas S. M. el Emperador de los franceses &amp;c. á Mr. con la misma facilidad y prontitud, admirando á Hugo Bernardo, conde Maret, duque de Banano, todos los que le oían, y haciéndolos desear el po grande águila de ia legión de Honor &amp;c., su mi der, si fuese posible, hallar medios con que hacer nistro dé Relaciones exteriores; mas extensa y mas útil úna facultad tan extraordi Y S. M. el…</t>
  </si>
  <si>
    <t>…mismo, establecer acerca de esto un con venio eventual, y han nombrado por sus plenipotenciarios, á saber: S. M. el emperador de los franceses, rey de Italia, á Mr. Hugo Bernardo, conde Maret, duque de Bassano Scc., su ministro de re laciones exteriores; Y S. M. el rey de Prusia á Mr. Federico Guillermo Luis, barou. de Krusemarck &amp;c., su enviado extraordinario y ministro plenipo tenciario cerca de S. M. el emperador de los franceses, rey de Italia…</t>
  </si>
  <si>
    <t>…de los convenios de los dias 8 de Setiembre y 5 de Di ciembre de 1808, han nombrado plenipotenciarios suyos, á saber: S. M. el emperador de los franceses Stc. á Mr. Hugo Bernardo, conde Maret, duque de Bassano, grande águila de la legión de ho nor &amp;c.- su ministro de relaciones exteriores; Y S. M. el rey de Prusia á Mr. Henrique de Beguelin, conseje ro de estado &amp;c., su plenipotenciario: Los cuales, después de haberse comunicado sus plenos poderes…</t>
  </si>
  <si>
    <t>Mari, José</t>
  </si>
  <si>
    <t>José Mari</t>
  </si>
  <si>
    <t>…adina y D. Juan Francisco Zarimluqui: á ayudantes á D. Pascual Sanz, D. Domingo Olejua , Don Juan Esteban Anant, D. Juan Monton ,D. Ramón Díaz de Itarraza, D. Ambrosio Dorregaray, D. José Mari a Larcano j Joaquín Mezquiriz, D. Santiago Arizavala, Dj Ildefonso Zizur, D.José Pinilla y D. Pedro Brull .* á tenientes de granaderos y. cazadores á D. Isidoro IrachMta, D. Martin de Yoldi, D. Martin Gastón, D. Vicente Pe- rez, D; Pedro Osta, D. PrudencLoBuj…</t>
  </si>
  <si>
    <t>María</t>
  </si>
  <si>
    <t>…guero........... 109 En valor de 1350 panes...................... 6075 Por otra que entregó al contralor del En el de 6100 libras de carne."........... 23682 u hospital de hombres Doña María En el de 209 fanegas de trigo que González............................................... 2000 entregó por disposición del Excmo. Por otra que entregó un bienhechor, Sr. marques de Almenara, ministro sin manifestar su nombre, á dicho de lo Interior, D. Manuel de…</t>
  </si>
  <si>
    <t>…e atacaron alpemente general Sir Rolando Hill; Durante la noche desaparecieron de en frente, de.este general, y tomaron ayer con dos divisiones una Tuerte posición en el puerto de Doña María» i,El teniente general Sir Rolando Hill, y el Lord Dalhowsie le ata caron y le arrojaron del expresado Puerto , no obstante la vigorosa re* «utencia que hizo, y lo formidable que era su W sensi^fo</t>
  </si>
  <si>
    <t>…del general Bing, y la quarta división del mando del honorable teniente general Sir Lowry Colé por el puerto de Belate á Irurita, con el fin de envolver la posición del enemigo en Doña María. „El mariscal de campo Bing cogió en Elizondo un grande convoy que iba at enemigo, é hizo muchos prisioneros. „Hemos continuado hoy en perseguir al enemigo en el valle del Bidasoa, y se han hecho muchos prisioneros, y tomado mucho equipage. ,, El referido gen…</t>
  </si>
  <si>
    <t>…atacaron al teniente general sir Rolando Hill. Duran te Ja noclie desaparecieron de enfrente de este general, y tomaron ayer con dos divisiones una fuerte posición en ei puerto de Doña María. „E1 teniente general sir Rolando Hill y el lord Dalhowsie le atacaron y le arrojaron del expresado puerto, nó obstante la vigorosa resistencia que hizo, y lo formidable que era su posición. Me es sensible haber de decir qué el teniente general el honorable G…</t>
  </si>
  <si>
    <t>…udad" dé Córdoba D. Manuel Tobar^lpridtier teniente de Guardias Españolas, destina al-i gtinps-d,e- sus:,b.ienes*pará: p3go de jas desdas legítimas que resulten, contra su niadcér Doña María frígida Colmenares , condesa ybida-qpé fue de Cancelada, que tajn-í bien falleció en esta,corte ¡en el añq de .iSoS.; y deseando sus testamentarios cum|&gt;lir este encargo, aprevienen que ..si alguna persona tuviese algún crédito de esta clase se presente hasta…</t>
  </si>
  <si>
    <t>María, José Saenz de Santa</t>
  </si>
  <si>
    <t>José Saenz de Santa María</t>
  </si>
  <si>
    <t>…ino de Tarragona, habiendo dexado ea Tortosa, segas anos, 2® hombres, y 3© según otros. Por providencia del tribunal del consulado de esta plaza , dictada en autos de acreedores á D. José Saenz de Santa María, se manda citar y emplazar á cualquiera que se considere con derecho i la ma sa de dicha quiebra, para que en el término de un año acuda á for malizarlo con los documentos comprobantes: baxo prevención que de no hacerlo, los pagos sucesivos se executaráa sin…</t>
  </si>
  <si>
    <t>María, Josef López Santa</t>
  </si>
  <si>
    <t>Josef López Santa María</t>
  </si>
  <si>
    <t>…Montesoro, caballero de la real y distinguida orden española, de Cárlos ni* vecino de la ciudad de Molina. 2.0 Sr. JD. Félix Herreros, cura párroco de la villa de Iriepar. 5 - 3-° Sr. D. Josef López Santa María, canónigo de la santa iglesia catedral de Siguen^*..</t>
  </si>
  <si>
    <t>Mariano</t>
  </si>
  <si>
    <t>…rito á una suma bastante crecida, volvieron des Para el de Aguacor, vacante por ascenso de pués ¿ doblarla , por manera que las subscripciones D. Joaquin Espi al curato de Tibí, á D. Mariano voluntarias, hechas en menos de 24 horas, basta Raíz , presbítero ex-regular. ron para llenar la oferta del consejo municipal. Para el de Muría, vacante por promoción de La ciudad de Amsterdan ofrece á S. M. un es- D. Juan Bautista Boluter á la parroquial de…</t>
  </si>
  <si>
    <t>Marichalar, Ramón</t>
  </si>
  <si>
    <t>Ramón Marichalar</t>
  </si>
  <si>
    <t>…mociones ñedhns pon la Regencia del reyno en la división que mando el mariscal de campo D. Francisco Espoz y Mina• A capitanes de fusileros á D. Ramón Navarlaz, D. Hilario Mar co, D. Ramón Marichalar, D. Juan Badina y D. Juan Francisco Zarimluqui: á ayudantes á D. Pascual Sanz, D. Domingo Olejua , Don Juan Esteban Anant, D. Juan Monton ,D. Ramón Díaz de Itarraza, D. Ambrosio Dorregaray, D. José Mari a Larcano j Joaquín Mezquiriz, D. Santiago Arizavala, Dj…</t>
  </si>
  <si>
    <t>MARINA, Benjamín Constante de MINISTERIO Bfi XX</t>
  </si>
  <si>
    <t>Benjamín Constante de MINISTERIO Bfi XX MARINA</t>
  </si>
  <si>
    <t>…omar pro bre de que ha muerto. visiones. : , WESTFALIA. IMPERIO FRANGES. Gcet tinga 4 de marzo. París i» de marzo. La sociedad real de las ciencias acaba de nom brar socio sayo al señor Benjamín Constante de MINISTERIO Bfi XX MARINA. Rebeque, sugeto mui conocido en la literatura por A bordo.de la fragata de S.M. ¡a Gloria , en ¡avarios escritos estimados, y que actualmente está rada deBrett, dia «8 de febrero de 18 ij-dundo la última mano i una obra voluminosa sobre la historia filosófic…</t>
  </si>
  <si>
    <t>Marina, Francisco Martínez</t>
  </si>
  <si>
    <t>Francisco Martínez Marina</t>
  </si>
  <si>
    <t>…a librería ele Perez, calle de las Carretas. . Ensayo histórico-crítico sobre la antigua legislación y principales cuerpos le- * gales de los reinos de León y Castilla: por el Dr. D. Francisco Martínez Marina, canónigo de la real iglesia de S. Isidro, é individuo de número de ias reales aca demias de la Historia y Española. En que principalmente se examina la naturaleza y forma del primitivo gobierno de España: la autoridad y prerogativas de sus Re- . yes, y los d…</t>
  </si>
  <si>
    <t>Mariotegni, Xavier</t>
  </si>
  <si>
    <t>Xavier Mariotegni</t>
  </si>
  <si>
    <t>…Gofr , D. Justo Taiazona, D. José María Munuce, D. Antonio Longis, D. José Canoras, D Cele Io nio Lerruz, D. Juan Macáya, D, Luis A lamo, D Francisco íturralde, D. Miguel Ube’za , D. Xavier Mariotegni, D Fermín Adrián, D. Francisco Miranda, D. laucas Zubkta, D. Vicente Larraga, D. M ¿mano Onnaeckea, D. Victoriano Iribarren , D. Juan José Tercero, D. Ignacio Lasa, I), Tomas Faudiño, 1). Gregorio .Eche» garay, D. A n Ionio Arzola, D. Jacinto O na , D José Vi…</t>
  </si>
  <si>
    <t>Mariscal, Francisco</t>
  </si>
  <si>
    <t>Francisco Mariscal</t>
  </si>
  <si>
    <t>…nación, no desper dicien el precioso tiempo en que los españoles, sin rebozo ni temor, pueden manifestar sus. Ideas baxo la salvaguardia de una ley funda mental. Elogió'el celo de D. Francisco Mariscal y D. Ignacio Xi me na en su enseñanza identificada Con el sistema constitucional , y pro metió que el ayuntamiento los auxiliaría en sus tareas y bien estar.</t>
  </si>
  <si>
    <t>Marque, Manuel</t>
  </si>
  <si>
    <t>Manuel Marque</t>
  </si>
  <si>
    <t>…n Roxas y D. Antonio Moro; gracia de sargentos primeros de milicias á los cabos de la expresada caballería de paisanos D. Francisco Maldonado, D. J oaquín Angarita, D: Pedro Rey y D. Manuel Marque*. El uso de la me.irdla de oro con el real busto al capitán y tenientes de milicias de pardos José Antonio Nuñez, Calixto Ramírez y Ni colás Morales; y al capitán, teniente y subteniente de indios José Antonio García, Francisco Gutiérrez y Tomas Gutiérrez. El…</t>
  </si>
  <si>
    <t>Márquez, Bernardo</t>
  </si>
  <si>
    <t>Bernardo Márquez</t>
  </si>
  <si>
    <t>…l en gefe del segundo exército D. 'Xavier Ello, dice al Sr. gefe del estado mayor general desde el cuartel general de Mur * cia 3 del actual lo que sigue: „Excmo. Sr.: Ei teniente coronel D. Bernardo Márquez, coman dante tiel regimiento de caballería cazadores ele Jisen, dice al gofe del estado mayor del exército de mi mando, con fecha de 28 de Fe brero ultimo, lo siguiente. Habiendo mandado al ayudante mayor D Pedro Luna, que se halla accidentalmente mandando el…</t>
  </si>
  <si>
    <t>Marriatt, Wilsoit y</t>
  </si>
  <si>
    <t>Wilsoit y Marriatt</t>
  </si>
  <si>
    <t>…es ministros de S. M., y tomar las medidas necesarias para ordenar y con ciliar los intereses comunes. La comisión se compone del actual regente de la. misma colonia, y de Mrs. el conde Wilsoit y Marriatt. los negociantes de la colonia van encargados particularmente de la liquidación de cuentas y créditos. En principios de mayo se hicieron á Iavela seis fragatas americanas; qua~ tro salieron de Boston él día 4, y de Nueva-Yorck las dos restantes el 1 * delmisn…</t>
  </si>
  <si>
    <t>Marrón</t>
  </si>
  <si>
    <t>…be-filia Ortega y al co ronel Llamas, según las señas y ropaje. Se les tomaron 24 caballos y mular, y algunas armas. La tropa de Padilla no tuvo ninguna des gracia • recomienda al teniente Marrón , al alférez Suero, al cabo Moctezuma y al soldado Matías González, que mató cuerpo á cuer po á Ortega. 56. IX Rafael Cálviüo de Mendoza con fecha de 5 desde e*l Real de Tem .scaltepec , da parte que el di:: anterior la compañía de cazadores de su batallón, y…</t>
  </si>
  <si>
    <t>Marsen, Saint</t>
  </si>
  <si>
    <t>Saint Marsen</t>
  </si>
  <si>
    <t>167 abandonándonos así á vista del enemigo. — Mariscal duque de Tarento.” ,, Corta del conde Saint Marsen mi ministro de negocios extranje ros. — Berlín l.c de Enero.— Señor : acaba de llegar un edecán del duque de Tarento, enviado por el príncipe de Neufchatel, con el adjunto oficio del mayor general, y las cartas que le acompañan. Xilegó cuando yo estaba en cas…</t>
  </si>
  <si>
    <t>Marshall</t>
  </si>
  <si>
    <t>…obernador de Bombay, y el Caracas, y no la ha podio-• executar. hl parti qual iba en ella con Tos oficiales de su estado mayor, do realista, vencedor en este momento, le ha man el capitán Marshall de marina, y un gran número dado retirarse. De los cinco buques oue porteaban los víveres quatro lian estado detenidos cerca de de oficiales de marina que iban á juntarse á los na-</t>
  </si>
  <si>
    <t>…nte de po en el Canadá , cree que el enemigo no puede Bombay, el mayor Wilk y el capitán Wood, que tener en Malden mas de 3Q hombres de milicias y componían su estado mayor , y el capitán Marshall, tropas regulares. que debía tomar el comando de tm stop en los ma Las últimas noticias que hemos recibido del res de la India, estaban embarcados también en él. exército de Harrison por rittsburgo llegan hasta el 30 de enero. Se decía entonces que el exércit…</t>
  </si>
  <si>
    <t>Marte, Antonio</t>
  </si>
  <si>
    <t>Antonio Marte</t>
  </si>
  <si>
    <t>…académico de la Historia, é individuo de la comisión , de Instrucción publica» . ' \ m diputación próvii ' r.l -* K; o i." D. Emeterio Algete, labrador y vecino de Chinchón. . 2.0 D. Antonio Marte!, abogado de los tribunales nacionales en el cole gio de Madrid. f5,. 3.0 D. Francisco Crespo de Tejada, del comercio por mayor y giro en Madrid... . .. ,-,:r ■ ’. 4»0 IX Domingo Puta ri, presbítero. ^ : V $«° D. Josef López. Alonso, labrador, y alcalde const…</t>
  </si>
  <si>
    <t>Martel, Antonio</t>
  </si>
  <si>
    <t>Antonio Martel</t>
  </si>
  <si>
    <t>. . Secretario. D. Francisco Crespo de Texada , del comercio de Madrid. ¡ Escrutadores. D. Pedro Aznar, cura párroco de Hortaleza. / D. Antonio Martel, vecinp y.abogado;del colegio de Madrid. : Eiebtores* D. Pedro Aznar, cura de Hortaleza. D. Antonio Martel, vecino y abogado del colegio de Madrid. D. Manuel Aleas, vecino de Colmenar viejo. D. Francisco Marchámalo, magistrado de la audiencia de Castilla la n…</t>
  </si>
  <si>
    <t>Martí, Francisco de Papla</t>
  </si>
  <si>
    <t>Francisco de Papla Martí</t>
  </si>
  <si>
    <t>…compuesta de los Sres. D. Antónió Siles, secretario de la sociedad y protector-de dicha escuela;• D. JoSéf;Millanova y Jordán, censor, y el socio D. Fermín de Uria Nafárrondo. El catedrático D. Francisco de Papla Martí leyó un elocuente discurso, en que probó la antigüedad de este maravilloso arte de escribir con tanta velocidad como se habla: dio una idea de los varios mé todos antiguos y modernos qué se han publicado en todas las naciones cul-* tas sobrér,e^:-aímat:eria,…</t>
  </si>
  <si>
    <t>Martí, Francisco de Pauia</t>
  </si>
  <si>
    <t>Francisco de Pauia Martí</t>
  </si>
  <si>
    <t>…ibliotecario. D. Antonio Sandalió Arias , archi vero. ÍL Claudio Boutelou, secretario deja clase de agricultura. D. Torqitato lorio de la Riba, secretario ce U clase de industria. D. Francisco de Pauia Martí, secretario de ia clase de artes y oficios. .. Todo lo que se hace saber al público para-.inteligencia de los que tengan que hacer alguna solicitud en dicho cuerpo patriótico, como taco bien que el secretario de la sociedad vive en la calle de Toledo, en la c…</t>
  </si>
  <si>
    <t>Martí, Francisco de Paula</t>
  </si>
  <si>
    <t>Francisco de Paula Martí</t>
  </si>
  <si>
    <t>v • 321 tarse al maestro D. Francisco de Paula Martí, que vive en ía misma escue la , de nueve á once de la mañana: deben saber indispensablemente leer y escribir de corrido, y convendrá que tengan principios de gramática: esta enseñanza es enteramente gratuita. ARTICULO DE OFICIO. Circular del ministerio de Ha…</t>
  </si>
  <si>
    <t>Marti, Francisco de Paula</t>
  </si>
  <si>
    <t>Francisco de Paula Marti</t>
  </si>
  <si>
    <t>…qual, substituto de censor. D&gt; Antonio.Siles , secretario. D. Josef Pabor?, substituto de secretario. D. Ramón Ruel, conrador. D. Casimiro Gómez de Ortega, ‘ubstjtDto de;Contador. D. Francisco de Paula Marti, tesorero. Don Ped^o Arícente deSqldeviüa, bibliotecario. D. Antonio Sandalió Arias , archi vero. ÍL Claudio Boutelou, secretario deja clase de agricultura. D. Torqitato lorio de la Riba, secretario ce U clase de industria. D. Francisco de Pauia Martí, secret…</t>
  </si>
  <si>
    <t>Martí, Mateo</t>
  </si>
  <si>
    <t>Mateo Martí</t>
  </si>
  <si>
    <t>…al segando ayudante de estado mayor D. Florencio Cerati; á mi ayu dante de campo el teniente de Zapadores D. Joaquín Guardia, y ai ayudante deí regimiento de cazadores de Cataluña D. Mateo Martí, que siempre estuvieron á mi lado, comunicaron con la muyor intre pidez y actividad iris órdenes, y contraxeron un mérito particalnr.=Dios guarde á V. S. muchos años. Esparraguera 8 de A^orto de i8i3.=El comandante de la segunda brigada de la primera división…</t>
  </si>
  <si>
    <t>Martí, Miguel</t>
  </si>
  <si>
    <t>Miguel Martí</t>
  </si>
  <si>
    <t>…12, se ha dignado ei REI nombrar para el curato de la parroquial de Almu- AVISO. safes, vacante por muerte de D. Miguel Martínez, Por providencia del Sr. D. Domingo de Jáureguí, á D. Miguel Martí , cura de Sot de Chera. juez de primera instancia, refrendada de D. Jacinto Para el de Alcaali, vacante por fallecimiento Gaona y Locches, escribano del número, en virtud de de D. Tosef Aragonés , á D. Joaquín Saez Quinta- superior habilitación, te han mandad…</t>
  </si>
  <si>
    <t>Martin</t>
  </si>
  <si>
    <t>…liesen 130 caballos á las órdenes del capitán D. Antonio Lombas, comandante accideutal de la caballería, y 70 infantes del segundo batallón de voluntarios de Aragón, al mando del capitán D. Martin</t>
  </si>
  <si>
    <t>…Cis car. — En Cádiz á 16 de Marzo de 1813. —A D. Pedro Labrador. Donativo para auxilio de la valiente división navarra el mando del ma riscal de campo D. Fian cisco Espoz y Mina. D. Martin y D. Miguel Osambela, 6000 ps. fs. D. Juan Bautista Oy&amp;rzabal y D. Pedro Abadía, 1000. D. Antonio y IX José Matías Eiizalde, 500. D. Francisco Xavier Izcue, 500. D Juan Bautista Errea, 500 D. .Loan Pcrtica, 500. D. José Arizmendi y D. Miguel Abnorza, 500. D. J sé Antonio Errea ,…</t>
  </si>
  <si>
    <t>…, 100. D. J ose Correa, 100. D. Juan Bautista Sarraoa, 103. D. S ¡bidíaa Ugardza, 100. D. Manuel Vállate, 100. D. Juan Gil , 100. D Lo renzo Machiianda, 100. I). Miguel Arneta,50. D. Martin y D. J.ian Bautiza Estevecorena, 59. D. Ran&amp;on del Valle, 50. D. Rara el Ló pez, 50. D. Félix Balegi, 59. D. Juan Francisco M -toado, 50. D. Manuel G.j»m&lt; z Zuazo, 50. D. To-ms Jurado, 50. O Sebastian Corrínarefc,50. D. Antonio León, 50. D. Juan y D. M g-id Viña, 50.…</t>
  </si>
  <si>
    <t>…l Valle, 1 id. D. To mas de la Casa y Piedra, 6 id. D. Martin de Guisasola, 6 id. D. Jo sé Matías de Elizalde, 2 id. D. Antonio Saenz de Tejada, 2 id. D. Manuel de Santiago, 1 id. D. Martin y D. Felipe Osambela., 10 i'd. D. José Ramón de Idiaquez, 8 id. D Ignacio de Santiago, 6 id. D- Andrés Reboredo, 6 id. D, Antonio Baras, 6 id. D. Manuel de Urlonagoena y Aramburu, 5 id. D Francisco Marta Zuloaga, 5 id. D Vicenta de la Riva, 4 id. D José II pólíto y D Ambrosio íba…</t>
  </si>
  <si>
    <t>Martín', Juan</t>
  </si>
  <si>
    <t>Juan Martín'</t>
  </si>
  <si>
    <t>…udan en esta capital, se transporten áTarragona. La plaza de Tortosa ha sido estrechada en su bloque*., y las fuerzas del segundo exército se aumentan con la brillante dividen de! general D. Juan Martín', el Empecinado. Se a&lt;egura- que la brillante bridada del señor coro-' r.d 1&gt;. J..1 iáh Sánchez tiene Órden de concurrir á las operaciones de! prirrie^' ró y segundó exército. Debemos presumir, según las • disposiciones ‘ qúe’ 'ad vertimos', que el bloqueo de…</t>
  </si>
  <si>
    <t>Martin, Fermín San</t>
  </si>
  <si>
    <t>Fermín San Martin</t>
  </si>
  <si>
    <t>…eralta, D. Manuel Salaberri, D. Dámaso Landa, D. Atanasio Diez, D. Bartolomé Comas, D. Ildefonso Mayo, D» JVLguql Ormachea, D Joaquín Sánchez, D José Migueltorena D Diego Gayarre, D. Fermín San Martin,*O. José Arozarena, D. Angel Esca lada, D. Víctor Pastor, D. Francisco Boira , D. Nicolás Uroz, D. Francisco Sarbide, P. Manuel'Inda, D Juan Ignacio Peña, D Diego OteruimDi Gabriel Alegría , D. Félix Sarasa $ D. José Labiano , D. Francisco Morillo , D, Juan J…</t>
  </si>
  <si>
    <t>Martin, H. Ignacio</t>
  </si>
  <si>
    <t>H. Ignacio Martin</t>
  </si>
  <si>
    <t>…n tan frecuentas éií esta piazh. ' Alcántara 23 de Febrero. El coronel D. Gerónimo Saornil avisa con fecha de 14 de Febre ro desde el pueblo de Villar del Buey , que cerciorado el teniente H. Ignacio Martin de que los enemigos tenían en el arrabal de los mesones dé lá villa de Ledesma 2G bueyes y 2 caballerías mayores^ fruto ¿e las rapiñas que fian hecho en los pueblos de la ribera é in mediaciones de su guarnición, détémdnó, ai paso que hacia un re conocimiento…</t>
  </si>
  <si>
    <t>Martin, José</t>
  </si>
  <si>
    <t>José Martin</t>
  </si>
  <si>
    <t>…ués de la herida de Ménica tomó el mando y empeñó de nuevo la tropa hasta el pie del para peto: el capitán de Zamora D. Joaquín Arias Flores , y al teniente del batallón Americano D. José Martin, que con el piquete de su cuerpo se portó bizarramente, como también los cuerpos de Marina y Veracruz. E11 efecto, salió el señor Olazabal de Xalapa con la tropa de su mando y 3 piezas de artillería, figurando en la primera jornada que marchaba por el camino…</t>
  </si>
  <si>
    <t>Martin, José Martin de S.</t>
  </si>
  <si>
    <t>José Martin de S. Martin</t>
  </si>
  <si>
    <t>…stado mayor general* •*•••••••••■••• 150 General del primer exército ......................... 50 General del tercer exército* ••«•••.......... 56 Idem del cuarto.............. 50 D. José Martin de S. Martin*..........* *. • • 6 Gefe político de Salamanca.................. 6 D. Carlos España* • • * *.............................. 10 D. Pedro Agustín Girón*. . ....................... 20 Diferentes comisionados. * *.................. 68 Por la dirección gener&amp;l de…</t>
  </si>
  <si>
    <t>Martin, Juan</t>
  </si>
  <si>
    <t>Juan Martin</t>
  </si>
  <si>
    <t>…esos patriotas de Moscow á ser vería. Este es su patriotismo y el de quantos vil alcaldes de la Alcarria; que vengan á admirar al y vergonzosamente alegan la fuerza por excusa de Sr. D. Juan Martin, á darle lo que pide su seño ios grados, honores y destinos que han debido á sus ría , y hacer otro tanto con los españoles del Rei protestas de adhesión y fidelidad al Soberano. El Joset, ven los franceses, con italianos, ingleses, solo amago de la adversida…</t>
  </si>
  <si>
    <t>…Xavier.. Eíío, desde su-cuartel general enElda el 21 de Ma zo anterior, remite al Excroo. S‘. gefe del estado mayor general de los exércitos el parte siguiente: ,,Exorno. Sr. : El brigadier D. Juan Martin, el Empecinado., co mandante general de la quinta división del exército cíe mi mando, con fecha de l.° do Febrero último, me dice lo que sigue:</t>
  </si>
  <si>
    <t>…tán acantona das en aquellas inmediaciones es de caballería, pues casi toda la in fantería marchó á Castilla, escoltando unrconvoy uri y numeroso. A mediados de este se hallaba el brigadier D. Juan Martin con su división en Alcalá de Henares. _______ 4 ___ . ____ ___________ ________ CADIZ ; EN LáImpRENTA NACIONAL.</t>
  </si>
  <si>
    <t>455</t>
  </si>
  <si>
    <t>…años. Cádiz % de Abril de 1815. —■ Carvajal* El Excmo. Sr. general en gefe del segundo exército con fecha de 16 de Abril dirige al Sr. gefe: del estado mayor general un parte del brigadier D. Juan Martin, comandante general de la quinta di visión de infantería, en que con fecha de l.° del mismo , después de manifestar varios movimientos que ha executado con sus tropas sobre Cerezo, obf gando á los enemigos á evacuar varios pueblos</t>
  </si>
  <si>
    <t>…Ambrona, que mandaba la cuarta compañía, y el cadete D. Manuel García, este de gravedad.—» Dios guar le á V. S. muchos años. Talamanca l.°de Abril de 1813 — Antonio Martin. — Sr. brigadier D. Juan Martin ei Empecinado, comandante general de ía quinta división del Begundo exército.5 ♦ 1 CADIZ; EN LA IMPRENTA NACIONAL.</t>
  </si>
  <si>
    <t>…e organizo la milicia cívica : cada paso fue una lucha entre el poder.feroz del enemigo y el sufrimiento tenaz, del vecindario. Acometido el fuerte en 9 de mayo por las tropas del brigadier D. Juan Martin , que se apoderó de la tesorería y equipases, y dió muerte al barón Fíardon, sufrió la ciudad otro horroroso saqueo durante la lucha: repuesta nuevamente la guarnición enemiga en mayor número, cargó sobre el vecin dario ta subsistencia,con el aditamento de un…</t>
  </si>
  <si>
    <t>…scena del Prado. Se hallarán en la librería de Quiroga, calle de Jas Carretas, casa de la fonda del Angel, á 80 rs. cada juego. Retratos de los gefes de partida D. Julián Sánchez, D. Juan Martin (el Em pecinado), D. Juan Palarea (%l'Médico J7 D. Erartcisco Abad ( Chaleco)* pues tos á jabalío, d(buzados y grabados con el mayor esmero'; jr sc ^eguirátj haciendo los de todos fos gefes de partida ó comandantes d[e. división, que mas se han distin guido *…</t>
  </si>
  <si>
    <t>…tucional de esta id Lía, que se halla dentro de sus casas consistoriales, en las quales se ha de celebrar el remate el lunes 9 del cor riente mesa las 12 de su mañana. Retratos de D. Juan Martin, D- Juan Palarea y D. Fermín Gonzálezen 8.V á ios que continuarán los de aquellos gefes que se han distinguido en esta ¿poca. Se venden en las librerías de Barco, calle dé las Carretas y carrera de S. Gerónimo. EN LA IMPRENTA NACIONAL.</t>
  </si>
  <si>
    <t>…ene una cantinela pues ta en música para forte-piano, distinta de la vulgarizada. Se hallarán en la librería de Perez, calle de las Carretas. Canción al famoso combate dado por el brigadier D. Juan Martin en los cam pos (Je Torrejon el día 2 2 de mayo de 1813: compuesta por D. Francisco Garnier González. Véndese en la librería de González, calle de Atocha, frente á los cinco gremios. Canción patriótica para forte-piano, titulada la derrota de Soult, puesta en…</t>
  </si>
  <si>
    <t>…oza 10 de setiembre., Hemos tenido la dulce satisfacción de ver entrar por entre las venerable* ruinas dé esta capital la hermosa división del segundo exército, á las órde nes del brigadier D. Juan Martin, el Empecinado, y otras dos del tercer exército, al mando de su general en gefe el Excmo. Sr. duque del Parquea Ni. puede darse cosa mejor que estas bizarras tropas, ni es fácil pintar los. diversos sentimientos que su vista ha excitado, en eL ánimo de. estos…</t>
  </si>
  <si>
    <t>…14 de Setiembre. Hemos tenido la dulce satisfacción de ver entrar por medio de las augustas y honrosas ruinas de esta ciudad la bizarra división del segundo exército, que manda el brigadier D. Juan Martin (el Em pecinado ), y otras dos del tercer exército al mando de su general en gefe el Excmo. Sr. duque del Parque. Es imposible expresar el entusiasmo que han manifestado los heroicos y leales habitantes de esta ciudad á vista de unas trepas, en las cuales la…</t>
  </si>
  <si>
    <t>…e año. Se hallará en la librería de Perez, calle de las Carretas, casa de la fonda. En la librería de Corral, calle de lo9 Tintes, se hallará una gran marcha mili* tar, dedicada á D. Juan Martin (el Empecinado) por Nono, obra 211, á 10 rs. para piano, y á 30 para todo instrumental de viento. EN LA IMPRENTA NACIONAL. 7</t>
  </si>
  <si>
    <t>Martin, Juán</t>
  </si>
  <si>
    <t>Juán Martin</t>
  </si>
  <si>
    <t>…a nuestra curiosidad en este punto. El dia 28 del mes anterior hicieron los franceses de Tortosa una salida de~ la-plaza-dirigiéndose hacia' los arrabales , y el brigadier general'D. Juán Martin con los regimientos de Guadalaxara, Sigüenza y Cuenca, cuya fuer za total era inferior á la del enemigo, le arrolló y puso en precipitada fuga, obligándole á encerrarse en la plaza. No puede determinarse la pérdida que en esto tuvieron los franceses , porque…</t>
  </si>
  <si>
    <t>Martines, Cristóbal</t>
  </si>
  <si>
    <t>Cristóbal Martines</t>
  </si>
  <si>
    <t>…nta ; el valiente y activo Doa Julián Campana ; «^comandante y segundó de lasguemlla* dei Real de Lima, teniente D. Juan Vizcarra ; D. Jacinto Risco; y el capi tán de la de Paroro D. Cristóbal Martines; y su alférez D. Alexo Gomsz han llevado el peso de guardias avanzadas diariamente, y su serenidad y valor han proporcionado una marcha cómoda ai exér cito ; á todos los recomiendo á V. S. muy particularmente. ,¿He sido informado de que el comandante de Sinti…</t>
  </si>
  <si>
    <t>Martínez</t>
  </si>
  <si>
    <t>…ños á servir en el hospital de un presidio. Aprobada. Ei Sr. Capaz: que sea de Africa. Aprobada. La comisión de Legislación dio su dictamen en apoyo de la proposición hecha por el Sr. Martínez de la Rosa, en la sesión de 2 del corriente, con motivo de la conducta del R. obispo de Astorga, refugiado á Portugal, y diputado electo á las Cortes por León. Discutióse detenidamente el dicta men , aprobándose en suma: que se comunique por orden al Gobierno…</t>
  </si>
  <si>
    <t>…do el Congreso al oir la relación de sus ilustres hechos; y que asimismo se pregunte al gobierno las disposiciones que toma con los que mas se han distinguido. Asi se acordó. í El Sr. Martínez de la Rosa hizo presente que el verdadero modo de acre ditar la gratitud nacional á nuestros guerreros efa que el Congreso se ocupa se activa y eficazmente en atender á sus necesidades. A este fin propuso que inmediatamente, y con preferencia á todo, se proce…</t>
  </si>
  <si>
    <t>…sin.perjuicio de que puedan ser -desti-, -nados,á icíshospitales.de campaña; prohibiéndose se:.dei* hábitos en este or den hospitalaria, mientras no se verifique.el arreglo.; • El Sr. Martínez&gt;de la Rosar hi¿o la adición de rque se:considerase solda do, pórél mismo hecho, él que :en ibfraccion.de. esta previdencia tomase el hábito; y que fuese’extrañado del reino ei prelado que se lo diese. Apro bóse la primera parte, y ¡no lasegunda.'</t>
  </si>
  <si>
    <t>…se encargue á la Regencia tome las mas pronras y activas medidas para libertar el reino de los salteadores que por todas partes lo inundan. Fue también leída otra proposición del Sr. Martínez de la Rosa, para que el gobierno informe lo que haya adelantado en la división y demarca ción de provincias; como asimismo una del Sr. García Zamora, para que el gobierno remita á las Cortes copia de las órdenes que haya pasado al gefie político de Madrid , y…</t>
  </si>
  <si>
    <t>…e. (Se leyó.) Dígase al Gobierno que asigne el premie de 8® pesos, en el acto mismo, al que descubra los agresores; y si el delator fuese cómplice, se le conceda su indulto.”___El señor Martínez de la Rosa mani festó el vergonzoso quadro que ofrecía esta agresión cobarde; y que en la averiguación de sus reos se descubriría quizá la negra trama, origen y pro fundas raíces de un mal que en prevenirle se afianzaría la seguridad del cuerpo moral de esta…</t>
  </si>
  <si>
    <t>Martínez, Alfonso</t>
  </si>
  <si>
    <t>Alfonso Martínez</t>
  </si>
  <si>
    <t>…xecucion del presente decreto. = Firmado = YO QUARTEL DE AFLIGIDOS. EL REI. = Por S. M., el ministro secretario de Barrio de Legdnitos. Estados Firmado = Mariano Luis de Urquijo.” D. Alfonso Martínez , alcalde. D. Francisco Xavier de Plaza , substituto pri mero.D. Celedonio López , substituto segundo. En el de la Cruz se «recularázzatko. la comedia titulada la Barrio del Rosario. Virtud consiste en medio, y pródigo y rico Avarien D. Nicolás Perez, alcalde…</t>
  </si>
  <si>
    <t>Martínez, Angel</t>
  </si>
  <si>
    <t>Angel Martínez</t>
  </si>
  <si>
    <t>…untarios de Leoa. (&gt;a pitan....,......... D« .Antonio ^ítcolao* ••««»«»•« .Moiuerei. - \ ¡ ' Alféreces de Fra--. D. Joaquín A{güelles*.i«.,V....... ^Marina. gata................ 3 D. Angel Martínez............. ............ Sargento mayor.. D. Vicente María Jaudenes.,......... Benavente. Teniente............. D. Casto La-Rúa.,.......................... Idem. i; Otro.......... D. DomingoX'ago........................... Idem. b ■Subteniente........ D. Ven…</t>
  </si>
  <si>
    <t>Martínez, Bonifacio</t>
  </si>
  <si>
    <t>Bonifacio Martínez</t>
  </si>
  <si>
    <t>…. Felipe Virtus, D. Joaquín Aquerreta, D. Fermín Josué, 1), Martin Ziarriz, D, Francisco Larrodé , D. Matías Alzorr z, D. J uan Ramón Arlegui, D. Bonifacio Jaso, D; Mvouel Sancho, D. Bonifacio Martínez, D. Julián Gofr , D. Justo Taiazona, D. José María Munuce, D. Antonio Longis, D. José Canoras, D Cele Io nio Lerruz, D. Juan Macáya, D, Luis A lamo, D Francisco íturralde, D. Miguel Ube’za , D. Xavier Mariotegni, D Fermín Adrián, D. Francisco Miranda, D. lauc…</t>
  </si>
  <si>
    <t>Martínez, Francisco</t>
  </si>
  <si>
    <t>Francisco Martínez</t>
  </si>
  <si>
    <t>…reto celebro la junta su primera sesión, y en ella quedaron nombrados, presidente el R. obis po de Arequipa: vice-presidente el Sr. D. Manuel Quintana: secre tario en propiedad el Sr. D. Francisco Martínez de la Rosa; y se cretario interino, por ausencia del propietario, el Sr. D. Martin Ugalde. CADIZ; IMPRENTA NACIONAL; 1813.</t>
  </si>
  <si>
    <t>…de aritmética, su profesor D. Jorge Gisbert; en el tercero los de táctica de in fantería , baxo la dirección del teniente D. Luis Perez de Ita; en el quaríá5 los de geometría, su profesor D. Francisco Martínez de la Escalera; en el quinto por la mañana los de álgebra, á cargo del mismo profesor, y por la tarde se exercitaron en el manejo del sable ingles, español y florete. Es inexplicable la serenidad y confianza con que se presentaron á sufrir este examen, que po…</t>
  </si>
  <si>
    <t>Martínez, Hernández</t>
  </si>
  <si>
    <t>Hernández Martínez</t>
  </si>
  <si>
    <t>…evamente, quedando dicho señor fiscal con especial en cargo de velar en que se lleve á efecto dicho decreto y previdencia judicial, reclamando su puntual observancia. El expresado señor Hernández Martínez tiene su posada en la plazuela del Clavel, casa que fue de Aposentos, nu mero seis, quarto principal. Asimismo se hace saber que las autoridades o personas particulares que tengan que dirigir á la junta qualquier expediente, oficio ó representación, lo hagan…</t>
  </si>
  <si>
    <t>Martínez, Joaquín</t>
  </si>
  <si>
    <t>Joaquín Martínez</t>
  </si>
  <si>
    <t>…por 8, 96 D. Jo* sé Quiri&gt;ga,id. por 8. 93. D. J»ian Mnriie&amp;so, id. p:r 4, 48 D Juaa • Rtfymúndae, id por Ü, 96. D. Juan de Sapinos a, id. por 8, 9&amp;¡ D. José Roso, id. por 1, í2. D. Joaquín Martínez, id. por 8 , 96¿ D. Joiá de Herrera, id. por 8, 93 D. Jor&gt;é Ramírez, id. por 2, 24. D José Pinero, id. por 4,48. D. Loresg® Leqnerica,.vd. por 6,72. D. León Mafia Xinaeua, id. por b, 935. D. Manuel Menacho, id. por 6, 72. Di Manuel de los H id. por S, 96. D.'…</t>
  </si>
  <si>
    <t>Martínez, José</t>
  </si>
  <si>
    <t>José Martínez</t>
  </si>
  <si>
    <t>…primero del mñmo nombre. Los contusos son: D. Ruperto Otero, teniente del de R-ivero; D. José María Carrillo, coronel, y D. Francisco Son Julián, capitán del segundo de Asturias; D. José Martínez ,'espitan del primero cántabro; D. Nicolás Doronzoro, teniente ; D. José Arana , subte niente del primero de Guipúzcoa. Les prisioneros son: D. Joaquín González, subteniente del se gundo de Asturias; D. Agustín Ber.itez, teniente del de la Constitu ción,; D.…</t>
  </si>
  <si>
    <t>Martínez, José María</t>
  </si>
  <si>
    <t>José María Martínez</t>
  </si>
  <si>
    <t>…— En Bagres se detuvo el destacamento hasta el 24 con el ñn de reponer la caballería para continuar la marcha. Entre tanto envió una partida á Puerto Colorado al mando del alférez D. José María Martínez , quien habiendo llegado á su destino hizo 21 prisioneros á la gavilla de rebeldes que allí había, les tomó 54 caballos y mulas , y 350 cabezas de ganado menor. — Reunido ya con ios 28 hombres de caballería del mando de D. Juan Manuel Rodríguez, el 24 se puso…</t>
  </si>
  <si>
    <t>Martínez, Josef</t>
  </si>
  <si>
    <t>Josef Martínez</t>
  </si>
  <si>
    <t>…at, D. Juan .Adan, substituto primero. D. Félix Montexo, substituto segundo. D. Miguel Parte-arroyo, alcalde. Barrio del Hospital General. D. F rancisco Oliva, substituto primero. D. Josef Martínez , substituto segundo. D- Siiverio Perez , alcalde. Barrios a. Guardas de K,otps. D. Ignacio fichar, substituto primero. D. Andrés del Peral, substituto segundo. D. Ventura Alcalde , alcalde. Barrio de Santa Isabel. I&gt;. Vicente Rodríguez , substiruto primero.…</t>
  </si>
  <si>
    <t>…mero del mis ino nombre. ! « Los contusos son D. Ruperto Otero, teniente del de Rivero; D. Josef María Carrido, coronel, y D. Francisco S. Julián, capitán del segundo de Asturias; D. Josef Martínez, capitán del primero Cántabro; D. Nicolás Do^ ronzoro, teniente ; D. Josef Arana , subteniente del primero de Guipúzcoa. Los'prisioneros son TX Joaquín González, subteniente del segundo de Asturias; D. Agustín Benitez, tenientet^el de la Constitución; D. Agus…</t>
  </si>
  <si>
    <t>Martínez, Josef Hernández</t>
  </si>
  <si>
    <t>Josef Hernández Martínez</t>
  </si>
  <si>
    <t>miento constitucional de esta villa, poniendo en su noticia haber acordado nuevo nombramiento de fiscal de ella , por dimisión del que obtenía este cargo, en el St. D. Josef Hernández Martínez, abogado del colegio de esta corte, quien en la sesión extraordinaria de 9 del corriente , después de pres tar en manos del señor presidente el juramento que prescribe la Constitución, tomo posesión de su destino. En su consecuencia los editores deberán pasar…</t>
  </si>
  <si>
    <t>…a alcaldes el conde de Morezuma y,D. Nicolás de Garro, marques de las Hormazas: para regido res conde de Sáceda, D. Ramón de Angulo, D. Joséf de Tejada Ruiz, D. Antonio Landaiuce, D. Josef Hernández Martínez , D. Santiago1 de las Rivas, D. Josef de las Barcenas, D Tomas Púertolas; y para procurador síndico general D. Josef Teodoro Santos. La Regencia del reino ha dispuesto que el literato ó inteligente que nece sitare ver alguno de los manuscritos árabes, que con…</t>
  </si>
  <si>
    <t>Martínez, Juan</t>
  </si>
  <si>
    <t>Juan Martínez</t>
  </si>
  <si>
    <t>…o Xavier Toral, espitan de cazadoresí/Q.Bedro Zuluaga, capitán; D. Francisco Moreno y D. Pedro Bonet, tenientes; D. Manuel María Saliquet, ídem del de cazadores; D'. Pedro Solis y D. Juan Martínez, subtenientes de granaderos; D. José Heros, ídem de cazado res ; D. Esteban Islaíoyo, D. José Tejada, D¿ José Caña y D. Francisco Vargas, subteniente del segundo de Asturias; D. José Rico , capitán; y D. Juan de Oüoqui, teniente del de Gaadalaxara; D* Juan Lo…</t>
  </si>
  <si>
    <t>4^2 dro Zuluaga, capitán; D. Francisco Moreno;y IX Pedro Bónet, tenientes;: D. Manuel Mana Saliquet, ídem del de cazadores ; D..Pedro S.olis y D. Juan Martínez, subtenientes de granaderos,; D. Josef Heros» ídem,de ca zadores; D. Esteban Islafoyo, D. Josef Tejada, D. Jdsef Caña y.D. Fran cisco Vargas, subteniente del segundo de Asturias; I&gt;. Josef Rico, capi tán, y D. Juan de Odoqui, teniente del de Guadalaxara; D. J…</t>
  </si>
  <si>
    <t>Martínez, Juan Francisco</t>
  </si>
  <si>
    <t>Juan Francisco Martínez</t>
  </si>
  <si>
    <t>…mento de Chopitea/habiéndose advertido mas tiendas en él que ayer y esta mañana, aunque no se conocia haber* se aumentado el numero de gente. En la casa inmediata al sala* dero de D. Juan Francisco Martínez, distante de la plaza como 5 millas en línea recta, se ha notado hoy otra guardia ó destacamento de 30 á S5 hombres, el que mantiene una centinela sobre la azo tea : toda la gente que se vé es de caballería ó dragones, sin que se advierta paisanage del levant…</t>
  </si>
  <si>
    <t>Martínez, Juan María</t>
  </si>
  <si>
    <t>Juan María Martínez</t>
  </si>
  <si>
    <t>M teniente D. Juan María Martínez. Todas las barracas del cantón y sus inmediaciones se quemaron.— En Sta. Teresa se reunió el alfé rez de■'caballería"D; Andrés Barragan, y el 29 salieron para Codor nices, en cuya tránsito la guardia avanzada mató ó rebeldes que huían , y apresó u , tomándole…</t>
  </si>
  <si>
    <t>Martínez, Julián</t>
  </si>
  <si>
    <t>Julián Martínez</t>
  </si>
  <si>
    <t>…distinguid ó de la. referida academia, ai subteniente D. Antonio Novoa, sargento primero del sexto batallón de zapadores , D. Martin Santoíirniaj ca dete de la referida academia, D. Julián Martínez, sargento primero de zapadores , IX Manuel 'Gallardo;, i). Calixto Rodrigues y D. León Qordo , distinguidos de la expresada academia , á este la sabteneiicia de bandera; y para reemplazar la vacante que resulta de subté*' mente en ei tercer batallón por ei as…</t>
  </si>
  <si>
    <t>…ente incluyo á V. S. nota de los indi viduos que por los respectivos gefes en esta jornada me han sido re comendados : mis ayudantes el capitán D. Pedro de Salas y el subte niente D. Julián Martínez han satisfecho completamente mis deseos en el desempeño de las comisiones que he puesto á su cuidado. Tam bién remito á V. S. noticia de la pérdida de la división en la men cionada jomada, con expresión de los oficiales que han sido muertos ó heridos. = Dios…</t>
  </si>
  <si>
    <t>…gualmente incluyo á V. S. nota deMos individuos que por los respectivos gefes en esta jornada n\e han s^o tecomendadosi mis ayudantes el capitán D. Pedro de Salas y el subteniente D. Julián Martínez han satisfecho completamente mis deseos en el desempeño de las comisiones que he puesto á su cuidado. También re mito a V.S., noticiare, la pérdida de la división en la mencionada jornada^ cqn expresio^ de los. oficiales que han fido.muertos o heridos. =sDios…</t>
  </si>
  <si>
    <t>Martínez, Manuel</t>
  </si>
  <si>
    <t>Manuel Martínez</t>
  </si>
  <si>
    <t>…acido. D. Juan Hermoso Daza, substituto segundo. D. M:guel de Tena, alcalde. . Banjo de S Francisco. D. J uau Ventura Apesteguía, substituto pri D. Josef Carranza , alcalde. mero. D. Manuel Martínez , substituto primero. D. Mariano Yoldi, substituto segundo. D. Antonio González , substituto segundo. Barrio ae Bueña-Vista. D. Cayetano-de Soto, alcalde. CUARTEL DE SAN GERONIMO. D. Gieg&lt;’;¡,&gt; Sánchez, substituto primero. D. Joaquín Giardoni , substituto seg…</t>
  </si>
  <si>
    <t>…to. U. Agustín de Estebe, alcalde. r Barrio del Am«r de Dios. D. Domingo Labraría, substituto primero. D. Pedro de las Muelas, alcalde. D. Bernardo Rodríguez-, substituto segundo. D. Manuel Martínez, substituto primero. Barrio de las Niñas de Monttrri. D. Francisco Monteagudo, substituto segundo. D. Agustín Tavira, alcaide. D. Alfonso Luceño, substituto primero. Barrio de la pinza de S. Juan. D. Ramón Lancha alcalde. D. Domingo Cabezón, substituto segund…</t>
  </si>
  <si>
    <t>Martínez, Miguel</t>
  </si>
  <si>
    <t>Miguel Martínez</t>
  </si>
  <si>
    <t>…alencia en el concurso celebrado cura de Cotes. en el año pasado de 1812, se ha dignado ei REI nombrar para el curato de la parroquial de Almu- AVISO. safes, vacante por muerte de D. Miguel Martínez, Por providencia del Sr. D. Domingo de Jáureguí, á D. Miguel Martí , cura de Sot de Chera. juez de primera instancia, refrendada de D. Jacinto Para el de Alcaali, vacante por fallecimiento Gaona y Locches, escribano del número, en virtud de de D. Tosef Aragon…</t>
  </si>
  <si>
    <t>Martínez, Prudencio</t>
  </si>
  <si>
    <t>Prudencio Martínez</t>
  </si>
  <si>
    <t>….. 1 ..... ..tlJ 12 ...... Contusos..... — * ....... SMSt...í l8 El coronel muerto es el de Benavente. D. Antonio Losada. HERIDOS. Empleos. Nombres.. Cuerpo*. Teniente............ D. Prudencio Martínez............. Voluntarios de Leoa. (&gt;a pitan....,......... D« .Antonio ^ítcolao* ••««»«»•« .Moiuerei. - \ ¡ ' Alféreces de Fra--. D. Joaquín A{güelles*.i«.,V....... ^Marina. gata................ 3 D. Angel Martínez............. ............ Sargento mayor.. D.…</t>
  </si>
  <si>
    <t>Martínez-de-Mollinedó, Gregorio-</t>
  </si>
  <si>
    <t>Gregorio- Martínez-de-Mollinedó</t>
  </si>
  <si>
    <t>…ai fondos en el tesoro D. Claudiu Boutelou, alcalde. : para pagar el sueldo durante un año. D. Lorenzo Rives, substituto primero. - ” Las noticias deThorn eran igualmente satisfac D. Gregorio- Martínez-de-Mollinedó1» substituto torias. Las comunicaciones de esta ciudad con el segundo. cuartel general estaban libres. La plaza estaba bien Barrio de Santiago. armada..La división encargada de su defensa es de D. Ramón Ruiz, alcalde. : 60 hombres , y tenia sus puestos avanza…</t>
  </si>
  <si>
    <t>Martiniere, La</t>
  </si>
  <si>
    <t>La Martiniere</t>
  </si>
  <si>
    <t>…amos por el punto de Irun, sufriendo el destrozo que producía la del enemigo. El general Freyre perdió uno ú dos caballos. Por parte de los enemigos solo se sabe por aho ra que el general La Martiniere quedó gravemente brido: y mu rieron 2 gefes de brigada, 2 coroneles, 5 comandantes, muchos ofi ciales y millares de soldados. Soult había ofrecido á e. tos seis pagas en el memento de entrar en S. Sebastian, y doble ración desde Telosa ¡n adelante. Ninguna co…</t>
  </si>
  <si>
    <t>Martin’, Tomas</t>
  </si>
  <si>
    <t>Tomas Martin’</t>
  </si>
  <si>
    <t>…adas de Cortes que en el dia 6 de setiembre de este, \año han sido Kelegid$&amp;¡por la provfnciq.de Valencia para las próxi mas ordinarias por el orden de su nombramiento. Licenciado D. Tomas Martin’, abogado. =rLicenciado D. Ricardo Perez Ma reo. = D. Antonio Bernabeu, presbítero. = Licenciado D. Joaquín Moliner, abogado. z= Licenciado- P. Antonio"Colomer, abogado. = Sr. D. Bernar do Falcó , presbítero. = Sr. IL iXÍartiniatio- francisco, Pastor. = Licenc…</t>
  </si>
  <si>
    <t>Marwitz</t>
  </si>
  <si>
    <t>…El feld-mariscal conde Steding quería pasar la noche en la cabeza fiel puente, y fue necesaria toda la persuasión de S¿ A. R. para hacerle desistir de esta resolución. El teniente coronel Marwitz, que había sido destacado como partidario para proteger las operaciones del general Tettemborn, entró en Brunswick, «orprehendió las tropas que habia allí , é hizo prisioneros 400 hombres entré oficiales y soldados. ■ ■ - 'J *v; ‘ • ' ‘ ' * ' ';! El capitán r…</t>
  </si>
  <si>
    <t>Marwitz, Von der</t>
  </si>
  <si>
    <t>Von der Marwitz</t>
  </si>
  <si>
    <t>…resistir; pero vien do que era mui numerosa la cabailería prusiana arrojaron á tierra las armas, y se rindieron. El resto del regimiento de milicias de á caballo , mandado por el coronel Von der Marwitz, persiguió á los wóstfalianos y Waldeckenses, á quienes alcanzó en Halchter mas allá de. Wolíénbutel. KIosterlein los mandó formar en quadro; pero eilos no se hallaban con ánimo de obedecer le, y depusieron las armas : viendo esto, metió espuelas al caballo,…</t>
  </si>
  <si>
    <t>Maryschkin</t>
  </si>
  <si>
    <t>…rancesas. También apresó 3 correos con des pachos de importancia, y libertó al general Wihziugerode que lle vaba prisionero el enemigo , como también al mayor general Swetchin, al capitán Maryschkin del regimiento de húsares de Isnm, y á otros que hoy envió á Petera burgo. El almirante TckitckagofF de bía llegar ayer á Minsk. „La exeeucion acertada y feliz de una expedición tan arriesgada, y de tanta utilidad para nosotros, particularmente con respecto á…</t>
  </si>
  <si>
    <t>Mas, Frochot</t>
  </si>
  <si>
    <t>Frochot Mas</t>
  </si>
  <si>
    <t>…iones, Estas'faltas graves han sido las de fin* alma aba después de haber leído todos los documentos .relati tida , po las de un corazón infiel. vos á la conducta observada por el conde Frochot Mas el sentimiento profundo de su gravedad ha ■ inducido á pensar unánimemente á la ^e^ciqti de lo en el dia 23 de octubre ultimo, y oido sucesiva mente las opiniones, fundadas de cada uno de sus Interior que el conde Frochot no dqhc conservar miembros, resume ah…</t>
  </si>
  <si>
    <t>Mas, Juan</t>
  </si>
  <si>
    <t>Juan Mas</t>
  </si>
  <si>
    <t>…Clemente Anaval, Félix Ribera y Rau da 'io Duran; y ios soldados Mateo Targas, Jayme Domenech, Segis mundo Badíá, Esteban Tarrida, Francisco Mateu, Benito Presas, y el distinguido D. Juan Mas: tampoco debo parar en silencio al segando ayudante de estado mayor D. Florencio Cerati; á mi ayu dante de campo el teniente de Zapadores D. Joaquín Guardia, y ai ayudante deí regimiento de cazadores de Cataluña D. Mateo Martí, que siempre estuvieron á mi lad…</t>
  </si>
  <si>
    <t>Masdevall, Josef</t>
  </si>
  <si>
    <t>Josef Masdevall</t>
  </si>
  <si>
    <t>…el año efe 1783 en la ciudad de Lérida, llano de Urgel y otros muchos corregimientos y partidos , con el método feliz, pronto y seguro de curar semejantes enfermedades: por el Dr. D. Josef Masdevall, inspector de epidemias del principado de Catalu ña &amp;c.: tercera edición: un tomo en 8.° Se hallará en el despacho de la imprenta nacional á 6 rs. y medio en rústica. De orden del eminentísimo señor cardenal arzobispo de Toledo se despachará én el almacén de…</t>
  </si>
  <si>
    <t>Massembach</t>
  </si>
  <si>
    <t>…bremente cuanto les pertenezca para con ducirlo á Konisberg, ó al sitio en donde se hallare su cuerpo prin cipal. Por el quinto se pactó que en el caso de poder llegar al teniente general Massembach las órdenes del teniente general D’Yorck, las tropas que se h&amp;llma á las órdenes de aquel serán comprehondidas en el presente tratado. Por el sexto se estipuló que sean también cemprehendidos en es te tratado los prisioneros que hubiere hecho el general Dubit…</t>
  </si>
  <si>
    <t>Massena</t>
  </si>
  <si>
    <t>…en gefe de todos los bávaros. Séptimo. En Francfort. El mariscal Keilorman con el segundo exército de reserva. Octavo. En Italia. El víre! Eugenio, lugarteniente de Bonaparte, el. mariscal Massena y el conde Grenier. Los otros generales comandantes de divisiones ¡en Alemania son los si ■ ' ‘ . ¿i r f ^ guientes: ... ' - ' De caballería: los condes Latour.-Maubourg,Grouchy, Nansiotiteí-VaIence y St. Germain. De infantería: ios condes Laborde, Loison,Boa…</t>
  </si>
  <si>
    <t>…de, comandante en gefe de todos los bávaros. j.Q Francfort. £1 mariscal Kellerman con el segundo exército de reserva. 8.° Italia. El virey Eugenio, lugar-teniente de Bonaparte, el mariscal Massena y el conde Grenier. Los otros generales comandantes de divisiones en Alemania son los siguientes : De caballería: el conde_Latónr-Maubourg.— El conde Grouchy. — El conde Nansouty. — El conde Valence. — El conde S. Germán. De infantería: el conde Labor de. — E…</t>
  </si>
  <si>
    <t>Massenbach</t>
  </si>
  <si>
    <t>…sta no parezca favorable. He cumplido con mi obli gación , y suplico á Y. E. que acepte la protesta del mas profundo respeto , con el cual soy &amp;c. — D’ Yorck.” w 'arta del Uniente general Massenbach al duque de Tárenlo. — ■Por la carta del general D'York habrá visto V. E que no podía menos de adoptar el último partido que he abrazado ; pues las dis posiciones tomadas por Y. E. esta noche me han hecho sospechar que sus intenciones eran, ó de detenerme por…</t>
  </si>
  <si>
    <t>…aución que v . E. hi ella sola excitara la indignación de todo hombre de zo tomar esta noche me hizo so-pechar de que ma honor. so me quería retener por fuerza, ó desarmar mis „E1 general Massenbach, que estaba aquí con tropas. Me ha sido necesario tomar este pa.rk'o pa migo con dos baterías, seis batallonas y seis esqua- ra hacer participar á mis tropas del convenio que</t>
  </si>
  <si>
    <t>…ertenezca al exércitó. Las provisiones y trenes de dichos cuerpos pasarán sin embarazo de Konigsberg para el exércitó prusiano. Si aun pueden ir las órdenes del general D’Yorek al general Massenbach, quedarán comprehendidas en este convenio las tropas que este manda. 6.Q Igualmente serán compreliendidos los prisioneros qüe hicie ren los rusos al mando del general Dubistch en las tropas que man da el general Massenbach. «</t>
  </si>
  <si>
    <t>3.0 Que el general Massenbach, que ha reconocido y aceptado dicha capitulación, sea igualmente suspendido de sus funciones y puesto en juicio. 4.0 Que conforme á la letra del tratado hecho con Francia, las tropas permanezcan á la disposición sola y particular de S. M. el emperador Napoleó…</t>
  </si>
  <si>
    <t>Massenback</t>
  </si>
  <si>
    <t>¿34 Nuni. XIV. Carta del teniente general Massenback al duque de Tárente. Por la carta del general D’York habrá visto V. E. que no po día menos de adoptar ei último partido que he abrazado ; pnes las disposiciones tomadas por V. E. esta noche me han hecho sospechar que sus intenciones eran, ó de detenerme por f…</t>
  </si>
  <si>
    <t>Massenbaeh</t>
  </si>
  <si>
    <t>…enovar su antigua amistad como, compañeros de armas. Las condiciones concedidas á los prusiano» son sumamente ventajosas. En este tratado se incluye también el cuerpo que manda el general Massenbaeh en caso de que puedan, alcanzarle las órdenes, que se le han enviado con tiempo. Las tro pas prusianas que comprehende la capitulación, incluso el cuerpo de Massenbaeh , ascienden ¿ 15000 hombres. Entre tanto el maris cal Macdonald se valió felizmente de la e…</t>
  </si>
  <si>
    <t>Massiltschikow</t>
  </si>
  <si>
    <t>…. También fué co gido por nuestras tropas un convoy de provisiones que estaba ea camino para Dantzick, y becba prisionera una compañía entera que le escoltaba. Dia 29. El ayudante general Massiltschikow se apoderó de Ostrelenka con su cuerpo : el 26 , después que los austríacos se retira ron , se hallaban stia avanzadas á milla y media alemana de aquella ciudad. El teniente general conde Pablen se halla en Welike Sabelie. Dia 30. El cuerpo del teniente gener…</t>
  </si>
  <si>
    <t>Massuchelli</t>
  </si>
  <si>
    <t>…e habían podido es capar, habían sido todos degollados, y unos 18 prisioneros. Por nuestro. parte hubo solo un herido, y no muy grave. 3.a Él dia 2 de Noviembre me avisaron que el general Massuchelli salía de Valencia con 3000 hombres de infantería y 300 ca ballos á perseguirme. Inmediatamente mandé reunir toda la tropa en Vistabella, á esperar si podia lograr alguna ventaja con los movi mientos que ellos luciesen ; pero el 4 supe desde .Montan que había…</t>
  </si>
  <si>
    <t>…á una en Villa-hermosa, y á otra ■en Lucena. Dos compañías "que ios estaban esperando hicieron un vivo fuego , y así los llevaron hasta Segorbe , desde donde expidió una orden el general Massuchelli , cfretiendñ 1000 duros por mi persona y 800 por mi cabeza. (Se continuará.) ARTICULO DE OFICIO. Circular del ministerio de Hacienda. ; Por avisos y pedidos repetidos que dirigen á la Regencia del reyno los intendentes y gefes de la hacienda pública en las pr…</t>
  </si>
  <si>
    <t>Mateo</t>
  </si>
  <si>
    <t>…D. Eugenio de la Peña, catedrático de medicina"del colegio nacio nal do S. Cárlos, individuo de la academia de la Lengua, y ministro de la junta de.Censura de la provincia. 2.0 . D. Mateo ^Norzagaray, abogado de ios tribunales nacionates y del colegio de Madrid. - . - r. ; . : 3.0 D. Pedro González de Tejada, presbítero', catedrático de institución oes canónicas, y rector del colegio de los Manriques de Alcalá de Henares» Suplente. I&gt;. Josef d…</t>
  </si>
  <si>
    <t>Mateos, Ramón López</t>
  </si>
  <si>
    <t>Ramón López Mateos</t>
  </si>
  <si>
    <t>…ores subdelegados interinos de ella á los doctores D. Bartolomé Piñeira y Siles, D. Marcelo Sánchez Reboto y D. Ramón Gcmez, en sus ausencias y enfermedades á D. Hilario Torres, y D. Ramón López Mateos; debiendo presidir el prime ro los exámenes como el.mas antiguo médico de la real familia, y el. texce-r ro de secretario vocal, actuar y certificar los actos de la subdelegacion. Habiéndose instalado, previo el cumplimiento y auxilio del señor Don Joaquín Ga…</t>
  </si>
  <si>
    <t>…s, casa de la fon da u-r Angel , á tres quertcs. ■ F* ___■ n muer.tos sobre la razón de las leyes derivada de las ciencias físicas, ó sea s'or la filosofía de la legislación*, por D. Ramón López Mateos,. médico del co— bg• ¡o de esta capital. Esta obra, mui apreciada por. algunos literatos á cuyas mar n s ha llegado, presenta al hombre como objeto de-la Jei,. y lo analiza y da .á co'nocer por sus verdaderos principios. Fu» ella se controvierten varias mater…</t>
  </si>
  <si>
    <t>Matet</t>
  </si>
  <si>
    <t>…, Consideradas las circunstancias en que se en deo Jaubsrt, Dubois, P,s;let.,dp, La Lo^cre.,. el con contró el conde Frochot el dia 23 de octubre, con de de Segur, cond&lt;^,Ljiumoiu conde Matet, .Pas—</t>
  </si>
  <si>
    <t>Mathieu</t>
  </si>
  <si>
    <t>…l fuerte del Coll de Ba „Suplico á V. E. &amp;c. = Firmados conde Mau laguer, y le encontré en mui buen estado. ricio Mathieu.” „ Luego que el general Bertoletti tuvo noticia Nafa. El general Mathieu hizo entrar en Tar de nuestro arribo próximo, pasó aviso al gobernador ragona , á mas del convoi de que se hace expresión de Tortosa» rogándole aprovechase Ja oportuna en su oficio, unos 100 quintales de trigo, proce ocasíon de nuestra presencia en el campo d…</t>
  </si>
  <si>
    <t>…ento 79.“, para perder to celona, escoltándolo 3*2) hombres, y tomando las do rezelo, y aumentar las fuerzas que había dexado disposiciones convenientes para que estuviese todo al general Mathieu durante mi permanencia en 1^ reunido en dicho lugar el dia 12. Mientras se exe- Cataluña alta. En fin, el convoi entró felizmente cutaban estas órdenes, recibí avisé) de que el ene en Barcelona el dia 1 &gt; por la mañana. migo recogía sus tropas en Caldas y en…</t>
  </si>
  <si>
    <t>Mathieu, Alaurice</t>
  </si>
  <si>
    <t>Alaurice Mathieu</t>
  </si>
  <si>
    <t>…en las baterías una gran parte de la artillería y municiones. ,, Parece que el mariscal Suchet con un cuerpo considerable de tropas ha bia marchado desde Valencia porTortosa, y el general Alaurice Mathieu con otro cuerpo desde las inmendiaciones de Barcelona, con el objeto de em barazar é impedir las operaciones de sir John Murray; lo que consiguieron, no creyéndose este bastante fuerte para continuarlas. Aun no he recibido de parte de sir John Murray la relac…</t>
  </si>
  <si>
    <t>Mathieu, Maunce</t>
  </si>
  <si>
    <t>Maunce Mathieu</t>
  </si>
  <si>
    <t>…ea las haterías una gran parte de ia artillería y municiones. «Parece que ®1 mariscal Sachet con ‘un ci-erpo considerable de tropas había marchado desde Valencia por Toiucsa, y el general Maunce Mathieu con otro cuerpo desde las iamediack nes de Barce lona , con el objeto de embarazar é impedir las opericíouct ele Sir John Murray; lo que consiguieron, no creyéndose este bastante fuerte para continuarlas. Aun no he recibido de parte de Sir John Murray ia rela…</t>
  </si>
  <si>
    <t>Mathieu, Mauricio</t>
  </si>
  <si>
    <t>Mauricio Mathieu</t>
  </si>
  <si>
    <t>…ciales, 290 soldados prisio neros , 12 caxas de guerra, mas de 500 fusiles, y haber quedado re ducido el enemigo á unos 300 hombres, ha sido el resultado de esta feliz acción. »El general Mauricio Mathieu con uncueípo de 6® infantes, 30® caballos, -5 piezas, y los generales Exper y Debaux, pasó á Tarra gona para proteger un convoy. Seguí observándolo con la segunda brigada de la primera división, la primera de la segunda, el batallón del general, y 30 caballos…</t>
  </si>
  <si>
    <t>…respecto al pretendido congreso. El diario de Paris de 2 de julio copia un artículo de Perpiñan de 24 de junio en que se refiere la ba- * falla llamada de Tarragona, en la que el general Mauricio Mathieu rechazó un cuerpo de 13© infantes y 300 caballos ingleses y españoles, causándoles de pérdida 3 6 4© hombres, que entre muertos y heridos dexaron junto á fas murallas de Tarragona, y el resto se embátcó precipitadamente. El mis ino artículo añade que en los d…</t>
  </si>
  <si>
    <t>…iudad, que no las habrán derribado conforme á nuestro decreto del 25 de Febrero de 1812. = Dado en Barcelona, á los 24 de Agosto de 1813. = E1 general de división. = Firmado == El conde Mauricio Mathieu.” Dentro de la ciudad debían demoler el magnífico monasterio de Junqueras de señoras de la orden de Santiago, y formar al pie de I2 muralla por la parte interior eñ todo el rededor de !a plaza una carretera, de tal anchura que puedan pasar dos carros á la par…</t>
  </si>
  <si>
    <t>tól de divísio»-comandante superior do I» Gataluña baxa s Firmado rr eí conde Mauricio Mathieu. = Por copia conforme. = El gefe de batallón &gt; gefe de es tado mayor ,==Godin (i). f{l ¡f H $ ; 4:. ®el **• .......WmEEt'fcxékcif6. —- Estado mayor----- Orden general. Quartel general de Fiera ti de setiembre de í8jj. Daniel, Denia, Dinamarca. El señor,genera…</t>
  </si>
  <si>
    <t>Mathieu.-zzYor, Mauricio</t>
  </si>
  <si>
    <t>Mauricio Mathieu.-zzYor</t>
  </si>
  <si>
    <t>…ac tividad para acabar dichos trabajos ,, que son muy importantes para la defensa de la ciudad. — ül general de división comandante supe rior de la Cataluña baxa. = Firmado zz Ei conde Mauricio Mathieu.-zzYor copia conforme. = El gefe de batallón, gefe de esiado mayor z^Godin. Madrid 2.7 de Setiembre. El viernes de la semana pasa ía se celebró en esta capital el ani versario de la instalación de las Cortes extraordinarias. En la víspera de aquel dia hubo repique g…</t>
  </si>
  <si>
    <t>Matías</t>
  </si>
  <si>
    <t>…o batallón del General á favor de Cevallos, se entregue á ia viuda el correspondiente real despa cho de su difunto marido para los fines que pueda convenirle; y y.°, que á su hijo D. Matías se le destiae en calidad de cadete al establecimiento de la Isla de León, siendo de cuenta del estadp su instrucción y alimentos. De orden de 5. M. lo comunicamos á V. E. para que la Regencia del reyno disponga su cumplimiento; y devolvemos adjunto el expedie…</t>
  </si>
  <si>
    <t>…tado batallón deluGeneraba-favor de Gevallos, se entregue á la viuda el correspondiente real despacho dé su difunto marido parados fines que pueda convenirle; y 3;°, que á su hijo D. Matías se le destiné en calidad de cadete al estableci miento de la Isla de León, siendo de cuenta del estado su instrucción y ali mentos. &lt; ARTICULO DB OFICIÓ. r Circular del ministerio de Hacienda, Por el intendente de la provincia de Sevilla se ha celebrado un co…</t>
  </si>
  <si>
    <t>Matute, Juan Ramón</t>
  </si>
  <si>
    <t>Juan Ramón Matute</t>
  </si>
  <si>
    <t>…de Villa paterna, como alcalde constitucional. Vicario eclesiástico. Visitador eclesiástico. D. Josef Arratia y D. Santiago Gutiérrez de Arintero, como regidores constitucionales. D. Juan Ramón Matute, como procurador síndico general de-dicho ayuntamiento. D. Juan Antonio Salcedo, cura párroco de S. Gines, y D. Juan Josef Barrios, cura párroco de Sta. María, como individuos del cabildo de seño res curas y beneficiados. D. Fermín María de Uria Nafarrondo y…</t>
  </si>
  <si>
    <t>…je de Vilbp^te na, co mo alcalde constitucional; vicario eclesiásrico; vi rador eckT.s.jco; D. Jo?é Arratia y D. Santiago Gutiérrez de Arintero, como r gi 00res constitucionales; D. Juan Ramón Matute, como procurador sín dico general de dicho ayuntamiento; D. Juan Antonio Salcedo, cura párroco de S. Gines , y D. Juan José Barrios , cara pjrrt c'O íis Sta. María, como individuos del cabildo de señores curas y bene ficiados; D. Fermín María de Uria Nafarron…</t>
  </si>
  <si>
    <t>Mau</t>
  </si>
  <si>
    <t>…o ocasión de rnaaife tar su Reus, y con la del general Devaux pasé á Cambrils. actividad ordinaria. „E1 dia 27 me trasladé al fuerte del Coll de Ba „Suplico á V. E. &amp;c. = Firmados conde Mau laguer, y le encontré en mui buen estado. ricio Mathieu.” „ Luego que el general Bertoletti tuvo noticia Nafa. El general Mathieu hizo entrar en Tar de nuestro arribo próximo, pasó aviso al gobernador ragona , á mas del convoi de que se hace expresión de Tort…</t>
  </si>
  <si>
    <t>Maucune, Luís de</t>
  </si>
  <si>
    <t>Luís de Maucune</t>
  </si>
  <si>
    <t>…culos de la capitulación, á cuyos términos la misma plaza y ciudadela serán entregadas en poder de las mencionadas tropas, á saber: El señor general Casan nombra al señor ayudante comandante Luís de Maucune, barón del Imperio, miembro de ia legión de Honor, gefe del esta do mayor; y el señor general D. Carlos de España nombra al seífor briga dier D. Francisco Vives, comandante general del tercer distrito de la línea del bloqueo, al señor coronel D. Ventura Mena…</t>
  </si>
  <si>
    <t>Mauleon, Lorenzo</t>
  </si>
  <si>
    <t>Lorenzo Mauleon</t>
  </si>
  <si>
    <t>…V. E. ran chos años. Aguiiar 23 de Marco de IBIS. — Exorno. Sr.— Francisco Mspox y Mina* — Exorno. Sr. D. Francisco Xavier de Castaños.1* Cuarto. * « * ,,El capitán de caballería D. Lorenzo Mauleon me avisa que habiéndose situado el 21 del corriente á consecuencia de las órde« nes que le tenia comunicadas con el escuadrón de su mando inte rino en los campos de Ofon, y prado que llaman de Sta. Lucía con el intento de llamar la atención á la guarnición de…</t>
  </si>
  <si>
    <t>Mauri</t>
  </si>
  <si>
    <t>…del mariscal de campo barón de Brotes , segundo comandante general de este exército, al Excmo. Sr. D. Euis Eccy, general en gefe. „Excmó. Sr.: El 26 por la tarde entró en Reus el conde Mauri cio Mathieu con los generales Espert, Deban x y Iíartoleti , 5 á 6000 infantes, 200 caballos y 5 piezas de artillería; y el mismo dia se situó el coronel Yiüamil á una hora de dicha villa con una co lumna de 1300 hombres y 100 caballos para hostilizarle en su…</t>
  </si>
  <si>
    <t>…anza de obligarlos á pe lear, y con este designio envié al general Expert al Excelentísimo Señor*. frente de s;ete batallones á ocupar á Villamayor, „ Después de la expedición del general Mauri disponiendo en Liná1 mis demás tropas, para qu* cio Mathieu al campo de Tarragona, de que he te estuviesen prontas si el enemigo aceptaba el com nido la satisfacción de dar cuenta á V. E., andu bate; pero apenas divisó la cabeza de nuestra -colu ve meditando…</t>
  </si>
  <si>
    <t>…Libíer.do ocurrido mudanzas en el consejo de 5. M. pqt el mes de marzo.de 1807, Mr. Percevzi per Varis 6 de marzo. suadió entonces al Rei que restableciese en su pri El ímmo.- Sr. cardenal Mauri con motivo de mer estado á la princesa, y por consiguiente fue la quaresma acaba de publicar u:t mandamiento, admitida de nuevo en.¡a corre S.. A. R. Desde e*-:jt ticlqicair creemos digno de citarse el pas.ige siguien época no habia ocurrido mutación ahúma ro…</t>
  </si>
  <si>
    <t>Maurice-Mathieu</t>
  </si>
  <si>
    <t>…Decaen hirieron siete. Para vengar esta afrenta, y ahuyentar •1 detalle de sus operaciones en Cataluña. El 23 de de las fronteras de Aragón y Valencia la división de noviembre el general Maurice-Mathieu marchó des Viüacampa, atrincherada en Bexis en una posición de Barcelona á Tarragona con una brigada, para mui fuerte, di órdeQ al general Pannatier para que ahuyentar de esta última plaza las tropas de Eró con los regimientos io.° de línea, i." de infantería…</t>
  </si>
  <si>
    <t>Mauricio</t>
  </si>
  <si>
    <t>…vir solamente en las cohortes han pedido que se les adelante el turno, y se les permita Excmo. Sr.: marchar al exército activo en lugar de algunos com «Dirijo á V. E. el parte del general Mauricio pañeros, á quienes han cedido gratuitamente su Mathieu de la expedición que ha hecho al campo puesto. El prefecto y los miembros del consejo han de Tarragona, y que tuve la satisfacción de anun aplaudido su generoso zelo. ciar en mi oficio de 21 de noviembre…</t>
  </si>
  <si>
    <t>…el teniente coronel Congreve; 1). Luis de los Ríos, hermano de nuestro embaxador; el brigadier Dowméjal servicio de Espa ña J ; D. Josef Alonso Ortiz, cónsul general de España, y. D. Mauricio,Ort¡z, secretario interino de la embaxada. (conciso.)</t>
  </si>
  <si>
    <t>Maurojena</t>
  </si>
  <si>
    <t>…idar á las demás naciones y deslumbrar..a los,franceses. El 27 de julio se quemó en Ambéres una gran porción de géneros ingle ses que se habían aprehendido. Dresde 2 8 de judo. El príncipe Maurojena, hospedar de Valaquia, debía llegar á Praga el 18. El diario de dicha ciudad anuncia su llegada, y le da el título de encargado de negocios-de Turquía. . ,. ’ ¿ _■ ( .• '• ■ t • 1 1 . ESPAÑA. Vich § de agosto, Pablo Defaus, de la villa de Tordera , corregimie…</t>
  </si>
  <si>
    <t>Maury</t>
  </si>
  <si>
    <t>…degentes, ciencia sumamente necesaria á toda clase de per sonas. Por D. J. S. Véndense en la librería de Alejandro Rodríguez, calle de las Carretas. Confesión de Bonaparte con el cardenal Maury, por el general Sarrazin. *„ Conversación del general Berthier con el cardenal Maury: ambos tratados traduci dos del francés. Esta obra fue publicada en Londres, y ha merecido la ap robacion general, por cuya razón se cree excusado repetir ahora el elogio que…</t>
  </si>
  <si>
    <t>Maximiliano</t>
  </si>
  <si>
    <t>…as. El general Wrede* comandante en gefe del exército báyai-o, ha mandado adelantar las tropas; de su mando á las fronteras del reino. SS. AA. RR. el príncipe y princesa, el joven príncipe Maximiliano :y$pd$ su .corte han llegado al'castillo dé Nimphemburgo.. El bailigdQry ciudad de SaltEbnrgoy actual residencia(del Príncipe Real , se ha declarado por órdeil del general Wrede en estado de sitio: varios batallones bívaros han marcha do á reforzar á este gen…</t>
  </si>
  <si>
    <t>May, Juan</t>
  </si>
  <si>
    <t>Juan May</t>
  </si>
  <si>
    <t>…es con noti cias falsas para engañar á los incautos. Elogia la conducta del tenien te Orta, del sargento Manuel Rodríguez; á los patriotas D. Rafael Ponce, D. José María Escalona, D. Juan May obre, D. Juan Sán chez , D. José Romero, ©.Antonio Gomqjf y í&gt;, Fernando Azcoitia»( Se continuarán.) Logroño de Julio. Nuestro exército forma una línea impenetrable desde Irun á Ja ca. Mil caballos ingleses que había en esta ciudad salieron el dia 28 con dire…</t>
  </si>
  <si>
    <t>Mayo, Ildefonso</t>
  </si>
  <si>
    <t>Ildefonso Mayo</t>
  </si>
  <si>
    <t>…é Joaquín Ározatena, D. Domingo Chávame, D. Agustín Mora, D. Juan Cruz Larrondo, D. Fran cisco Peralta, D. Manuel Salaberri, D. Dámaso Landa, D. Atanasio Diez, D. Bartolomé Comas, D. Ildefonso Mayo, D» JVLguql Ormachea, D Joaquín Sánchez, D José Migueltorena D Diego Gayarre, D. Fermín San Martin,*O. José Arozarena, D. Angel Esca lada, D. Víctor Pastor, D. Francisco Boira , D. Nicolás Uroz, D. Francisco Sarbide, P. Manuel'Inda, D Juan Ignacio Peña, D Die…</t>
  </si>
  <si>
    <t>Mayo, León</t>
  </si>
  <si>
    <t>León Mayo</t>
  </si>
  <si>
    <t>…ntes á D. An drés Berrueta, D. Mariano Sauz, D. Juan Ignacio Noain, D. Fran cisco Azcarate , D. Martin Antonio Laquidaia , D Santos Ayerra, D. Tomas Ayerra, D Juan Esteban Alemán, D. León Mayo, D. Aniceto Unciti y D. Sebastian íso : á alféreces á D. Nicolás Sada, D. Lucas Munarriz, D. Francisco Ruiz , D. Cristóbal Pereti, D. Mariano Raqpedano, D. Mariano Amorós, D. Manuel Rodrigo, D. Gregorio Lagarda, D. José García, D. Antonio Ortíz, D. An gel Mar…</t>
  </si>
  <si>
    <t>Mayor, Joief Cruz</t>
  </si>
  <si>
    <t>Joief Cruz Mayor</t>
  </si>
  <si>
    <t>…provincia vacante que sirvió últimamente D. Juan Antonio Zamácola. Don Juan González de Salcedo, vecino de Pedro Muñoz, en la Mancha , de sea saber quiénes fueron los herederos de D. Joief Cruz Mayor, caballero comen dador de Bastimentos de Castilla en la orden de Santiago, y oficial agregido á la plaza de Cádiz, para comunicarles noticias que les interesan. Elementos de geometría con notas, por A. M. Legendre , miembro del insti tuto nacional de Francia…</t>
  </si>
  <si>
    <t>Mayor, Manuel Rio</t>
  </si>
  <si>
    <t>Manuel Rio Mayor</t>
  </si>
  <si>
    <t>…nte........ D. Ventura,Lorenzo....................... Idem. . Id. en comisión...^ D. Juan Per£z.. Idem;. Teniente..... D. Manuel Muñiz.í.. 2.0 de Asturias. Capiran................ D. Manuel Rio Mayor....... . Corona (voluntarios.) Teniente.............. D. Luis Leca................. ................. Idem. , V ’ :Qtro.................. I). Manuel Martínez Sajazar......... Idem. , Idem.Subteniente....... I}. Ventura .Nogyeira...... , Idem. , . ,Otro.......…</t>
  </si>
  <si>
    <t>Mazo, Fernando</t>
  </si>
  <si>
    <t>Fernando Mazo</t>
  </si>
  <si>
    <t>…. D. Martin Gubasola, 100. D. Ramón Azcarato, 100. D. Joaquín Lostra, 100. D Juii To nas Senoseain , 100. D. Jom B ufhta Garate, 100. D. Angd Alfar*, 103. D. Antonio Tarancc, 100. D. Fernando Mazo, 100. O. J &gt;aqnlu M^ría Ferror, 100. D Ignacio Sobrado, 100. D. Juan del Valle Ponga, 100. D. J ose Correa, 100. D. Juan Bautista Sarraoa, 103. D. S ¡bidíaa Ugardza, 100. D. Manuel Vállate, 100. D. Juan Gil , 100. D Lo renzo Machiianda, 100. I). Miguel Arneta…</t>
  </si>
  <si>
    <t>Mcerfdd</t>
  </si>
  <si>
    <t>…r'Hñ lado tenían abiertas la comunicaciones con el general Blacher , y por otro debían estos cnerpes enviar destacamen tos sobre sa derecha para facilitar el ataque del cuerpo del general Mcerfdd, y de las divisiones de Bianchi y dé Weissenwolr sobre Zwackau y’Connevvitz, apoderándose del puente del Pleisse en este ültimo punto. Ln caballería del general Nostlitz se formaría sobre su derecha. En caso de retirada debían estos cuerpos hacerla sobre Zeit…</t>
  </si>
  <si>
    <t>Mdlet</t>
  </si>
  <si>
    <t>…rta por el general meblo congregada en la plaza que está delante de ? Mi general está herido » contestó el coman J a, casa consistorial, la qual perspectiva me confir- dante, y él general Mdlet es gefe , 6 uno de leí. anó. la, especie que la esquela acababa de indicarme. gefes del estado mayor. Con esto comencé á leer; _ «Apeándome en mi patio, hallé allí pálidoy y llegando como á la tercera parte de la página pri consternado á Mr. Vilíemsens. fíepi…</t>
  </si>
  <si>
    <t>Mdñt-zsdorf</t>
  </si>
  <si>
    <t>…eramen^i jy¡ ¡perdió' 1$ prisionero^,, dned .piezas de ajrrillería^y tres-es,tañdajtesjt.si.eP4^péJseguido .hasta :Zeíjjz^-; M v • fv El cuérpq'del, gener-al. Thielm^Pj 5*&gt; S. del coronel Mdñt-zsdorf ayudó i perseguirlos, El Príncipe de lá/Cprooa-vjp desfilar ayer por esta , ciudad el tercer cuerpo deí éxército prusiano , ¿ las órdenes del general BuloW ^y hoi todo eí quarto cuerpo, mandado por el general conde Tauenzien. S. A. R. volvió i ver con-placer…</t>
  </si>
  <si>
    <t>Me</t>
  </si>
  <si>
    <t>…fecha de 13 del corriente lo que sigue: „Suchet ha marchado anteayer tarde de Tortosa con todo su exército camino de Lé rida , y solo ha dexado en aquella plaza 2® hombres.-__ P. D. Me acaban de noticiar que Suchet ha retrocedido desde Batea á Mora con 6© hombres,' y ha puesto tres barcas para pasar á esta parte del rio: no será extraño que ya no pueda verificarlo.” (El Patriota Amónense.) Cádiz 24 de julio. Parece estarse preparando tres e…</t>
  </si>
  <si>
    <t>…tuvieron orden de retirarse, lo ejecutaron con la mayor regularidad posible y con poca pérdida, sostenidas por un batallón del regimiento 14 portugués, á las órdenes del teniente coronel Me. Donald; de cuya conducta y de la firmeza de su regimiento, el ma yor general se expresa en los términos mas honoríficos. «Habiendo sido también atacada por una fuerza superior la bri gada del coronel Ashworth, esperó con mucha firmeza y rechazó al enemigo á…</t>
  </si>
  <si>
    <t>…to portugués. El mayor general Spry elogia al teniente coronel.Heiii, que manda Ios- cazador es , y al ma yor C. Stewart Cajnpbclí, que manda el tercer regimiento en au sencia del coronel Me. Raí, y al mayor Fitz Gerald, y a sú ayu dante de campo él capitán Brachenburg del 61. El mayor-general Hay habla con gran elógio dé los servicios del coronel el honorable Carlos Grewille del 38 de infantería en el mando de la segunda bri gada, y dé la distin…</t>
  </si>
  <si>
    <t>Me, Pedro</t>
  </si>
  <si>
    <t>Pedro Me</t>
  </si>
  <si>
    <t>…la misma noche á colocarse al pie de Ordalj y yo, mientras descansaban las demas tropas, me acerqué con la vanguardia hasta media legua de Villafranca. De allí envié al te* Diente coronel D. Pedro Me lina con las compañías de granaderos y cazadores del batallón de Tarragona, 40 coraceros y 20 húsares, para que dispersase las avanzadas, y entrase á degüello por la villa. Mis órdenes fueron cumplidas tan puntualmente, que á no ser por uno de aquellos accide…</t>
  </si>
  <si>
    <t>Meaíizabal, Gabriel de</t>
  </si>
  <si>
    <t>Gabriel de Meaíizabal</t>
  </si>
  <si>
    <t>156</t>
  </si>
  <si>
    <t>…, partí p¿ra Barbasíro y Bsnavarre, en donde existo. Lo que tras lado á V". E. para su inteligencia. Dios &amp;c. Benayarre y Noviembre SO de 1812. — Francisco Espoz y Mina. — Exento. Sr. D. Gabriel de Meaíizabal.” (Se canimnará.) Valladolid 4 de Enero de 1813. 'Hoy 11 r garán á Torrelebatou las guarniciones de Fenavente ? la Bañ ,-za , A otorga , León y otras de Campos, que seguirán ú Reylla. Las fuerzas deí exército enemigo de Portugal constan, de -30660 in fundes y…</t>
  </si>
  <si>
    <t>Mecoialde, Manuel</t>
  </si>
  <si>
    <t>Manuel Mecoialde</t>
  </si>
  <si>
    <t>…en mi poder 3 prisioneros con 6 caballos; maestra pérdida ha consistí ío ea ua caballo muerto, ©tro prisionero, 3 hom bres heridos y 4 caballos., entre estos los de los alféreces D. Manuel Mecoialde y D. Saveriao Galludo.. No dudo qae los enemigos han llevado bastantes heridos, y puedo asegurar que vi en este estado á un oficial de cazadores. Los enemigos se han retirado á Puente, y par te de la división ha salido para Pamplona; pero al llegar al portillo ha debido detenerse…</t>
  </si>
  <si>
    <t>Mecolalde, Manuel</t>
  </si>
  <si>
    <t>Manuel Mecolalde</t>
  </si>
  <si>
    <t>…Lo renzo Mauleon, D. José Clemente, D. Pedro Francés, D. León Iriarte, D. Pedro Viilarroya, D Domingo Josué y D. Diego Cebadua; á ayudantes á D. Francisco Moñones , D. León Amedo, D. Manuel Mecolalde y D. Atanasio Mendivil: á tenientes á D. An drés Berrueta, D. Mariano Sauz, D. Juan Ignacio Noain, D. Fran cisco Azcarate , D. Martin Antonio Laquidaia , D Santos Ayerra, D. Tomas Ayerra, D Juan Esteban Alemán, D. León Mayo, D. Aniceto Unciti y D. Sebastian íso : á alféreces á D. N…</t>
  </si>
  <si>
    <t>Medica, José</t>
  </si>
  <si>
    <t>José Medica</t>
  </si>
  <si>
    <t>…pez, 3 Ídem. D. Félix Válega y sus dos compañeros, 3 id. D. A:\tonio Ortiz de Taiamo, 3 id. O. José Francisco Miranda, 2 id. D. Jo^é Ig nacio 'PvJacios, 2 id. D Gaspar Rico. 2 id. D. José Medica, 2 id. D. Juan ILmisía de Esrrea, 2 id. D. Juan Gil, 2 id. D. Juan Anto nio d&amp;rriva, I id. i). Juan Hernández, i id. D. Antonio iiodrigsez Hernández, 1 id. D. Mateo Anta, Lid D. M;guel de Arto i a, 1 id. D. Fulgencio Antonio Zabala, 1 id. D. Francisco Antonio…</t>
  </si>
  <si>
    <t>Médicis, Julio de</t>
  </si>
  <si>
    <t>Julio de Médicis</t>
  </si>
  <si>
    <t>79</t>
  </si>
  <si>
    <t>…osquedad.” «era rica en manuscritos griegos y latinos, los qua- ,, Después del corto pontificado de Adriano vr, «Íes en parte habia heredado ae su padre , y en se ciñó la tiara el cardenal Julio de Médicis baxo «parte comprado de los religiosos de S Míreos, el nombre de Clemente vn. Quanto fue León x «mirecia que solamente se habia formado para el magnífico en sus gustos, tanto tuvo de reservado „ uso v las investigaciones de los sabios y literatos: y avaro Cle…</t>
  </si>
  <si>
    <t>Medina, Francisco</t>
  </si>
  <si>
    <t>Francisco Medina</t>
  </si>
  <si>
    <t>m drall, 2 id. D. Faustino del Campo, 2 id. D. Juan Llano y Cam pos, i id. D. Manuel Antonio del Portillo, 6 id. D. Santiago Rodrí guez, 2 id. D. Francisco Medina, 1 id. D. Martin de Almerza, 5 id. D. José de Aristnendi, 10 id. D. Gerónimo de Urriza, L id. D. To mas Gallegos, 6 id. IL Agustín Caldas, 1 id. D. Blas Camino, 1 id. D. Domingo Urquijo, 1 id. D. Francisco Falconi, I id. D. Francis co de Sagastaveitía„ id. D…</t>
  </si>
  <si>
    <t>Medina, Tuan Antonio</t>
  </si>
  <si>
    <t>Tuan Antonio Medina</t>
  </si>
  <si>
    <t>…uto pri D. loscf Costa , alcalde. mero. D. Joset Rivero, substituto primero. D. Manuel Navarro, substituto segundo. D. ju! ¡an Burccnilla, substituto segundo. Barrio de S. Andrés. D. Tuan Antonio Medina, alcalde. CUARTEL DE MARAVILLAS. D. F vancisco Mata, substituto primero. Barríc de S. Basilio. D. Antonio Poma redo, substituto segundo. D. Francisco P.uiíio, alcalde. Barrio d’ tas Vistillas. D. Ansí res Ortiz , su'vriiuto primero. D. Pedro Lu is Nápolt, alc…</t>
  </si>
  <si>
    <t>Medrano, Santiago</t>
  </si>
  <si>
    <t>Santiago Medrano</t>
  </si>
  <si>
    <t>…erno y 17 cabos y soldados: contusos un sargento y un soldado. Notas. Primera. Los señores oficíales heridos son el capitán gra duado de teniente coronel D. Vicente de Irañeta; el teniente Don Santiago Medrano, y el subteniente D. José Miguel, del regimiento de Baza; el capitán D. Joaquín Manresa, y él teniente D. José An tonio de Miguel, de Leales Manresanos ; el subalterno contuso lo es «1 subteniente del regimiento de Baza D. Juan del Castillo. Seguida. Ei único…</t>
  </si>
  <si>
    <t>Meerfeidt</t>
  </si>
  <si>
    <t>…oncluye remiden* do la siguiente relación de los ataques de estas líneas.) Francfort jo de Noviembre. Miiord: tengo la honra de partid*» paros que ti cuerpo del conde Giulay, y el general Meerfeidt con la -reserva austríaca de CabsLería. se movieron para desalojar al ene migo de Ilochheiín, cuya ciudad y posición estaban fortificando. E1 cuerpo del generai Meerfeidt, al mando del príncipe Luis Lichtenstein, se dirigid para Donnermiihl entre Hochst ‘y Cs…</t>
  </si>
  <si>
    <t>Meerfeld, Colloredo y</t>
  </si>
  <si>
    <t>Colloredo y Meerfeld</t>
  </si>
  <si>
    <t>…antino se halló en la vanguardia durante la acción, y en medio de una continua nube de balas. El general conde Wittgenstein , el duque de Wittemberg, lo &gt; generales de arti llería conde Colloredo y Meerfeld, el general Ziethen , el teniente feld-mariscal Lichtenstein, Lopstc, Czorich, el mayor LuE Geypert y el capitán Do¿ry, han tenido una particular ocasión de distingairse. Los tres exércitos aliadoi pelearon nuevamente en este día tan fraternalmente unidos com…</t>
  </si>
  <si>
    <t>Meerveidt</t>
  </si>
  <si>
    <t>…iones aliadas, dando asi gran honor á las armas de S. M. Sigue la relación. - Francfort 10 de noviembre, Milord: tengo el honor de participaros que el cuerpo del conde Giulay y el general Meerveidt con la reserva austríaca de caballería se han movido para desalojar al enemigo de Hockheim, cuya ciudad y posición estaba fortificando. El conde Giulay marchó á la calzada de Hockst. El cuerpo dehgeneral Meerveidt, mandado por el Príncipe Luis LiOhtenstein, s…</t>
  </si>
  <si>
    <t>Mehoras</t>
  </si>
  <si>
    <t>…l. brigada Devaux. El día 24 á la una de la mañana „ En la Palma encontramos á la coluna que ha se puso en camino toda la división, y en nueve bía salido de Barcelona al mando del coronel Mehoras llegamos á Villafranca. El 2 i i las dos de la der, y ayer por la tarde volví á entrar en esta pla mañana volvimos á tomar el camino, y después de za con la brigada Devaux, después de haber dexahaber hecho en el Vendrell un alto de quatro ho do ea S. Feiix ¿…</t>
  </si>
  <si>
    <t>Meijet</t>
  </si>
  <si>
    <t>…n que se excusó: D. Hooft, ausente : .G. Saiude : A. Mendes de León: J. A. Wiiliflh: J. J. Teysset que se excusó: W. F. Mogge Muilman que se excusó: J. J. May ; P. A. Brugmans: J. D. Meijet: O. W. J. Berg</t>
  </si>
  <si>
    <t>Meildizabal</t>
  </si>
  <si>
    <t>…este pueblo y Tolosa , cubriendo el cami.no de Pamplona, el cuerpo español del co-.ronel Loriga marchó por Alz hácia Lizarza para envolver su iz quierda, mientras qus el teniente general Meildizabal, á petición 1111a, despachaba algunos batallones desde Azpeytia para envolver su de recha, apoyada en una elevada montaña con ún reducto inaccesible. »Ki enemigo fue arrojado de la cima de una altura importante, situada cutre los caminos de Pamplona y Vitoria…</t>
  </si>
  <si>
    <t>Meiviíle</t>
  </si>
  <si>
    <t>…tocó en nada á'su comercio. Quando la renovación Para refutar esta opinión Mr. Quin leyó el ex del privilegio en 1793 se concedió, á instancia de tracto de una carta del difunto, lord Meiviíle, eo diversos negociantes, una cláusula que los autoriza ue declara que es menester conservar la totalidad ba á una importación de 3© toneladas. La com el patronato de la compañía, y que este principio pañía podía contentarse con esto, y sin embargo no puede d…</t>
  </si>
  <si>
    <t>Meiville</t>
  </si>
  <si>
    <t>…es una pura teo después que los habia inquietado en su tránsito, se ría que no descansa en hechos. Se ha invocado la decidió á implorar la clemencia de Augusto, y ob autoridad de lord Meiville tocante al monopolio de tuvo de su generosidad él. perdón, y que le nom la carta. Yo invocaré Cambien el testimonio de otro brase prefecto de sus antiguos estados. Con ánimo célebre estadista, Mr. Fox, quien declaraba que si pues de consagrar y perpetuar su r…</t>
  </si>
  <si>
    <t>Mel</t>
  </si>
  <si>
    <t>…Frías. Dios guardé á V. E. muchos años. Quincoces 17 de Junio de 1813. Exentó. Sr. =s José Q-Lantlor. — Excmo. Sr. D. Juan O-Donojñ." En consideración á los servicios y mérito det brigadier D. Mel chor Ayinerich , gobernador de la provincia de Cuenca en ultramar, y del coronel D. Juan Saman©, y al particular que han contraído en el exército de Quito al mando del teniente general D. Toribio de Montes; se ha servido la Regencia del reyno promover al prim…</t>
  </si>
  <si>
    <t>Mel-’</t>
  </si>
  <si>
    <t>prisioneros. El general Orourk marchó'á Zerbig, y el teniente coronel Mel-’ nikow á Landsberg. Este y el teniente coronel Chrampowitsky tuvieron un1 bizarro encuentro entre Landsberg y Delitsch. El general francés Foutnief había salido de Leipsick con una división de caballería y quatró; piezas para oponérseles. El enemigo, á pesar d…</t>
  </si>
  <si>
    <t>Melchor</t>
  </si>
  <si>
    <t>…quedar á salvo , Lombas supo contener á aquella, escarmentarla, y conservar su presa hasta apoyarla al segundo batallón de voluntarios de Ara gón á las órdenes de su comandante el coronel D. Melchor de la Concha: retrocedió el enemigo, á pesar de que con algunos destaca mentos de cazadores se le procuró atraer á nuestra posición. ,,Todo lo que pongo en noticia de V, E., á quien recomiendo efi cazmente el mérito que ha contraído en este dia el capitán D.…</t>
  </si>
  <si>
    <t>…id. D. Miguel Aljovin, 1 id. D. Ignacio González, 1 id. D. José Ri bera, 1 id.. D. Francisco Gavidia, 1 id. D. Juan Bautista y D. Mi guel de la V ña, 1 id.- DJ usé Aibarado, 1 id. D. Melchor í&amp;chaustegnl, 1 id. D. Francisco Montes, I id. D. Sebastian Compare!, 1 id. D. A i tordo D: ñho, 1 i i. D. Francisco Ambrosi, 1 id¿ La archicofradíade Ntra, Sra. del Rosario, 10 id. D. Gregorio Lamas, 12 id. Son 379 hambres á razón de 192 ps. fs. al año por c…</t>
  </si>
  <si>
    <t>Melehor</t>
  </si>
  <si>
    <t>…on, ar- ' zóbispado de Búrgos, hijo legítimo de D. Santiago y Doña Antonia Serrano Ayala, difuntos, que lo fueron de !a misma, y á ios que han salido mostrándose partís D. Julián, D. Melehor, D. Juan Francisco y Doña Manuela de Aparicio, her manos, como sobrinos carnales del citado D. Antonio Zaldua; por lo que se cita, llama y emplaza á todas y qualesquiera otras personas que puedan tener derecho i sus bienes, á fin de que en el término de 20'di…</t>
  </si>
  <si>
    <t>Melendez, José</t>
  </si>
  <si>
    <t>José Melendez</t>
  </si>
  <si>
    <t>…............. 1........ 5......... 150 Prisioneros....................... ......... 5........ 66 Totales................ 9....... 92....... 1724...... 6. Los oficiales muertos son D. José Melendez, D. Juan José Vidal y D. Benigno Hernández , capitán , teniente de cazadores, y teniente del regimiento de infantería segundo de Asturias ; D. Mariano Torija, capitán del de la Constitución; D Manuel Pardo, subteniente del de la Corona; D . Fernando Miranda,…</t>
  </si>
  <si>
    <t>Melendez, Josef</t>
  </si>
  <si>
    <t>Josef Melendez</t>
  </si>
  <si>
    <t>…e los detalles de la rendición de la ¡plaza de S. Sebastian y de la victoria del gt de agosto. (1) - ' ; \ Resumen de la pérdida, de los oficiales &amp; c. . Los oficiales muertos son D. Josef Melendez, D. Juan Josef Vidal y D. Benigno Hernández, cápitan, teniente de cazadores, y teniente del re gimiento de infantería segundo de Asturias; D. Mariano Tprija, capitart del de la Constitución; D. Manuel Pardo, subteniente del de la Corona? D. femando Miranda ,…</t>
  </si>
  <si>
    <t>Melerewsky</t>
  </si>
  <si>
    <t>…ier en el regimiento de lanceros de la guardia imperial no austríaco en mantener constantemente las que que está á sus órdenes. había dado, permaneciendo inflexible en sus prin El coronel Melerewsky convida igualmente á los jóvenes á alistarse en la legión del Vístula. Es cipios, á pesar de las muchas solicitudes que se le han hecho para que se moderasen los reglamentos tas pro Jamas tienen el mejor efecto, y los jóvenes de entradas y quarentenas en la G…</t>
  </si>
  <si>
    <t>Melero, Francisco</t>
  </si>
  <si>
    <t>Francisco Melero</t>
  </si>
  <si>
    <t>…promover á subtenientes de dicho cuerpo de ingenieros de los exércitos nacionales, plazas y fronteras ,á f), Joa quín Junoy , D. José Otero , D. Benito Canales , D. Tomas Cortés, D. Francisco Melero, D. Tomas Bao darán, D. Epifanio Esteban, D. Temas Terreiro, D. Manuel Ubiña, D. Juan Jaldon , D. Alexandro Buitrón , D. Gabriel Lobo , D. Femando Castro, D. Juan Areliano y D. Antonio Matamoros. También han sido examinados por la referida brigada, y promovid…</t>
  </si>
  <si>
    <t>Melgares, Manuel María de Travesedoy</t>
  </si>
  <si>
    <t>Manuel María de Travesedoy Melgares</t>
  </si>
  <si>
    <t>…culéis: L. de Borbon, cardenal, de Scala , arzobispo de Tpledo , presidente. 3: Pedro.de Agar. = Ga briel Ciscar. =EV Cádiz á 24 de setiembre de 1813.= A D* Manuel López Araujo. : Don Manuel María de Travesedoy Melgares, de edntf de 32 años, natura í de Madrid, y oficial de la renovación de vales reales, salió de Cuenca en 25 de di ciembre de 1869, desde cuyo tiempo no se ha sabido de su paradero, pop mas di ligencias que por todas partes se han practicado; y si alguno supie…</t>
  </si>
  <si>
    <t>Mella, Juan</t>
  </si>
  <si>
    <t>Juan Mella</t>
  </si>
  <si>
    <t>…ia, 1 id. D. Juan Antonio Aramburu, 1 id. D. José Francisco de Isasi, 1 id. D. Ramón Eurivano, 1 id. D. Ramón de Azcarate, 1 id. D. Fran cisco Abasólo, l id. D. Juan Panero, 1 id. D. Juan Mella, 1 id. D. Miguel Jáuregui, 1 id. D. Rosendo Gao, 1 id. D- Antonio Her rero, 1 id. D. Vicente López y U. Manuel del Valle, 1 id. D. To mas de la Casa y Piedra, 6 id. D. Martin de Guisasola, 6 id. D. Jo sé Matías de Elizalde, 2 id. D. Antonio Saenz de Tejada, 2…</t>
  </si>
  <si>
    <t>Mellado, Manuel Miguel</t>
  </si>
  <si>
    <t>Manuel Miguel Mellado</t>
  </si>
  <si>
    <t>…oda la tropa en general se ha conducido con la brillantez y vídor que caracteriza el primer exército nacional. No me «0, per mitido pasar al olvido el celo del comisario de guerra D. Manuel Miguel Mellado, quien con sus activas providencias proporciono á la tropa, cansada y fatigada, todos los auxilios susceptibles en tales ciiCunstancías. «El pueblo de S. Fedu ha manifestado sn gratitud, reuniéndose los principales , y dando nn refresco á la tropa vencedora,…</t>
  </si>
  <si>
    <t>MelnikoíF</t>
  </si>
  <si>
    <t>…cación con la guardia avanzarla del ge neral Blucher , y persiguiendo al en :m:go entre Orani nbau n y Golp, hizo 38 prisioneros. El general O’Rourk marchó á Ze.big, y el teniente coronel MelnikoíF á Landsberg. Este, y el teniente coro nel Chranpowitsky» tuvieron ayer un encuentro bizarro entre L ;ndsberg y Delitsch. Ei general francés Foarnier había sal.d^ de Leip sick con una división de caballería y 4 pi.zas de arti.Iería para oponérseles. A pesar de…</t>
  </si>
  <si>
    <t>Melón, Juan Antonio</t>
  </si>
  <si>
    <t>Juan Antonio Melón</t>
  </si>
  <si>
    <t>…egrete, titulado duque de Cotadilla, marques de Branciforte, D, Manuel de Acuña, marques de Escalona, á virtud de posesión que nulamente le dio el go bierno intruso, D. Jorge Reí, D. Juan Antonio Melón, D. Manuel Narganes de Posada y 0. Juan Antonio Zamácola, fugados con el gobierno intruso, para que en d término de ¿o días, contados desde 20 del presente mes, que por único y pe rentorio se les séllala, comparezcan por sí ó por procuradores con los correspo…</t>
  </si>
  <si>
    <t>Melvi-</t>
  </si>
  <si>
    <t>…ester dexar al cuidado del consejo el escoger cesarios para impedir las especulaciones irregulares. entre Mr. Fox, Mr. Pitt, lord North y lord MelAquí Mr. Quin leyó una car,ra del lord Melvi- ville por una pane, y los hombres que hoi com ile á los directores, en la qual este señor ha mani ponen el ministerio. festado su opinión, reducida á que el monopolio de Mr. Quin terminó su discurso con la mocion de la compañía era necesario á la conservación…</t>
  </si>
  <si>
    <t>MelviHe</t>
  </si>
  <si>
    <t>…astlereagh para su secretaría, adonde habia convocado un consejo de gabinete, que duró hasta las quatro. Acabado el consejo estuvieron S. A. S. y los diputados con lord Rathurst y lord MelviHe en el almirantazgo, y se' dieron las órdenes para la marcha de S. A. S. á Holanda. Ayer por la noche se dio orden para que 2® hombres de guardias acom pañasen á S. S. como guardia de honor. Se sabe que en el consejo se de terminó auxiliar á S. A. S. y á su pu…</t>
  </si>
  <si>
    <t>Melviile</t>
  </si>
  <si>
    <t>…de Suecia estaba el i.° de noviembre en Cassel, y sé esperaba que entrase en Urrech el 19 &lt;5 20. \ * v Del 22. . . Ayer y después de haberse presentado los diputados holandeses á lord Melviile, pasaron á casa del Príncipe de Orangé, ;que sin detención les acom pañó á la del vizconde Castlereagh. S. A. S. y el vizconde salieron á las ir y media á dar esta fausta noticia á A. R. el Príncipe Regente, que los recibió con el mayor agrado. Estuvieron en…</t>
  </si>
  <si>
    <t>MelviJle</t>
  </si>
  <si>
    <t>…marques de Wellesley, los condes «La ópera seria debe estar toda en verso y cu de Liverpool y de Rathurst, lord Grenville y el dos ó tres actos, con tal que en este último caso la vizconde MelviJle. Se adoptó la proposición del dis obra no sea mas larga que la mas corta de las ópe curso de gracias. ras de Aletastasio, di exceda del tiempo que suelen «Jurar en nuestros teatros semejantes representacio CAMARA DE LOS COMUNES. nes. El premio es una medalla…</t>
  </si>
  <si>
    <t>Melville</t>
  </si>
  <si>
    <t>…us- recieron la atención de V. A. R., á consecuencia hire; el conde de Bathurst, el conde-de Liverpool, -del aviso de lord Thuriow, quien creyó correspon el conde de Miilglave, el vizconde Melville, el diente á su carácter de hombre público dar cuenta vizconde Sidmonrh , vi"vizconde Castlereauji, el de todo á S. M ; y habiéndose dignado V. A. R. mui hoñrado obispo-de Londres, el mui -'honrado de mandarnos declarar si:en fuerza de todas las cirlord Ellen…</t>
  </si>
  <si>
    <t>…Walpole á S. Petersburgo es recibir las proposiciones de paz de la América por la mediación de la Rusia. El príncipe d’Orange tuvo una larga conferencia en el almirantazgo coa el lord Melville. Se dice que el lord Burguersh marchará mui pronto al continente á desempeñar una comisión de nuestro gobierno. Se embarcan para España 800 hombres sacados de los tres regimientos de guardias dé infantería. Del jo. Han salido de Limerick 40® barriles de cebad…</t>
  </si>
  <si>
    <t>Mén</t>
  </si>
  <si>
    <t>…después de una resistencia de y horas, la que precisó á echar ma no déla bayonems; mató dentro'de las calles rebeldes, entre ellos los asesinos Felipe Zavala , nombrado coronel, y capitán Mén dez, obligó á muchos de los fugitivos á arrojarse al rio&gt; en donde se</t>
  </si>
  <si>
    <t>Men, Agustín</t>
  </si>
  <si>
    <t>Agustín Men</t>
  </si>
  <si>
    <t>…ncluyen las promociones hechas por la Regencia del rey no en la di visión que manda el mariscal de campo D. Francisco Éspox y Mina. A tenientes de fusileros á D. Francisco Retana, D. Agustín Men* dioroz, D. Juan Francisco Guelbenzu , D. Joaquín Diez, D. Do mingo Zaídna, D. José Buesa, D. Antonio Gastón, D. Tomas Otochoreua , D. Antonio Alvarez , D. Manuel Sesé , D Martin Martínez, D. Antonio Laso y D. José Moriones: á subtenientes de granade ros y ca…</t>
  </si>
  <si>
    <t>Mena, Ignacio</t>
  </si>
  <si>
    <t>Ignacio Mena</t>
  </si>
  <si>
    <t>…cha , llevando de des cubierta la compañía de dragonea de salineros de Tari ja, la guerri lla de Abancay, y 25 hombres montados del real de Lima á las ordeces del capitán graduado D. Ignacio Mena s las tropas seguían, situado yo á la ce.bez i en el óid&amp;a gruiente : 3 cañones' volantes á los ordenes del terdente D Miguel Hinojosa, el reai de Lima, Pa« ruro, Abancay y Cotabambas, menos las compañías de granaderos que formaban con los húsares de Tinta y…</t>
  </si>
  <si>
    <t>Mena, Ventura</t>
  </si>
  <si>
    <t>Ventura Mena</t>
  </si>
  <si>
    <t>…del esta do mayor; y el señor general D. Carlos de España nombra al seífor briga dier D. Francisco Vives, comandante general del tercer distrito de la línea del bloqueo, al señor coronel D. Ventura Mena , gefe del estado mayor de la segunda división del quarto exército español, y al señor coronel del real cuerpo de ingenieros del servicio de S. M. Británica Golfinch. Estos oficiales, habiéndose reunido entre los puestos avanzados de la plaza y los de la líne…</t>
  </si>
  <si>
    <t>Mena, Ventura de</t>
  </si>
  <si>
    <t>Ventura de Mena</t>
  </si>
  <si>
    <t>…señor"briga dier D. Francisco Dionisio Vives, comandante general del tercer dis trito de la línea d 1 bloqueo, al coronel de ingenieros Gol: jineh , al servicio de S. M. B., y al coronel D. Ventura de Mena , gefe del</t>
  </si>
  <si>
    <t>Menacho, Manuel</t>
  </si>
  <si>
    <t>Manuel Menacho</t>
  </si>
  <si>
    <t>…8 , 96¿ D. Joiá de Herrera, id. por 8, 93 D. Jor&gt;é Ramírez, id. por 2, 24. D José Pinero, id. por 4,48. D. Loresg® Leqnerica,.vd. por 6,72. D. León Mafia Xinaeua, id. por b, 935. D. Manuel Menacho, id. por 6, 72. Di Manuel de los H id. por S, 96. D.'Mariano Car ranza , id. por 8,96. D. Nicolás Git.ierres, id. p; r 8, 96*. D. Juan Santos Fiáríaní, i i. por 4, 48. ü. Aa'ouío Mora, id. por 4, 48. D. Faustino López, id. por 12, 144 D. Francisco Al Tares Ca…</t>
  </si>
  <si>
    <t>Mendez, Jaime</t>
  </si>
  <si>
    <t>Jaime Mendez</t>
  </si>
  <si>
    <t>…arías de la misma clase.. 1052 26 Por la de una porción de trapo inútil. 1 20; Por la Je dos muías que dió de li Mandas de testamentos. mosna un bienhechor por medio de Por una de D. Jaime Mendez........... 1800 Amonio Alonso.................................. iSco Por otra de Doña JosefaMoreno...... 24 Réditos. Por otra de D. Juan Ignacio de Gar- Por los de una escritura de imposi doqui .................................................... 5° ción en l…</t>
  </si>
  <si>
    <t>Mendez, Manuel</t>
  </si>
  <si>
    <t>Manuel Mendez</t>
  </si>
  <si>
    <t>…s; D. Francisco Solimi, D. Marcelo Ortiz y D. Francisco Salvador , subtenientes del primero cántabro; D. Silvestre Hidalgo, teniente coronel; D. Bernardo Alvarez, D. José Tai la y D. Manuel Mendez, capitanes; D. Vicente Noriega,D. Francisco Xavier Alva rez y D. Francisco Fresno , tenientes ; D. Sebastian Sánchez, Don Félix Arenal, D. Juan José Paz y D. Luis Ortiz Falla, subtenientes dei de Laredo; D. José Castrejon, teniente, y D. Vicente de la Tórnent…</t>
  </si>
  <si>
    <t>MendhabaL, Gabriel de</t>
  </si>
  <si>
    <t>Gabriel de MendhabaL</t>
  </si>
  <si>
    <t>…s se dirige á Merael: también se decía que estaban en Dantzick. ESPAÑA. JPuente la Rej/na 20 de Diciembre de 1812. Parles del mariscal ch campo D. Francisco Espot y Mina al Excmo. Sr. D. Gabriel de MendhabaL l.° „Excmo. Sr.: El comandante de observación del punto de Lesaca me dice lo siguiente. Mi general: Por noticias positivas que recibí de la parto de Irun, supe que diariamente cruzaban la carre tera desde Tolosa escoltas enemigas, no muy numerosas, convoyan d…</t>
  </si>
  <si>
    <t>Mendialdua, Fermín</t>
  </si>
  <si>
    <t>Fermín Mendialdua</t>
  </si>
  <si>
    <t>…derecha, lo que ve rificó muy á mi satisfacción : el regimiento de infantería de Ordenes Militares al mando de sa coronel D. Alexandro Hore, sostenido por el del General, el de su comandante D. Fermín Mendialdua* fue ron los encargados del ataque; y lo executaron con una resolución digna de todo elogio, aunque á costa de no poca pérdida, especial mente ti primero: el enemigo fué arrojado de toda la parte accesi ble de la montaña. »Ei segundo regimiento de Cataluña te…</t>
  </si>
  <si>
    <t>…-verifico .mui d mi satisfacción: ei regimiento de infantería de Ordenes Militares,-. aL mando de su coronel D. Alexandco Plore, sostenido por eí del General,-ai de su co mandante D. Fermín Mendialdua, fueron los encargados del ataque, y lo executaron con una resolución digna de todo elogio, aunque á costa de no poca pérdida, especialmente el primero: el enemigo fue arrojado de toda la parte accesible de la montaña. „E1 segundo regimiento de Cataluña tuvo…</t>
  </si>
  <si>
    <t>Mendialdua, Fermin de</t>
  </si>
  <si>
    <t>Fermin de Mendialdua</t>
  </si>
  <si>
    <t>…Sta. Bárbara por aquel lado. ,n El gefe de la brigada segunda D. Alexandro de Hore me reco mienda particularmente la bizarría de los gefes,el comandante del ba tallón del General D. Fermin de Mendialdua, y el teniente coronel ,deh regí miento de Ordenes D. Berrtardino Tivailer, y a todos ios dig nos oficiales de ambos cuerpos , sin atreverse á particularizar alguno porque seria ofender el distinguido comportamiento de todos. »Me veo confuso para definir á V.…</t>
  </si>
  <si>
    <t>Mendialdua, Fermín de</t>
  </si>
  <si>
    <t>Fermín de Mendialdua</t>
  </si>
  <si>
    <t>…. Bárbara por aquel lado. *'• „ El gefe dé iá1 brigada segunda D. Alexandro dé Hore ine recomienda particularmentédh bizarría de Ibs gefes, el comandante dét batallón del Ge neral D. Fermín de Mendialdua, y el teniente corohel del regimiento de Ordenes* D. Bérnardiño TiváHerV y á todos los dignos oficiales de ambos cuerpos,1 sin atreéersé á par ticu lanzar algfunóV ’pbr jué1 seria ofender el distin guido éniiftíoiíaiiilentñdé Wdbs. o ■?. *, Mé .feo ¿rOiifüsd'…</t>
  </si>
  <si>
    <t>Mendiola</t>
  </si>
  <si>
    <t>…mbre de 1813. ^Francisco Espoz y Mina. = Sr. D. Salva dor Gampíllo.” Continúa la sesión de Cortes del dia 4 de noviembre por la noche. (Véase „ la gazeta d,e 18 del corriente.) El señor Mendiola en un discurso elocuentísimo encareció las circuns tancias horribles del suceso de que se trataba. El primer paso que da la re presentación nacional fuera de Cádiz, hácia la capital.....! un pueblo donde se instaló por primera vez.....! en donde las armas par…</t>
  </si>
  <si>
    <t>Mendizabah, Gabriel de</t>
  </si>
  <si>
    <t>Gabriel de Mendizabah</t>
  </si>
  <si>
    <t>…ter-ga á bien recomendarlos al Gobierno como yo espero.— Nuestío Señor guarde á V. E. muchos años. Tlitipu 21 de Enero de 1813.— Exorno. %t.-^ F&gt; ancuco liljpox y Mima*—-- Exorno. Sr. D. Gabriel de Mendizabah”.</t>
  </si>
  <si>
    <t>Mendizabai, Gabriel de</t>
  </si>
  <si>
    <t>Gabriel de Mendizabai</t>
  </si>
  <si>
    <t>…ha sido de nu oficial y un sol dado muertos, un oficial y 2 sargentos heridos. — Dios guarde á V. E. muchos años. Azcoitia 12 de Noviembre de 1812. — Gaspar de Jáuregui. — Exorno. Sr. D. Gabriel de Mendizabai.” En cartas de Santander del 24 del pasado se dice que ha prin cipiado á entraT un convoy de 30 buques con varios pertrechos y municiones , y 3000 hombres de infantería para estrechar el sitio áe Santoña, cuya guarnición se halla apurada de víveres ; que segú…</t>
  </si>
  <si>
    <t>Mendizabal</t>
  </si>
  <si>
    <t>…del valiente Mina, cerca de Pamplona, cuyo resultado ha sido un crecido número de france ses muertos y prisioneros. Santiago 15 de Diciembre. En parte, que el Sr. «Táuregui da al Sr. Mendizabal, con fecha de 12 de Noviembre en Azcoytia, dice que los capitanes D. Miguel Soroa y D. Manuel Charola sorprehendierón el dia 3 á 100 infantes enemigos y 6 de caballería, degollándolos á todos, menos 28 que se entregaron , en la carretera de Andoain á Tolosa ;…</t>
  </si>
  <si>
    <t>…allan al frente de esté exército, desde que dirigi á V. E. mi oficio de 27 del último mes: los exércitos aliados conservan las mismas posiciones. „Ei enemigo obligó en el norte al general Mendizabal á retirarse de Bilbao, y se levantó el bloqueo de Santoña. „Ha llegado á mi noticia , por una carta interceptada , que el co ronel Longa se apoderó el 10 de Enero de la guarnición enemiga de Salinas de Anana ; pero aun no he Tecibido oficio acerca de este aco…</t>
  </si>
  <si>
    <t>…s ba tallones sobre Oñate , para que al dia siguiente entre 10 v io y inedia de la mañana estuviese en el alto de Descarga á retaguardia de Vergara: me puse en comunicación con el general Mendizabal, que estaba en Durango , y le rogué hiciese marchar alguna fuerza por. el camino de Placencia (i) con las precauciones que la estrechura de la garganta exigía. ' El 24 me puse en movimiento sobre Vergara y los enemigos se habían re stirado: al llegar ál puebl…</t>
  </si>
  <si>
    <t>…rgas y penosas marchas, emprendió y executó con la mayor bizarría las mo lestas'tareas de esta jornada.» y se portó con el mayor valor. Los ba tallones enviados de Azpeytia por ei general Mendizabal rechazaroncon gran firmeza un ataque dei enemigo, y después le persiguieron por el monte abaXo haciendo bastantes prisioneros. »? Aun no nie han llegado las listas; pero creo que como ico pri sioneros fueron hechos por los dos cuerpos españoles, y ■quedaron a…</t>
  </si>
  <si>
    <t>…s batallones sobre Olía te, para que al día siguiente entre 10 y 10 y media de la mañana estuviese en el alto de Descarga, á retaguardia de Vergara: me puse en comunicación con el general Mendizabal que estaba en Durango» y le rogué hiciese marchar alguna fuerza por el camino- real coa las precauciones que la estrechura de la garganta exigía. «El 24 me puse en movimiento sobre Vergara; los enemigos se habían retirado: al llegar al pueblo se me aseguró es…</t>
  </si>
  <si>
    <t>…nsecuencia. » El enemigo se Tetiró de Tolosa á Aniuahi, en donde subsiste habiendo cortado el puente. Esta tarde ha marchado Longa con seis batallones por ia derecha, y cuatro del general Mendizabal por la izquierda : 1© demas irá por el camino real, y obrará según las lo calidades que favorecen demasiado la resistencia del enemigo. j» Mañana tomará el cuerpo de mi .mando posición delante del sgnemigo, y el señor Graham lo sostendrá desde Tolosa.” Trun i…</t>
  </si>
  <si>
    <t>216 Ázpeytiá por el general Mendizabal rechazaron con gran firmeza utr ataque del enemigo., y después le persiguieron por el monte abaxo, haciendo bastan tes prisioneros. „Aun no me han llegado las listas; pero creo que como 200 prisioneros fueron hechos por los dos cuerpos españoles, y quedaron a…</t>
  </si>
  <si>
    <t>…uedando he ridos otros muchos que estaban, en sus lanchas. Créese que los franceses dexaron mecha encendida en alguna mina. Este cabildo eclesiástico pasó á Gue taria de orden del general Mendizabal, y en unión del de aquel pueblo ce lebró un solemne funeral por los desgraciados difuntos, presidiendo el refe rido ge fe.. Calatayud. 20 de julio. Ayer se rindió el fuerte de la Almunia , habiendo precedido la capitula ción siguiente: art. i.° Que la guarnic…</t>
  </si>
  <si>
    <t>…nque llegaron á ocupar algunas barracas del campamento que tenemos establecido én la cima del cerro, fueron cargados á la bayoneta por la quarta división, ¿ cuya cabeza se puso el general Mendizabal, y los batallones de la primera brigada de la quinta división, y el segundo de marina que estaba en ella,aunque con poca fuerza , y se pusieron en fuga precipitada, habiendo sido igualmente repelidos en la altura de Porto en este ataque y otro que ha bían dad…</t>
  </si>
  <si>
    <t>…que llegaron á ocupar algunas barra cas del campamento que tenemos establecido en la cima del cerro, fueron cargados á la bayoneta por la cuarta división, á cuya cabeza se puso el general Mendizabal, y los batallones de la primera briga da de la quinta división y el segundo de marina que estaban en ella, aunque con poca fuerza, y fueron puestos en fuga precipitada, habien**. do sido igualmente repelidos en la altura de Portó en este ataque y otro que hab…</t>
  </si>
  <si>
    <t>Mendizabal, Gabriel de</t>
  </si>
  <si>
    <t>Gabriel de Mendizabal</t>
  </si>
  <si>
    <t>…quiera las noticias necesarias para poder formar y remitir á Y. £. el parte oficial. „Soy, mi general * su mas reconocido y fiel subdito Q. B. S. M.— Francisca de -Loriga.— Excmo. Sr. D. Gabriel de Mendizabal.” Alicante 2 de Entro de 1813. Partes del comandante de guerrilla Fr. Asentía Nebot» l.° El día 10 de Diciembre destaqué á la compañía de cazadores á la villa de Artana, y á dos compañías de caballería á la de Adsane» ta, con él objeto de llamar la ¿tención a…</t>
  </si>
  <si>
    <t>71</t>
  </si>
  <si>
    <t>…antar sp| marcha; pero ni el primero ni el segundo, ni ambos reunidos, piten den mejorar la suerte de su amo. ESPAÑA. Oviedo 23 de Diciembre. Discurso que el Excmo. Sr. presidente D. Gabriel de Mendizabal, general en gefe de séptimo exército , pronunció en la abertura de la junta general de la provincia de Alava, el día 25 de Noviem bre de 1812 en la villa de Arceniega. &lt;• „Excmo. Sr.: Entre los pasos con que V. E. «e encamina rápida mente al perpetuo recobro…</t>
  </si>
  <si>
    <t>…que lo haga saber á S. A. la Regencia del rey no. Nuestro Señor guarde á Y. E. muchos años. Puente la Reyna y Diciembre 20 de 1812. — Excmo. Sr. — Francisco Espox y Mina. — Excmo. Sr. D. Gabriel de Mendizabal.” ARTICULO DE OFICIO. Con fecha de ayer se lia servido la Regencia del reyno expe dir el decreto siguiente. — D. Fernando vii , por la gracia de Dio» y por la constitución de la monarquía española, rey de las Espadas, y en su ausencia y cautividad la Regencia…</t>
  </si>
  <si>
    <t>…n el placer de que el orgullo francés se haya abatido. Dios guarde á V. E. muchos años. Cuartel general de Es pejo 14 de Enero de 1813. — Excmo. Sr. — Francisco de Longa. — Excmo. Sr. D. Gabriel de Mendizabal.” Segundo. „Excmo. Sr.: Según las instrucciones de V. E. he emprendido la marcha en la mañana de este dia desde Espejo con los batallones primero, tercero, cuarto y guardias nacionales de la división de Ibe ria, y primero y tercero de Vizcaya. Para el mejor é…</t>
  </si>
  <si>
    <t>…continuaran) ‘'-V ■/ ;;esea®a. ..., Oviedo, $ de junio. Parte qn« después de evacuada la plaza de Castro dio el tenien te coronel D. Pedro Pablo, gobernador de ella, ai Excmo. Su. Don Gabriel de Mendizabal. "Excmo. Sr.: Después de 18 dias de la mas vigorosa defensa, en que ha habido 7 del mas horroroso fuego de artillería de 17 piezas de grueso calibre, después de abierta brecha en la cortina izquier da de la puerta de S. Francisco , y haber sufrido un asalto d…</t>
  </si>
  <si>
    <t>…el dian de May® de 18.13 no ha cedido en nada al 2 del mismo mes de 1808. Dios guarde á V. E. muchos años. Bermeo 13 de Mayo de 1813. = Excmo. Sr.vz Pedro Pablo Alvarez. = Excmo. Sr. D. Gabriel de Mendizabal.” P. D. El comodoro Collier, comandante general de la escua dra de S. M. B., con destino á la costa de Cantabria, envié opor tunamente cuatro bergantines al mando del capitán Bloye, que man daba el Lira, para la defensa de esta plaza, que han obrado con la bi…</t>
  </si>
  <si>
    <t>…ia 11 de mayo de 1813 no ha cedido en nada af, 2 deí mismo mes de 1808. Dios guarde á V. F. muchos años. Eerméo 13" de. mayo de 18 ij.rs'Excino. Sr.stPedro Pablo Alvarez. = Excmo. Sr. Don Gabriel de Mendizabal. gpiafifo comparatívó^delos éxéjrciios francés y aliado en Alemania d ulc timos de abril de 1813. ‘ ' .. . .. Francés. Hombres. , ,1.°^ Mariscal DaVoust, príncipe de Eckmiihl; á sus órdenes Se bastian! , Dufour"y'Hámbnrgquartel 'general‘en BV'emen............…</t>
  </si>
  <si>
    <t>41 5 de la batalla, aunque recibió dos contusiones, y se'-sostuvo hasta el fin en So soy a i ' •' 1 • • ' ■ : Él teniente general D. Gabriel de Mendizabal, noticioso He'• la acción, aunque no está destinado á^ste-exércitop sé; presentó, inmediatamente, y me sirvió de mucho, porque le regué tomase á su cuidado la 'defensa de Sari Marciat, y desempeñó esta comisión con el tino y valentía de que tiene da das tanta…</t>
  </si>
  <si>
    <t>¿el ayudaste general de estado mayor D. Luis la Viña, que no qui so separarse de la batalla» aunque recibió dos contusiones» y se sos tuvo hasta ei fio en Soroya. *,E1 teniente general D. Gabriel de Mendizabal, noticioso de la acción» aunque no está destinado á este exército, se presentó inme diatamente , y me sirvió de mucho, porque le rog^é tomase á su cui dado la defensa de S. Marcial, y desempeñó esta comisión con el tino Í valentía de que tiene dadas tantas pr…</t>
  </si>
  <si>
    <t>Mendlzabal, Gabriel de</t>
  </si>
  <si>
    <t>Gabriel de Mendlzabal</t>
  </si>
  <si>
    <t>…l terreno y obscuridad de la noche. = Espoz y Mina. [Gazeta extraordinaria de Aragón.) Se ha recibido con las ultimas cartas de Bilbao la siguiente copia del par te que el Exorno. Sr. D. Gabriel de Mendlzabal, teniente general, y coman dante en gefe de la izquierda del quarto exército, comunicó al coronel D. Ig nacio de Unceta , gefe de la primera brigada de la séptima división del mismo. MÍ ayudante de campo el teniente coronel D. Josef Cistue , desde el quartel…</t>
  </si>
  <si>
    <t>Mendoza</t>
  </si>
  <si>
    <t>…de piedras y empali cadas en las cumbres del elevado cerro de S. Miguel, cerca del pue blo de Ayotitlan. Fueron muchos los muertos por parte del enemi go, entre ellos el nombrado coronel Mendoza, y mucho mayor el numero de los heridos, indicado por los considerables vestigios de sangre que se descubrieron en el reconocimiento que se hizo del cer ro. La dispersión fue tan completa, que Bejar apenas pudo escapar se con 3 de la chusma. Se tomaron alguna…</t>
  </si>
  <si>
    <t>Mendoza, Arias Gonzalo de</t>
  </si>
  <si>
    <t>Arias Gonzalo de Mendoza</t>
  </si>
  <si>
    <t>…uto primero. Barrio de S. Pascual. D. Bartolomé Cano de Molina, substituto se D. Angel Sahagun, alcalde. D. Vicente Esper, substituto primero.gundo. Barrio de las Niñas de la Paz. D. Arias Gonzalo de Mendoza, substituto se D. Francisco Blanco, alcalde. gundo. D- Tomas Ximenez, substituto primero. Barrio de las Mercenarias. D. Carlos A riña, substituto segundo. D. Domingo Rcinoso, alcalde. Barrio de la Loma.ire. D. Josef Aronso , substituto primero. D. Francisco G…</t>
  </si>
  <si>
    <t>Mendoza, Diego de</t>
  </si>
  <si>
    <t>Diego de Mendoza</t>
  </si>
  <si>
    <t>…to mas de 20 »»sa (7), al paso que Gutiérrez hermanaba la gracia « dramas. «con la sencillez en algunos madrigales (8): enton- w No se trata aqui de examinar el mérito y los « ces D. Diego de Mendoza, ministro, embaxador « defectos de las obras de hombre tan extraoraina«de Carlos v, político, sabio, poeta y protector «rio, ni de Calderón su sucesor, quien, aunque le « de las letras, escribía la historia con una entereza « aventaja en la invención y en el…</t>
  </si>
  <si>
    <t>Menendez, Miguel</t>
  </si>
  <si>
    <t>Miguel Menendez</t>
  </si>
  <si>
    <t>…s, uno de Marina, 8 de la Coluna de granade ros , 13 del batallón de Asturias, y 3 de dragones de México , ha biéndolo sido de mucha gravedad el capitán de granaderos de Astu rias D. Miguel Menendez. Soria SO de Abril de 1813. Los franceses entraron en Estella el 17 del corriente, en donde solo se detuvieron aquella noche, y al día siguiente salieron para Amezcua , sin hacer la menor extorsión. Desde este pueblo pasaron á A'gEliñañil, en donde cogieron u…</t>
  </si>
  <si>
    <t>Meneses, Tosef</t>
  </si>
  <si>
    <t>Tosef Meneses</t>
  </si>
  <si>
    <t>…zzatko. la comedia titulada la Barrio del Rosario. Virtud consiste en medio, y pródigo y rico Avarien D. Nicolás Perez, alcalde. to; seguirá una escena de müsica qúe significará b D. Tosef Meneses, substituto primero. muerte 4* Semíramit por su hijo Arsaces; y se CunD. Josef Mana Tourdinier, substituto segundo. cluirá con ua divertido fin de fiesta. EN LA IMPRENTA REAL.</t>
  </si>
  <si>
    <t>Ménica, Maírnel</t>
  </si>
  <si>
    <t>Maírnel Ménica</t>
  </si>
  <si>
    <t>…practicar sobre él un reconocimiento antes de comprometer una ac ción general. A este efecto dispuso que la altura de la izquierda fue se examinada por el sargento mayor de Zamora D. Maírnel Ménica., llevando una compañía de su cuerpo, el piquete del batallón prime ro Americano, la división de Veracruz y 50 dragones de España y S. Luis cen orden de atacar. Verificó dicho gefe su marcha toman do un largo rodeo por el camino de la Antigua,, á tiempo que p…</t>
  </si>
  <si>
    <t>MenM, Gabriel de</t>
  </si>
  <si>
    <t>Gabriel de MenM</t>
  </si>
  <si>
    <t>139 ESPAÑA. Santiago 10 de Enero, Parte del coronel D. Francisco hongo al Excmo. Sr. D. Gabriel de MenM,Tühr.l. „Exorno. Sr.: Tuve la honra de hacer un pequeño bosquejo á V. E. desde' -Barcina deí' Monte, del plan que meditaba pat a íbcgniodor al enemigo oor e-dos irises, ínterin V. E coa superiores atenciones en oíros lo confiaba á m? aquí. Tenté todos ios 'me…</t>
  </si>
  <si>
    <t>Mennier</t>
  </si>
  <si>
    <t>…2.0 de infantería; gleses asesinando las mugeres y los niños. Esos bár de línea, aguarda en Nuremberg á la tercera, que; baros no os podrán excitar temor, sino desprecio. manda el general Mennier, y se compane de los&gt; « Voluntarios : si, algún traidor qaiso apartaros regimientos 2o.0 y .101.° de infantesa franceses,; del cumplimiento .de vuestros deberes, no le habéis que están en-Ratisbona , juntamente con un bata-í escuchado, y venís á presentar vue…</t>
  </si>
  <si>
    <t>Mensdorf</t>
  </si>
  <si>
    <t>…n tomedo 80 piezas y 6$ prisioaero'?. El número de estos seria sun mayor, si nuestras tropas no hubiesen combatido con tan ta an'mo idad, y empleado principalmente la bayoneta* El coronel Mensdorf maniobró con mucha destreza en la reta guardia del enemigo, interceptando correos, haciendo prisioneros, y dispersando varios destacamentos de cabatlería enviados contra él. También mantuvo asustada á la guarnición de Leipsick, compuesta de 3® hombres, que no…</t>
  </si>
  <si>
    <t>Menzdorff</t>
  </si>
  <si>
    <t>…ales del exército principal, con fecha de Toplitz de 31 de agosto, después de haber referido las particularidades de la destrucción del cuerpo de Vandamme, añaden lo siguiente: El coronel Menzdorff está maniobrando á la retaguardia del enemigo con el mejor suceso. Ha interceptado correos, ha cogido algunos prisioneros, dispersado varias divisiones de caballería que se enviaron contra él, y man tiene á los 8600 hombres de la guarnición de Leipsick en tal…</t>
  </si>
  <si>
    <t>Menzdorff, Von</t>
  </si>
  <si>
    <t>Von Menzdorff</t>
  </si>
  <si>
    <t>…iciales y 1200 hombres. El 14 los cosacos cogieron en Wurtzen un convoi de carros cargados de grano destinados para la guarnición de Torgau, y escoltados por un batallón saxen. El coronel Von Menzdorff ha interceptado correos cuyos pliegos mani fiestan el estado de miseria y abatimiento en que se halla el exército francés. El general Blucher tiene su quartel general en Bautzen: por su ala de recha combina sus operaciones con las del exército unido del norte…</t>
  </si>
  <si>
    <t>Merino</t>
  </si>
  <si>
    <t>…zueios, corregidor de S&amp;samon. Los franceses se muestran gene ralmente muy desanimados y cabilosos por I03 reveses del Norte. Los voluntarios de Padilla, reunidos con la gente del cura Merino, se han presentado esta tarde en las inmediaciones de esta ciudad. Dia 19. Se han vuelto á.presentar los volúntanos á las dos de la tarde, y 15 de estos han entrado ea el barrio de Sta. Dorotea, sin que los franceses se hayan atrevido á salir : no hemos tenid…</t>
  </si>
  <si>
    <t>…alecientes de VaUaoioiid y Falencia. También ha entrado de la parte de Bribiesca un corto destacamento de caballería con un correo para el general Reylle : han cogido un espía del cura Merino, según se dice , cuya suerte está por decidir. Dia 28. Ha salido el convoy que entró ayer para Vitoria, y el correo escoltado por 400 infantes para Valladolid. San Pedro de las Cuevas 6 de Marzo. Los 1500 hombres que habia en Peñafiel exigiendo contribucio ne…</t>
  </si>
  <si>
    <t>461 el cura Merino ha derrotado en Roa 250 franceses, de los que esca paron muy pocos. Id. 22. No permiten que vayan los empleados en los convoyes, y así están desesperados. — Todo está dispuesto para la marcha de esta vil canaila, pero se tardan mas de lo que quisiéramos. — De…</t>
  </si>
  <si>
    <t>…iban engrosan do progresivamente , hasta que en dicho paso se hizo firme una de 400 que se replegó á otra de igual numero luego que llegó á tiro de fusil la guerrilla al mando del teniente Merino, y un piquete de I^uebla á cargo del alférez Malabear. Los 800 huyeron al arribo de la d ivision á la ranchería de la Botixa, dirigiéndose al Charco dis tante una legua, desde donde siguieron la marcha de la tropa, pre-, sentándose ai frente y costados de ell…</t>
  </si>
  <si>
    <t>Merino, Gerónimo</t>
  </si>
  <si>
    <t>Gerónimo Merino</t>
  </si>
  <si>
    <t>…muertos y .heridos, sin que por nuestra parte hubiese mas que 4r de los primeros y 21 de los segundos. ViUacadima 23 áe Abril. La junta superior de esta provincia ha recibido del brigadier D. Gerónimo Merino el parte siguiente: „Excmo. Sr.: Hallándome en los pueblos de Solará na y Nebiéda con 200 caballos y 600 infantes del sexto batallón de Arlan za, tuve noticia que en la villa de Roa se hallaban como 300 ena migos, entre ellos 140 caballos déla guardia reaicen…</t>
  </si>
  <si>
    <t>Mermé</t>
  </si>
  <si>
    <t>288 visitar al doctor Mermé?. Este famoso viejo septua rentes terrenos, obtenidas por labradores ilustrados, genario, que hace muchos años pasa su vida en el y comprobadas por el gobierno mismo, acreditan mayor retiro, se mantiene siempre convencido de la eficacia de los polvos inventad…</t>
  </si>
  <si>
    <t>Mermet</t>
  </si>
  <si>
    <t>…. el gefe de batallón Bugeaud del 116.0, comandante de esta villa, destacó el 16 de diciembre por la no Excelentísimo Señor: che, con igual número de hombres sin mochilas, al „ El general Mermet, comandante de la caba capitán Poirel para que lo sorprehendiese; y este ofi llería del exército, me ha dirigido un parte del ge cial siguió con tanta puntualidad sus instrucciones, neral Boyer, cuyo contenido tengo la satisfacción que á las dos ds la mañana…</t>
  </si>
  <si>
    <t>Mesa, Eugenio</t>
  </si>
  <si>
    <t>Eugenio Mesa</t>
  </si>
  <si>
    <t>…de. D. Manuel Cardeñoso Herrczueto, alcalde. D. Pedro Monfort y Viergol , substituto pri D. T ornas Tordesillas, substituto primero. mero. t D. Santiago Conde, substituto segundo. D. Eugenio Mesa, substituto segundo. Barrio ae ¿Mortana. D. Rafael de Yarza, alcalde. QUARTEL DE SAN FRANCISCO. D. Juan Antonio Cuervo, substituto primero. Barrio de la puerta de Toledo. D. Josef Tenet, substituto segundo. I&gt;. Manuel de Manzaneque, alcalde. Barrio de S. Lu:.…</t>
  </si>
  <si>
    <t>Mesmer</t>
  </si>
  <si>
    <t>…curso á «los miembros del congreso nacional, en que se Fraueafeld ra de enero. «impugna fuertemente el decreto de 6 de diciem«bre, por el qual se confirió el mando de los exér- El doctor Mesmer, que ha permanecido 10 « citos españoles al lord YVellington; se reprocha á años en la Suiza, acaba de trasladarse á Constan « algunos otros diaristas, que no han tenido tanta za en el gran ducado de Badén. (1) Que quiere decir en buen ingles-. „si no se suje…</t>
  </si>
  <si>
    <t>Mettcrnich</t>
  </si>
  <si>
    <t>…verdad na se duda aquí por deberse la noticia á un conducto seguro. Cnande Bonaparte estaba en Dresde , antes de ponerse en camino contra^ nuestro emperador, dixo publicamente al general Mettcrnich: Bar clay de Tolly se lisonjea de que me obligará á tomar el camino de, Moscow, creyéndome tan insensato que he de ir á sepultarme en los hielos. Pero no; el Sr. Barclay de Tolly no me1 llevará á Mosoow ; pues antes que él ocupe el camino de esta capital, est…</t>
  </si>
  <si>
    <t>Metternich</t>
  </si>
  <si>
    <t>…nebourg-Ochsenhausen, su minis El general Winchester, comandante de la van tro de Estado y de Negocios extrangeros. guardia del exército del Noroeste, que constaba de ,,Mi querido conde Metternich: no tanto por 900 á 1© hombres, se ha dexado sorprehender él motivo de que la plaza de canciller de la óraen por un cuerpo de 1800 indios y yoo ingleses con de María Teresa, con arreglo á los estatutos, debe seis pieaas de artillería. Tan desprevenido estaba,…</t>
  </si>
  <si>
    <t>…esde hasta el 24. Segnn ellas el emperádor de Austria se había trasladado de Gitschen al castillo de Iíosmonos (cerca de Jungbunslau), de donde su ministro de negocios extrangeros conde Metternich salió el 21 para el casti llo de Apotschaa (en la frontera de Silesia), adonde había llegado el emperador Alexandro la tarde anterior'. Es frecuente la entrada de correos y oficiales superiores de varias potencias en Praga, adonde ha llegado también un agente…</t>
  </si>
  <si>
    <t>…tros plenipotenciarios el duque de Vicenza (Caulincourt) y el conde de Narbona; los cuales salieron ya para su destino. Él emperador de Austria ha nombrado para el mismo objeto al conde Metternich. Dos oficiales, uno austríaco y otro Francés, que vinieron i Douvres con bandera parlamentaria, han llegado á esta capital con pasaportes para el enviado ingles que ha-de asistir al congreso de Praga. Como el conde de Aberdeen está nombrado hace dias para una…</t>
  </si>
  <si>
    <t>…rsonajes vendrán aquí el mayordomo mayor, conde de Urbna; el caballerizo mayor., conde Traumansdorf; el general de artillería, barón Duka; el teniente fe Id* mariscal Kutscher; el conde Metternich, secretario de Guerra; el barón Bmder; Mr. de Floret; lord Aberdeen, embaxador ingles; el barón HumboJdt, enviado prusiano; el barón Bildt, enviado sueco; el condeCollowrath , gran burgrave de Bohemia, y destacamentos de las guardias nobles alemana, 0hema y h…</t>
  </si>
  <si>
    <t>Metternieh</t>
  </si>
  <si>
    <t>…a-'buenó &amp;d. ; ^pe 'él'4 dó agostó nada se había adelantado en Praga acerca del pfeténdidÓ cortgrésó ; cuyos' negoi Lideres reducidos á un coronel ruso, un riiinistro prustanóV el conde Metternieh y el duque de Vicenza, apenas se habiali vuelto la visita dé esrilóf Ei día 15', e'n qué los parisienses celebraron los dias de su Emperador, h»bo fiestas menos vivas que otras veces, y entre las varias canciones con</t>
  </si>
  <si>
    <t>Meutzsdorf</t>
  </si>
  <si>
    <t>…ia. E*te cuerpo fué enteram nte derro ado , y perdió 1© prisioneras , 5 piezas de ar tillaría, 3 estandartes, y fué perseguido hssta Zeitz. El cuerpo del ga^cral Tkielraaay cí del coronel Meutzsdorf ayudaron á perseguirlos.</t>
  </si>
  <si>
    <t>Mexia</t>
  </si>
  <si>
    <t>…o á disposición de los señores to. Et gobierno tolera quando menos á los unos, y diputados para el mismo objeto. A propuesta del está absolutamente entregado á los otros. V. M. lo señor Mexia quedaron también á disposición de los conoce y lo ve; y los exponentes tienen derecho á señores diputados las muchas reclamaciones que pedirle que obre como piensa, como puede y como existían en et congreso contra varios funcionarios debe.” públicos y gefes d…</t>
  </si>
  <si>
    <t>Mexía</t>
  </si>
  <si>
    <t>…presados, se quemasen con la publicidad y formalidad correspondiente á una de las operaciones en que particularmente se afianza el crédito de la nación.__ Después de manifestar ei Sr. Mexía la naturaleza del plan ó sistema, que lia formado la comisión de acuerdo con la* junta nacional, para realizar la grande obra de la consolidación del crédi to público, fue aprobado elanterior dictamen-----Sr. Antillon: que las Cor tes para hacer grande y céle…</t>
  </si>
  <si>
    <t>…respecto del Sr. Valdes, se entregue al apoderado á nombre de las Cortes una me dalla de plata ; y de este modo no se^privajrá el Sr. González de un monu mento tan apreciable. , . Sr. Mexía: el Sr. González y yo ños Compondremos para hacer la co sa de modo que no sea gravoso á los démas señores diputados.__ El mismo señor Mexía leyó en seguida la minuta de decreto redactada por la comí-</t>
  </si>
  <si>
    <t>Méyer</t>
  </si>
  <si>
    <t>…sente).,__G. Ten Sande.___A. Mendes de León------J..A. Willinh—_ J. J, Teyfset ( se excusó)----- Mr. YV. F- Mogge Muilman (se ex cusó).__ J. J. May.___Mr. P, A. Brugmans. — Mr. j. D. Méyer.___Mr, O. VV. J. Berg (se J. S. Van de Poli, y Mr. A. A. Detwz excusó).Mr. Van Assendelft.vz. Amsterdam 16 de noviembre de j8ij. El coronel y gefe de las guardias municipales , que tiene el gran placer de participar al público las circunstancias arriba dichas…</t>
  </si>
  <si>
    <t>Mflioradowdch</t>
  </si>
  <si>
    <t>…de Regnier ea la orilla izquierda de aquel rio; de cuyo cuerpo sé dixo en un p» te anterior que- estaba apo yando la derecha de las tropas auxiliares austríacos. ,,La columna del general Mflioradowdch ha continuado movién dose desde Augustóff con dirección á Haudek, aldea situada al po niente de Novogródek; y cerca de Lonsa se reunió coa el cueree del general VassízchikofF, que había perseguido á los puertos avan zados austríacos, y este movimiento Gbligó…</t>
  </si>
  <si>
    <t>Mi</t>
  </si>
  <si>
    <t>…dáveres y esqueletos de caballos que cubren el camino , la retirada de la retaguardia fran cesa tiene todos los caracteres de una fuga„El 3 de Noviembre, la columna mandada por el general Mi li aradowitch llegó por el camino real cerca de Viasma, donde hubo una acción muy xeílida ,con la retaguardia, que según la relación de los prisioneros, se compon» de las divisiones de Beauharnois, Davoust y Ney. Estas tentaron infructuosamente detener su mar…</t>
  </si>
  <si>
    <t>…tropas superior al suyo, y el éxito fue favorable á los aliados. Am bos cuerpos aliados volvieron esta mañana á su posición. A las 6de la tarde. „Vengo ahora de la vanguardia del general Mi llaradowitch, y participo á V. E. que el enemigo na dado hoi una furiosa embestida conel objeto de apoderarse de Bautzen. A este fin dio un ataque falso á nuestra izquierda para encubrir el verdadero y principal, dirigido con tra la derecha del general Millar…</t>
  </si>
  <si>
    <t>…armas de la expresada plaza: certifico y doy fe que' al folia- 28 vuelto de dicha información se halla la diligen cia siguiente: ¿En la ciudad de Tudela á 7 dé Agostó dé 1813, el Sr. D. Mi guel dé Astiz, comandante de armas ; en vista de hallarse conclui da esta información, formó el extracte* de ella en los siguientes tér minos. &gt;?PorTo$ testigos examinados y diligencias dé careo practicadas, resulta plenamente justificado que h'mañana del 28…</t>
  </si>
  <si>
    <t>…bisbal que las ha formado, y á quien se debe el sobresaliente estado en que están, ha sabido inspirar su brillante vaior. «El brigadier gefe interino del estado mayor del exército D. Mi guel Desmaisieres me ha dado nuevas pruebas de su celo, y me ha sido de la mayor utilidad en toda la operación. «Los ayudantes generales D. Pascual Henriíe y D. Domingo Mar tínez y demas oficiales del cuerpo de estado mayor, el coronel Don Raynaldo Macdonall,…</t>
  </si>
  <si>
    <t>Mi'áradpwitch</t>
  </si>
  <si>
    <t>…erminado.el ataque, se tomaron inmediatamente las siguien tes dj;posiciones con las tropas destinadas al objeto : 6STgranaderos rusos, 2© infantes y 4® caballos, á las órdenes del general Mi'áradpwitch , con 12© austríacos á las de los generales Col oredo y Bianchi, comenzaron la acción, y el resto de las tropas reunidas para esta empresa se formaron en columnas de reserva en. las llanuras in mediatas. La aldea de Kulm está situada en la hondonada de nna ca…</t>
  </si>
  <si>
    <t>Mi, Cristóbal</t>
  </si>
  <si>
    <t>Cristóbal Mi</t>
  </si>
  <si>
    <t>55* A. KTJM. VI. zambra que se armó entre ellos! D. Cristóbal Mi cro m gas se desvergüenza con D. Simplicio Mitc~ Copia de un despacha de Mr. de San-Marsan. ilejloxo; Sotavento insultó i aquel; D. Deogracias Berlín 22 de febrero dé 1812. Vitela echó por la calle de en medio, diciendo que Mr. de Krusemarck I1.1 escrito á su…</t>
  </si>
  <si>
    <t>Mi, Francisco Espnz y</t>
  </si>
  <si>
    <t>Francisco Espnz y Mi</t>
  </si>
  <si>
    <t>…or esta pár^ Fr ancla de 18 á 20000 hombres de buena tiopa, sin que ii yan en^« ti5*áo mas de 2 á 3000 conscriptos.-. ! -¿titeante 13 de Mayo. Se asegura que el ma, iscal de campo D. Francisco Espnz y Mi na ha hecho una carnicería terrible en una, división ae 8000 úan-</t>
  </si>
  <si>
    <t>Mi, Josef Joaquín Duran y BarazabaL</t>
  </si>
  <si>
    <t>Josef Joaquín Duran y BarazabaL Mi</t>
  </si>
  <si>
    <t>…que el coronel del regimiento de infantería ligera Volun tarios de Riojct D. Juan Antonio Tabuettca comunicó eny del corriente al general de la sexta división del segundo exército D. Josef Joaquín Duran y BarazabaL Mi general: con fecha del 6 oficié á V. S. -desde Soto de Cameros, comu nicándole que en el siguiente d ía mudaba mí posición á Tudelllla, con el doble objeto de cubrir el camino real de Logroño á Calahorra (cuya ciudad creía amenazada del enemigo), y poder inst…</t>
  </si>
  <si>
    <t>Miangolarna, Miguel</t>
  </si>
  <si>
    <t>Miguel Miangolarna</t>
  </si>
  <si>
    <t>…rdo; á tenientes á D. Francisco Lo zano y D. Pedro Fernandez, y á subtenientes á D. Bonifacio Ro dríguez , D. José Sánchez y D. Manuel de los Santos. En el de Ir landa á capitán ¿ D. Miguel Miangolarna; á ayudante á D. José Alba; á teniente á D. José Benet, y á subteniente á D. Felipe Negrete. En el cuerpo de ingenieros de los exércitos nacionales, en la di visión de Ultramar, se ha servido la Regencia del reyno promover á teniente coronel al sargento mayor…</t>
  </si>
  <si>
    <t>Miedonzsfii</t>
  </si>
  <si>
    <t>…l general, un oficial y 7 soldados. „En una partida reconocedora conducida el misma dia por el mayor general Donkin, el capitán Jacks y la tropa extrangera do caballería ligera, d teniente Miedonzsfii del departamento del ayu dante general, y el capitán Waldrop coa los granaderos del segundo batallón del regimiento 27 tuvieron la oportunidad de dar un ataque vigoroso contra un puesto enemigo, que fué tomado en presencia do un batallón que estaba formado, y…</t>
  </si>
  <si>
    <t>Migue</t>
  </si>
  <si>
    <t>…egundo. D. Francisco P.uiíio, alcalde. Barrio d’ tas Vistillas. D. Ansí res Ortiz , su'vriiuto primero. D. Pedro Lu is Nápolt, alcalde. D. Santiago de la Peña, substituto segundo. D. Migue! Oquendo,substituto primero. Barrio de la Buena-Dicha. D. Angel de Sata, substituto segundo. D. Rafael Flores, alca,Je. Barrio de la Latina. D. Manuel Gómez Delgado, substituto primero. D. Toaquin González de Castro, alcalde. D. Itid ro Castelas, substituto s…</t>
  </si>
  <si>
    <t>Miguel</t>
  </si>
  <si>
    <t>…mató’47» hirió á al gunos, dispersó á los demas, quitándoles 2 patriotas de Teo-caltiche que llevaban prisionero^, 2 fusiles y algunos caballos. 7. Tamazula 8 de Abril de 1812. El capitán D. Miguel de ía Mora, de la división del coronel D. Manuel del Rio, rechazó vigo rosamente á 400 bandidos acaudillados por Francisco Chaves, que se atrevieron á atacarle en su campo de Sta. Rosa, matándoles 1 r de ellos, hiriendo muchos mas , y obligando al resto á hui…</t>
  </si>
  <si>
    <t>Gaceta de Madrid n.º 24</t>
  </si>
  <si>
    <t>…encontraban en mnchasí todos eran feudos ; esto era una imágen de lo que ocasiones la ignominia ó la muerte.- Allí murió el&gt; acababa de suceder en el resto de la Europa, y en gran duque Miguel en 1318; y en 1326 tuvo la uoa y otra parte un manantial inagotable de divi- misma suerte Demetrio'Michaelowitz. Tal fue el sipnes y guerras intestinas. Una nación asi despe cruel yugo que por espacio de dos siglos impusie dazada por facciones y guerras civil…</t>
  </si>
  <si>
    <t>…natural su imperio, y llevar adelante siempre ci mismo sis del lugar de Polanco, montañas y obispado de Santan tema económico y administrativo no puede menos der, hijo legítimo de D. Miguel yDpña Mariana Gu de redoblar, si es posible, la confianza que tienen tiérrez, difuntos , vecinos que fueron de dicho lugar, se e#-el todos sus vasallos., han formado autos de áhintestato per el juzgado del se ñor D. Juan Bautista Guitart, juez de primera inst…</t>
  </si>
  <si>
    <t>…e Extremadura ; para vice-présidente el Sr. Don Gonzalo Herrera, diputado por la isla de Cuba ; para primer secretario el Sr. D. Ramón Feliu, diputado por el Perú; para segundo el Sr. D. Miguel</t>
  </si>
  <si>
    <t>…iende con particularidad ai sargento mayor del segundo regimiento de Sevilla, que actualmente hace de comandante D. Josef Gutiérrez; á los tenientes de granaderos del mismo cuerpo D. Miguel y D. Domingo Alsaga, y al distinguido D. Pedro Mon tes: estos individuos se portaron con toda la bizarría militar , que puede ser objeto de una recomendación. Igualmente pongo á la consideración de V. S. la buena conducta y desempeño de sus funciones del ayudante primero de E. M…</t>
  </si>
  <si>
    <t>…D Francisco An tonio Rucabado y D. Diego Crespo de Tejada; por la de S. Sebastian Don Juan Antonio de Urraza, D. Joaquín Almazan y D. Juan Josef de Ojanguren; por la de S. Lorenzo D. Miguel de* Áxpe y D. Vicente Montene gro; por la de S. Miguel y S. Justo L&gt;. Manuel Segundo Martínez; per la de S. Andrés D. Domingo Fernandez Campomanes y D. Fermín Rodrí guez; por la de S. Pedro D? Josef Teodoro Santos; por la de S. Josef D. Santiago Gutiérrez de…</t>
  </si>
  <si>
    <t>…ta, á la que está hecha postura en 16&amp; de dicha especie de moneda metálica, acuda an-te el Sr. D. Domingo Benito Quintana, juez de primera instancia, y es cribanía de provincia de D. Miguel $osef García de la Madrid , que se admitirán las que hicieren, siendo arregladas; previniendo qué para su remate eñ el mejor postor está señalado el dia 10 de enero del año próximo venidero á lás i t en pun to de su mañana en la audiencia de dicho señor juez,…</t>
  </si>
  <si>
    <t>Miguel, José</t>
  </si>
  <si>
    <t>José Miguel</t>
  </si>
  <si>
    <t>…y un soldado. Notas. Primera. Los señores oficíales heridos son el capitán gra duado de teniente coronel D. Vicente de Irañeta; el teniente Don Santiago Medrano, y el subteniente D. José Miguel, del regimiento de Baza; el capitán D. Joaquín Manresa, y él teniente D. José An tonio de Miguel, de Leales Manresanos ; el subalterno contuso lo es «1 subteniente del regimiento de Baza D. Juan del Castillo. Seguida. Ei único prisionero que se tuvo faé por h…</t>
  </si>
  <si>
    <t>Miguel, Josef</t>
  </si>
  <si>
    <t>Josef Miguel</t>
  </si>
  <si>
    <t>…el ai Para el de Genoves , vacante por muerte de del corriente, unas casas sitas en la calle de las Hileras, número 12, manzana 390, que tienen de sitio 4748£D. Salvador Cambra, á D. Josef Miguel, presbítero. pies quadrados superficiales, con diferentes habitacio Para el de Sella, vacante por fallecimiento de nes, tasadas en 210311 rs. vn. Quien quisiere hacerD. Josef Martínez, á D. Tirso Gil, cura de Novele. postura acuda ante S. S. y citada escriban…</t>
  </si>
  <si>
    <t>MiHáradovitch</t>
  </si>
  <si>
    <t>83: ne'« pedir al general MiHáradovitch cuartel para sus forrageadores, y « entablar al mismo tiempo una especie de negociación para aquietar á sus tropas, — Murat (picado) : mi visita ha sido casual; solo que ría haceros saber los excesos cometidos por vuestras tro pas. La falta de disciplina es p…</t>
  </si>
  <si>
    <t>Miiíaradow</t>
  </si>
  <si>
    <t>…ba la retaguardia del que se d’rigia A Weissemberg ; y una batería de 40 piezas, colocada por el cunde Wittgenstein en las alturas de Wurschen, impidió que ei enemigo avanzase. El general Miiíaradow iteb cubrió la retirada del cuerpo qué iba para Hochkirch, y en la noche ya ocupaba el exército su posición. Tengo la hon ra &amp;c. rr Stewart. P. D. Según los informes mas auténticos que he podido adquirir , la fuer za de los aliados, no excedia de 65® hombres;…</t>
  </si>
  <si>
    <t>Miílaradowitch</t>
  </si>
  <si>
    <t>…mero de mas de 18000 hombres ; y le dio ; rden de marchar por la izquierda hácia Viasma. El mariscal se encaminó por Spft'skoy y Celinka , en dirección paralela á la que seguía el general Miílaradowitch: formando una curva el camino real, las líneas paralelas de marcha estaban mas concentradas en sí, pero expuestas á inconvenientes, porque los caminos eran menos transitables. „La eabeza de la columna del general Miílaradowitch llegó la pri mera al camino rea…</t>
  </si>
  <si>
    <t>…furiosa embestida con él objeto de apoderarse de Bautzen. A oste fin dio un ataque falso á nuestra izquierda para encubrir ei ver dadero y principal dirigido contra da derecha del general Miílaradowitch. Ei cuerpo del general Kleist. se movió para sostenerle, y entrambos resistieron al enemigo con la mayor bizarría. Yo mismo he presenciado dos cargas muy valé.ntes de la caballería ligera rusa, y el excelente porte que en general han tenido todas las tropas e…</t>
  </si>
  <si>
    <t>Miilaradowitch</t>
  </si>
  <si>
    <t>…a acción su desig nio de acometer el flanco de los aliados, á cuyo fin había dirigido gruesos cuerpos á las montañas de nuestra izquierda que favorecían su plan de ataque; pero el general Miilaradowitch estaba preparado aquí, habiendo destacado al príncipe Garchikoíf y al conde Asterman con 10 batallones de tropas ligeras, y un gran cuerpo de co sacos con artillería correspondiente, á las órdenes del coronel Davidovv , para que ocupasen dichas alturas. «Desp…</t>
  </si>
  <si>
    <t>…a k retaguardia del que se dirigía á W eissenberg; y una batería de 4© piezas; colocada por el conde Wittgenstein tn las alturas de Wur schen , impidió que el enemigo avanzase. El general Miilaradowitch cu brió la retirada del cuerpo que iba para Hochkirch, y en la noche ya estaba el exército en su posición. Tengo la honra &amp;c zz $¿ewart J* P. D. Según los informes mas auténticos que he podido adqui rir , la fuerza de los aliados ro excedía de 65® hombres ; y…</t>
  </si>
  <si>
    <t>Miiloradowitch</t>
  </si>
  <si>
    <t>…ió desde Ligue á Johannísberg, y de aüí á WiIlenburgo , combinando sus movimientos de suerte q*¡a pudiesen en trar en ei último pueblo al tiempo de llegar á Pystaitz ©1 cuerp# del general Miiloradowitch; lo cual se verificó en 27 de Enero. ,,El general Winzingerode con un fserte cuerpo de tropas lige ras formaba la vanguardia de aquellas dos columnas marchando por Muschmiiz á Corchell, y cubriendo todo el territorio que circuye aquel pueblo. Estos movimiento…</t>
  </si>
  <si>
    <t>Mijares</t>
  </si>
  <si>
    <t>435</t>
  </si>
  <si>
    <t>…i do extraordinariamente, y que ha pagado bien su temeridad y las ventajas que solo por la superioridad de sus fuerzas, y no por otra cosa, consiguió en Yecla sobre las tropas del brigadier Mijares, que se batieron con una bizarría digna de mejor suerte. „En esta ciudad, en BiaT y en Yecla han cometido los enemi gos toda clase de excesos y atrocidades." Número primero. „Excmo. Sr.: En la noche pasada tuve noticias, aunque vagas, de que los enemigos se h…</t>
  </si>
  <si>
    <t>…e el enemigo, conducido por el general betón Hariape, ocupase el pueblo de Yecla y obli gase á nuestras tropas á ceder el punto , lo demuestran los partea que me ha dirigido dicho brigadier Mijares, y de que acompañe las adjuntas copias ccr h s números l.° y S.° „Cuando esto sucedía en Yecla , se hallaba ya en Yilleua el batallón de infantería ligera de Ye!ez Málaga, y el mariscal Suchet estafen á menos de una legua de aquella ciudad coa una fuerte divi…</t>
  </si>
  <si>
    <t>Mijares, Francisco</t>
  </si>
  <si>
    <t>Francisco Mijares</t>
  </si>
  <si>
    <t>…ios defen sores de la buena causa perdiesen mas que al cabo Secundino Mar tínez, que por su intrepidez se arrojó en medio de la chusma. 6. Taguna de Piedras 2 de Abril de 1812. El teniente Don Francisco Mijares, comandante de guerrilla de la división del cura «apitan D. Francisco Álvarez, atacó con ico hombres á 400 rebel des de la gavilla de Qropesa en el rancho del Bocadito, y persiguién dolos hasta el llano de la laguna de Piedras, les mató’47» hirió á al gunos,…</t>
  </si>
  <si>
    <t>Mijares, Joaquín</t>
  </si>
  <si>
    <t>Joaquín Mijares</t>
  </si>
  <si>
    <t>…lo fatigado de los caballos. Los bandidos no se atrevieron á ofender á los nues tros y aunque lo intentaron por tres veces; pero habiendo sentido por ! Ja noche el movimiento del teniente D. Joaquín Mijares, que con 50 ! infantes se dirigía contra ellos, huyeron de nuevo por las barrancas. Su pérdida fue de 54 muertos y muchos heridos, siendo la de la tropa del rey un patriota de los primeros y 9 de los segundos, entre ‘ «líos el comandante Ochoa de gravedad en…</t>
  </si>
  <si>
    <t>Milán</t>
  </si>
  <si>
    <t>«01 tataña y el regimiento de Tarragona al mando del eoronel D. José Manso. £1 general Milán» y el Dr. Rovira con unos 4000 hombres en traron en Mataré , obligando al enemigo á encerrarse en el convento de Capuchinos, que debió ser atacado por las mismas tropas. ARTICULO DE OFICIO. \ Habiéndose notado el abusó escandaloso de celebrar exámenes y exped…</t>
  </si>
  <si>
    <t>Milán, Catfa-</t>
  </si>
  <si>
    <t>Catfa- Milán</t>
  </si>
  <si>
    <t>…igo para disipar tantas par tidas congregadas,- desconcertar sus esperanzas, y RE.INO DE ITALIA. destruir en podó* dias lo* preparativos de mu■chós meses.; Eir tanto pues? 5que el general Catfa- Milán ié‘de'febrero. Tellí ábastecia y reparaba íá plaza de Santoña, por La ciudad de Batsano d S. M. I. y R. sus espaldas aparecian de nuevo los insurgentes, queriendo -sórpristftnder á los puestos destinados Señor; para asegurar las comunicaciones. El dia 6 de en…</t>
  </si>
  <si>
    <t>Milaradowitch</t>
  </si>
  <si>
    <t>…rdia de los aliados con vigor ni buen éxito. Los cuerpos de los generales Barclay de Tolly, Blucher, York y Kleist se han movido hacia Leignitz; ios del conde Witt— genstein y del general Milaradowitch con dirección á esta plaza : el último tenia sus puestos avanzados en el rio Bober: y el enemigo ocupaba á Lowenburgo. » El exérciío aliado se mueve, á lo que parece , con dirección á Schvveidníta; y de este modo mantiene la comunicación con el Vís tula para…</t>
  </si>
  <si>
    <t>Milatis, Francisco</t>
  </si>
  <si>
    <t>Francisco Milatis</t>
  </si>
  <si>
    <t>…ido al Excmo Sr. gefe del estado mayor general en 26 del próximo pasado Enero por el señor general en gejfe de este exér* - - cito y principado. ,,Excmo. Sr.: El mariscal de campo D. Francisco Milatis me dice con fecha 21 del actual deade Pakui Toldera. io siguiente: Exorno. Sr.: Eu cumplimiento de io acordado con V. E. y con el objeto de incomodar á los vándalos, subí con los batallones de</t>
  </si>
  <si>
    <t>Miles</t>
  </si>
  <si>
    <t>…ortunado asalto dé la cortina con el valiente batallón de Reales es coceses, y también de la conducta exemplar del teniente coronel Cameron del 3 ri3. de infantería, y el teniente coronel Miles del 38 de infantería y y de todos los oficiales y soldados empleados, y se confiesa particularmente obligado al celo, inteligencia é intrepidez del mayor de brigada Tailor y del capitán Stewart de reales escoce ses,* que hizo de su ayudante de campo. »E1 mayo…</t>
  </si>
  <si>
    <t>Milhaud</t>
  </si>
  <si>
    <t>…erno de Caracas , y baxo el pretexto de informar se del estado de las necesidades de sus administra guncia. dos, tomó á bordo (contra las leyes del país) un El general de división conde Milhaud tiene á millón de duros pertenecientes á algunas casas In sus órdenes una brillante y numerosa caballería; y es cosa que sorprehende y asomb.a el ver los pron glesas establecidas en Caracas. . „ Poco tiempo después volvió á ganar el parti tos é inmensos refue…</t>
  </si>
  <si>
    <t>Mili</t>
  </si>
  <si>
    <t>…ena porción de sus rique zas , y muchos efectos. Debo recomendarlos á todos, ya que me consta que han merecido la aceptación de los señores generales in gleses , especialmente del señor Mili, testigo presencial de la valentía y arrojo con que se batieron r las buenas disposiciones del teniente coronel Oraá contribuyeron no poco al logro de tan felices resulta dos. ~ Dios guarde á V. S. muchos años. Royíegui 23 de Junio de 18 13. = Sebastian Ferna…</t>
  </si>
  <si>
    <t>Miliar</t>
  </si>
  <si>
    <t>…dió un puesto avanzado en IConiosbruck, é hizo prisionero á todo el destacamento, que consistía en 8 oficiales y 1-3 soidados. »F,¡ i» y hubo varios reencuentros con el cuerpo del general Miliar&amp;d®tvitch , tu ios cuales tuvo el enemigo id' muertos, 15ce- he-</t>
  </si>
  <si>
    <t>Miliaradowitch</t>
  </si>
  <si>
    <t>…rdia de los aliados con vigor ni buen éxito. Los cuer pos de los generales Barclay de Tolly, Blucher, York y Kleist se han mo vido hacia Léignitz; los del conde Wittgenstein y del general Miliaradowitch con dirección á esta plaza: el último tenia sus puestos avanzados en el rio iBober, y el enemigo ocupaba á Lowenburgo. ,,El exército aliado se mueve, á lo que parece, con dirección á Schweidnita; y de este modo mantiene la comunicación con el Vdstula para Cze…</t>
  </si>
  <si>
    <t>Milies</t>
  </si>
  <si>
    <t>…ue ilegase nuestra infantería, lo veriiicó en un orden admirable; sin embargo perdió un canon y algunos prisioneros , que tomó el escuadrón del 14 de dragones ligeros al mando del capitán Milies, y un destaca mento del 3.0 de dragones de línea, que cargaron su retaguardia. = 51 enemigo tomó posición ¡sobre la izquierda de los ríos Arlanzón y Urbel, que de resultas de'las lluvias estaban muy crecidos; y duran—\ te ia noche retiró el todo de su exéreit…</t>
  </si>
  <si>
    <t>Millarado</t>
  </si>
  <si>
    <t>T&amp;-. . ; ,,La van guardia del exército, al mando del general Millarado» witch , compuesta de las divisiones segunda y séptima de i -fanterí» y déla segunda división de caballería , ha debido pasar el Nieper en Kopis el 23, encaminándose por Toloícliina para incorporarse con el destacamento del general ErmaIoff._ , „El exército p…</t>
  </si>
  <si>
    <t>…izarría. Yo mismo he presenciado dos cargas muy valé.ntes de la caballería ligera rusa, y el excelente porte que en general han tenido todas las tropas em peñadas en la acción. El general Millarado vvitch tomará posiciones es ta noche. «Segunlo ocurrido hoy, parece que él'enemigo intenta hacer aquí un grande esfuerzo. Tengo ia honra C. Steivart** ■</t>
  </si>
  <si>
    <t>Millaradonvitcfr</t>
  </si>
  <si>
    <t>…llaba en el camino de Krasnoi, tomq Jas siguientes disposiciones : , JParte segundo. A fin de cortar enteramente la comunicación del enemigo con el resto, del exército, reforcé ai general Millaradonvitcfr con él oc? tavo cuerpo , mandándole impidiese que el mariscal avanzara y to mase posición cerca de las aldeas de Syroberie y Tcheniska. El ma yor general Lorkouski observó á las 3 de la tarde que el enemigo avanzaba ; pero una niebla muy densa le impidió reco…</t>
  </si>
  <si>
    <t>Millaradovitch</t>
  </si>
  <si>
    <t>…aviso de que el enemigo estaba á distancia de mi14a y media, destacó un escuadrón del regimiento de Kahnopolskyy que mató parte del destacamento enemigo, é hizo 10 prisioneros. El general Millaradovitch participa con fecha del 12, que desde la aldea de Knageneim destacó una partida por el camino de Smolensko y Krasnoy á fin de reconocer al enemigo, y traxo 17prisio neros. En el mismo dia el conde Ostermann Toltstoy envió al regí-, miento de dragones de P^kof…</t>
  </si>
  <si>
    <t>Milláradovitch</t>
  </si>
  <si>
    <t>…ido , cayó allí mismo prisionero. Algunos destacamentos j mandados por el príncipe Badbolk y ©tro que fue destinado por el mayor general Carp, hicieron mas de K-0 prisión eres. F1 general Milláradovitch participa con fecha de 12 de Noviera* bre, que el mayor general Necff hizo 160 prisioneros en Chaivanaoff. El mayor general Volosdini participa que el coronel Kreiganobski había desbaratado un destacamento de 7G0 hombres que man daba el mayor Aberjeu : parte…</t>
  </si>
  <si>
    <t>…e la acción ocurrida con el conde Lambert. Sin embargo el conde Wittgenstein da á entender en su ultimo, parte que contaba con la cooperación del almirante y del conde Platow. „El general Millaradovitch había llegado á BorisoS' á la salida de los últimos partes que se han recibido. ,,Ei Cuartel general del exército del mariscal Kutusow seguí* marchando por el lado meridional del camino real que va de Smo» lensko á Minsk, en línea paralela, aunque muy a tras…</t>
  </si>
  <si>
    <t>Millaradowitch</t>
  </si>
  <si>
    <t>…teniente genera! OnveroWj encontró al ¡enemigo y le destrozó completamente , tomándole una bandera , algunos cañones , gran número de prisioneros, entre ellos á un general. . „Ei general Millaradowitch , que mandaba la vanguardia , con el segundo cuerpo de infantería ligera,y el segundo de caballería,,vien do que el cu erpo man dado por el mariscal Davoust se acercaba á Krasnoi, destacó para este punto al teniente general príncipe Gallitzin. Conociendo el e…</t>
  </si>
  <si>
    <t>…te era forzar el paso del rio Spree, atacando por derecha é izquierda de Bautzen, para pasar á unas alturas que Labia á nuestra derecha, amenazando de este modo ia retaguardia del general Millaradowitch ^ y ganando un terreno Ventajoso , desde donr de pudiese dominar con su artillería nuestra posición principal, y al abrigo de aquella tomar sus disposiciones para el atáque general en la mañana siguiente. «La batalla fué disputada con mucho ardor: un batallón…</t>
  </si>
  <si>
    <t>…un puesto avanzado en Konigsbruck, é hizo prisionero á todo el destacamento, que consistía en ocho oficiales y 173 soldados. ,, El 12 y 15 hubo varios encuentros con el cuerpo del general Millaradowitch, en los quales tuvo el enemigo 1® muertos, 1500 heridos, seis ofi ciales y 300 soldados prisioneros. El día 18 el general Jelowaiski hizo pri sionero á un cuerpo de lanceros de la guardia holandesa; y por la tarde del mismo dia el generalMillaradowitch hizo u…</t>
  </si>
  <si>
    <t>■.148 gera rusa, y el excelente porte que en general han tenido todas las tropas empeñadas en la acción. El general Millaradowitch tomará posiciones esta noche. ,,Según lo ocurrido hoi, parece que el enemigo intenta hacer aquí un C&gt;grande esfuerzo. TengoO la honra 6cc.=:C. Stewart.” Tercero. Qnartel general de Goldberg [en la Silesia) 0,4 de mayo. ,,Milord: en ni i anterior olido noticié…</t>
  </si>
  <si>
    <t>…ión su designio de acometer el ña neo de los aliados, á cuyo iin habla dirigido un numeroso cuerpo d las montañas de nuestra izquierda , que favorecían su plan dé ata que; pero el general Millaradowitch estaba preparado aquí, habiendo des tacado al príncipe Garchicoff y ai conde Asterman con 10 batallones de tro pas ligeras, y un gran cuerpo de cosacos con artillería correspondiente, á las órdenes del coronel Davidow, para que ocupasen dichas alturas. ,, Des…</t>
  </si>
  <si>
    <t>…ttgenstein debe continuar mandando á ios rusos, y el general Blucher á los prusianos, exerciendo Barclay de Tolly las funcio nes de comandante-en gefe de los exércitos aliados. El general Millaradowitch, en razón de estar enfermo, ha entregado por ahora su mando al conde de Pahiin. .1 El vizconde Castlereagh, secretario de Estado de S. M. Británica , ha recibido los oficios siguientes del vizconde Cathcart y del teniente general sir Carlos Stewart,- con fech…</t>
  </si>
  <si>
    <t>Millaut</t>
  </si>
  <si>
    <t>…octubre, en el momento en que se daba la batalla de Hanau, el general Lefebre Desnouettes, al frente de su división de caballería y del quinto cuerpo de caballería mandada por el general Millaut, flanqueaba toda la derecha del exército del lado de Bruckaboel y de Vieder-Issingheim. Encontróte á la presencia de un cuerpo de caballería rusa y aliada de 6 á 7® hombres: se trabó e! combate: diéronse muchas cargas, todas á nuestro favor; y este cuerpo ene…</t>
  </si>
  <si>
    <t>Miller, Francisco</t>
  </si>
  <si>
    <t>Francisco Miller</t>
  </si>
  <si>
    <t>…lor con que se han portado los demas oficiales y soldados de este cuerpo de caballería, de quien tengo re petidas pruebas , y particularmente la intrepidez, arrojo y serenidad del teniente D. Francisco Miller, que habiéndose batido solo con dos dragones, los dexó muertos en el campo. „Dios guarde &amp;c. — Begís 22 de Noviembre de 1812. — Pedr• Vil'acmmpa” 2.® „Excm*. Sr.: EL23 del corriente fué reforzada la división del general Panatier con 50 caballos y 500 infantes…</t>
  </si>
  <si>
    <t>Míller, Francisco</t>
  </si>
  <si>
    <t>Francisco Míller</t>
  </si>
  <si>
    <t>…la vista de nuestras fuerzas. „El capitán Lombas recomienda encarecidamente, y yo á V. E.,, la unión, valor y bizarría de los oficiales y soldados, particular mente el denuedo del teniente D. Francisco Míller, que con los ca bos Pablo Berdoy y Pascual Benedicto , el soldado distinguido Don Joaquín Tarín , y los soldados Manuel Casan y Antonio Galvez, persiguió al resto fugitivo hasta las mismas puertas de Liria, cu ya guarnición , lejos de salir á socorrer á los q…</t>
  </si>
  <si>
    <t>Milloradowitch</t>
  </si>
  <si>
    <t>…ardias que escoltaba el bagage de Napoleón; les mató ¿00 hombres, cogió un estandarte, pane del bagaga y papeles de gran importancia. El cuartel general está con la vanguardia del general Milloradowitch, para hallarse mas cerca del centro de las operaciones militares. El coronel Koussing participa que ha hallado en Minsk , ademas de una provisión considerable de pan, cerca de 3000 fusiles exce lentes de la fábrica de Lieja. Id. 8. El almirante Tchichagoff co…</t>
  </si>
  <si>
    <t>Milloradowitsch</t>
  </si>
  <si>
    <t>…r fuerza, y el enemigo fue igualmente rechazado en este punto. Todo estaba preparado para volver á la batalla al dia siguiente al romper el sol, y se habían comunicado ór denes al general Milloradowitsch, que se hallaba en-Zeitz con todas las tro pas de su mando , para que al amanecer se reuniese al grueso del exército. ¡La presencia de un cuerpo con ibo piezas,que no habia combatido , no po día dexar dudoso el feliz resultado de este dia; pero al amanecer el…</t>
  </si>
  <si>
    <t>Milorádowitch</t>
  </si>
  <si>
    <t>tz enemigos, en aquel lado, según despues se vio, fue solamente un ardid. El general Milorádowitch , baxo cuyas órdenes estaba el general Emanuel man dando las tropas ligeras, tenia el mando del ala izquierda baxo el mando del duque de Wirtembergh. Un poco después la batalla se renovó con mucho mas ardor hacia el centro, en donde particularmente la artille…</t>
  </si>
  <si>
    <t>MilUradoviittíh</t>
  </si>
  <si>
    <t>66* cortar ct euerp© del general MilUradoviittíh; per© no lo consiguió. £n Reichenbaeh tomó la retaguardia posición, la que se detendió del modo mas obstinado contra las embestidas del enemigo, dirigidas por Bom*parte en persona. El enemigo presentó grandes fuerzas de caballería, -ó hizo varias cargas contr…</t>
  </si>
  <si>
    <t>Min</t>
  </si>
  <si>
    <t>…ta operación, que se efectuó felizmente; de cuyas resultas nuestras tropas se estable cieron en el convento y lugar mas abaxo, é inmediato al que los franceses habían quemado. «El general Min3, en 12 del corriente me dice que el general Duran se le había unido cerca de Z trago za ; que htbia atacado al general París el 8 , quien ha mandado de algún tiempo á esta parte en Aragón una división: que el general París se retiró en la noche del 9, dsxand…</t>
  </si>
  <si>
    <t>Mina</t>
  </si>
  <si>
    <t>…uien ha mandado de algún tiempo á esta parte en Aragón una división: que el general París se retiró en la noche del 9, dsxando guarnición en un reducto próximo á Zarago za: que el general Mina dexó al general Duran pira que le atacase, mientras que él con su división y la caballería de D. Julián Sánchez seguía al enemigo: que le había tomado un considerable numero de prisioneros, bastante bagage; y el 11 un convoy. Es imposible elo giar demasiadame…</t>
  </si>
  <si>
    <t>…medio del terror.” En fin nuestra lucha es tal que parece la decidirá á favor nues tro un reves en cualquiera de los exércitos franceses de la península. Del Urge! escriben que el Sr. Mina ha cogido á 15 individuos de la policía de Lérida, y que los ha mandado ahorcar á un cuarto de legue de aquella plaza. También escriben del campo de Tarragona que han llegado á Reus algunos gefes ingleses , y que cuanto ñutes llegará una divi sión de infanter…</t>
  </si>
  <si>
    <t>…abolición de aquellas.” (Aquí las firmas, Se continuará.) ESPAÑA. Puente la Rey na 15 ce Febrero. El dia £7 de Enero hubo un ataque en la villa de Barasoain en tre las tropas del general Mina y un cuerpo francés. Duró el fuego todo el día en dicha villa y en el término del caserío de Lepuzaín, Solchaga y M endi vil; y aunque los franceses Meleros terrible fuego contra los voluntarlos con 4 cañones, no pudieron pasar del lugar de Mendivil hasta que…</t>
  </si>
  <si>
    <t>…umna de igual número que se haUaba ea Villarcayo, se ha dirigido (según avisaron anoche de oficio) á Espinosa y Agüera, preguntando pof el camino de Bilbao, Castro y Santander. El general Mina se ha retirado á Aragón obligado por los enemi gos, que en número de 10000 infantes y 1200 caballos ocupan á Estella , Puente de la Rey na y sus inmediaciones; y en el valle de Bo» runda se halla otra columna de 3000 infantes. Tetro !.u de Moyo. Ahora que son…</t>
  </si>
  <si>
    <t>…l brigadier Durban desde Salvatierra y Vitoria hácia Loproño, con el hn de poder cortar al general Clatsse!. »E1 hizo varias marchas extraordinariamente forzadas perseguido por ei general Mina con su caballería . y ei regimiento de lanceros de Castilla del mando del brigadier D. Julián Sánchez , y liego á Tíldela la tarde del día 27. En aquella ciudad pasó el Ebro; ñero in formado por el alcalde de hallarse nuestras tropas en el camino, in mediatam…</t>
  </si>
  <si>
    <t>…e ¡apoyaron en los montes sobre la derecha, obligando á los franceses á tomar el camino del Cubierrer y picándoles siempre la retaguardia. Con esta operación se dio lugar á que el general Mina acudiese con su .caballería. Para verificarlo hizo que los caba llos pasasen á nado el Ebro, las sillas en barcos, y el general por las ruinas del arco del puente volado por los enemigos por medio dé doá escaleras co locadas en los. dos' lados opuestos. A las…</t>
  </si>
  <si>
    <t>inclinado á la sierra de Castejon. Y sí eí general Mina tiene la suerte de dete nerlos 24 horas en aquel punto, probablemente perecerán de sed, pues no es fácil que encuentren donde saciarla. = Zaragoza jj de julio de i8r ^.’r Noia. Se sabe que el general París por caminos extraviados, y dando va rios rodeos, pudo…</t>
  </si>
  <si>
    <t>…rigadier Durban, desde Salvatierra y Vitoria hacia Logroño, con el fin de poder cortar al general. Clausel. „Él hizo varias marchas extraordinariamente forzadas, perseguido por el general Mina con su caballería, y el regimiento de lanceros de Castilla del mando del brigadier D. Julián Sánchez, y llegó á Tudeia la tarde del día 27. En aquella ciudad pasó el Ebro ; pero informado por el alcalde de ha llarse nuestras tropas en e! camino, inmediatament…</t>
  </si>
  <si>
    <t>…TICULO DE OFICIO. Al señor secretarlo del despacho de la Guerra dice el señor du que de Ciudad-Rodrigo lo siguiente: «Exorno. Sr.: Desde que escribí á V- E. en 3 del corriente, el general Mina me avisa de que el general CiauseL había marchado de Zaragoza hácia Jaca. Sin embargo hasta ahora no he oido que haya llegado á aquella plaza. = La derecha del enemigo ha permanecido casi en la misma situación en que se colocó después que pasó el Vidasoa y de…</t>
  </si>
  <si>
    <t>…itán D. PedroSologaistoa, en Torrero, y el resto del regimiento en la Casablanca; y tanto este como aquella permanecieron en sus respectivos puestos hasta las tres de la tarde. El general Mina, cuya . fuerza consistía en dos regimientos de infantería y dos de caballería, habia sido atacado por 405® hombres de ambas armas, con un obús y un cañón : la resistencia que les hacia merece los mayores elogios; pero como en razón de la superioridad del enem…</t>
  </si>
  <si>
    <t>…setas, cuyo punto ocupaba con alguna caballería. El motivo de esta orden fue la aproximación de una coluna enemiga bastante numerosa de'infantería y caballería , y el deseo que el general Mina tenia de batirla. En conseqiiencia de esto ordené sin detención una contramarcha hacia el expresado pueblo, á cuyo arribo supe con placer que la valiente caballería de este general llevaba en retirada á la del enemigo. Se me dio orden para seguir la misma mar…</t>
  </si>
  <si>
    <t>…do, y se dice que Soult ha venido á mandar el. exército francés.. Zaragoza 21 de Julio Eos franceses permanecen en este castillo, y parece que mañana romperá el fuego contra él el general Mina, que se halla aquí con . bastante tropa.. El domingo próximo pasado se entregó la guarnición de la Almunia, que debe entrar de hoy á mañana prisionera de guerra en. esta ciudad..— El enemigo ha evacuado el fuerte de Alcañiz. ARTICULO DE OFICIO. La Regencia de…</t>
  </si>
  <si>
    <t>ayo Partt remitido por el Exorno. Sr. duque de Ciudad-Rodrigo al Sr. secre tario del despacho de la iduerrd. ,',,Excm&lt;&gt; Sr*desde que escribí á V. E. en 3 del corriente, el general Mina me avisa (de que el general Clausel había marchado de Zaragoza hácia Jaca. Sin embargo, hasta ahora no lie oído que haya llegado á aquella pla za. —— La derecha del enemigo ha permanecido casi en la misma situación en que se colocó después que pasó eiSBidasoa…</t>
  </si>
  <si>
    <t>…e se merecen las virtudes y religión de este tan pacifico y humilde prelado. Del jy. :! Noticias del quartel general. D. Carlos de España sitia á Pamplona, y á este le relevará el general Mina, con quien toda esta tierra está entusiasmada. El exército de reserva de Andalucía que sitiaba á Pamplona está pori esta parte en Vera, dentro de Francia una legua, habiendo tomada las posiciones quetenian los france ses en la altura de dicho Vera. Todos los…</t>
  </si>
  <si>
    <t>…Pamplo-^ na, donde empiezan á tener mucho valor las carnes de caballo y mulo; los enfermos se alimentan con agua de arroz, y ios trompetas van y vienen continuamente ai campo del general Mina. Parece que pasan igualmente á reforzar el exército del Pirineo todas las divisiones sueltas. Se asegura que seguirá la misma dirección el general Wittingham con las tropas españolas, de su mando. Nos persuadimos qae el lord Wellington reunirá 160® hombres co…</t>
  </si>
  <si>
    <t>…del 11 del corriente, y se retiró á Francia^ dexando allí una guarnición de 800 hombres. E^ta fuerza faé ata cada el mismo día por Un destacamento de infantería de la división del general Mina. «Después que dirigí á V. Ei mí anterior oficio, las tropas del exército aliado no han hecho movimiento alguno de importancia, ni tampoco el enemigo ninguno de consecuencia. y* ¿lacé días que no he recibido partes del teniente general lord Wiükm Bentinck. &gt;»…</t>
  </si>
  <si>
    <t>…dea del estado en que Suchet ha de seado á Tarragona; se ven montones *e escombros por todas partes, y apenas han quedado edificios. Esta ha sido la causa particular por la que el general Mina ha prevenido á la guarnición de Pamplona que en el caso de volar la mas pequeña parte de la fortificación, ó de los edlñcios de particulares, no será admitida á capitular, y que»' dsrá excluida .de la protección de las leyes de la guerra. Madrid 22 de Setiemb…</t>
  </si>
  <si>
    <t>…queado por un batallón de tropas na cionales , y que esperaban por momentos la llegada de un general con tro pas y artillería para formalizar el sitio. Él día 3 salió de Ayerve el general Mina con dirección á Francia , y se dice que el 6 estaba ya á la vista de Oloron. . Las noticias recibidas por el último correo de la mala han dado margen á una porción de cavilosidades, hijas en muchos de la ignorancia de los he chos , de la situación topográfica…</t>
  </si>
  <si>
    <t>…al que se forma desde Bayona á S. Juan de Pie de Puerto los Ingleses, portugueses y parte de españoles. En el último ataque han sufrido mucho los dos batallones de la división del señor Mina, comandados por Gorriz yAssura. - Ayer se abrieron todas las tiendas de comercio de S. Juan de Luz. Hasta ahora no se permite extraer nada de Francia, sin duda por evitar los robos,, , Dia J La mayor parte de nuestro éxército se re.tira á esta frontera de Esp…</t>
  </si>
  <si>
    <t>…l que se forma desde Bayona á San Jmaa de Pie de Puerto los ingleses , portugueses y parte de españoles. En el ultime ataque han sufrido mucho los do&gt; batallones déla división del señor Mina, comandados por GorrJz y Assura. A ver se ab doren todas las tiendas de comercio de S. Juan de Luz. Hasta ahora no se permite extraer nada de Francia, sin duda por evitar los robos. Uta 15. La mayor parte de nuestro exército se retira á esta fron tera de Espa…</t>
  </si>
  <si>
    <t>Mina, Espoz y</t>
  </si>
  <si>
    <t>Espoz y Mina</t>
  </si>
  <si>
    <t>…la hacienda nacional 60¿0 pasos fuertes: 686 quintales de pólvora para canon: 314 id. para fusil: 4340 id. de nitrate de sosa : y 1117 pesos con destino al exército del mando del general Espoz y Mina de donativo colectado en Arequipa. También conduce para el comercio y particulares 952140 pesos 3 y medio rea les plata, entre ellos 20000 para el mismo exército de E*poz y Mina; y 2000 con aplicación á los defensores del principado de Asturias: 36093 id. en…</t>
  </si>
  <si>
    <t>…rcitos, pues es muy frecuente la entrada de tropas francesas en Burgos y en Vitoria , de donde debió salir para Francia el 29 de Mayo un convoy muy grande con bastante gente. — El general Espoz y Mina »e halla perseguido por fuerzas cuadriplicadas á las suyas, y como carece de apoyo, es de temer que se«. arrollado. Solo se confía en que los recursos de su talento lo libertarán de tantas fuerzas como han ido contra él, ademas de las que se juntarán en la re…</t>
  </si>
  <si>
    <t>…o en Aragón. Por otro lado sabia que me habian hecho prisioneros un 'oficial y quátro1 soldados que tenia de comisión en la ciudad, habiendo sufri-dó iguñl strerte Un ayudante dél señor Espoz y Mina con seis soldados. Es tas coñsidéracionéís pues debían decidirme á un esfuerzo extraordinario. Ma nifesté á mis oficiales y soldados que habia 500 caballos enemigos en Cala horra; consulté á sus semblantes y á sus palabras; vi en aquellos la alegría, tnióíTtt…</t>
  </si>
  <si>
    <t>…rigen los tiros de ca ñón á las eras y puerta dei Portillo , donde mataron ayer tres pai sanos qúe lo ignoraban. Se i-alia aquí la división del general Duran y tres batallones del general Espoz y Mina , io:&gt; que contienen la salida de los enemigosdel castii'o, precisándolos á mantenerse encerrados. La • gu aniicion. enemiga dé la Al ni un la , fortificada en un con vento, se mantiene con tusón-. Están los nuestros batiéndole con un obús , y á pesar de habe…</t>
  </si>
  <si>
    <t>…del exército camina á internarse en Francia en tres trozos, uno por L an, otro por Roncesvalies y otro por Eiizondo, en el que va en persona el duque de CiudadRodrigo. Ei insigne general Espoz y Mina alcanzó á los franceses que sa lieron de Zaragoza en Leclñena, y Ls quitó todo ei botín, después de haberles muerto y herido cerca de 2® hombres, cogiéndoles 8® prisioneros, entre ellos 20 españoles renegados. AVcante 17 de Julio. Copia de una carta de D. Ase…</t>
  </si>
  <si>
    <t>de Carcastillo, que se dirigen á Zaragoza de orden del Sr. Espoz y Mina. Ayer llegaron unos roncaleses á quienes les cogió en Oloron el avance de nuestras tropas; estos que se hallaban alli presos por los franceses, y se han podido escapar, aseguran era público én aquella ciudad haberse roto el armisticio, empezado las hostilidad…</t>
  </si>
  <si>
    <t>Mina, Francisco Es-paz y</t>
  </si>
  <si>
    <t>Francisco Es-paz y Mina</t>
  </si>
  <si>
    <t>ESPAÑA. Uricas a 2S&gt; de Mayo. Continúan los gorfes del mariscal de carago D. Francisco Es-paz y Mina. Decimotercio. El comam-dante accidental del séptimo regimiento me dice ha berle dirigido el teniente D. Agustín Mora, que lo es del primero, el siguiente parte- "Mi comandante: Después de haber evacuado las comisiones que, como V. no ignora, se me confiaron,…</t>
  </si>
  <si>
    <t>Mina, Francisco Espcz y</t>
  </si>
  <si>
    <t>Francisco Espcz y Mina</t>
  </si>
  <si>
    <t>…nes, y que al desempeñarlas no me he apartado en un ápice délas instrucciones recibidas de V. cuya vida guarde Dios muchos años. Vinefar 17 de Enero de 1813. — Manuel Gurrea.— Sr* D. Francisco Espcz y Mina.” (Se continuará.) ARTICULO DE OFICIOCircular del ministerio de Hacienda. Estando mandado que los empleados fugados dé la hacienda pú blica , que tengan justificada su conducta política , se hallen en los puntos mas inmediatos á sus destinos para servirlos co…</t>
  </si>
  <si>
    <t>Mina, Francisco Espese y</t>
  </si>
  <si>
    <t>Francisco Espese y Mina</t>
  </si>
  <si>
    <t>…les de enviado extraordinario y ministro plenipotenciario de S. M. C. para residir cerca de este gobierno... ESPAÑA. Urbasa 2j&gt; de Mayo. Continúan los partes del mariscal de campo D. Francisco Espese y Mina,. Undécimo. wEl mismo comandante me dice haber recibido del teniente co ronel del quinto regimiento de su mando D. Marcelino Orda el si guiente parte. Mi coronel: el general Taupin con 4© infantes, 60 caballos y 2 cañones, discurría las Amescoas, y noticioso…</t>
  </si>
  <si>
    <t>Mina, Francisco Espez y</t>
  </si>
  <si>
    <t>Francisco Espez y Mina</t>
  </si>
  <si>
    <t>…en el lance mas crítico y apurado, después de haber peleado ventajosamente contra el enemigo. — Dios guarde á V. S. muchos años. Lesaca 2 de N cvkmbre de 1812. — Matías Itzarve. — Señor D. Francisco Espez y Mina.” 2.ú „El comandante de! cuarto escuadrón de caballería me dirige el siguiente parte. — Mi general: Ayer á las dos de la tarde supe que un posta de mucha importancia, que conducía la balija de Suchet desde Zaragoza para Francia, debía pasar por la carretera p…</t>
  </si>
  <si>
    <t>Mina, Francisco Espot y</t>
  </si>
  <si>
    <t>Francisco Espot y Mina</t>
  </si>
  <si>
    <t>…Konigsberg, y que uno de sus cuerpos se dirige á Merael: también se decía que estaban en Dantzick. ESPAÑA. JPuente la Rej/na 20 de Diciembre de 1812. Parles del mariscal ch campo D. Francisco Espot y Mina al Excmo. Sr. D. Gabriel de MendhabaL l.° „Excmo. Sr.: El comandante de observación del punto de Lesaca me dice lo siguiente. Mi general: Por noticias positivas que recibí de la parto de Irun, supe que diariamente cruzaban la carre tera desde Tolosa escoltas…</t>
  </si>
  <si>
    <t>Mina, Francisco Éspox y</t>
  </si>
  <si>
    <t>Francisco Éspox y Mina</t>
  </si>
  <si>
    <t>…ldado, tan digno de la estimación pública y de la gratitud de la patria. Concluyen las promociones hechas por la Regencia del rey no en la di visión que manda el mariscal de campo D. Francisco Éspox y Mina. A tenientes de fusileros á D. Francisco Retana, D. Agustín Men* dioroz, D. Juan Francisco Guelbenzu , D. Joaquín Diez, D. Do mingo Zaídna, D. José Buesa, D. Antonio Gastón, D. Tomas Otochoreua , D. Antonio Alvarez , D. Manuel Sesé , D Martin Martínez, D. Ant…</t>
  </si>
  <si>
    <t>Mina, Francisco Espox y</t>
  </si>
  <si>
    <t>Francisco Espox y Mina</t>
  </si>
  <si>
    <t>514 ESPAÑA. Pítente la Reyna 6 de Abril. Concluyen los partes del mariscal de campo D. Francisco Espox y Mina, Séptimo. ,,Exorno. Sr. i Por la ida de Caffsrelli á Francia le ha accedido en el mando del exército del ncrte de España «1 general Ckusel, que ha reasumido en sí todas las facultades de aquel. Las voces de exterminio y horror contra la división de mi mando s…</t>
  </si>
  <si>
    <t>Mina, Francisco Espoz y</t>
  </si>
  <si>
    <t>Francisco Espoz y Mina</t>
  </si>
  <si>
    <t>…Y. S. para que se sirva elevarlo á noticia del supremo Gobierno. — Dios guar de á Y. S. muchos años. En el alto de Descarga l.° de Noviembre de 1812. — Sebastian Fernandez.—Señor general D. Francisco Espoz y Mina.” (Se continuarán.) JBerga 30 de Noviembre. El mariscal de campo barón de Eróles, con fecha de 15 del pro pio mes desde la Llacuna, dice al Excmo. Sr. D. Luis Lacy lo que sigue. „Excmo. Sr.: La ocupación del castillo de Balaguer era para mí de la mayor import…</t>
  </si>
  <si>
    <t>…paramaniobrar, por tener copio sos almacenes. ‘ ARTICULO DE OFICIO. Continuación de lar promociones ñedhns pon la Regencia del reyno en la división que mando el mariscal de campo D. Francisco Espoz y Mina• A capitanes de fusileros á D. Ramón Navarlaz, D. Hilario Mar co, D. Ramón Marichalar, D. Juan Badina y D. Juan Francisco Zarimluqui: á ayudantes á D. Pascual Sanz, D. Domingo Olejua , Don Juan Esteban Anant, D. Juan Monton ,D. Ramón Díaz de Itarraza, D. Ambr…</t>
  </si>
  <si>
    <t>…con su partida sin otra desgracia. Lo que comunico á V. S. para su inteligencia. Dios guarde á Y. S. muchos años. Exea de los Caballeros 11 de Noviembre de 1812.— Manuel Garrea, — Sr. D. Francisco Espoz y Mina.” (Se continuará.J f Coruña 16 de Enero de 1813. Parte del coronel D. Juan López Campillo, comandante del segundo batallón de tiradores de Cantabria , dirigido al general en gefe del séptimo exército. ,,Excmo Sr.: Di ayer parte á Y. E. de que los enemigos hab…</t>
  </si>
  <si>
    <t>…c©m patriotas, man.fesiaron agüellas sinceras demostraciones de jubi lo, propias de todo pueblo que tiene honradez, sentimientos pa« trio ticos y carácter. El io Intimo el «miseá! D. Francisco Espoz y Mina la rendi ción á la tropa francesa qae quedo guarneciendo el castillo ; pero el enemigo contesto que trataba de defenderse. En seguida el mismo mariscal dio las disposiciones convenientes , y partid vadeando el Ebro con su caballería en seguí miento’ de los fr…</t>
  </si>
  <si>
    <t>…igo en esta empresa , suplicándole los tenga en consideración para acordar les las distinciones quev V. S. tuviese á bien. Dios guarde á V. S. mu chos años. = Manuel Guerra. = Sr. general D. Francisco Espoz y Mina.” Tercero. ,,EI 23 de Febrero salí de Tafalla , dirigiéndome^ á Sos en el alto Aragón , cuya villa ocupaban los enemigos hacia mas de 40 meses. Después de tanto tiempo se habían proporcionado dos grandes edifi cios contiguos , de los que uno era granero y el…</t>
  </si>
  <si>
    <t>…gefe del estado mayor general desde el cuartel general de Cáceres con fecha 4 del actual, los partes que le ha dirigido el comandante general del alto Aragón el mariscal de campó D. Francisco Espoz y Mina , y son los siguientes : Primera. &gt;,Excmo. Señor *. A los primeros avisos de llegar * la costa las dos piezas de batir que la generosidad inglesa ha tenido á bien pro porcionarme, destiné 600 hombres de mis tropas que fuesen i recibir las , y se encargasen de…</t>
  </si>
  <si>
    <t>499</t>
  </si>
  <si>
    <t>…fruto del valor de mis soldados, y del amor y respeto que profesan á V. S. Dios guarde á V. S. muchos anos. Vera 13 de Mar io de 1813.— El sargento primero Fermín de Feguia. — bi. general D. Francisco Espoz y Mina.” , , . . A Por el resultado de una empressa a todas luces arriesgada, co nocerá V. E. con facilidad el distinguido mérito que en esta ocasión ha contraído el sargento primero Fermín de Leguia, y U partida de su mando, y aunque él no la recomiéndalo hago yo e…</t>
  </si>
  <si>
    <t>502 pablo. Sr. general D. Francisco Espoz y Mina.*— Y yo lo elevo á la noticia de V. E. para su inteligencia. Oios gnarde á V. E. ran chos años. Aguiiar 23 de Marco de IBIS. — Exorno. Sr.— Francisco Mspox y Mina* — Exorno. Sr. D. Francisco Xavier de Castaños.1* Cuarto. * « * ,,El capitán de caballería D. Lo…</t>
  </si>
  <si>
    <t>…mbres , y la de Borbon con 900 forman una línea desde el Duero hastaLerma, hallándose el primero eri este punto, el segundo enGu* miel y el tercero en Roa. Jlepresenékcion qu¡e el general D. Francisco Espoz y Mina dirigió al so-: be rano congreso nacional en febrero del presente año. Señor : desde el instante en que V. M. se digno dirigirme algunos exemÍllares de la obra grande de lá Constitución política de la. monarquía es paño* a, promulgada en Cádiz á 19 de marzo d…</t>
  </si>
  <si>
    <t>…s . l’\ que hasta ahora le hari perseguido. \ J ' Cervera 2&lt;Tde JMtayo. *. Asesar- dél decidido.y porfiado empeño que tiene el enemigo en destruir la bizarra división que manda el general D. Francisco Espoz y Mina, todavía sus esfuerzos han servido para manifestar que el yáípr y el patriotismo reunidos son invencibles. Un cuerpo de 20® infantes y 1200 caballos lia oerseouido en estos últimos dias á este valiente caudillo, que en vaAos puntos los ha resistido y atacado,…</t>
  </si>
  <si>
    <t>…ico á Fer nando vil delante de su quadro, colocado en las casas consistoriales. El Correo de Aturda del martes 22 de junio inserta dos cartas confiden ciales del mariscal de campo D. Francisco Espoz y Mina , cuyo tenor á la letra es como sigue : Primera. Pintanoalto [en Aragón) 1$ de mayo de 1813. Según losyúltimos movimientos del enemigo, creí que se dirigían al Ron cal, donde tenia yo y tengo los hospitales: tuve por conveniente dirigirme'at valle con mis qua…</t>
  </si>
  <si>
    <t>…rales, que tocando á ataquea fueron ios primeros1 ciuex Spenetraron en ia estacada. Dios guarde á V. S. muchos anos. Zalduendo 12 de Abril de 1 -1 3 .= Sebastian Fernandez. — Si*, general D. Francisco Espoz y Mina. ~ Y yo lo hago stber á V. E. para su inteligencia. Nuestro Señor guar de a V. E. muchos años. Leache 14 de Abril de l8l T l'T ¿invisco Ilsjjqz y Mina. = Excmo. Sr. D. Francisco Xavier Casta ríos.” Cuarto. El comandante del cuarto escuadrón de caballería me d…</t>
  </si>
  <si>
    <t>…etermine; si bien no tuvie ron proporción de batirse con los enemigos por no haberse presen tido. Dios guarde á V. S. muchos años. Exea i&gt; de Abril de 1813.= Manuel Garrea. rr Sr. general D. Francisco Espoz y Mina. = Y yo lo participo á V. E. para su inteligencia. Nuestro Señor guarde á V. E. muchos años. Sangüesa 17 de Abril de 1813. = Francisco Es poz y Mina. =: Excmo. Sr. D. Francisco Xavier Castaños.'” {Se con tinuaran.) Denla 2. r de k- Juido. Los enemigos han eva…</t>
  </si>
  <si>
    <t>…ideración , y no dudo que V- S. lo elevará al conocimiento de la superioridad como lo deseo. Dios guar de á "V. S. muchos años. Arvaiza 23 de Abril de 1813. = José Gor— riz. — Sr. general D. Francisco Espoz y Mina.—Y yo lo pongo en, noticia de V. F. para'que se sirva hacerlo á la de S. A. para su apro bación y satiriáccion =3 Nuestro Señor guarde la vida de V. E. mu chos años. Muniain 24 de Abril de 181 = Excmo. Sr. = Francisao Esj?oz y Mina. = Excmo. Sr. D. Francisco…</t>
  </si>
  <si>
    <t>…os y 12 muertos. Se lo participo á V. S. para que esté inteligenciado de todo lo ocuriido. Dios guarde á v. S. muchos años. Goizueta 28 de Abril de 18 &gt; 3. = Martin Saldias.zz Sr. general D. Francisco Espoz y Mina. ==Y yo lo paso al conocimiento de V. E. para su inteligencia. = Nuestro Señor guarde á V. E muchos &lt; años. = Mendigorria i.° de Mayo de 1813.=: Excmo. Sr .zz. Francisco Espoz y Mma. zzEycmo, Sr. D Francisco Xavier Castaños.” [Se continuarán.)Re quena 18 de J…</t>
  </si>
  <si>
    <t>…ntonio Benet, y á los otros dos cazadores indicados. = Por ausencia del gefe. = -Antonio Puig i ayudante primero.” ' JJrbasa 29 de Mayo. Contimían los partes del mariscal de campo D. Francisco Espoz y Mina. Octavo. El sargento mayor del regimiento de caballería me dice ío que á la letra copio. wMi general: hoy recibo parte á Jas 12 y media de que 200 infantes y 70 caballos enemigos han salido de Puente para Mendigorria, y á su virtud he determinado pasar á este…</t>
  </si>
  <si>
    <t>…ue son dignos de V. S., por lo que los reconozco acreedores á un eterno reconocimiento. =:.Diosguarde á V. S. muchos años. Bernedo 14 de Mayo de 1813. = d&gt;bastian Fernandez.^S^hot general D. Francisco Espoz y Mina.** {Se continuaran.) ARTICULO DE OFICIO. La "Regencia del rey no se ha servido expedir el decreto siguiente \ D. Fernando vii, por la gracia de Dios y por la Constitución de la monarquía española , rey de las Españas, y en su ausencia y cautividad la Regencia…</t>
  </si>
  <si>
    <t>…Zaragoza. En la misma hora contesté que emprendía mi marcha á las dos de la tarde, y pensaba dormir en Pedrola ó sus inmediaciones; pero que noticioso de que el maris cal de campo D. Francisco Espoz y Mina se hallaba en las inmediaciones de Zaragoza, una vez que este general era mas práctico en el terreno, habia creído oportuno dirigirme á conferenciar con él sobre las operaciones que de beríamos executar. Asi lo hice} y apenas me habia incorporado con el fegim…</t>
  </si>
  <si>
    <t>…ozanos. Con efecto, lo ha verificado con toda su guarniciónalas 11 en punto de esta manana, según lo manifiesta el oficio que el comandante general de las tropas de esta provincia D. Francisco Espoz y Mina ha dirigido á su gefe político en estos términos: „ Acabo de conceder una capitulación honrosa al « comandante francés de esta plaza. A las 11 de esta mañana debe de dilar delante de mis tropas la guarnición francesa de la misma, á quien he conce»dido todos l…</t>
  </si>
  <si>
    <t>…ión de varias personas conducidas á Barcelona, sin ex ceptuar las señoras; y por no ver renovada tal escena, se refugió á bordo de los buques de la rada. Zaragoza 13 de agosto. El general D. Francisco Espoz y Mina ha salido de esta ciudad con Bas tante fuerza, dirigiéndose á ocupar los puntos que le han sido indicados al otro lado del Ebro. Tenemos noticias de Cataluña que nos confirman el desembarco de nue vas tropas, y el formidable aspecto del exército confederado e…</t>
  </si>
  <si>
    <t>…n al sitio de Tortosa , y el día i.° de Agosto pasó por frente de Murviedro el general EIío, que debe dirigirle. Lis últimas cartas de Zaragoza anuncian que el mariscal de cam po, D. Francisco Espoz y Mina, estaba para salir con dirección á Jaca; y que la división de Duran se dirigía á Tarragona. ARTICULO DE OFICIO. La Regencia del repto se ha servido expedir el decreto siguiente• I&gt;. Fernando vii, por la gracia de Dios y por la Constitución de h monarquía espa…</t>
  </si>
  <si>
    <t>…s caminos, ó qualquier partida sin oficial, y que no lleve pasaporte im preso, se la prenda y conduzca igualmente á este quartel general. = Huarte i.* de julio de 1813. = Alava. = Sr. D. Francisco Espoz y Mina. Ayer pasó por esta capital un correo extraordinario, que» según parece, ya á Cádiz con pliegos para el Gobierno, solicitando la pronta remisión de</t>
  </si>
  <si>
    <t>Mina, Francisco Espoz Y</t>
  </si>
  <si>
    <t>Francisco Espoz Y Mina</t>
  </si>
  <si>
    <t>…se cree con bastante fundamento que á esta fecha los habrá desalojado de su posición y derrotado completamente. Taragoza 16 de Julio.. Continúan los partes del mariscal de ca?npo D. Francisco Espoz Y Mina. Tercero. * «Exorno. Sr.: A consecuencia de las ordenes- que recibí de V. E* de incomodar1 á Clausel en su retirada ¡ y* de observar .todos sus mo vimientos , llegué á Lerin el 25 con.los regimientos primero, tercero, cuarto y quinto, la caballería de mi.mand…</t>
  </si>
  <si>
    <t>…ismos catalanes dicen que antes de haber sido apresados, la citada escuadrilla había cogido á otro buque español M Taragoza 16 de Julio. Concluyen los garles del mariscal de campo D. Francisco Espoz y Mina dirigidos al Exento. Sr. duque de Ciudad-Rodrigo. Cuarto. »Excmo. Sr.: El 4 salí de Tudela con dirección á Zaragoza, siendo mi objeto amenazar á París, que con 4© hombres la guarne cía. Llegue á las Casetas el 7 en la noche, cuando en la mañana del 8 tuve avi…</t>
  </si>
  <si>
    <t>…varios calibres, vestuarios , armamento é innumerables efectos, que se necesitan para extraerlos muchos carros y dias. wCapitulación que el mariscal de campo, general de división, D. Francisco Espoz y Mina, como comándame general de las fuer zas reunidas en esta plaza, concede al Sr. Roquemont, comandante del castillo de esta ciudad, hoy dia de la fecha. Art. r.° Toda la guarnición quedará prisionera de guerra, y se le concede desfilar con todos los honores mil…</t>
  </si>
  <si>
    <t>…a jadericos. Un consejito prudente á los «eñores liberales por nn reformador arrepentido. Se hallará en la librería de Perez, calle de las Carretas, á 3 quartos. Retrato del señor general D. Francisco Espoz y Mina: á real en negro, y á 3 iluminado. = Los ingleses en España, periódico que se ha impreso en Sevilla, y comprehende hasta el número 9.0: á 10 quartos cada uno. Estos y el retrato se ha llarán en la librería de Barco, calle de las Carretas. Verdadero retrato de…</t>
  </si>
  <si>
    <t>…4 prisio neros. Todo lo que traslado al conocimiento de V- S. para su satisfaccion. = Dios guarde á V. S. muchos años. Sí nm Ci;ia 11 de Agos to de 1813.3-Tedro Antonio Barrena. = Sr. D. Francisco Espoz y Mina. »Y yo lo comunico á V. E. para so inteligencia. Nuestro Señor guarde á V. E. muchos años. Cuartel general de Tirapu 13 de Agos to de 1813. = Excmo. Sr. = Francisco JEsyoz y Mina. Excmo. Sr. duque de Ciudad-Rodrigo.” Tercero. „Excmo. Sr.: El fuerte de Mallen…</t>
  </si>
  <si>
    <t>…ado' de:'Madrid, natural de Terríente, partida de Albarracjm- - K, r , ^ -i . . v or 3.0 D. Joaquín Gómez, abogado, regidor constitucionabde la ciudad de Zaragoza. 1 Oficio que el general D. Francisco Espoz y Mina ha dirigido al señor gefe político y ayuntamiento de esta ciudad\ ( . . ' „Son las 10 de la noche, y no quiero*defraudará V. S. de la impor tantísima noticia de que mañana por todo el día enriamos en Pamplona^uEstá tirada la capitulación, aunque no se ha rati…</t>
  </si>
  <si>
    <t>…. Josef Garcés Marcilla, en la guarnición de la plaza de S. Sebastian, y dos cuerpos de la misma división en el bloqueo de Santoña. Octava división, que manda el mariscal de campo D. Francisco Espoz y Mina, en Sangüesa, y dos cuerpos de la misma división de guarnición ea Zaragoza. Exército de reserva del exército de Andalucía, que manda el Excmo. Sr. conde del Abisbal, acantonado en el valle de Bastan. La artillería del quarto exército en Vitoria y sus inmediac…</t>
  </si>
  <si>
    <t>…stá á la parte de acá de Anglet: el centro en los mismos puntos junto al Nive; pero la de recha permanece atrasada. El gobierno Ha determinado que k división del mariscal de campo Don Francisco Espoz y Mina pase de guarnición á la plaza de Badajoz. Y la sexta división, que manda el brigadier D. Francisco Longa, debe acantonarse en Zamora, Toro y Medina dei Campo, donde se halla la re serva del exército de Galicia. (£1 Vascongado,) Del quartcl general de Vich hem…</t>
  </si>
  <si>
    <t>…D. José Gsrcés Marcnla, en la guarnición de la plaza de S. Sebastian, y dos cuerpos de la misma división en el bloqueo de Santoña. Octava división, que manda el mariscal de cam po D. Francisco Espoz y Mina, en Sangüesa, y dos cuerpos de la misma división de guarnición en Zaragoza. El exército de reserva de Andalucía, que manda el Exemo. Sr. condí de la Bisbal, acantona do en el Valle de Bastan. La artillería, dil cuarto ezé^cito en Vito ria y sus inmediaciones.…</t>
  </si>
  <si>
    <t>…Se hallará en la librería de Arribas, calle dé Jas Carretas, á 6 rs. en rústica. 'Breve noticia del origen, progresos y estado actual de las tropas al mando del mariscal dé campo D. Francisco Espoz y Mina. Véndese en la librería de Perez, calle de las^Carretas , 1 2 quartos. El Tribuno del pueblo: política eclesiástica. Exposición á la Regencia del rtino &lt;del reverendo arzobispo de Santiago D. Rafael de Muzqulz y otros prelados, solicitando la suspensión del.c…</t>
  </si>
  <si>
    <t>Mina, Francisco Espozy</t>
  </si>
  <si>
    <t>Francisco Espozy Mina</t>
  </si>
  <si>
    <t>…ra sargen tos , cabos ni soldados; lejos de esto los juzgo muy dignos del apre cio de Y. S., cuyo vida guarde Dios muchos años. Alcoz 19 de Mar zo de 1813. — Martin Saldias. — Sr. general D. Francisco Espozy Mina. Y yo lo traslado á noticia de V. E. p¿ra que le sirva de satis facción. Dios guarde á V. E. muchos años. Puente ia Fey~;&gt; 18 de Marzo de 1813 —Exorno. Sr.— Francisco Espozy ■■Mina,—Exemo. Sr. i), Francisco Xavier Castaños.”</t>
  </si>
  <si>
    <t>Mina, Francisco Esyoz y</t>
  </si>
  <si>
    <t>Francisco Esyoz y Mina</t>
  </si>
  <si>
    <t>…á concurrir á él; aunque no vemos como puede hacerse un&amp; paz. insistiendo Napoleón en querer conservar sus usurpaciones.. ESPAÑA. XJrbasa 29 de Maye* Partes del mariscal de campo D. Francisco Esyoz y Mina al Exento. Sr. D. Francisco Xavier Castaños.. Primero"■Exorno. Sr.: Por avisos que recibí de dirigirse á Pamplona uit convoy desde Tolosa, escoltado de 2© infantes , trate de serprehenderlospreviamente destiné al cuarto regimiento con órdenes á su comandante…</t>
  </si>
  <si>
    <t>Mina.-, Francisco Espoz y</t>
  </si>
  <si>
    <t>Francisco Espoz y Mina.-</t>
  </si>
  <si>
    <t>…rificada esta operación, regresé al destino que Y. S. me mandaba ocupar en su último oficio. Dios guarde á V. S. muchos años.— Egea 7 de Noviembre de 1812 —* N-'muel Gurrea. — Sr. general D. Francisco Espoz y Mina.-—Y /o lo hago saber á V. E en cumplimiento de mi obligación. ,.Dos guarde á Y. E. muchos años. Puente la Reyna 10 de No viembre de 1812.— Francisco Espoz y Mma</t>
  </si>
  <si>
    <t>Mine, Francisco E-spoz y</t>
  </si>
  <si>
    <t>Francisco E-spoz y Mine</t>
  </si>
  <si>
    <t>hio m Sr. general D. Francisco E-spoz y Mine.—Y yo en cumplimiento de mis deberes recomiendo á Y. E. este comandante, cujos buenos sentimientos me son notorios, y en jos soldados son valientes y'po drán-acreditar su bizarría en cuantas ocasiones hallen favorables. Dios guarde á Y. E. muchos años.” -(Se…</t>
  </si>
  <si>
    <t>Minn, Francisco Espoz y</t>
  </si>
  <si>
    <t>Francisco Espoz y Minn</t>
  </si>
  <si>
    <t>…ratar de un armisticio.” Estas son lás palabra» d*sl tirano, que tal vez intentará alucinar á sus esclavos con este anuncio. ESPAÑA. Soria 51 de Mayo, Cartas del mariscal de campo D. Francisco Espoz y Minn d un amigo suyo. . . . .. . . Primera* Pintano (en Aragón) 1$ de Mayo = Según- los últimos mari mi en tos del enemigo creí que se dirigía' al Roncal, donde tengo los hospitales ; en consecuencia me pareció conveniente dirigirme al valle con mis cuatro regimie…</t>
  </si>
  <si>
    <t>Mintegui, Joseí</t>
  </si>
  <si>
    <t>Joseí Mintegui</t>
  </si>
  <si>
    <t>…carácter. La junta electoral de la provincia de Salamanca ha elegido para diputaidos á Cortes ordinarias a jos Sres. D. Gerónimo Diez, individuo del tribuna! supremo de Justicia; D. Joseí Mintegui , catedrático de prima de cánones jubilado de aquella universidad; D. Vicente Ruiz Albillos, canónigo lectoral de la catedral de Ciudad-Rodrigo; y á D. Martin Hinojosa, catedráti co de prima de leyes jubilado de dicha universidad: este último en calidad de su…</t>
  </si>
  <si>
    <t>Mir, Miguel</t>
  </si>
  <si>
    <t>Miguel Mir</t>
  </si>
  <si>
    <t>…c ierpos desempeñaron las érdeoes con la ma or firmeza , y á su exemplo la bizarra ofidali l«d. £1 teniente coronel de S. Fernando recomienda muy particularmente al sargento mayor D. Miguel Mir, al capitán de cazaiore de' Aliso na D, José Anto ño Sagarri, y a sargento primero de S. Fernando Antonio Camacho , que fné herido llevando lá bandera del regirniento, y no quiso salir de la formación ; el gefe de Tarragona hace particular mención del sargent…</t>
  </si>
  <si>
    <t>Mira, Francisco JEspoz y</t>
  </si>
  <si>
    <t>Francisco JEspoz y Mira</t>
  </si>
  <si>
    <t>…vanza ron demasiado basta llegar á las troneras de este fuerte, no sin notable riesgo de su vida. Lo que tergo la satisfacción de comu nicar á V. S Dios &amp;c. — Matías de lisiarte. —Sr. D. Francisco JEspoz y Mira ” 6. c ^Durante mi permanencia en Aragón he recibido del coman darte d \ tercer batallón, encargado de las fuerzas que dexé para obrar en Nav rra, el siguiente parte. — Mi genera!: sabedores los enemigos de Pamplona de la minoridad de nuestras fuerzas respect…</t>
  </si>
  <si>
    <t>Míralles, José</t>
  </si>
  <si>
    <t>José Míralles</t>
  </si>
  <si>
    <t>…os capitulares el alcalde primero D. Andrés Tafavera, alcalde segundo D. Francisco Cuba, alférez real D. José Zavala, alguacil mayor D. Pablo Ignacio Arca? a, alcalde provisio nal D. José Míralles, y regid* res D. Manuel Uibina, D. Francisco Xavier Irsniguin, D. Miguel Gil y D. Ignacio Xavier de Emasabel; el cual se hará extensivo a los regidores D. Martin José de Echave y D Manuel Quintano y Valera, al síndico procurador ge neral D. Juan Eitéban de Cu…</t>
  </si>
  <si>
    <t>Miralles, Josef</t>
  </si>
  <si>
    <t>Josef Miralles</t>
  </si>
  <si>
    <t>…o. = Sr. D. Bernar do Falcó , presbítero. = Sr. IL iXÍartiniatio- francisco, Pastor. = Licenciado 1&gt;. Tadeo Ignacio Gil, abogado. = Licenciado, I). Francisco Antonio.AguJló. = $r. D. Josef Miralles, canónigo.-sSr. D. Ramón Cubells. - . ' t Suplentes.A * Sr. D. Pedro Vicente Calvo % presbítero, es El coronel D. Agustín Colomina. = Sr. D. Juan Roca Togores y Juan.sSr. D. Valentín Seoane.</t>
  </si>
  <si>
    <t>Miran, Fernando</t>
  </si>
  <si>
    <t>Fernando Miran</t>
  </si>
  <si>
    <t>…8® hombres que presentaron excedían á las de que pudi mos disponer nosotros para oponérseles. Contamos entre el número de los muertos al bizarro coronel de voluntarios de Asturias D. Fernando Miran da, oficial mui acreditado, de grandes esperanzas, y que murió siendo un modelo de valor digno de muchos imitadores. - : No me es posible elogiar el mérito en particular de ningún cuerpo é in dividuo, que seria ofender á los demás, puesto que todos se han por…</t>
  </si>
  <si>
    <t>Miranda</t>
  </si>
  <si>
    <t>…era é Iruñ están llenos de he ridos. Aunque siempre debe sernos sensible la muerte de tantos ©ñ cíales beneméritos &gt; el cuarto exército llora en particular la pérdida -desvaliente coronel Miranda, quien imitando heroicamente la con ducta de todos sus gefes y compañeros de armas , animó de tal mo do á los soldados, que del batallón de su mando solo quedaron cin co oficiales ilesos. La desgraciada ciudad de S. Sebastian padeció extraordinaria mente : la…</t>
  </si>
  <si>
    <t>Miranda, Fernando</t>
  </si>
  <si>
    <t>Fernando Miranda</t>
  </si>
  <si>
    <t>…mbres que presentaron, excedían á las de que pudimos disponer nosotros para hacerles frente. Contamos entre el número de los muertos al bizarro coronel de vo luntarios de Asturias D. Fernando Miranda, oficial muy acreditado, de grandes esperanzas, y que murió siendo un modelo de valor, dig no de muchos imitadores. ,,No me es posible elogiar el mérito en particular de ningu* cuerpo, ni individuo, porque seria ofender á los demas, puesto que «odos se han po…</t>
  </si>
  <si>
    <t>Miranda, Francisco</t>
  </si>
  <si>
    <t>Francisco Miranda</t>
  </si>
  <si>
    <t>…Munuce, D. Antonio Longis, D. José Canoras, D Cele Io nio Lerruz, D. Juan Macáya, D, Luis A lamo, D Francisco íturralde, D. Miguel Ube’za , D. Xavier Mariotegni, D Fermín Adrián, D. Francisco Miranda, D. laucas Zubkta, D. Vicente Larraga, D. M ¿mano Onnaeckea, D. Victoriano Iribarren , D. Juan José Tercero, D. Ignacio Lasa, I), Tomas Faudiño, 1). Gregorio .Eche» garay, D. A n Ionio Arzola, D. Jacinto O na , D José Vinegra, D. Santos Besga , D. Joaquín Rui…</t>
  </si>
  <si>
    <t>Miranda, Juan Amonio</t>
  </si>
  <si>
    <t>Juan Amonio Miranda</t>
  </si>
  <si>
    <t>mo 24. D. Gerónimo Andrade, id. por 10, 120. D. Joaá Posso Fernán* de*, id. por 15, 180. D. Juan Amonio Miranda, íi. por 8, 96 D. Jo* sé Quiri&gt;ga,id. por 8. 93. D. J»ian Mnriie&amp;so, id. p:r 4, 48 D Juaa • Rtfymúndae, id por Ü, 96. D. Juan de Sapinos a, id. por 8, 9&amp;¡ D. José Roso, id. por 1, í2. D. Joaquín Martínez, id. por 8 , 96¿ D. Joiá de Herrera, id. por 8, 93 D. J…</t>
  </si>
  <si>
    <t>Miro, N.</t>
  </si>
  <si>
    <t>N. Miro</t>
  </si>
  <si>
    <t>…den, lector de fiiosoria; Fr. Julián Pordoy, lector dominico; Fr, Daniel Manzanéela, capuchino, que predicó la quaresma pasada en la catedral; el deán de Tanugona; el maes— trante D. N. Miro, catalan; un texedor, y un cabo de artillería. Parece que todos estos habían promovido el alboroto y persecución que sufrió el doctor «n medicina D. Valentín Terres, regidor constitucional, á quien los indi cados sugetos habian querido hacer odioso al pueblo…</t>
  </si>
  <si>
    <t>Mitc, Simplicio</t>
  </si>
  <si>
    <t>Simplicio Mitc</t>
  </si>
  <si>
    <t>55* A. KTJM. VI. zambra que se armó entre ellos! D. Cristóbal Mi cro m gas se desvergüenza con D. Simplicio Mitc~ Copia de un despacha de Mr. de San-Marsan. ilejloxo; Sotavento insultó i aquel; D. Deogracias Berlín 22 de febrero dé 1812. Vitela echó por la calle de en medio, diciendo que Mr. de Krusemarck I1.1 escrito á su gobierno él deseaba dexar la tutoría, según le…</t>
  </si>
  <si>
    <t>Mitcheíl</t>
  </si>
  <si>
    <t>…ión, y D. Juan Ugarte-Mendia. El mariscal de campo Ingiis, y los regimientos de su brigada de la séptima división, se coadnxeron señaladamente bien. El regimiento 51 del mando del coronel Mitcheíl, y el 68 de el dei teniente coro— Fiel Hawkins cubrieron el movimiento de las tropas que ocupaban las alturas entre el Bidasoa y Lesaca, que cambiaron de posición, pasan do á las de S. Antonio; y estos dos regimientos se han distinguido. Durante estas operaci…</t>
  </si>
  <si>
    <t>Mitchel</t>
  </si>
  <si>
    <t>…Pon JlianfUgarte-Mendiq. , . El mariscal de campo Inglis y los regimientos de su brigada de la sép tima división se conduxeron señaladamente bien. El regimiento 51 del man do del coronel Mitchel, y el 68 de ei del teniente coronel Hawkins cubrieron el movimiento de las tropas que ocupaban las alturas entre el Bidasoa y Le-</t>
  </si>
  <si>
    <t>Miüaradawich</t>
  </si>
  <si>
    <t>…íneas, y recibió una descarga ge neral de fusilería y de 40 piezas, cuyo efecto 1c fué muy funesto. Viendo que no le quedaba recurso alguno para escapar, envió un parlamentario al general Miüaradawich ; y á media aeche ', todo el cuerpo.enemigocompuesto de 12000 hombres, se vió obligado á rendirlas arma. Toda su artillería, que consistía en 27 piezas, sus bagages y caxa militar, han sido el fruto do esta victoria. En el nú mero de los prisioneros se cuenta…</t>
  </si>
  <si>
    <t>Míyares</t>
  </si>
  <si>
    <t>…de esta villa, abandonando los víveres y ftnrage que había de repuesto en él, y retirándose á unir se con la guarnición de Buñol. A las 9 de la misma mañana entró en este puebo el general Míyares con algunas tropas; las cuales pasa ron el siguiente dia á Sieteaguas, y sus avanzadas llegaron á vista del portillo de.-Buñol en donde tiene el enemigo un cañón y un ©bus. Ei 14 y 15 entraron los batallones de Jaén, Baylen, Badajoz primero y segundo, Cuenca,…</t>
  </si>
  <si>
    <t>Miyares</t>
  </si>
  <si>
    <t>Villacampa, con la brigada del mando del brigadier Miyares y la caballería , se hallan en esta, y las demás tropas de mi mando se van aproximando por el cami no de las Cabrillas : las tropas del man do del lord Bentinck van acercándose ; y de ellas las dos divisiones españolas de Roche y Wittingliam llegarán , la pri…</t>
  </si>
  <si>
    <t>…á pasar el Ebro, quio* •jfadexar-á Murviedro guarnecido, pues esto es querer perder esta guarnición. ■*»Mi segunda división, al mando de Villa ampa, con la brigada del mana do drl brigadier Miyares y la caballería, se hallan en esta, y las demas trorpas-demi mando se van aproximando por el camino de las Cabrillas: las tro mpas Jel mando del lord Bentinck van acercándose; y de ellas las dos divisio«Aies españolas de Roche y Whtingham llegarán, la primera…</t>
  </si>
  <si>
    <t>Míyares, Fernando</t>
  </si>
  <si>
    <t>Fernando Míyares</t>
  </si>
  <si>
    <t>…rmó desde Alcoy á Yecla corriendo per Castalia, filar y Y i lien a, teniendo tropas en Sax y Elda, ha sido atacada al ama necer del día 11 de este mes la divf-ion que a! mando del brigadier D. Fernando Míyares cubría el flanco izquierdo de esta línea. Ei resultado de la acción que hubo para que el enemigo, conducido por el general betón Hariape, ocupase el pueblo de Yecla y obli gase á nuestras tropas á ceder el punto , lo demuestran los partea que me ha dirigido d…</t>
  </si>
  <si>
    <t>Mizpireta, Juan de</t>
  </si>
  <si>
    <t>Juan de Mizpireta</t>
  </si>
  <si>
    <t>…es parará el perjuicio que haya lugar. Por edicto del alcalde constitucional de Chamartin de 26 de julio último se citaátodas las personas que puedan tener derecho á los bienes de D. Juan de Mizpireta, vecino que fue de dicho pueblo, para que en el término de 30 dias, contados desde dicho.26, comparezcan por sí ó por medio de apoderado á deducir el dere cho que tengan á los citados bienes por el oficio del escribano D. Francisco Haedo; con apercibimiento d…</t>
  </si>
  <si>
    <t>Mlchel, Agustín</t>
  </si>
  <si>
    <t>Agustín Mlchel</t>
  </si>
  <si>
    <t>…de. D. Felipe Santintregui, alcalde. D. Pedro del Rio, substituto primero. D. Josef Manuel Aynz Gardazabal, substituto D. Manuel Alba, substituto segundo. hamo de tas Sal.primero. D. Agustín Mlchel, substituto segundo. D. Josef Fabregas, alcalde. Barrio de S. Cayetano. D. Manuel Lucio Gutiérrez, substituto primero. D. Juan Represa , alcalde. D. Agustín Pascual, substituto segundo. D. Diego de Villa, substituto primero. Barrio de S. Pascual. D. Bartolomé…</t>
  </si>
  <si>
    <t>Mndizabal, Juan Ignaoio de</t>
  </si>
  <si>
    <t>Juan Ignaoio de Mndizabal</t>
  </si>
  <si>
    <t>…i, 2 id. D. Francisco Antonio Goitesolo, 2 id. D. Miguel Fernando Ruiz, 2 id. D. Andrés Sánchez Quiros, 2 id. D. Francisco de Paula Calvo, 2 id. D. Pedro Juan de Olasagarri, 2 id. D. Juan Ignaoio de Mndizabal, 2 id. D. Manuel Garrido, 2 id. D. Esteban Cardona, 2 id. D. Nicolás Cameruaga, 2 id. D. Francisco Fernandez Ziesa, 1 id. D. Manuel Barreda, 1 id. D. Alonso Candamo, 1 id. D Benito Cristi, 1 id. T). José de San Martin y Blanco , l id D~ Martin Cortiguera, 1 i…</t>
  </si>
  <si>
    <t>Mo</t>
  </si>
  <si>
    <t>…orca................................................. Al mando Una Ídem ligera del regimiento segundo de .del teniente Murcia.................... . ;............................ ( coronel Mo* Una ídem del regimiento primero de Córdoba. uet. Un oficial subalterno y 10 hombres de caba ñería cazadores de Olivencia. .................. J íolümnA. 4&gt;:nco compañías del regimiento cazadores de Mallorca................................................. 9 A…</t>
  </si>
  <si>
    <t>…on al gene* al Morand á permanecer allí todo el di a, y por la no che marchó á Bergedoiff, donde se le reunió la undécima dividen militar y los empleados de la aduana de Hamburgo- general Mo rand dió muestras de querer marchar desde Beigdoiíf á Hamburgo ; pero se Lo impidieron las tropas dinamarquesas, que en número de SOCO hombres y con una grande artillería, estaban á oídlas del Eba con el objeto de defender su neutralidad. Pareció entonces que…</t>
  </si>
  <si>
    <t>Mo, Pablo</t>
  </si>
  <si>
    <t>Pablo Mo</t>
  </si>
  <si>
    <t>…rigió contra aorstra prímér3 división situada á La orilla derechi deí Ñire en Us sitara áz Izugia. A las 11 de la mañana el co mandante de la primera división el ímriseal de campo D. Pablo Mo rillo, en virtud de jas órdenes que había recibido, acababa de apoyar se sobre la altura de Stuarse, cuando se le presentaron dos cuerpos de infantería y 600 caballos, contra los cuales, conservando su posición, destacó algunas fuerzas, que en breve las derro…</t>
  </si>
  <si>
    <t>Mo-reau</t>
  </si>
  <si>
    <t>…stríaco, ruso y prusiano reunido «n Bohemia. : . Antes de mudarse últimamente el quartel general del Príncipe de la co rona de Suecia, S. Á., acompañado de su distinguido amigo el general Mo-reau, pasó revista á los regimientos británicos enviados á guarnecer á Stralsund: ambos mostraron la mayor satisfacción de la presencia y disciplina de aquellas tropas. Acabada lá revista el Príncipe de la corona dió una gran co mida á los principales oficiales; y…</t>
  </si>
  <si>
    <t>Moasalve, José</t>
  </si>
  <si>
    <t>José Moasalve</t>
  </si>
  <si>
    <t>…ierno para noticia del público y satisfacción del interesado. Por providencia del tribunal del consulado de comercio de 28 do Abril úlíimoxen los autos de concurro de acredores de D. José Moasalve , se manda citar y emplazar .. cualesquiera que se consideren con derecho á la masa y concurso de D. José Monsalve, para quo en el término de 6 meses ocurran á deducirlo ante el mismo tribu nal con ios documentos qne lo comprueben, con apercibimiento de que e…</t>
  </si>
  <si>
    <t>Mocean</t>
  </si>
  <si>
    <t>…de , si derro tónos exércitos aliados en los días 26 y 27, ¿porqué no prosiguió en sus triunfos persiguiendo al enemigo? Igualmente observaremos que eiv sus boletines no habla del general Mocean ai del Príncipe Bernadotte. (Cauritr d* Aagleterre.y</t>
  </si>
  <si>
    <t>Mocénigo</t>
  </si>
  <si>
    <t>…3. MOLDAVIA ■ ■ Achmet-baxá partió ayer para Constantinopla, y Rachmig-baxá permanecerá todavía algún tiem . Jassy 6 de febrero- - po en esta ciudad. En esta ciudad *e aguarda, al conde Mocénigo, que pasa á Sicilia con el'carácter de embaxador de DINAMARCA. Rusia. Desde aquí irá á Constaminophi, y allí se Copenhague 13 de febrero. embarcará para Palermo. En estos últimos dias ha ocurrido en Jassy un El dia 10 hubo en el teatro de la corte una es suce…</t>
  </si>
  <si>
    <t>Mociño, Josef Mariano</t>
  </si>
  <si>
    <t>Josef Mariano Mociño</t>
  </si>
  <si>
    <t>…uará que burros, aprovechamos la ocasíon de atizar sus dando las lecciones de zoología el director interino querellas en términos que hemos acabado con mu de dicho establecimiento D. Josef Mariano Mociño chos millares de ellos, y vamos quedando tan pre todos los lunes, miércoles y viernes que no sean dominantes , que dentro de pocos años no habrá mas feriados, y las de mineralogía D. Cristiano Hergen, que borricos, y podremos volver á nuestra natural director…</t>
  </si>
  <si>
    <t>Modattofif</t>
  </si>
  <si>
    <t>…ecibido notici as de haber entrado el general Blucher en Bautzen el 10 del corriente; pero aun no he recibido boletin algu no oficial del cuartel general prusiano. El coronel ruso príncipe Modattofif, de las guardias de Álexandro, dió un golpe brillante el dia 9 entre Bautzen y Dresde, pues voló 200 carros de municiones del enemigo, cogió parte del equipage de Bonaparte, é hizo 120c prisioneros. Doy á V. E. el parabién por la gloriosa victoria del príncip…</t>
  </si>
  <si>
    <t>Moiitor</t>
  </si>
  <si>
    <t>…lí para evitar la conscripción, habia declarado estar resuelto á defenderse. Algunos habitantes de la ciudad los auxiliaron ; pero otros abrieron las puertas á los franceses; y el general Moiitor mandó hacer fuego sobre los rebeldes : cogieron á muchos, de los que 80 fueron afusila dos al dia siguiente. En el Haya hubo también riñas sangrientas entre los conscriptos y los franceses. Quartel general de Stralsund 5 de junio. Las tropas suecas, mandadas…</t>
  </si>
  <si>
    <t>Moiner, Axil</t>
  </si>
  <si>
    <t>Axil Moiner</t>
  </si>
  <si>
    <t>…Meno. Escriben de Copenhague con fecha de §9 del corriente qué aun Permanece allí el teniente general ruso príncipe Dolgorowskj. También se halla en aquella corte el general sueco conde Axil Moiner, gran cruz de la orden de la Espada. Según noticias fidedignas, el conde Oírlos Molki ha salido de dicha capital con pliegos de grande importancia para el emperador Alexandro. El teniente Fischer salió también dos dias há de esta ciudad para Londres con plieg…</t>
  </si>
  <si>
    <t>Moira</t>
  </si>
  <si>
    <t>…de exclusión. el Canadá , baxo las órdenes de les generales DeaEl consejo de la confederación general ha pedi born y Harrison. do al gobierno que sesale bienes raices en los do El conde Moira ha tenido ayer una audiencia minios nacionales para recompensar al fin de esta del Príncipe Regente. servicio á los que mejor hubieren servido á la patria, La noticia de la llegada de Napoleón á Paris la y á las viudas y huérfanos de los.que hubieren muer coi…</t>
  </si>
  <si>
    <t>…'’ to; y hai quien asegura que una tercera parte de él se halla fuera de servido. IMPERIO FRANCES. ___Se está disponiendo el navio Stiring-Castle pa París 26 de febrero. ra que el lord Moira haga su viage á la India. __ Ha arribado de S. Miguel el Flyng-Flis, de Continuación de la exposición del señor conde donde salió ei 10 del pasado. El 12 se encontró con Montalivet al cuerpo legislativo sobre la situa la esquadra del coninódoro americano Rodg…</t>
  </si>
  <si>
    <t>Mol</t>
  </si>
  <si>
    <t>…nar no se cediese la Noruega á la Suecia. Pasados algunos dias el conde de Bernstorff recibió orden de volver á Dinamarca. Al mismo tiempo se empleaba un lenguage semejante con el conde Mol lee, enviado de Dinamarca en la corte del Emperador Alexandro; y se des aprobó lo que había hecho ei príncipe Dolgoroucky, como .-si hubiese exce dido sus poderes. En este tiempo fue quando los dinamarqueses hicieron su declaración al exército francés, y empe…</t>
  </si>
  <si>
    <t>Moldes</t>
  </si>
  <si>
    <t>538</t>
  </si>
  <si>
    <t>…fueron cacarmeatadas, / rescaté á varios prisioneros que introducían ea la ciudad , creyendo que mis tropas fuesen las suya-; tal fué la confusión y dispersión en que quedaron. Ei coronel Moldes se presentó en este dia con pliegos de Bclgrano, que se hallaba en I03 Lulas, á los que contesté inmediatamente. ^Nuestra pérdida ha consistido en 5 cañones de los de mi dota ción , y í que había tomado al enemigo; el parque en su mayor parte ha sido destruid…</t>
  </si>
  <si>
    <t>Moldes, Eustaquio</t>
  </si>
  <si>
    <t>Eustaquio Moldes</t>
  </si>
  <si>
    <t>…y vigoroso que se h&amp;bia visto jamas, se retiró el enemigo á los mismos altos de la ciu dad , dexando en las calles y extramuros 9 muertos y 7 prisioneros,, entre ellos el espitan D. Eustaquio Moldes, que en clase de segun do mandaba la división contraria. Les hemos tomado 19 fusiles , y estoy informado de que se llevaron muchos heridos* „A la hora poco mas recibí otro parlamentario, por el que atri buyéndose el enemigo la victciia, me intimaba de nuevo q…</t>
  </si>
  <si>
    <t>Mole</t>
  </si>
  <si>
    <t>…egnaudde Saint Jean-d’Angely, mi al Soberano : es de notar que entre estas ofertas s* nistro de Estado, y consejero de Estado; halla una digna de atención, que es la de los dis Ai conde Mole , consejero de Estado; cípulos del liceo de Poitiers, que han juntado 2,0 : Ai duque de Conegliano, mariscal dei imperio* francos del dinero que tenían para sus recreaciones. -grande águila de la legión de Honor, Los profesores y substitutos, y el secretarlo…</t>
  </si>
  <si>
    <t>…zo. ' cíoñ de las rentas del estado, hallándose saldados ó En la sesión del cuerpo legislativo del día ij .cop suficientes, fondos para saldarse todos los al del que rige el señor conde Mole, orador, del go cances anteriores al del año de 1810, de cuyos gasbierno , pronunció un discurso, cuyo extracto es tos.ya había puntual noticia, y de que sin embar corno sigue: go,que fueron mas considerables que en los prece Señores: . . dentes, eran mayores…</t>
  </si>
  <si>
    <t>Molina, Bartolomé Cano de</t>
  </si>
  <si>
    <t>Bartolomé Cano de Molina</t>
  </si>
  <si>
    <t>…ano. D. Manuel Lucio Gutiérrez, substituto primero. D. Juan Represa , alcalde. D. Agustín Pascual, substituto segundo. D. Diego de Villa, substituto primero. Barrio de S. Pascual. D. Bartolomé Cano de Molina, substituto se D. Angel Sahagun, alcalde. D. Vicente Esper, substituto primero.gundo. Barrio de las Niñas de la Paz. D. Arias Gonzalo de Mendoza, substituto se D. Francisco Blanco, alcalde. gundo. D- Tomas Ximenez, substituto primero. Barrio de las Mercenaria…</t>
  </si>
  <si>
    <t>Molina, Pedro</t>
  </si>
  <si>
    <t>Pedro Molina</t>
  </si>
  <si>
    <t>15 tras que el capitán graduado de teniente coronel D. Pedro Molina lo verificaba £ la cabeza de 100 cazadores por la parte de la carretera. Uno y otro pusieron en práctica mis órdenes con tanto acierto, que á poces momentos (despreciando un diluvio de metralla) se apodera ron de las obras exteriores , y muy en breve se aloja…</t>
  </si>
  <si>
    <t>Moliner, Bernardo</t>
  </si>
  <si>
    <t>Bernardo Moliner</t>
  </si>
  <si>
    <t>…antos Besga , D. Joaquín Ruiz, D. Ma uel Clemente, D. Ra món Marañon , D. José Albumes, D. José Luizaain , D. Francisca Ardaiz, D. José Díaz, D Antonio Abadía, D. Nicolás Soriano, D. Bernardo Moliner, D. Manuel Llera, D. José Perulan, D. Ray» mundo Marqués, D. José Gorriz, D. Dionisio Fonolitas, D. Can» dido Zunzarren * D. M:guel Quartero , D. Juan Urzaniqui, D. Ruerto Rajum, D. Manuel López, D. Agustín Munarriz, D. Juan Sliutista fnd'.iusti, D. Pedio Lóp…</t>
  </si>
  <si>
    <t>Moliner, Joaquín</t>
  </si>
  <si>
    <t>Joaquín Moliner</t>
  </si>
  <si>
    <t>…s próxi mas ordinarias por el orden de su nombramiento. Licenciado D. Tomas Martin’, abogado. =rLicenciado D. Ricardo Perez Ma reo. = D. Antonio Bernabeu, presbítero. = Licenciado D. Joaquín Moliner, abogado. z= Licenciado- P. Antonio"Colomer, abogado. = Sr. D. Bernar do Falcó , presbítero. = Sr. IL iXÍartiniatio- francisco, Pastor. = Licenciado 1&gt;. Tadeo Ignacio Gil, abogado. = Licenciado, I). Francisco Antonio.AguJló. = $r. D. Josef Miralles, canónigo.…</t>
  </si>
  <si>
    <t>Molins</t>
  </si>
  <si>
    <t>…ículo. El comisario de policía del puerto de Orient, noticioso de que habían desembarcado tres agentes ingleses en la isla de Houat con objeto de entrar en Morbihan y dio aviso al capitán Molins, coman dante de marina de los cuatro departamentos. Este oficial destacó al lugreAlerta para perseguir y apoderarse délos espías. El teniente del lugre llegó al surgidero de la isla, y desembarcó á media noche al frente de un destacamento de tropas,, con el c…</t>
  </si>
  <si>
    <t>Molitor</t>
  </si>
  <si>
    <t>…s obras de literatura. El primer húmero de esta contiene los Amsierdan *8 de diciembre. siguientes artículos : * i.° Sobre Lamberto Tenkate, padre de la poe Cofia de una carta del general Molitor al w&gt;»'— sía holandesa. nistro de Guerra, con fecha de Anisterdan á 2.0 Sobre Lorenzo de Médicis, el Pericles de a6 de diciembre de 181a. su siglo. Excelentísimo Señor: 3*?. Sqhre el Corp dé las Corintias en la Medca de Eurípides. „E1 boletín 29.° del exércit…</t>
  </si>
  <si>
    <t>…fecha del 2 que algunos miles de paisanos, sorteados para la conscripción, se reunieron en la ciudítd; se apoderaron de ella; cer raron las puertas, y trataron de defenderlas. Ei general Molitor re-</t>
  </si>
  <si>
    <t>…nde_Latónr-Maubourg.— El conde Grouchy. — El conde Nansouty. — El conde Valence. — El conde S. Germán. De infantería: el conde Labor de. — El conde Loison. — El conde Bonnet. — El conde Molitor. — El conde Friant. — El conde Legrand. Los polacos, reducidos á 15$, están en Pirna, mandados por el príncipe Poniatowsky, y la caballería por el general Dombrousky.. ESPAÑA. Vinar o z 16 de Setiembre. El 13 por la noche atacó Sucliet con 20® hombres á la te…</t>
  </si>
  <si>
    <t>…el cuerpo de St. Cyr, que está acampado cer ca de Torgau, á la orilla derecha del Elba, hácia donde se dirige él genéral Bennigsen para obrar con todo vigor. , Según noticias: el general Molitor avanza á Holanda con un cherpo de id® hombres*. Habiendo evacuado á Bromen el general Tettemborn, la ocu pó de nuevo el general Carra S. Cyr; pero pronto estará otra vez libre.</t>
  </si>
  <si>
    <t>…m del 2$. Los comisarios generales del gobierno provisional han re cibido hoi la noticia cierta de que Woerden , Utrecht y sus inmediaciones se han libertado del enemigo, y que el general Molitor se ha retirado á Gor«rm. Mr. Nreweicieíf, oficial ruso, asegura que Davoust ha sido derrotado por el general Woronzoff, que ha podido escapar con soio un edecán, y que ía pérdida de los franceses en muertos, heridos y prisioneros fue de io á 18© hombres. Lleg…</t>
  </si>
  <si>
    <t>Molki, Oírlos</t>
  </si>
  <si>
    <t>Oírlos Molki</t>
  </si>
  <si>
    <t>…teniente general ruso príncipe Dolgorowskj. También se halla en aquella corte el general sueco conde Axil Moiner, gran cruz de la orden de la Espada. Según noticias fidedignas, el conde Oírlos Molki ha salido de dicha capital con pliegos de grande importancia para el emperador Alexandro. El teniente Fischer salió también dos dias há de esta ciudad para Londres con pliegos importantes. No se duda ja que se verificará inmediatamente la paz con In glaterra…</t>
  </si>
  <si>
    <t>Molsoi, Otto de</t>
  </si>
  <si>
    <t>Otto de Molsoi</t>
  </si>
  <si>
    <t>…do el tiempo para mejorar las for AUSTRIA. tificaciones. El enemigo tenia mui pocas fuerzas delante de Viena 23 de marzo. Modlin. El general Dáendels se aprovechó de esta El señor conde Otto de Molsoi , ernbaxador de circunstancia para hacer una salida, en la que re la corte de Francia cerca de nuestro Soberano, tu chazó al cuerpo enemigo ^apoderándose de un gran vo el 21 su audiencia de despedida de SS. MM- II., convoi, en el que iban entre otros efectos…</t>
  </si>
  <si>
    <t>Mon, Julián García</t>
  </si>
  <si>
    <t>Julián García Mon</t>
  </si>
  <si>
    <t>…id. D. Domingo Urquijo, 1 id. D. Francisco Falconi, I id. D. Francis co de Sagastaveitía„ id. D Francisco Valles, 2 id D. Francisco Ba llesteros, 1 id. D. Gregorio Fernandez* 1 id D. Julián García Mon_terroso, 1 id. D. Julián Perez, 2 id. D. Lorenzo de Arguiano, 1 id. D. Matías de Larreta, 3 id D. Manuel délos H¿ros, 2 id. D. Ma nuel déla Torre, 1 id. D. Manuel Garbea y Bulillo, 2 id. D. Ma nuel de Aramburu, í id. D. Miguel de Ezcurra, 1 id. D. Ramo* Martí…</t>
  </si>
  <si>
    <t>Mon, Pedro</t>
  </si>
  <si>
    <t>Pedro Mon</t>
  </si>
  <si>
    <t>…egundo regimiento de Sevilla, que actualmente hace de comandante D. Josef Gutiérrez; á los tenientes de granaderos del mismo cuerpo D. Miguel y D. Domingo Alsaga, y al distinguido D. Pedro Mon tes: estos individuos se portaron con toda la bizarría militar , que puede ser objeto de una recomendación. Igualmente pongo á la consideración de V. S. la buena conducta y desempeño de sus funciones del ayudante primero de E. M. D. Jacobo Escario, que me aco…</t>
  </si>
  <si>
    <t>Monasterio, Felipe</t>
  </si>
  <si>
    <t>Felipe Monasterio</t>
  </si>
  <si>
    <t>…Pedro Pescador, alcalde.. D. Benito Olmeda, alcaide. D. Frvnpi co Pando,, substituto primero. . D. Calixto Vi!! dva, substituto profiero. •D. Pablo,Marquiep, substituto segundo. ; D. Felipe Monasterio, substituto segundo. Barrio (te la puerta de Sigovia. Barrio de Pinto. D. Francisco Vives, alcalde. D. Ju an Icnacio Berriózaba! , alcalde. D. Tomas Peña , substituto primero. 13. ManuelSala y Piran, substituto primero. D.. Estéban Labios, substituto segundo.…</t>
  </si>
  <si>
    <t>Monbray</t>
  </si>
  <si>
    <t>…rbyn, y de los oficiales y marineros que este tenia á sus órdenes, lo cual participo á V. con la major satisfac ción. Tengo la honra &amp;c. = C. Adams t capitán.” Tercero. Oficio del capitán Monbray del navio de S. M. Repulse. » Habiendo encontrado al honorable capitán Waldegrave del na vio Voluntario , reunido con el Undaunted y el Redwing cerca del puerto Morgion, observamos que el enemigo se empleaba con actividad en reparar y remontar las baterías ;…</t>
  </si>
  <si>
    <t>Moncenigo</t>
  </si>
  <si>
    <t>…de Bucharest, ha sido restituido á la gracia, y nombrado para el gobierno de Erzerum en la Asia mayor. Hasnedor-Ogiu-Ali-Baxá ha pasado del gobierno de Dschenich á Trebisonda. El conde Moncenigo, enviado de Rusia á la corte de Sicilia, después de haber estado detenido muchas semanas en Rujutedere, se ha embarcado á bordo de un bergantín ingles para Zante, desde donde continuará su viage vá Palermo. La salud pública aun no está fuera de peligro en est…</t>
  </si>
  <si>
    <t>Moncey</t>
  </si>
  <si>
    <t>…e de gendarmería imperial, oficial de la legión de Ho lla nación , y debe hacer ver á los periodistas de ¡anor, juez;n insurrección que el modo de mantener la ilusión del El señor coronel Moncey, primer edecán del pueblo es contándole triunfos reales, y no soñando primer inspector general de la gendarmería impe patrañas increíbles. rial, oficial de la legión de Honor, juez; Los documentos siguientes hacen ver el origen Mr. ritibault, mayor del regimi…</t>
  </si>
  <si>
    <t>Mondely, José</t>
  </si>
  <si>
    <t>José Mondely</t>
  </si>
  <si>
    <t>de teniente coronel D. José Mondely, y á todos los demas gtfes, oficiales y tropa que se hallaron en ella. Sírvase V. S. trasladarme el parte que le haya pasado el coronel Torres. = Dios guarde á V. S. muchos años. = Tarragona 18 de Setiembre de 1813. = W. R entine k. — St. D. Pedro Sarsfield.…</t>
  </si>
  <si>
    <t>Mondely, Josef</t>
  </si>
  <si>
    <t>Josef Mondely</t>
  </si>
  <si>
    <t>…rechazaron al enemigo á la bayoneta. Rué* go á V*. S. se sirva darles las gradasen mi nombre á los coroneles D. Josef de Torres y D. Antonio Bray, al capitán graduado de teniente coronel Don Josef Mondely, y á todos ios demás gefes, oficiales y tropa que se hallaron en ella, ssSírvase V. S. trasladarme el parre que le haya pisado el cóconet Torres.= Dios guarde&gt;á ! S. muchos años.=Tarragona 18 de setiembre de £8i&gt;j.s= W. Bentinckí 3= Sri D. Pedro Sarsfield:=:L…</t>
  </si>
  <si>
    <t>Mondslly, Silvestre</t>
  </si>
  <si>
    <t>Silvestre Mondslly</t>
  </si>
  <si>
    <t>…oficiales se han distinguido en este dia, éntrelos que merecen un lugar el mayor Caitleaux, de lanceros alemanes, el de la misma clase D. Ventura Puyoiar de Ba a, y los capitanes D. Silvestre Mondslly y D. Rafael Larrada de Uitonia. j.Dabo particular obligación á mis ayudantes Gonzalos y Al vistur, los que contribuyeron en mucha parta al buen resultado del día, en el discurso del cual solo me ha sido sensible la pérdida de OS hombres de C ¿riñen», que por un exceso de valor dieron lugar…</t>
  </si>
  <si>
    <t>Monet</t>
  </si>
  <si>
    <t>…rada del pueblo. La vanguardia entró en él, y el co ronel Campbell formó el resto de su regimiento en columna cerrada á Ja entrada de la Tilla sobre el camino real. 3,:Ei teniente coronel Monet pasó por el pueblo, y siguió a van* cando por el camino real de Albayda , y pocos minutos antes de amanecer encontró Jas avanzadas del eaemigo en la cruz de Valen cia , un cuarto de legua mas allá de Concentayna, las que se reple garon sobre sus reservas, seg…</t>
  </si>
  <si>
    <t>Monner, Francisco</t>
  </si>
  <si>
    <t>Francisco Monner</t>
  </si>
  <si>
    <t>…ontuso. En ti regimiento de Leales Monresanos 2 soldados muertos: he ridos un caphan, 2 subalternos, 2 soldados y un subalterno coátaso. Nota. Los señores oficiales heridos son el capitán D. Francisco Monner, el teniente D. Ramón Bechac y el sub-entente D. José Padrol, t d os de la compañía de cazadores de Leales Manressños. San Felin de Codinas 17 de Octubre de 1813. El ayudante segando de estado mayor encargado cL l de la primera división, sss Francisco Severo…</t>
  </si>
  <si>
    <t>Moñones, Francisco</t>
  </si>
  <si>
    <t>Francisco Moñones</t>
  </si>
  <si>
    <t>…capitanes á D. Ramón Echeverría , D. Lo renzo Mauleon, D. José Clemente, D. Pedro Francés, D. León Iriarte, D. Pedro Viilarroya, D Domingo Josué y D. Diego Cebadua; á ayudantes á D. Francisco Moñones , D. León Amedo, D. Manuel Mecolalde y D. Atanasio Mendivil: á tenientes á D. An drés Berrueta, D. Mariano Sauz, D. Juan Ignacio Noain, D. Fran cisco Azcarate , D. Martin Antonio Laquidaia , D Santos Ayerra, D. Tomas Ayerra, D Juan Esteban Alemán, D. León May…</t>
  </si>
  <si>
    <t>Monroi, Luis Luxan y</t>
  </si>
  <si>
    <t>Luis Luxan y Monroi</t>
  </si>
  <si>
    <t>…de Arenas, vicario del Puen te del Arzobispo. D. Miguel de Frías, del Corral deAlmaguer, hacendado. Lie. D. Benito Saenz González, de Toledo, abogado de los tribunales nacionales. D. Luis Luxan y Monroi, de Arenas, hacendado. " Y para suplentes d los señores Lie. D. Josef Ramón Romeral, de la Peraleda de Garvín, párroco de Piedra-escrita. Dr. D. Victoriano Gómez de la Fuente, presbítero, de Colmenar de Oreja. ^ &lt;?* Para la diputación provincial d los señores…</t>
  </si>
  <si>
    <t>Monsalve, José</t>
  </si>
  <si>
    <t>José Monsalve</t>
  </si>
  <si>
    <t>…o de 28 do Abril úlíimoxen los autos de concurro de acredores de D. José Moasalve , se manda citar y emplazar .. cualesquiera que se consideren con derecho á la masa y concurso de D. José Monsalve, para quo en el término de 6 meses ocurran á deducirlo ante el mismo tribu nal con ios documentos qne lo comprueben, con apercibimiento de que en defecto, pasado que sea dicho término, se verificarán los pagos que so bagan sin el gravamen de fianza, cancelánd…</t>
  </si>
  <si>
    <t>Monsalve, Pedro</t>
  </si>
  <si>
    <t>Pedro Monsalve</t>
  </si>
  <si>
    <t>…ia un despacho nombrándole la ridicula junta nacional teniente coronel de drago nes pardos del Aguila. 6*. Con fecha de 31 de Agosto, desde S. Juan del Rio, .co munico el teniente coronel D. Pedro Monsalve que el día ante rior al pasar la cuesta de Calpulálpam, guarida de los rebeldes de Huichapam, Nopala, Acúleo y S. Antonio, dispuso que ios 150 dragones de su mando, que iban escoltando un convoy , se dividiesen°5oá la vanguardia al mando del teniente D. José…</t>
  </si>
  <si>
    <t>Montadores</t>
  </si>
  <si>
    <t>…a Carniola, "ha subscrito por 1® francos, y el maírc Mr. Codelí por 500; el receptor , general, el tesorero general, y sus dependientes y recauda Concluye la exposición del feftor conde Montadores subalternos han ofrecido 14 caballos ensilla livet al cuerpo legislativo sobre la situación del dos ; la inspección del tesoro público uno; la direc imperio. ción de las contribuciones de Laibach dos; iade Jas dé Zara dos; la de las de Trieste dos; la de bien…</t>
  </si>
  <si>
    <t>Montafar, Car los</t>
  </si>
  <si>
    <t>Car los Montafar</t>
  </si>
  <si>
    <t>9C3 JdiTii mím. z.° wCon el oficio c¡e V. S. de ayer he recibido el que en 19 le pasaron el marques de Villa Orellana, D. Manuel .Meten y D. Car los Montafar desde la villa de Ibarra, donde manifiestan haberse re tirado con toda la trepa, armas y pertreches, á fin de consultar la natural defensa á que se hallan resueltos, y para evitar mayor efu sión de sangre entre con vasallos y hermanos, solicitando mi anuen ci…</t>
  </si>
  <si>
    <t>Montafar, Carlos</t>
  </si>
  <si>
    <t>Carlos Montafar</t>
  </si>
  <si>
    <t>…de los que se rindan y entreguen las armas, excluyendo los 8 mencionados en el artículo primero. Cuarta. Sin embargo de la contestación desatenta , nada política, y preocupada que D. Carlos Montafar me dió en ó del presente</t>
  </si>
  <si>
    <t>Montalvó, Francisco</t>
  </si>
  <si>
    <t>Francisco Montalvó</t>
  </si>
  <si>
    <t>…los navios, Algeciras y Asia lo participo, á Y. S. para conocí* miento de la Regencia del rey no , noticiándole también que ha biendo tenido el mismo aviso el mariscal de &lt; campa D. Francisco Montalvó, capitán general electo dél nuevo reynaide Granada, se dispone á marchar prontamente para su destino. —• Las c ^piás que acompañan á este oficio son las siguientes. ~-Pr¿mera: A yer hemos tenido la gloría de ver expulsado de esta ciudad al tirano francés Pedr…</t>
  </si>
  <si>
    <t>Montaña, Juan</t>
  </si>
  <si>
    <t>Juan Montaña</t>
  </si>
  <si>
    <t>…ina , hab T tenido en ella 2 sargentos, 2 cabos y 7 soldados muer tos, y heridos un cabo y 3 soldados. El alférez de navio D. Sebas tian Butler herido gravemente , y el de fragata D. Juan Montaña le vemente. El valor y bizarría de esta oficialidad y su tropa, asi como el del alférez de navio D. Martin de Asas , que con 16 individuos de brigadas mandaba las dos piezas de tren volante de la tercera division, es natural lo digan de oficio á los gefes de…</t>
  </si>
  <si>
    <t>Montbrum</t>
  </si>
  <si>
    <t>…notoriamente sabido con el señor Fuente, digno magistral de aquella catedral; que cercada Va lencia por el exército de Suchet, ocupada la Mancha alta por una división al mando del general Montbrum, é interceptadas por todas partes las avenidas de Cuenca, el miserable vecindario * marcado ya con el sello de so miseria y aniquilamiento, buscase un lugar para morirse, que no le era concedido fue ra de sus antiguos hogares. Hasta una época tal, que se cele…</t>
  </si>
  <si>
    <t>Montbrun</t>
  </si>
  <si>
    <t>…de en el pais de Dessau hasta Magdeburgo, y aun nuevo contra el gobernador de Montevideo, y es mucho mas abaxo, todos los barcos y bateles están en la orilla izquierda del rio. El general Montbrun ta ciudad se halla bloqueada. Sábese de la isla de Cuba , que sin embargo de se halla en este principado con un cuerpo de caba la muerte de Miranda, continúan sus operaciones llería francés. los revolucionarios de la América española, y aca El mariscal duque…</t>
  </si>
  <si>
    <t>…ce Sai, señor duque &amp;c. = Krusemarck. ses , una parte de los quales han sido ya vueltos á Copa de una carta del barón de Hardenberg coger. al de Krusemarck. La mañana siguiente el general Montbrun, que manda la vanguardia del cuerpo del príncipe de Berlín á 30 de agosto de 1811. Eckmiihl, llegó á Luneburgo. Luego que supo el Señor barón: si l.qs motivos de miramiento con enemigo que se acercaba abandonó la ciudad con la la Rusia, que obligaron al Emper…</t>
  </si>
  <si>
    <t>Montea, Toribio</t>
  </si>
  <si>
    <t>Toribio Montea</t>
  </si>
  <si>
    <t>v 517 articulo de ofició: El teniente general D. Toribio Montea, comandante general de Quito, ha dirigido al ministerio de la Guerra el*parte siguiente: yiExorno. Sr.; Después del paite que en Sé de; Setiembre último pasé Á V, F. desde XiatacuOga,. donde it*e‘há^ba. detenido espe rando de Guayaquil y Cuenca los pertreches…</t>
  </si>
  <si>
    <t>Monteagudo, Francisco</t>
  </si>
  <si>
    <t>Francisco Monteagudo</t>
  </si>
  <si>
    <t>…Labraría, substituto primero. D. Pedro de las Muelas, alcalde. D. Bernardo Rodríguez-, substituto segundo. D. Manuel Martínez, substituto primero. Barrio de las Niñas de Monttrri. D. Francisco Monteagudo, substituto segundo. D. Agustín Tavira, alcaide. D. Alfonso Luceño, substituto primero. Barrio de la pinza de S. Juan. D. Ramón Lancha alcalde. D. Domingo Cabezón, substituto segundo. Barrio de Monserrat, D. Juan .Adan, substituto primero. D. Félix Montexo, s…</t>
  </si>
  <si>
    <t>Montegre</t>
  </si>
  <si>
    <t>…pos fugitivos, el de Cuenca, dixese en una pastoral , impresa en Cádiz después (1) Este periódico, escrito con sumo esmero por del decreto de 24 de setiembre, por el que se san el doctor Montegre, sale en París cada 10 dias. cionaba el principio de la soberanía nacional,</t>
  </si>
  <si>
    <t>Montene, Vicente</t>
  </si>
  <si>
    <t>Vicente Montene</t>
  </si>
  <si>
    <t>…Rucabado y D. Diego Crespo de Tejada; por la de S. Sebastian Don Juan Antonio de Urraza, D. Joaquín Almazan y D. Juan Josef de Ojanguren; por la de S. Lorenzo D. Miguel de* Áxpe y D. Vicente Montene gro; por la de S. Miguel y S. Justo L&gt;. Manuel Segundo Martínez; per la de S. Andrés D. Domingo Fernandez Campomanes y D. Fermín Rodrí guez; por la de S. Pedro D? Josef Teodoro Santos; por la de S. Josef D. Santiago Gutiérrez de Arinterof y marques de Castref…</t>
  </si>
  <si>
    <t>Montengon, Pedro</t>
  </si>
  <si>
    <t>Pedro Montengon</t>
  </si>
  <si>
    <t>…erno sé vende á tres rs., j se publicarán dosen^cada mes. Toda la obra constará de 28 quadernos , como lo expresa el del número i.° que anunciamos. El Eusebio , novela escrita por D. Pedro Montengon, quatro tomos en 8.° pro longado. Véndese en la librería de la viuda de Qiiiroga, calle de las Carretas. EN LA IMPRENTA NACIONAL.</t>
  </si>
  <si>
    <t>Montero, José</t>
  </si>
  <si>
    <t>José Montero</t>
  </si>
  <si>
    <t>…ptúo que 1009 habrán sido heridos; entre estos (que , como he indicado á V. E., la mayor parte han caído prisioneros por no haber podido retirarlos) tengo el disgusto de contar al coronel D. José Montero. „La pérdida de les enemigos ha sido considerable, y no po día ser menos en Tazón de la terrible resistencia que se hizo en el pueblo, en la ermita y en las alturas inmediatas. „Las fuerzas con que me han atacado han sido 5000 infantes, 6C0 caballos y 3 pieza…</t>
  </si>
  <si>
    <t>Montero, Juan Josef</t>
  </si>
  <si>
    <t>Juan Josef Montero</t>
  </si>
  <si>
    <t>…por esta provincia para las cortes generales extraordinarias El limo. Sr. Obispo de Plasencia. Sr. D. Vicente de la Llave. Sr. D. Juan Gerónimo Chacón. Sr. D. Silvestre Trigueros. Sr. D. Juan Josef Montero. Sr. D. Nicanor García Santos. Sr. D. Victoriano Sánchez. Y por suplentes Sr. D. Justo Peñalver. Sr. D. Simeón Palomino. Guadalaxaraj 8 dejulio* La junta electoral de esta provincia, en cumplimiento de lo prevenido en la constitución política de Ja monarquía…</t>
  </si>
  <si>
    <t>Montero, Rámon</t>
  </si>
  <si>
    <t>Rámon Montero</t>
  </si>
  <si>
    <t>…lectores de. partido nombrados por el de Madrid y Alcalá para asistir d la junta electoral de provincia, que se ha de celebrar el martes *7 de este mes. Del partido de Madrid. i.° D. Rámon Montero, presbítero de Fuencarral¿ ^ 2.0 ; D. Josef Rodríguez Maqueda, natural de S. Martín de Valdeiglesias, y residente en ella. 3.0 D. Agustín González Sanz, natural y residente en Miraflores^ 4.0 D. Nicolás Martínez de Tej'ada, presbítero, natural y residente en…</t>
  </si>
  <si>
    <t>Montero, Ramón</t>
  </si>
  <si>
    <t>Ramón Montero</t>
  </si>
  <si>
    <t>«4* t.° D. Ramón Montero., natural de Fiícncarral, canónigo lectoral de S. Ildefonso. 3*° D. Francisco Olavaríieta, natural y del comercio» de Madrid. •4.0 D. Román Corona , natural y hacendado en Yebra. '5*° D. Josef del Valle Salaba r, natural de Fuenlabrada, y abogado del colegio…</t>
  </si>
  <si>
    <t>Montes, Francisco</t>
  </si>
  <si>
    <t>Francisco Montes</t>
  </si>
  <si>
    <t>…Ignacio González, 1 id. D. José Ri bera, 1 id.. D. Francisco Gavidia, 1 id. D. Juan Bautista y D. Mi guel de la V ña, 1 id.- DJ usé Aibarado, 1 id. D. Melchor í&amp;chaustegnl, 1 id. D. Francisco Montes, I id. D. Sebastian Compare!, 1 id. D. A i tordo D: ñho, 1 i i. D. Francisco Ambrosi, 1 id¿ La archicofradíade Ntra, Sra. del Rosario, 10 id. D. Gregorio Lamas, 12 id. Son 379 hambres á razón de 192 ps. fs. al año por cada uno. Hacen 72768 ps. fs —D. Alberto…</t>
  </si>
  <si>
    <t>Montes, Josef Martin y</t>
  </si>
  <si>
    <t>Josef Martin y Montes</t>
  </si>
  <si>
    <t>…cisco Linares, natural y residente en Valdenioro. 9.0 D. Juan Peñuelas de Zamora, natural y residente en Madrid. 10. D. Felipe Artalejo , natural y residente en Pinto... . . , 11. D. Josef Martin y Montes, natural y,residente en Torrejon de Velasco. 12. D. Patricio Magano, natural de Fuencarral, y residente en Madrid. 1 ' , Del partido de Alcalá. i.° D. Manuel Anchuelo, vecino de Anchuelo. 2.0 D. Felipe Perez Valle , cura dé la villa de Camarina de Esteruelas.…</t>
  </si>
  <si>
    <t>Montes, Toribio</t>
  </si>
  <si>
    <t>Toribio Montes</t>
  </si>
  <si>
    <t>206 Santa Fe , conforme las ideas que le tengo comunicadas ai pre sidente D. Toribio Montes, que manda aquellas fuerzas. ,,Siento la mayor satisfácelo n en comufueár a V' E. éstas agradables noticias para inteligencia del supremo Gobierno aa« clona!. ,.Dios guardé á V. E. muchos años. LiiUa Octubre 13 de 1812 — Excmo. Sr.— El marque* de la Concordia…</t>
  </si>
  <si>
    <t>Montes, Toríbio</t>
  </si>
  <si>
    <t>Toríbio Montes</t>
  </si>
  <si>
    <t>…dos se hallan resueltos; hemos deliberado, para evitar mayor efusión de sangre entre convasallos y hermanos, dirigir á V. S. este oficio para solicitar con el Exorno. Sr. teniente general D. Toríbio Montes , el establecimiento de la paz y conciliación por los medios mas prudentes y proporcionados á la reposición del buen orden pú blico. En virtud de esre allanamiento voluntario se servirá V. S., suspendiendo toda disposición hostil, como lo haremos de nuestra p…</t>
  </si>
  <si>
    <t>Montes, Toribio de</t>
  </si>
  <si>
    <t>Toribio de Montes</t>
  </si>
  <si>
    <t>…el chor Ayinerich , gobernador de la provincia de Cuenca en ultramar, y del coronel D. Juan Saman©, y al particular que han contraído en el exército de Quito al mando del teniente general D. Toribio de Montes; se ha servido la Regencia del reyno promover al primero al empleo de mariscal de campo de los exércitós nacionales, y uUs«-» gund© ai de brigadier de infantería. lite CADIZ ; IMPRENTA NACIONAL: / K/t 'V</t>
  </si>
  <si>
    <t>Montes, Toriblo de</t>
  </si>
  <si>
    <t>Toriblo de Montes</t>
  </si>
  <si>
    <t>…-Rodrigo, general en ge fe de los exércitos aliados; y á los dignos gefes, oficiales y tropas de su mando, por las brillantes acciones á que se refieren dichos partes. El teniente general D. Toriblo de Montes , comandarte general de Quito, ha dirigido al señor ministro de la Guerra el paite siguien te: «Excmo. Sr.: En 2© de Noviembre manifesté á V. E. la entra-</t>
  </si>
  <si>
    <t>Montes-, Je</t>
  </si>
  <si>
    <t>Je Montes-</t>
  </si>
  <si>
    <t>…hacer estas útiles compras: asi las necesidades Se man, general Aubigny y barón Bourlier, hemos nuestras fabricas, de nuestra agricultura y de. nues nombrado y nombramos ai señor conde Je Montes- tros exércitos están cada vez nías aseguradas. • quiou presidente del cuerpo legislativo durante la Este grado de prosperidad se debe'á fes leyes actual sesión.” liberales que rigen este-grande imperio, á»fa supre A la lectura .'de este mensage se siguieron u…</t>
  </si>
  <si>
    <t>Montes.’, Toribio de</t>
  </si>
  <si>
    <t>Toribio de Montes.’</t>
  </si>
  <si>
    <t>520</t>
  </si>
  <si>
    <t>…mientos de este pueblo del, de sus representantes j y de todo el exército que tengo el honor de mandar. Quito y Noviembre &lt;3 , á las 10 de la mañana , de 1812.— Carlos Monxufar. — Sr. D. Toribio de Montes.’* Núm. 3*° ) ..•- :• .3 r. „SI no estuviese persuadido este pueblo fiel y religioso que el estilo de los piratas que solo miran en sus empresas las vergonzosas pasiones de ambición é ínteres es el que se lee en vuestro oficio, nunca creería que os atrevieseis…</t>
  </si>
  <si>
    <t>Montesquiou.portación, He</t>
  </si>
  <si>
    <t>He Montesquiou.portación</t>
  </si>
  <si>
    <t>…us familias reducidos» una extrema mi seria por consecuencia de la mudanza que se hiciese CUERPO lECISLATIVO. en el rumbo acostumbrado de este comercio de ex Presidencia del señor conde He Montesquiou.portación. La junta pues se halla plenamente convencida En las sesiones que hasta- aquí ha celebrado el de que para la ciudad y-puerto de Londres es de cuerpo legislativo se ha ocupado en la renovación de importancia suma que ei comercio de exportación oficios y nombra…</t>
  </si>
  <si>
    <t>Montever-</t>
  </si>
  <si>
    <t>…La guardia imperial, á las órdenes del mariscal tos. De acuerdo con el partido realista español el duque de Treviso, se halla ahora de guarnición en gobernador de Curazao daba al general Montever- esta ciudad. Este soberbio cuerpo, que á su llega de hombres y armas para acabar de aniquilar á los da se componía ya de siete regimientos, se refuer habitantes de Venezuela. La historia no ha presen za cada dia, y solo la infantería , que es la que está tado…</t>
  </si>
  <si>
    <t>Monteverde</t>
  </si>
  <si>
    <t>…sta el teniente coronel D. Joaquín de Fuelles Tanego, comandante y gobernador que fué del castillo de S. Córlos del Pampater en la isla de Margarita, segundo gefe del exército del general Monteverde, se ha servido S. A. nombrarle para el gobierno y comandancia mi» litar de la plaza de Puerto Cabello. r" ' CADIZ: EN LA IMPRENTA NACIONAL.</t>
  </si>
  <si>
    <t>Montexo, Félix</t>
  </si>
  <si>
    <t>Félix Montexo</t>
  </si>
  <si>
    <t>…Luceño, substituto primero. Barrio de la pinza de S. Juan. D. Ramón Lancha alcalde. D. Domingo Cabezón, substituto segundo. Barrio de Monserrat, D. Juan .Adan, substituto primero. D. Félix Montexo, substituto segundo. D. Miguel Parte-arroyo, alcalde. Barrio del Hospital General. D. F rancisco Oliva, substituto primero. D. Josef Martínez , substituto segundo. D- Siiverio Perez , alcalde. Barrios a. Guardas de K,otps. D. Ignacio fichar, substituto primer…</t>
  </si>
  <si>
    <t>Montfort</t>
  </si>
  <si>
    <t>…Lindenau para volarle al último momento, retardando asi la marcha del enemigo, y dexand© á los bagages tiempo de desfilar. El general Dulauloy habia encargado de esta operación al coronel Montfort. Este coronel, en vez de permanecer en aquel lugar para dirigirla y dar la señal, mandó á un cabo y quatro zapadores que hiciesen volar el puente al momento que el enemigo se presentase. El cabo, hombre sin inte ligencia y comprehendiendo mal su encargo, al o…</t>
  </si>
  <si>
    <t>Monton, Juan</t>
  </si>
  <si>
    <t>Juan Monton</t>
  </si>
  <si>
    <t>…. Ramón Navarlaz, D. Hilario Mar co, D. Ramón Marichalar, D. Juan Badina y D. Juan Francisco Zarimluqui: á ayudantes á D. Pascual Sanz, D. Domingo Olejua , Don Juan Esteban Anant, D. Juan Monton ,D. Ramón Díaz de Itarraza, D. Ambrosio Dorregaray, D. José Mari a Larcano j Joaquín Mezquiriz, D. Santiago Arizavala, Dj Ildefonso Zizur, D.José Pinilla y D. Pedro Brull .* á tenientes de granaderos y. cazadores á D. Isidoro IrachMta, D. Martin de Yoldi, D.…</t>
  </si>
  <si>
    <t>Montplomático</t>
  </si>
  <si>
    <t>…l En los días 23, 24 y 25 recibió el señor conde Elba por Werben,y cuya retaguardia fue derro de Narboná las visitas de ceremonia del cuerpo di tada y arrojada al rio el 28 por el general Montplomático, de las autoridades y de ia nobleza de brun , se dirigió á Luneburgo. esta capital. ■ El 26 safio el general Morativi Je Brema con</t>
  </si>
  <si>
    <t>Montufar</t>
  </si>
  <si>
    <t>…aba su antigua posi ion del Llobregat. El teniente general lord Guillermo Bentinck se habrá em barcado el 22 de Setiembre para Sicilia, w Remito á V. E. este parte por el teniente coronel Montufar, edecán del mariscal de campo D. Pedro Agustin Girón: y ruego á V. E. me permita le recomiende á su protección. = Dios guarde á V. E. muchos anos. Lesaca 9 de Octubre de 1813. = Wellington, duque de Ciudad -Rodrigo. = Excmo. Sr. D. Juan Ó^Donoju.” =: Es copia…</t>
  </si>
  <si>
    <t>…a su antigua posición del Liohregat. El teniente general lord Guillermo Bentinck se~habrá embarcado el 22 de setiembre pa ra Sicilia. , „ Remito á V- E. este parte por el teniente coronel Montufar, edecán del mariscal de campo D. Pedro Agustin Girón: y ruego á V. E. me peri^ita le recomiende á su protección. = Dios guarde.á V. E. muchos años. Resaca 9 de octubre de 1813. = VVellington , duque de Ciudad-Rodrigo. =s JExcmo. Sr. D. Juan 0-Donojú.”;= Es co…</t>
  </si>
  <si>
    <t>Montufar, Cários</t>
  </si>
  <si>
    <t>Cários Montufar</t>
  </si>
  <si>
    <t>518</t>
  </si>
  <si>
    <t>…usieron preso tratándole ignominiosamente, y remitiéndome las contestaciones números 2.° y S.° por medio da un indio ; habiendo yo averiguado después, que dicho comandante militar D. Cários Montufar, no dio conocimiento á los cabildos, y que deliberó por sí solo. Al dia siguiente resolví atacarlos por tres diferentes puntos, cargando la mayor parte de mis fuerzas por el centro del Panecillo, cuya subida casi,perpendicular tiene un cuar to de legua, y lo3…</t>
  </si>
  <si>
    <t>Montufar, Joaquín</t>
  </si>
  <si>
    <t>Joaquín Montufar</t>
  </si>
  <si>
    <t>…an desempeñado con la mayor actividad y acierto quanto se ha puesto á su cuidado. « Mi secretario de campaña el teniente coronel D. Felipe Prados, mi ayudante de campo el teniente coronel D. Joaquín Montufar, los capitanes D. Leonardo Bonet y D. Domingo Manso , y el teniente D. José Ramón Ferradas, han llenado plenamente mis deseos. «El comandante general de ingenieros mariscal de campo D. Ma nuel Zappiño, el brigadier comandante general de artillería D. Agus tín…</t>
  </si>
  <si>
    <t>Montufár, Joaquín</t>
  </si>
  <si>
    <t>Joaquín Montufár</t>
  </si>
  <si>
    <t>…n desempeñado con la mayor actividad y acierto quanto se ha puesto i su cuidado. ,, Mí secretario de campaña el teniente coronel D. Felipe Prados, mi ayudante de-campo el teniente coronel D. Joaquín Montufár, los capitanes D. Leonardo Bónet y I&gt;. Domingo Manso; y el teniente D. Josef Ramón Ferradas han llenado‘plenamente mis deseos. ,,'El comandante general de ingenieros mariscal de campo D. Manuel ZappiñQ, el brigadier comandante general de artillería D. Agustín…</t>
  </si>
  <si>
    <t>Monzó, Mateo</t>
  </si>
  <si>
    <t>Mateo Monzó</t>
  </si>
  <si>
    <t>…. Domingo Ausias, patrimonista , presbítero. equipados; Utrech 20 soldados de á caballo; Aix- Para el de Arañuel, vacante por ascenso de la-Chapellc 20; Colonia 40; Borcete cinco. D. Mateo Monzó al curato de Espadilla, á D. Ro La ciudad de Amiens ofrece á S Al. 30 solda que Todoli, seminarista , presbítero. dos de caballería, armados y equipados; la ciudad Para el de Benirredrá, vacante por promoción de Angers 4; ; el cantón de Metz quatro; la ciu de…</t>
  </si>
  <si>
    <t>Moor</t>
  </si>
  <si>
    <t>…ral Horn____Se han cogido 22 cañones, ademas de los 60 de la acción de Culm del dia 30, y también mas carros de municiones. Secretaría del almirantazgo 2 1 de setiembre. El contra-almirante Moor escribe el 10 de setiembre á Mr. Croker desde la plaza de Rostock, participándole que el general Walmoden tenia el dia 8 su quartel general en Domitz. Hemos recibido cartas de Altona, fechas del 14, 16, 17 y 18 de setiem bre hasta las ocho de la noche, anunci…</t>
  </si>
  <si>
    <t>…ismo dia en Bcntzlau ei general Horn. — Se tomaron mas de 22 piezas, sin las 60 de la acción de Ctilm el dia 30, y mas carros de municiones. Secretaria del Almirantazgo. El contra-almirante Moor escribe á M. Croker desde la plaza de Rostock, el 10 de Setiembre, participándole que el general Walmoden tenia su cuartel general en Domitz el dia 8 del mismo mes.ESPAÑA. Santiago 4 de Octubre. El Sr. D. Luis Lacy, capitán general de Galicia y su exército de…</t>
  </si>
  <si>
    <t>Moore</t>
  </si>
  <si>
    <t>H7© Aviso del almirantazgo u de Setiembre de 1813. Extracto de una carta del contra-almirante Moore d J Wilson Croker, abordo del navio de S. Id. el Vigo, delante de Rostock, a % de Setiembre. Persuadido de que el contra-almirante Hoppe habrá salido ya de Gottenburgo para Inglaterra, os dirijo esta para informaros que el 26 ultimo al amanecer el general Veg…</t>
  </si>
  <si>
    <t>Mor, Federico</t>
  </si>
  <si>
    <t>Federico Mor</t>
  </si>
  <si>
    <t>tAO'] Dios guarde á V. S. muchos años. Benia 7 de Diciembre de 1813.=: Ignacio Vives»* Capitulación ajustada por D. Federico Mor han , capitán de in genieros del exército francés, y D. Manuel Cortés , sargento mayor del regimiento de América, en nombre del comandante de todas las tropas del sitio de la plaza de Derla D. Diego Entrena, según las instrucciones del Exento. Sr. general en…</t>
  </si>
  <si>
    <t>Mora</t>
  </si>
  <si>
    <t>…á cualesquiera premio por la bizarría con que se batieron , lo que se servirá V. hacer presente á nuestro general. Y yo lo elevo á noticia de V. S- para que se sirva distinguir al señor Mora, con lo</t>
  </si>
  <si>
    <t>Mora, Agustín</t>
  </si>
  <si>
    <t>Agustín Mora</t>
  </si>
  <si>
    <t>…torianoMangiron, D; Joaquín Mendiando , Don Pedro Oses* D José María Subirán , D. Miguel Tartas , D. Manuel Baztan ¿ D. Agustín Oro, D. José Joaquín Ározatena, D. Domingo Chávame, D. Agustín Mora, D. Juan Cruz Larrondo, D. Fran cisco Peralta, D. Manuel Salaberri, D. Dámaso Landa, D. Atanasio Diez, D. Bartolomé Comas, D. Ildefonso Mayo, D» JVLguql Ormachea, D Joaquín Sánchez, D José Migueltorena D Diego Gayarre, D. Fermín San Martin,*O. José Arozarena,…</t>
  </si>
  <si>
    <t>…a 2S&gt; de Mayo. Continúan los gorfes del mariscal de carago D. Francisco Es-paz y Mina. Decimotercio. El comam-dante accidental del séptimo regimiento me dice ha berle dirigido el teniente D. Agustín Mora, que lo es del primero, el siguiente parte- "Mi comandante: Después de haber evacuado las comisiones que, como V. no ignora, se me confiaron, llegué á la vi lla de Ainsa, desde la que me dirigí á Plan, y en la madrugada del 14 torné el camino de Benasque por…</t>
  </si>
  <si>
    <t>Mora, Manuel de</t>
  </si>
  <si>
    <t>Manuel de Mora</t>
  </si>
  <si>
    <t>…imón de Codes, hacendado de la villa de Ocaña. D. AlfonsoPeñalver, presbítero, hacendado de la villa de Mora. Dr. D. Josef Perez de la Maza, párroco de Santiago de Talavera. . Dr. D. Manuel de Mora, hacendado, labrador de la Guardia. N D. Gregorio Sánchez de Rivera, labrador propietario de Gerindote. Y para suplentes d los señores D. Juan Josef Calderón de Ja Barca, hacendado de Orgaz*</t>
  </si>
  <si>
    <t>Mora, Santiago</t>
  </si>
  <si>
    <t>Santiago Mora</t>
  </si>
  <si>
    <t>…lo y Bustamante dos partes que le había dirigido el comandante de la sección de Temascaitepec, de la acción que el 31 de Agosto sostuvo en el real de Sultepec el teniente co ronel D. Santiago Mora, comandante de aqael panto, y el ataque que el 29 del mismo dio el bizarro teniente de cazadores del ñxo de México D. Vicente Filispla, á la reunión de rebeldes pintos de Tierra-Caliente, situados en la barranca del Salí trillo. — El primero dice que ios rebe…</t>
  </si>
  <si>
    <t>Mora, Santiago de</t>
  </si>
  <si>
    <t>Santiago de Mora</t>
  </si>
  <si>
    <t>…que pasan de 1200 los muertos sobre el campo, y considerable número de heridos y prisioneros, tomándo les 8 6 10 cañones, machas armas, y habiéndoles aniquilado ente ramente. 71. D. Santiago de Mora, teniente coronel graduado, coman dante del punto del real de Sultepec, comunicó al coronel D. Joa quín del Castillo y Bustamante, que el 29 de Setiembre fué ataca do aquel real por unos 3© rebeldes, mucha parte de ellos negros y pintos, y que de3pues de cinc…</t>
  </si>
  <si>
    <t>Mora, Ventura de</t>
  </si>
  <si>
    <t>Ventura de Mora</t>
  </si>
  <si>
    <t>…tes D. Juan Castañeda y D. José Paredes. El capitán £&gt;. García Revilla, que mandaba las tropas colocadas fuera del real, recomienda al subte niente D. Jaan Granados, á los cadetes D. Ventura de Mora y D. José Blasio, y al sargento Francisco Perez, y en general lo hace Mora de toda su tropa. (Se continuarán.) Zaragoza S&gt; de Agosto. La batalla de Vitoria y su resultado le llegó á Bonaparte estan do comiendo en Dresde con el rey de Saxonia: rasgó el parte, ar</t>
  </si>
  <si>
    <t>Morales, Andrés</t>
  </si>
  <si>
    <t>Andrés Morales</t>
  </si>
  <si>
    <t>…ortes generales y extraordinarias en la sesión de 24 del corriente á la renovación de su presidente, vice presidente y uno de sus secretarios, salieron electos, para presidente el Sr. D. Andrés Morales de los Ríos, diputado por la p ovineia de Cádiz ; para vice-presidente el Sr. D. José Antonio López de la Pla ta, diputado por la provincia de Goatemala; y para secretario el Sr. D. Francisco Ruiz Lorenzo, diputado por Córdoba. La Regencia del reyn§ se ha ser…</t>
  </si>
  <si>
    <t>…tes generales y extraordinarias en la sesión de* ¿4 del corriente á la renovación de su presidente, vice-presidente y uno de. sus secretarios, salieron electos, pará presidente el Sr. D. Andrés Morales de* los Ríos, diputado por la provincia de Cádiz; para vicepresidente el Sr. D. Josef Antonio López de la PIajr|, diputado por la provincia dé Góaternala; y para secretario el Sr. D.„EVán&lt;fisco Ruiz Lorenzo» diputado por Cprdoba.. La Regencia del reino se ha…</t>
  </si>
  <si>
    <t>Morales, Juan de</t>
  </si>
  <si>
    <t>Juan de Morales</t>
  </si>
  <si>
    <t>…edor, y distribuyó por su mano del ntodo si guiente: á los cadetes D. Gregorio Brochero, D. Nicolás Campo,* D. Diego María Calatrava, D. José Valdemoros , D. Pascual de la Puente, D. Juan de Morales, D. Agustín Gamboa, D. José Rayo y Cortés, D. Antonio González y D. Pedro Abello, un exemplar á cada uno de un tratado de trigonometría y geometría práctica poj* su aprovechamiento en aritmética y álgebra : á les c,: de tés D. José Beltran , D. José María Gor…</t>
  </si>
  <si>
    <t>Moran</t>
  </si>
  <si>
    <t>…lo aguantaran 5 minutos, cuando huyeron; no chitante fueron carga dos por la caballería de Terau, y muertos musko3. „ Mientras tanto el frente de su línea nos atacó, y el teniente coronel Moran fingiendo retirarse, apenas llegó á protegerse de Guanaxuato, cuando atacándolos en u -don los bitió, tomándoles 3 ca ñones , 2 carros de municiones, y muchas armas, sin que la presen cia de Morelos fuese bastante á contener la huida del enemigo. En este tiem…</t>
  </si>
  <si>
    <t>Moran, José</t>
  </si>
  <si>
    <t>José Moran</t>
  </si>
  <si>
    <t>…Víctor Maneo, cea el obús y 70 caballos al caigo del capit&amp;n de dragonee O. Eugenio Taran, formaron la derecha. Para peder tomar esta pe* sieion , quedé en la llanura el teniente coronel D. José Moran con 300 «abados escasos, y para protegerle el reste del batallón de Guau&amp;xuato, que apenas serían 290 hombres. ,)Loa enemigos, en número de mas de 0090, entre ellos 2000 caballos, nos atacaron en tres columnas. Las dos del frente dieren lugar á que la tercera…</t>
  </si>
  <si>
    <t>Morand</t>
  </si>
  <si>
    <t>…e aquí ha sido muy san grienta, El general Remenf ha muerto de resultas de sus heridas: todos nuestros generales de dividen han sido heridos, el general Cempsue en la espalda , el general Morand én la mexdla , el gene ral Dessaix en el brazo, el general Isiaut y su hijo en el muslo: también el mariscal fúé herido por dos veces. „Ya sabrás que soy coronel desde el 10 de 4gqsto. Si no se hace la paz este invierno, es probable que al fin de la primavera…</t>
  </si>
  <si>
    <t>…ra reforzar el Del i(T. exército grande: los jóvenes de ¡os estados'de la Ayer 14 pasó el Elba por junto á nuestras mu confederación, que están aptos para manejar las ar rallas el general Morand con una coluna de 4© mas, se reúnen con celeridad á las falanges del im hombres y 15 piezas de artillería, y ha ido á re perio'francés. Ya hace un mes que esran pasando el unirse con el general Carra-Saini-Cyr. Kin continuamente en Strasburgo, Maguncia y We-…</t>
  </si>
  <si>
    <t>…dinamarquesas, que en número de SOCO hombres y con una grande artillería, estaban á oídlas del Eba con el objeto de defender su neutralidad. Pareció entonces que la intención del general Morand era tomar posición en Bergdorff y Víerlanden, y al efecto puso en Echeraburgo, plaza situada una milla alemana de Lauemburgo, una guar nición de 500 hombres con 8 pieza3 de artillería. Desde Echemburgo á Bergd- ríf no hay mas que desfiladeros donde es enteram…</t>
  </si>
  <si>
    <t>…íer de 20000 hombres, que á principios de Enero vino de Italia á reforzar á aquel) quedó reducido á 18ÓOO hombres, de resubas de les varios encuentros que tuvo con los cosacos; el general Morand que ocupábala Pomerania sueca con unos 2500 hombres, se puso en marcha siguiendo al exército grande, y formando el a-Ia izquier da de e3te, baxo el nombre de exército de la Pomerania. En su marcha se le reunieron todos los empleados de las aduanas huyendo de…</t>
  </si>
  <si>
    <t>…yor Kentzinger, fecha en Hamburgo á 4 de Abril último. „Me apresuro á participar á Y. la gloriosa victoria conseguida por nuestras tropas en 2 del corriente contra la división del general Morand, que se habia apoderado del pueblo de Luneburgo. ,,Este general, al frente de 3500 hombres , marchó desde Tostedt á Luneburgo. Mis cosacos siguieron sus movimientos, de los cuales informé al general Dornberg que habia pasado el Elba en</t>
  </si>
  <si>
    <t>…os que no fueron muertos quedaron prisioneros ó rindieron las armas. Ni uno solo ha escapado de tod® el cuerpo. fLin quedado en nuestro poder 3 pares de banderas y 12 cañones.” El general Morand murió en la acción. ESPAÑA. Valladolid 21 de Mano. El 16 del corriente llegaron aquí cuatro destacamentos proce dentes de León de los regimientos 26,47 y 70 de línea y SI ligero, que entre todo compondrán unos 240 soldados con SO oficíeles que pasan al Norte.…</t>
  </si>
  <si>
    <t>…al, porque las tropas de línea „Esta obra , recomendada antes de su publica un pasado á la orilla izquierda del Elba. Ayer 15 ción per la confianza y aprecio que inspiran el sa ei general Morand con una coluna de q9 hombres ber y las prendas personales del autor, ha merecido y 15 cañones pasó el Elba por debaxo de nuestros el aprecio universa! del público; y tal vez también muroí, y se incorporó al general Carra Saint-Gyri. la habréis vos juzgado ya.…</t>
  </si>
  <si>
    <t>…nas insurrecciones en los departamentos de las severidad las insurrecciones que han turbado la tran Bocas de! Elba y del Ems. quilidad de aquel pais. El conde de Eenrinck, ¡pai El general Morand, que ocupaba ia Poinerania re de Varel, cometió la infamia de ponerse a ia ca .sue , habiendo sabido la evacuación de Beriin , se beza de los sediciosos; se confiscarán sus bienes, y retiraba sobre Hamburgo; y habiendo pasado el tendrá por premio de su traici…</t>
  </si>
  <si>
    <t>…fuerza se suponía de 3 á qS) ramos de su magnánimo corazón que no dexará de tombres entre infantería, caballería y artillería. El hacerlo. Seria imposible que la leal franqueza de general Morand le salió al encuentro con su coluna, los pasos del Reí, y la pureza de las intenciones compuesta de Seo saxones y 200 franceses, de to que los han dictado, no hubiesen hecho impresión hombres de á caballo y con quatro piezas. Habién en el ánimo de S. M. I. Lo…</t>
  </si>
  <si>
    <t>Moránd</t>
  </si>
  <si>
    <t>…había determinado por la certeza de que el grueso dél exército enemigo desembocaba á toda priesa hácia DenneWitz. La guardia avanzada del enemigo fue rechazada por la división dél general Moránd* que hizo prodigios de valor. La división ligera de caballería del general Lorge, empeñada imprudentemente , y retroce-* diendo desordenada, causó alguna confusión, qué en breve fue reparada por la firmeza dé la infantería. Habiendo sido reforzado el eüeiñigo…</t>
  </si>
  <si>
    <t>Morat</t>
  </si>
  <si>
    <t>…e muertos y heridos en esta acción se regula en 6000 hoiñbres por la parte mas corta, y 2500 prisione ros , en cuyo numero se comprehende el general Peltier, de artille ría , y el coronel Morat, edecán del mariscal Davoust „Tambien ha perdido mucha gente el enemigo en el persegui miento de los rusos * y ha dexado ademas en poder de estos una bandera, 3 cañones y 1000 prisioneros. „A1 principio de la retirada fué hecho prisionero Ramusé, se cretario…</t>
  </si>
  <si>
    <t>13</t>
  </si>
  <si>
    <t>…- , i,La pérdida de los franceses entre muertos y heridos asciende Á 6000 hombres,, y hemos hecho 2500 prisioneros, entre los que se halla el general Peltier, de artillería , y el coronel Morat, gefe del estado mayor del mariscalDavoust. Nuestra pérdida en muertos y heridos no excede de 5Q0 hombres. Después dé la toma de Yiasma, nuestra vanguardia atravesó la ciudad, y por el camino de Smotensko persiguió al enemigo hasta Ereinna. ^ „En eSt% marcha…</t>
  </si>
  <si>
    <t>Morate, Juan Francisco</t>
  </si>
  <si>
    <t>Juan Francisco Morate</t>
  </si>
  <si>
    <t>…rtífice platero en Madrid. Suplentes. ■i i i i.®. D. Simón González Juste, cura párroco de Seseña. 2.0 D. Martin Miguel de Goicochea, del comercio per mayor y g’»FO en Madrid. 3.° D. Juan Francisco Morate, labrador y ganadero.» vecino del ■ . ■ ; ' ' -t’-/; . ; !••••■•• v¿^¥.Soiga- • En la real casa de caridad dé la ciudad de Toledo se halla la obra de los</t>
  </si>
  <si>
    <t>Moraz</t>
  </si>
  <si>
    <t>…l regimiento 50 y del 6.° de cazadores, rechazaron al enemigo , mereciendo mucho elogio la conducta de dichos dos cuer pos en esta ocasión. „Permítame V. también hacer mención del capitán Moraz del 6.a de cazadores, que se distinguió particularmente conteniendo los pro gresos del enemigo, y fué Levemente herido. , ¿Tengo mucha razón-para estar satisfecho de la buena conducta 'de los oficiales y tropa del regimiento 50 y del 6.° de cazadores que comp…</t>
  </si>
  <si>
    <t>Morban, Federico</t>
  </si>
  <si>
    <t>Federico Morban</t>
  </si>
  <si>
    <t>…es que sufren estos baluartes de nuestra libertad, y entonces podremos decir con verdad y vanagloria que hemos coadyuvado á la defensa dé nuestra patria. Capitulación ajustada por D. Federico Morban , capitán de ingenieros del exército francés , y D. Manuel Cortés , sargento mayor del regimiento de América) en nombre del comandante de todas las tropas del sitio . de la plaza de Denia D. Diego Entrena, según las instrucciones del Exento. Sr» general en ge…</t>
  </si>
  <si>
    <t>6.° El capitán de ingenieros francés D. Federico Morban queda garante de esta capitulación, y de no cumplirla escrupulosamente será responsable liaxo el honor español. 7*° La presente capitulación será ratificada antes de ponerse el sol de este dia. ............. • 8.° Los empleados hábiles que subsistan, en el.fu…</t>
  </si>
  <si>
    <t>…de ios almacenes correspcndientes á cada ramo. los comandantes de artillería é ingenieros serán entrega 5Por dos todos ios planos del fuerte. 6. ° Ei capitán de ingenieros francés D. Federico Morban queda garante de esta capitulación, y de no cumplirla escrupulosamente se rá responsable baxo el licuor español. 7. ° La presente capitulación será ratificada antes de ponerse el sol de e te día. %.Q Los empleados .hábiles que subsistan en el fuerte serán muy…</t>
  </si>
  <si>
    <t>Morcan</t>
  </si>
  <si>
    <t>…piosa, que la acción se sostuvo e&gt;i todos los puntes con dificultades. A eso del medio día ocurrid una catástrofe, que produxo el ma yor sentimiento en todo el exército aliado: al general Morcan, estan do en conversación sobre las operaciones con el emperador de Ru sia, le rompió una bala de cañón ambas piernas , atravesando al caba llo: pérdida ten grande para la buena causa, como para la profe sión de las armas. No es posible lamentar bastantemente…</t>
  </si>
  <si>
    <t>Morean</t>
  </si>
  <si>
    <t>…nceses han echado papeles en las avanzadas reñriendo una batalla en Dresdé, en que los aliados perdieron nada menos que 8o3 hombres, 200 cañones, un sin número de carros, y que el general Morean estaba herido. La pérdida de ellos no la confiesan,ni las leguas qae han retrocedido , y parece que estos papeles se</t>
  </si>
  <si>
    <t>Moreau</t>
  </si>
  <si>
    <t>…as de aquella ciudad. Las cartas de Gottemburgo recibidas en Londres el 9 de agosto, y que alcanzan al 27 de julio, participan la interesante noticia de la llegada alli del famoso general Moreau, con su comitiva, compuesta de los generales Villot, Rewbel y Vitard. Han venido de Nueva-Yorck en 30 dias en el navio ame ricano el Aníbal. Los exércitos aliados reciben diariamente refuerzos. _ Escriben de Altona, con fecha de 20 de julio, que las diferenci…</t>
  </si>
  <si>
    <t>…e los aliados, esperándose que el día io de agosto se dariad aviso para la re novación de las hostilidades del 16 al 17 , solo tenemos que! añadir que pa rece seguro que el famoso general Moreau lia aceptado un mando en los exércitos ruso y prusiano, y que habiendo llegado ya al quartel general, se cree que servirá en aquella parte de las fuerzas aliadas que manda en gefe d Príncipe'Real de Suecia. (Extracto dtl TheCourierdelji.) declaración de la co…</t>
  </si>
  <si>
    <t>…r. C^ordon su hej'mj;no,jfr á F. Lam be en calidad de secretario de la legación. ' , ■ r\ _-t i r. Noticia confidencial. Aunque en los periódicos de este dia se dice que el famoso general Moreau, enemigo de, Bonaparte, ha áüept^do un mando en los exércitos ruso y prusiano,^sabemos confidencialmente que es mas fa vorable á nuestras ideas la que .tiene formada y va á, ejecutar el héroe de Hoelinden, de acuerdo con el Príncipe Real d^ Suegj^/y lQs demás…</t>
  </si>
  <si>
    <t>…. Amen.” T&gt;el i r. El armisticio se ha prolongado hasta el io de agosto, y con los seis días de la notificación dura hasta 16 del mismo. Tenemos la satisfacción de anunciar que el general Moreau ha aceptado ya un mando en los exércitos aliados ruso y prusiano,y se cree que manda rá todas las tropas aliadas, que han de servir baxo las órdenes del príncipe Bernadoite. El general Moreau habia ya llegado al quartel general de ios aliados. Se dice que los…</t>
  </si>
  <si>
    <t>…d de patrio tas armados, y ansiosos por combatir al enemigo de la humanidad. Han llegado las malas de Gottemburgo y HeligoSand: es constante que no se prolongará el armisticio: el general Moreau marchó á Xstadt para unir se con el príncipe Bernadotte, que se halla en Berlín. Se han recibido papeles franceses hasta el io de agosto, y nada dicen respecto al congreso. En ellos se ven copiados los partes de Souit hasta el 26 de julio, y callan su derrota…</t>
  </si>
  <si>
    <t>…rancia moderna el príncipe Bernadotte y el célebre Moreau; y esta circunstancia da idea de las esperanzas que aquel exército nos promete para la nueva campaña que va á abrirse. El general Moreau cedió por fin á la invitación de su antiguo camarada y amigo el príncipe Bernadotte : su nombre y celebridad, el peso de su an tigua reputación militar, las injurias particulares que tiene que vengar, y sus talentos combinados con los de su compañero deben au…</t>
  </si>
  <si>
    <t>…y 10 extraviados. — Ademas se tomaron en aquel apostadero 8 buques americanos armados, y un corsario francés. Idem 17 de Agosto, Escriben de Gottenburgo que, según voz pública, el general Moreau mandará un cuerpo de 30© aliados. Su esposa se ha quedado en esta capital. Nadie duda ya que el congreso de Praga no tendrá efecto; pues sabidos por los aliados los acontecimientos de la península, parece que han tomado la firme resolución de conseguir por la…</t>
  </si>
  <si>
    <t>…ustríacos desfilasen de Bohemia por Toplitz y-Aupit, obligarían á'BonapáFté á retirarse no tan soiamante de las fronteras de Silesia, pero de la línea del Elba. Es positivo'que ei general Moreau admitió un mando en el servicio ru so, y qu'e los franceses, alemanes , polacosy italianos y otros prisioneros he chos en- Rusia formarán voluntariamente--un cexercito, alistándose los que quiéran'para servir- á las'órdenes dé ti n ilustre'Caudillo., como igu…</t>
  </si>
  <si>
    <t>…ladando su quartel general á Praga, para donde habían salido el Emperador de Rusia, el Rei de Prusia y lord Cathcart. Se nos asegura que esta noticia se recibió aqui de oficio. El general Moreau salió el dia 4 de agosto de Istad para Stralsund , don de llegó con felicidad, y fue recibido por su antiguo amigo y camarada el príncipe'Bernadotte, que expresamente había venido de Berlín á esperarle. El exército del príncipe Bernadotte, que consta de mas d…</t>
  </si>
  <si>
    <t>…au Hocos disfilasen de Bohemia por Toplitz y Aupig, obli garían á Bonaparte á retirarse no tan solamente de las fronteras de Silesia, sino de la línea del Elba. Es positivo que el general Moreau admitió un mando en el setvicio ruso, y que los franceses, alemanes, polacos, italianos y otros, pri ioneros hechos en Rusia, formarán voluntariamente un exercito alistándose los que quieran para servir á las órdenes de tan ilustre caudillo., como igualmente…</t>
  </si>
  <si>
    <t>…s Fortificando á Ems hasta las orillas del rio de este nombre. - - . t . ;• , ,, t .2. . ~ ' , El general Jomini, que se ha pasado á los aliadoses natural de Suiza, sir.vió con el general Moreau, y se le reputa por* uno de los mejores inge** meros del exército francés. El general Moreau se halla actualmente en el quartel general ruso, y creemos que tomará un mando. Del 4. 1 / 4‘ ... ' . • . • ■ j ; ’&gt; : ' ; t ■ ; i . ,, Ayer ha llegado ,aqu i desde F…</t>
  </si>
  <si>
    <t>…sado, y Davcust aacó el 18 á Lauenburgo. El Mercurio de Altona, que se imprime baxo la influencia de Bonaparte, pretende que aquel general arrojó los aliados de sus posiciones. El general Moreau se dio á la vela de Istadt el 4 de Agosto para pasar ai cuartel general ruso. Se dice que será el confidente y con sejero íntimo de Alejandro para lo militar, y quien tomará y dieratá todas las órdenes y disposiciones del exército, aunque en nombre del empera…</t>
  </si>
  <si>
    <t>…incipales oficiales; y en ella se brindó á lord Weilíngton, y á la continuación de los gloriosos triunfos de su exército en la península, ex presando el Príncipe de la corona y el general Moreau la confianza que te nían de que el héroe británico executaria aun nuevas hazañas que le aumen tasen lá gloria adquirida, haciendo importantes servicios a la causa de las na ciones.' Se afirmaba que Moreau no tomaba‘ahora; ningún, mando contra los franceses, s…</t>
  </si>
  <si>
    <t>…xército de España, que habrán de levantarse de varios departamentos fronterizos. El 5 del corriente la Emperatriz llego ‘4 S. Cloud. Lps periodistas se es meran en desacreditar al general Moreau, con el fin de debilitar su ascendien te sobre la opinión pública, y echan mano de las invenciones y cuentos mas ridículos. Dicen que los traidores son despreciados por los mismos que se aprovechan de su traiéion. Esta expresión, que injustamente aplican al i…</t>
  </si>
  <si>
    <t>…ues. Hasta aquí el resultado del primer boletín de los aliados. Los franceses han evacuado toda la* Silesia; y el dia 18 tenían su quar tel general entre Leibnitz y Golberg.----El general Moreau ha sido nom brado mayor general ruso y gefé del estado mayor.__ La división del ge neral Vandamme fue enteramente destruida. £ Los boletines franceses, que también publicaremos, guardan el mas pro fundo silencio de la derrota del mariscal Oudinot, y apenas ha…</t>
  </si>
  <si>
    <t>…La fogosidad del exército francés y el valor de la infantería llamó la atención general. La primera descarga de las baterías de la guardia imperial hirió mortalmente el dia 27 al general Moreau, que habia vuelto de América para servir en el exército ruso. (r) Esta será acaso la primera vez que calculando los franceses las pérdidas respectivas de los exércitos ,'coniiesen haber sido mayor la suya que la de sus ene migos. * . (a) Consideramos este bol…</t>
  </si>
  <si>
    <t>…al Benigsen tenia sus avanzadas en Lissa, y habia algunos regimientos de cosacos en Crossen. Todas las cartas dicen que se habia hecho ayudante general de los exércitos aliados ai general Moreau, y que los franceses se retiraban de la Silesia. El general Moreau ocupa en los exércitos aliados el mismo empleo que Berthier en los franceses; lo que se comprueba con la siguiente proclama: ORDEN GENERAL. ! Quartel general de Groswitsch 17 de agosto de iSrg…</t>
  </si>
  <si>
    <t>…la ciudad, si la creyese en peligro de que la tomen los enemigos.— Dos oficiales de la guarnición de Dantzick han desertado á imitación del ge neral Jomini, y han ido á unirse al general Moreau su antiguo gefe___ El general Benigsen, al frente de un nuevo exército de 100© hombres, cami naba á marchas forzadas, y según las últimas noticias su vanguardia estaba en Lissa, .Retchemkach ti de agosto. Después de haber pasado algún tiempo en Stockolmo, sal…</t>
  </si>
  <si>
    <t>…grado la pér dida sufrida por los aliados en ias operaciones que emprendieron desde el 21 de Agosto hasta las expresadas fechas, pero oculta ia suya propia. Asegura ademas que el general Moreau fué herido de una bala de canon en la batalla del 27 que le romp:ó átubas pier nas, y que le fueron amputadas el mamo día á las 4 de la tardé, en Noethiitz: desgracia sensible ti se confirma eí hecho por las re laciones de estos sucesos que se esperan de Alem…</t>
  </si>
  <si>
    <t>…los obligue á evacuar aquella ciudad. lo principe . guarnición de dinamarqueses, Se dice qué en Dresde bebieron los oficia les franceses á la salud dei Príncipe de la Corona y del general Moreau , y que asi que llegó á noticia de .Napoleón', dio orden .de fusilar uno de cada tres de ellos; pero la mediación de Berthier suspendió los electos de esta orden.” Lista de los oficiales franceses que se hallan en el exército aliado. Moreau, mayor general én…</t>
  </si>
  <si>
    <t>544</t>
  </si>
  <si>
    <t>…acuerda todavía de que él supo imponer silencio á sus resentimientos personales, y aun á los afectos de la naturaleza, quando se trata del bien de ia patria (1). La presencia del general Moreau en el quartel general de los Príncipes aliados debe recordar á estos que él es aquel que rehusó la primera magistratura de la república francesa; y seguramente no son los Soberanos armados contra la (1) F.I padre del general Moreau fue guillotinado quando est…</t>
  </si>
  <si>
    <t>…n el Bober. Entre tanto el exército grande de los aliados, compuesto.de 299® hom bres al mando deL Emperador Alexandro , teniendo.t consigo al príncipe Schwartzemberg y al célebre general Moreau, atravesaba la Bohemia , pa saba, el Elba, y marchaba sobre Dresde, capital de la Saxonia; y aunque no pudo llevarse dicha ciudad de un golpe de mano, ha destrozado completajnente el cuerpo del general Vaji^amme,.haciéndolo á él y otros tres gene rales prisio…</t>
  </si>
  <si>
    <t>…e proyectaba Napoleón con todo su exército, así como por no haber víveres bastante* para tantas tropas como se agolparon allí. Los aliados, ademas del sentimiento de ver herido al general Moreau , tuvieron una pérdida de 4 á 5® hombres , siendo mucho mas considerable la de los franceses. El 28 el general prusiano Bíucher derrotó un cuerpo enemigo de 3c® hombres, mandados por Vandamme; este y otros 6 generales cayeron prisioneros, y sufrieron igual su…</t>
  </si>
  <si>
    <t>…mandado dar un ataque, y se había de tenido algún tiempo para hacer mover varios batallones rusos;: el fuego de dos baterías francesas cruzaba el terreno que atravesaba, quando el general Moreau, que estaba hablando con S. M. I., fue herido: la bala le dio en la pietqa ~,i jatravesó el Caballo , y le rompió la otra, de modo que el general tuvo que sujetarse á la amputación de ambas por encima de la rodilla; Es imposible manifestar magnanimidad y sosi…</t>
  </si>
  <si>
    <t>…ar un ataque, y se habiia parado algún tiempo para hacer mover á a’gunos batallones rusos: el terreno por donde pasaba lo cruzab n los fuegos de dos baterías francesas, cuan do el general Moreau, encontrando al emperador, fué her.do jen o á S. M.:.la b la le rompió las piernas atravesando el caballo, de suerte que tuvieron que hacerle ia amputación. Es imposible mani festar la msgnaEÍmidad y sosiego de espíritu mas herci .o que el que se vio en este…</t>
  </si>
  <si>
    <t>…de Se tiembre, y cartas hasta el 30; que adelantan poco á los que ya se ha bían recibido del 23 del mismo mes: en ellos se lee la desagradable no ticia de haber muerto el célebre general Moreau de resultas del balazo que le rompió las piernas en la acción del 27 de Agosto. Los sucesos mas brillantes de los exércitos aliados, de que se tie ne aquí noticiay son las siguientes: El valeroso general prusiano Blucher derrotó completamente á Macionald entr…</t>
  </si>
  <si>
    <t>642</t>
  </si>
  <si>
    <t>…a tiranía, de lo&lt; jacobinos: jamas se observó en París una consternación tan generalmente extendida en el semblante de su$ moradores. Lá idea de verse confundido en un tribunal el general Moreau ( gloria, y orgullo del verdade ro nombre francés) entre Georges y otros hombres para ser juzgado como criminal de alta traición, desagradaba á todos; pero el temor de la (despótica policía los tenia á todos reducidos á mudos espectadores; y un triste siien^…</t>
  </si>
  <si>
    <t>…puesta que daba Moreau era un rayo que destruía los argumentos del acusador impe rial, y á que seguía una multitud de aplausos. Quando se le argüyó de que parecía increíble que el general Moreau, que debía al actual gobierno la ren ta anual de 40© francos, se atreviese á conspirar contra esté mismo gobier no, á que respondió Moreau que no era el gobierno quien se los daba, sino Ja nación por haberla ghnado 40 batallas, entonces rompió los diques la e…</t>
  </si>
  <si>
    <t>…a orden repentina para que mar chasen allá todas las tropas que había en Francfort. El emperador Alexando ha escrito una carta muy afectuosa y llena de sentimientos á la viuda del general Moreau , cuya pérdida, aunque no tiene recompensa, procura aliviarla en lo posible. ESPAÑA. Tolos a 2(5* de Octubre. Se asegura, aquí que es indudable la retirada del exército grande francés al Rhln: el cuartal general de Bonaparte parece que está hace unos cuantos…</t>
  </si>
  <si>
    <t>…ugada (i). GRAN BRETAÑA. Continúan las noticias de Londres hasta 15 de octubre. Del 7. Hoi se ha celebrado en la capilla católica de King-street un oficio solem ne por el alma del general Moreau: concurrió áél un inmenso gentío, y asis tió la viuda del general, que ya se halla algo restablecida, con su hija de edad de ocho años: también estuvieron presentes S. M. Luis xviii y otros prínci pes franceses, el embaxador de Rusia &amp;c. Del r$. Ya que no ten…</t>
  </si>
  <si>
    <t>…vuestra generosa empresa. = Cárlos Juan. = Quartel general de Juterbock io de setiembre de 1813. Carta del Emperador Ale x andró á la viuda del general Marean. „ Madama: quando el general Moreau recibió á mi lado el terrible gol pe que me privó de los conocimientos y experiencia de aquel hombre céle bre, me lisonjeé con la esperanza de que á fuerza de cuidado lograría con servarle á su familia y á mi amistad; pero la divina Providencia lo dispuso de…</t>
  </si>
  <si>
    <t>…Wiítg :;. ctein , y ha mandado que se er*ja un monum nto en Arbisau, donde 82&gt; rusos contuvieron el 29 de Agosro á 32® fran ceses.. Caria del emperador: Alé xandre d la viuda del general Moreau* «Madama: cuando el general Morgan recibió á mi lado el ter rible golpe que me privó de los conocimientos y experiencia de aquel hombre célebre, me lisonjeé con la esperanza de que á fuerza de cuidado lograda com rvarle á su familia y á mi amistad; p ro la di…</t>
  </si>
  <si>
    <t>Moreda</t>
  </si>
  <si>
    <t>i T 4'-S quien seguí yo coa la enunciada reserva del brigadier Moreda, por considerar que ¡aquel punto 'necesitaba mas fuerza en el ataque, lo grando en muy poco tiempo posesionarnos del retríncheramiento y CiiupTrnento. „La conducta del batallón de cazadores al mando del indicado sargento mayor Cabrera merec? seguramente toda…</t>
  </si>
  <si>
    <t>V~ &gt; Laen orden, con que hicieron sus ataques, ¡parecía que se resentía de no hallar mas que vencer: esta misma clase de sentimientos exaltados advertí en el brigadier Moreda, oficial harto conocido por su conducta militar, y en la coluna de su mando, habiendo sido los enemigos perseguidos hasta los llanos de Oruña. Estor obligado á recomendar á V. $. en primer lugar el particular mé rito contraído por ej general Latorre y el coma…</t>
  </si>
  <si>
    <t>Moreda, Francisco</t>
  </si>
  <si>
    <t>Francisco Moreda</t>
  </si>
  <si>
    <t>…según consta por el ad junto estado, pero nada en comparación de la terrible que sufrió e! enemigo. Recomiendo muy particularmente el valor y buena con ducta del coronel de Pravia D. Francisco Moreda, que mandó estas tropas, la del digno teniente coronel del regimiento del Príncipe D. Francisco Xavier Llamas, que mandó dicho cuerpo, y la de los oficiales y tropa que los componen, y los hallo muy acreedores á que el Gobierno les dispense las gracias que te…</t>
  </si>
  <si>
    <t>…rlo, y yo con la infantería, que se hallaba dispuesta-para marchartomé posición á su izquier da. enviando les batallones del Príncipe y Previa, á las órdenes del coronel de Pravia D. Francisco Moreda, á reforzar una altura que te hallaba adelantada* ó la posición del general Colé, la cual ocu</t>
  </si>
  <si>
    <t>…lla al cargo del brig idl r Don Juan Downie que faldeando la cañada atacase de frente , y el desta camento de zapadores con el regimiento de Pravia, al manco este de su coronel el brigadier D. Francisco Moreda , y aquél ai del capi tán D. Lorenzo Coello Lumpo á mi inmediaciorr en-calidad de res¿r-va para acudir adonde mas urgiese En esta disposición se emprendió el ataque por el batallón de cazador s con la mayor bizarría, desalojando á los enemigos de todas las po…</t>
  </si>
  <si>
    <t>Moreda, IL Francisco</t>
  </si>
  <si>
    <t>IL Francisco Moreda</t>
  </si>
  <si>
    <t>…a! car go del brigadier D. J-u..n Downie, que faldeando la cañada y atacase-de fren te; y el destacamento de capadores con el regimiento de Pravia, al mando este de su coronel el brigadier IL Francisco Moreda, y aquel ai del capitán? D. Lorenzo Coello Lumpo, á irfr inmediación en calidad de reserva para, acudir adonde mas urgiese. ,, En esta disposición se emprendió él ataqué por ti batallen de cazado res con- la ma) or bizarría, des.dcj-óndo á los enemigos de tod…</t>
  </si>
  <si>
    <t>Morelló, Francisco</t>
  </si>
  <si>
    <t>Francisco Morelló</t>
  </si>
  <si>
    <t>…anes, presbítero. Ñames 50; Mezleres tres; Auxerre seis ; Mans 10; Para el de Font de Encarroz, vacante por as Nanci 15. censo de D. Vicente Llopis al curato de Alcacer, ESPAÑA. á D. Francisco Morelló, presbítero. Y para el de Benavites, vacante por promoción Madrid 24 de febrero. de D. Silverio Ramón de Huerta al canonicato de Hecha la oposición á los curatos vacantes en el la catedral de Valencia, á D. Vicente Carceller, arzobispado de Valencia en el con…</t>
  </si>
  <si>
    <t>Moreno</t>
  </si>
  <si>
    <t>…ellas mismas? ¿Con tomado todas las precauciones posibles, á fin de que no solo es la regencia quien da tan saludables que la constitución no sufra variación ni reforma; exemplos? Señor Moreno, negro y mui bozal será si la facción que domine en las próximas cortes tie vmd. si no lleva adelante sus propósitos. ne diversas ideas que la que ha dado la leí en las __ „Artúulo comunicado. Señor redactor: dexe presentes, como es natural que suceda, la con…</t>
  </si>
  <si>
    <t>…arrera con i6q hom bres robando 2 todos los caminantes, salid de S. Miguel de los Xagiielles con 24 patriotas para ir en su busca. A las 8 de la noche del 14 de Setiembre llego el capitán Moreno á Tepexi , y desde luego destaco una partida de 6 patriotas con un sargento, que sacaron del pueblo 5 rebeldes presos. El resto de ios patriotas aconaerio á los enemigos, de manera que mezclados unos con otros, ignoraban los rebeldes quien los atacaba; al con…</t>
  </si>
  <si>
    <t>Moreno, Francisco</t>
  </si>
  <si>
    <t>Francisco Moreno</t>
  </si>
  <si>
    <t>…D. Juan Hevia y D.-Francisco Lema , sub tenientes del de Oviedo ; D. José María Novoa , sargento mayor; D. Francisco Xavier Toral, espitan de cazadoresí/Q.Bedro Zuluaga, capitán; D. Francisco Moreno y D. Pedro Bonet, tenientes; D. Manuel María Saliquet, ídem del de cazadores; D'. Pedro Solis y D. Juan Martínez, subtenientes de granaderos; D. José Heros, ídem de cazado res ; D. Esteban Islaíoyo, D. José Tejada, D¿ José Caña y D. Francisco Vargas, subteniente del segundo d…</t>
  </si>
  <si>
    <t>4^2 dro Zuluaga, capitán; D. Francisco Moreno;y IX Pedro Bónet, tenientes;: D. Manuel Mana Saliquet, ídem del de cazadores ; D..Pedro S.olis y D. Juan Martínez, subtenientes de granaderos,; D. Josef Heros» ídem,de ca zadores; D. Esteban Islafoyo, D. Josef Tejada, D. Jdsef Caña y.D. Fran cisco Vargas, sub…</t>
  </si>
  <si>
    <t>Moreno, Francisco Preysler y</t>
  </si>
  <si>
    <t>Francisco Preysler y Moreno</t>
  </si>
  <si>
    <t>…tian, graduado de teniente coronel, Don Francisco Huarte y D. Andrés Arango; á capitanes á los tenientes D. Francisco Barreigua, D. Domingo Luis del Valle, D Vicente de la Encina, D. Francisco Preysler y Moreno, D José Segundo Izquierdo, D. Pedro Colmenares , D Pedro de la Cantolta, D José Nicolás ¿e Chimioni, D. Antonio Fernandez , D Juan Miguel Arrambi le, D. Antonio Arrambide, D, Antonio Gailuzo y D. Antonio de la Iglesia y Smith: igualmente ha promovido S. A. á…</t>
  </si>
  <si>
    <t>Moreno, José</t>
  </si>
  <si>
    <t>José Moreno</t>
  </si>
  <si>
    <t>…Puebla de Arganzon cerca de Vitoria. jDia 13. Salieron para Bribic-sca como 1093 hombres por sal y al gunos otros enseres con un cañón ; los acompañaban dos comisarios españoles y D. José Moreno. El batallón nú a. 34 coa 700 plazas ha llegado á esta desde Tardrjos en esta tarde. Dia 15. Han vuelto de Briblesca los que fueron por sal , y han traído 503 fanegas. Han reemplazado aquella guarnición , porque ha muerto casi toda la que allí habia, y el res…</t>
  </si>
  <si>
    <t>Moreno, Miguel</t>
  </si>
  <si>
    <t>Miguel Moreno</t>
  </si>
  <si>
    <t>…enido en nombrar para vocrdes de ella , por el ramo eclesiástijo al R. obispo de Arequipa D. Pedro Chaves de la Rosa, D. José Miguel Ramírez y D. Martin de Navas: por el secular á D. Miguel Moreno, D. Manuel Quinta na, D. Felipe Bauza, D. Manuel de Llano, D. Eugenio Tapia y D. Vicente »Sancho ; y para suplentes á D. Pablo Lailave por lo eclesiástico, y D. José Revollo y D. Juan Aeevedo por lo secular. —■ Lo tendrá entendido la Regencia del reyno para s…</t>
  </si>
  <si>
    <t>…les de ella al reverendo obispo de Arequipa D. Pedro Chaves de la Ro sa, á D. Josef Miguel Ramírez y á D. Martin de Navas por el ramo ecle siástico; y por el secular á los señores D. Miguel Moreno, D. Manuel Quin tana, D. Felipe Bauzá, D. Manuel de Llano, D. Eugenio Tapia y D. Vi cente Sancho. Los suplentes son D. Pablo Lallave por lo eclesiástico , y Don Josef Revollo y D. Juan Acevedo por lo secular. El Mercurio Lusitano de 7 del corriente inserta un…</t>
  </si>
  <si>
    <t>Moreno, Pantaleon</t>
  </si>
  <si>
    <t>Pantaleon Moreno</t>
  </si>
  <si>
    <t>…es de amistad que ha habido entre sus monarquía^ ^haq nombrado para este efecto, á saber, S. M. Católica, y en su nombre y au-r toridad la.Regencia de España residente en Cádiz, á D. Pantaleon Moreno; y Daoiz, coronel de los exércitos de S. M. Católica, y caballero de la orden militar de Santiago de Compostela; y S. M. el. Rei de Speeía al señor lo renzo, conde de Engestrom , uno de los señores del reinp^d^ Suecia , minis tro de Espado y de Negocios extra…</t>
  </si>
  <si>
    <t>Mores, Juan</t>
  </si>
  <si>
    <t>Juan Mores</t>
  </si>
  <si>
    <t>…ellexia, id. par 10, 120. D. Ignacio S obrado, id. por 25,303. I), José Antonio de la Piedra, id. p &gt;r 12, 144. Doa J¿an Freyre, id. por 10, 120. í). Juan Alonso , id. por 10,120. Don Juan Mores , id. por 10, |20. D Manuel Ibañez, id. par 10, 120. D Domingo Dertiaco., id. por 8,90 D. Cosme Ximenea, id. por 8, 95. D. José Híílme, id. por 8 , 90. D. AguAin Rodrigues, id. por 8, 90. D. Manuel Caandia, id. por 8, 96. 1). Jo ;é Corrales, id. por 8, 9.5. D…</t>
  </si>
  <si>
    <t>Morgan</t>
  </si>
  <si>
    <t>…se er*ja un monum nto en Arbisau, donde 82&gt; rusos contuvieron el 29 de Agosro á 32® fran ceses.. Caria del emperador: Alé xandre d la viuda del general Moreau* «Madama: cuando el general Morgan recibió á mi lado el ter rible golpe que me privó de los conocimientos y experiencia de aquel hombre célebre, me lisonjeé con la esperanza de que á fuerza de cuidado lograda com rvarle á su familia y á mi amistad; p ro la divina Providencia lo dispuso de otro…</t>
  </si>
  <si>
    <t>…3 barcos grandes. El ca pitán Dishwood , del Sn p, apreso al León, corsario de Boloña. Ei capitán Qailiara, del Crescent, ba apresado ai corsario america no el Elbíidge Gerry. Ei teniente Morgan, de ’a Bárbara, ha apre sado ai corsario dinamarqués, y un buque que había él apre ado. El vizconde Castiereaga, principal secretario de estado ce S. M. en el departamento de negocios exirang ros, ha recibido pliegos del conde de Aberdeen , escritos en Comnre…</t>
  </si>
  <si>
    <t>Morí-i</t>
  </si>
  <si>
    <t>…¡Oxalá se confirme! Pero creemos que hai equivocación en la fecha dél‘ sucésoVy que si acaso se rompió el armisticio fue algo después de los io días. Las mismas cartas dicenqué el señor Morí-i lio ha ascendido á mariscal de campo, y el señor Longáá brigadier, en justo premio de lo mucho que se distinguieron estés beneméritos patriotas en ía acción del 21. - v ■ j ' ;, ;. í,. ; . ... Logroño $0 de julio. Nuestro exército forma una línea irripenetrab…</t>
  </si>
  <si>
    <t>Moriiio</t>
  </si>
  <si>
    <t>8rr barcas correspondiente al exército ingles. Las posiciones del qüartb exército español son las siguientes: la división que manda el señor Moriiio en las in mediaciones de Pamplona. Segunda división, que manda el mariscal de cam po D. Garlos de España, de guarnición ea la plaza de Pamplona. Tercera división, que manda interinamente el brigadier D. Diego del Barco, la pri mera brigada en Orduña, y la seg…</t>
  </si>
  <si>
    <t>Morillo</t>
  </si>
  <si>
    <t>…del exérciío aliado con dirección á Bajar ; y hoy se espera en esta ciu dad el cuartel generd del cuerpo qne manda el general H 11; su ar tillería va caminando para Baños. La del brigadier Morillo sigue la dirección, y la división de este se espera aquí de un dia para otro. Ciudad-Rodrigo 20 de Mayo. El 22 ó 23 del corriente saldra de aquí este «xercito para inter narse en C istilia. Algunas divisiones van ya marchando por dere cha é izquierda, y el ce…</t>
  </si>
  <si>
    <t>…eneral Sir Rolando Híll, en movi miento hácia Burgos , consistiendo esta de-las divisiones de infante ría siguientes: la segunda del exéreito británico, ^a española del bri gadier general Morillo, la portuguesa del conde de Amarante, y la ligera inglesa del mando del marúcal de campo Carlos , barón de Altéis; y de las brigadas de caballería de los marisca'es de campo' V ictor, barón de Alten , Fané y Long; la del honorable brigadier general Ponsonbv ,…</t>
  </si>
  <si>
    <t>…s de la. Pue bla, sobre las que apoyaba su izquierda el enemigo, que no las ha bía ocupado con gran fuerza. Para tomarlas destacó una brigaJa de la división española del mando del general Morillo, empleando la otra en mantener la comunicación entre el grueso del cuerpo de su cargo, que estaba sobre el camino real de Miranda á Vitoria, y las tropas destacadas á las indicadas alturas. El enemigo no tardó en des cubrir la importancia de ellas, y reforzó…</t>
  </si>
  <si>
    <t>…os enemigos para retomarla^, con servaron posesión de ellas durante todas nuestras operaciones. ,,La acción sin embargo futí mui reñida, y la pérdida que tíivimos considerable. El general Morillo fue herido, pero no abandono el campo; y me es muy sensible decir que el honorable teniente co ronel Cadogan fnurió de una herida que recibid. En él,ha perdido * S. M. un oílcial de grande celo y experimentada bizarría, quien ha bla adquirido ya .él respeto y…</t>
  </si>
  <si>
    <t>…o núm. 87. Dios guarde á V.E. muchos años. Salvatierra 22 de Junio de 1813. =r Wellington , duque de Ciudad-Rodrigo. j «i-\ D. Acompaño á V. un estado de heridos'y muertos (*): el general Morillo fué herido , é ignoró hasta ahora el nombre de los demas‘oficiales de su división, pero lo remitiré en otra ocasión, as Excmo. Sr. D. Juan O-Donojú.” R si ación de la artillería, carros y municiones tomadas al enemigo .. en la acción del 2,1 de Junio de 1813.…</t>
  </si>
  <si>
    <t>…itud de prisioneros, y entre ellos el gobernador Tuo venct y muchísimos afrancesados. Nuestra pérdida no ha sido de la mayor consideración en comparación de la de los enemigos. El general Morillo se dice ha recibido tres balazos; pero se ha inmortalizado la primera división que está á su mando. Creo que el resultado de esta batalla sea la evacuación de la península, y que el resto de los enemigos debe caer en nuestro poder. El quartel general del Lord…</t>
  </si>
  <si>
    <t>…elogiar demasiadamente la conducta de todos los generales, oficiales y soldados del exército en esta ac ción. El teniente general sir Rotando Hill elogia altamente la conducta del general Morillo, y ja de las tropas españolas de su mando; la del teniente general el honorable Guillelmo Heibart : )a del conde de Amarante , quien mandó las divisiones de infantería puestas baxo su dirección. También reco mienda la conducta del honorable corone! O-Callaiha…</t>
  </si>
  <si>
    <t>…ico núm. 87." Dios guarde á V. E. muchos años. Salvatierra 22 de junio de 1813. == Weliingicn, duque de Ciudad-Rodrigo. „ P. D. Acompaño á V. F. un estado de heridos y muertos: el general Morillo fue herido, é ignoro hasta ahora el nombre de los demas oficiales de su división; pero lo remitiié en otra ocasión. == Excmo, .Sr. D. Juan O-Donoju. Relación de la artillería, carros y municiones tomadas al enemu acción del 21 de junio de 1813. /De á 12 Cañon…</t>
  </si>
  <si>
    <t>…los enemigos para retomarlas, conservaron posesión de ellas durante todas nues tras operaciones, „ La acción sin embargo fue mui reñida, y la pérdida que tuvimos con siderable. El general Morillo fue herido, pero no abandonó él campo; y rae es muí sensible decir que el honorable teniente coronel Cadogan murió, de una herida que recibió. En él ha perdido S. M. un oficial de grande zelo y experimentada bizarría, quien había adquirido ya el respeto y ale…</t>
  </si>
  <si>
    <t>…ataque, y hoy ha habido tam bién tiroteo. Los baygorrianos han tomado las armas; p ro muy á pesar suyo, porque los franceses los saquercn á su retirada á pesar de ser paisanos. El general Morillo ha entrado en algunos pueblos de Francia; en uno de ellos le hicieron fuego 2 paisanos, y fueron quemadas: sus casas. Puente la Rey na 10 de Julio. Ayer llegaron á este pueblo las tropas del exército de reserva, y hoy hacen descanso para proporcionarse lo nec…</t>
  </si>
  <si>
    <t>…de Ciudad-Rodrigo, 5= ExcmQ» Sí. D. Juan 0-Doaojú.” El quartel general del í¿ord estaba el 17 de este mes en Le saca. -.la guarnición francesa de Pamplona está á media ración.—-El general Morillo sigue victorioso, y haciendo prisioneros dentro del territorio francés, exigien do contribuciones y raciones abundantes para nuestras valerosas tropas, y dirigiéndose, según se dice, hácia Pejfpman. ( Diario del gobierno, de. Sal*-* manca.) cumpliendo cpp Iqs…</t>
  </si>
  <si>
    <t>…as mui superiores, hizo replegar á este ultimo algún tanto; pero no lo gró su idea de introducirse en Pamplona por Berrioplano, porque reforza do Hill con la valiente división del general Morillo y parte del exército de reserva de Andalucía, obligó á aquel á emprender su retirada por e! puerto de Donamaria, baxando á Santistéban. Esta retirada fue tan precipitada, que Erlon dexó puesta la mesa en que iba á comer con toda la servidumbre de ella, cinco…</t>
  </si>
  <si>
    <t>…do. El 7 del corriente se pasaron quatro artilleros de esta última plaza, por quienes se sabe que su guarnición está mui escasa de víveres. Tenemos á la vista un parte dado por el general Morillo al capitán ge neral D. Francisco Xavier Castaños, fecha 2 del corriente, el que no inser tamos por ser una relación de las acciones del mes anterior, de que está ya bien instruido el público, y porque probablemente no tardará en recibirse el comunicado á la R…</t>
  </si>
  <si>
    <t>…aliado se hallaba situado, como tengo dicho á V. E., en las gargantas de las montañas. La brigada de infantería inglesa del gene ral Wing, y la división de infantería española del general Morillo, esti ban, sobre la derecha cubriendo el puerto de Roncesvalles. El teniente general Sir Lowry Colé, con la cuarta división de su mando , estaba en Viscarret •oa el objeto de sostener las expresadas tropas; y el teniente general Sir</t>
  </si>
  <si>
    <t>…de Sorauren, por cuyo pue blo pa?a el camino real de Ostiz á Pamplona; y su derecha en otra altura, que defendía el camino real de Zuviri y üoncesvalles. La división españo la del general Morillo y la parte de las tropas del conde de la Bisbal no empleadas en el bloqueo, formábanla reserva, destacándose de estas úl timas los regimientos de Pravia y el Príncipe para ocupar parte de la al tura que estaba á la derecha de la cuarta división que dominaba y…</t>
  </si>
  <si>
    <t>…aliado sé hallaba situado. como tengo dicho á V. E., en íás gargantas de láS móñtañasí íLa brigada de infantería inglesa del general Wing, y la división de infantería española del general Morillo estaban só brela derecha, cubriendo el puerto de Róncesvalles. El teniente general sir Eo#ry Cple, corola quarta división de stt*mando, estaba ert Viscarret con él objeto dé sósténéir \ii expresadasAtropas f y él teniente general sir Tontas Pictón, con la ter…</t>
  </si>
  <si>
    <t>…de Sorauren, por cuyo pueblo pasa el camino real de Ostiz á Pamplona ; y su derecha en otra altura qpe defendía el camino.real de Zu~ viri y Róncesvalles. La división española del general Morillo y la parte delas tropas del conde del Abisbal no empleadas en el bloqueo formaban la re serva, destacándose de estas últimas los regimientos de Pravia y el Príncipe para ocupar párte de la altura que estaba á la derecha de la quarta división que dominaba y de…</t>
  </si>
  <si>
    <t>…uz; y que por nueva disposición del Lord las tropas españolas del quarto exército han tomado quarteIes de invierno en Fuenterrabía, Oyarzun , S. Sebastian y Hernani. Parece que el general Morillo es¡tá por el valle de Bastan. Los mas se quejan de las continuas lluvias y gra nizos, con las que, ademas de lo mucho que sufren la tropas, están intran sitables los caminos. Hasta la mar parece que ha declarado la guerra á nues tros valientes soldados, pues…</t>
  </si>
  <si>
    <t>…meses, es tableciendo en ella unas respetables fortificaciones, capaces por sí solas de arredrar á otros soldados que no fuesen españoles, ingleses ó portugueses. La division-dei general Morillo cortó y dispersó al cuerpo enemigo manda do por el general Abbé, el que corrió en pelotones á ponerse al abrigo del rio Ni ve. . Se dice que las tropas aliadas han empezado ya el sitio de Bayona, y que ios;£isanceses se han retirado 14 leguas á lo interior; p…</t>
  </si>
  <si>
    <t>…pnar » pérdida bastante grande qe muertos, heridos y prisioneros.'’ „E1 quarto regimiento de la división de mi mando, tres .compañías .del tercero y dos compañías de la del señor general Morillo sostuvieron , vigo rosamente en las inmediaciones de Urdar y Zugarrámurdi á ó© enemigos que iban en socorro del exército de Bayona, rechazándolos posteriormente</t>
  </si>
  <si>
    <t>…visión del mando del teniente general sir Henrique Clinton; una división portuguesa á las órdenes del teniente general sir Juan Hatnilton; una .división española á las ©jdenes del general Morillo; una brigada de caballería al man do del coronel Grant; una brigada de artillería portuguesa mandada por el teniente coronel Tulloh , y tires cañones de montaña á las órdenes del tenien te Bobe. Estas tropas atacaren la posición del enemigo situado á la espal…</t>
  </si>
  <si>
    <t>…frontera de Francia restituyéndose á sus hogares. Bilbao j.° de Dici embre. : El cuarto exército se hal’a acantonado en los pueblos siguientes: La primera división , que manda el señor Morillo, en las inmediacio nes de Pamplona. Segunda división , que manda el mariscal de campo D. Carlos de España, de guarnición en la plaza de P«mpíona. Tercera división, que manda interinamente el brigadier D. Diego del Barco: la primerj brigada en Oriuña y la segu…</t>
  </si>
  <si>
    <t>…ecto esta noticia. Parece que el dia 8 se hallaban los ingleses por la parte del camino real con las avanzadas á poco mas del alcan ce de tiro de? cañón de Bayona. El 9 recibió el general Morillo orden-de in corporarse ai exército aliado , situándose en la línea del Nive, y debiéndose posesionar de las alturas ocupadas por los enemigos;4. Se consiguió hacer re plegar á los franceses al cerró de Arrocaraí, de donde también fueron des alojados. Entre ta…</t>
  </si>
  <si>
    <t>…El general gefe del estado mayor del cuarto exército. = Estanis lao Sánchez Salvador, En esta gloriosa acción se han cubierto de nueves laureles las tropas españolas del mando del general Morillo, debiéndose princi palmente al acierto, oportunidad y bizarría con que atacaron al ene migo el feliz éxito que lograron en esta jornada las armas aliadas. En los dias siguientes 11 y 12 volvió Ja vanguardia inglesa i ata car de nuevo las lineas enemigas, cons…</t>
  </si>
  <si>
    <t>…enemigo un movimiento de frente al otro lado dei Adour con 4© hombres al mando del general París; con cv.yo motivo la de recha del exército aliado, particularmente la división del general Morillo, tomó posición el dia 16 para recibir el ataque.__ El 17 retrocedieron ios franceses, y los ingleses se aproximaron á Bayona por las dos márgenes del rio Nive___ El dia 18 ocupaban estos últimos la linea de Urt, Aspaine y Cambió. En este misino dia Ja divisió…</t>
  </si>
  <si>
    <t>Morillo, Francisco</t>
  </si>
  <si>
    <t>Francisco Morillo</t>
  </si>
  <si>
    <t>…or Pastor, D. Francisco Boira , D. Nicolás Uroz, D. Francisco Sarbide, P. Manuel'Inda, D Juan Ignacio Peña, D Diego OteruimDi Gabriel Alegría , D. Félix Sarasa $ D. José Labiano , D. Francisco Morillo , D, Juan Jaurrieta, D. Bartolomé Guiberalde, D- Antonio Ugarte, D. Ignacio "Echeverría, D. Pedro Echegoyen , D. José María Gurrea, D. Francisco Erdozain , D. Ma nuel Sauca, D. Agustín Apezteguia, D. Martin Benuza, D. Miguel Tolqsana , D. Juan Bautista Acosta…</t>
  </si>
  <si>
    <t>Morillo, N.</t>
  </si>
  <si>
    <t>N. Morillo</t>
  </si>
  <si>
    <t>…obre Burgos, y se adelantaban á ver si podían tomar al enemigo el convoy que sacó de Valladolid, de que ya habían cogido alguna parte. Ei exército de Galicia , Don Julián Sánchez, D. N. Morillo, y todas las tropas ligeras de los exércitos están reunidas: el enemigo no hace mas que huir, y no quie re batalla: no hay dia un que no se le hagan muchos prisioneros. — Se ha pasado u-n escuadrón completo de caballería enemiga y 2 mú sicas de regimientos. E…</t>
  </si>
  <si>
    <t>Morillo, Pablo</t>
  </si>
  <si>
    <t>Pablo Morillo</t>
  </si>
  <si>
    <t>…las itutrcccioxes dd. Exorno Sr duque de CiudadRodrigo , para at’crr general nv-nta la iín r dt.l Ñivo l.i &lt;■; rnera di visión de erte exército, manuadi p ;r el ma-isca: de cam; o D. Pablo Morillo , tuvo orden de pasar ai amanece- dh; 9 oicho do por los vados de la isleta y Cabana, atacando ¿as fuerzas enemigas, que se</t>
  </si>
  <si>
    <t>Moriroy, Francisco</t>
  </si>
  <si>
    <t>Francisco Moriroy</t>
  </si>
  <si>
    <t>…Gon zález, hirió muchos, dispersó completamente el resto, y tomó cuan* to la canalla había pillado. 34. E11 9 de Junio destacó el benemérito comandante subdele gado de Agiiücatian D. Francisco Moriroy un cuerpo de patriotas de aquella jurisdicción, contra el cabecilla Nazarío Arias, incio de Te— quepexpan, que con algunos de sus compañeros trataba de reha cerse en la hacienda de S. José del Conde, distrito de Sta. María del Oro. La pequeña chusma trató de…</t>
  </si>
  <si>
    <t>Moro, Antonio</t>
  </si>
  <si>
    <t>Antonio Moro</t>
  </si>
  <si>
    <t>…no D. Pedro Lalinde, y cadetes D Jo sé Pirele y D, Francisco Farias; y compañ a y tenencia de milicia* disciplinadas al capitán y teniente de caballería de paisanos D Juan Roxas y D. Antonio Moro; gracia de sargentos primeros de milicias á los cabos de la expresada caballería de paisanos D. Francisco Maldonado, D. J oaquín Angarita, D: Pedro Rey y D. Manuel Marque*. El uso de la me.irdla de oro con el real busto al capitán y tenientes de milicias de p…</t>
  </si>
  <si>
    <t>Morris</t>
  </si>
  <si>
    <t>…, y los corsa con firmeza á los directores, que los ministros no se rios de las costas francesas y prusianas. Dícese que separarán de ninguna de las condiciones con que les va el almirante Morris á tomar el mando en este han brindado; amenazándoles con hacer pasar toda» apostadero , respecto á que le ha renunciado el al Jas instituciones políticas, civiles y militares por el mirante Saumarez. registro inmediato del gobierno británico. El día 3 de este…</t>
  </si>
  <si>
    <t>…da por de Bagdad á venir á una composición •, confirmando el capitán Stuvart. igualmente esta listo e! Adam, á Abdurahinau- baxá en el gobierno de Solimanié, de 32, que mandara el capitán Morris, teniente y obligándose á pagar al Rei de Persia una suma que fue del capitán Hull; v que ha merecido esta ele 60© toinanes , ( 4.800© reales de vellón) , de la promoción por su distinguiría conducta en la acción qu.d entregó de contado La tercera parte con l…</t>
  </si>
  <si>
    <t>Morrison</t>
  </si>
  <si>
    <t>…la Wiesser, cou la que habla dado la vela del Texel , y tu vo iguales averías por el viento que la Wesser. LaTrave fue descubierta desu de luego por el bergantín armado elAcates, capitán Morrison ». que entró en combate con ella, haéta que la fragata Andrómaca y capitánlíobitr, y el P«Vttno , capitán Dundas , se presentaron. La Andrómaca llegó la primera , y et enemigo se rindió á pocos minutos de combate. , • Los regimientos que estaban en Stralsund…</t>
  </si>
  <si>
    <t>Morrlson</t>
  </si>
  <si>
    <t>…que la Weser, c: n la q?;e h*bia dado la vela del Texcl, y tuvo iguales acerías por el viento que ia Werer. La Trave fue demubi.rta desde luego por el bergantín arm;do el Acates, capitán Morrlson , que entró en coi».b?te con ella, hasta que la fragata Ajsdrómsca, capitán Tobin, y el Priamo, capitán Dun das, se pre emaron. La Ándrómaca liego la primera, y el enemigo se rindió á pocos minutos de combate. Lo? regimientos que estaban en Stralsuad se han d…</t>
  </si>
  <si>
    <t>Morte, José</t>
  </si>
  <si>
    <t>José Morte</t>
  </si>
  <si>
    <t>…s hasta el anochecer. A las 9 de la noche empecé á enviar las compañías á los diferentes puntos por donde debía ser atacada la plaza. Cincuenta cazadores. al manió del subteniente D. José Morte, fueron enviados por la parte de la puerta Ferriza para atacar la llegada en la. hora que debía señalar el ataque general.' Cincuenta granaderos, al mando del teniente IX Juan Caro, se diri gieron á la puerta de la plaza del Estudio, aparentando un asalto al…</t>
  </si>
  <si>
    <t>Morte, Josef</t>
  </si>
  <si>
    <t>Josef Morte</t>
  </si>
  <si>
    <t>…a el anoche cer. A las nueve de la noche empecé á‘enviar las compañías á los diferentes puntos por donde debía ser atacada la plaza. Cincuenta cazadores, ai man do del subteniente D. Josef Morte, fueron enviados^or lapart:e.'rde la puer ta Ferriza para atacarla llegada la hora que debía señalar ef'ataque ge-</t>
  </si>
  <si>
    <t>Morusi</t>
  </si>
  <si>
    <t>…grande, que el gran m.-nto habrá una nueva”leva voluntaria en la mili visir ha sido desterrado á Asta; y el primer drago cia para aumentar nuestro exército en España; pe mán , el príncipe Morusi, que habia tomado parte ro si esta operación no se mira como inútil, pode en las negociaciones cíe Bueharest, ha perdido su mos mirarla como tardía é incomplera. plaza. Hemos recibido gazetas de Quebec hasta fines El almirantazgo ha recibido despachos del al…</t>
  </si>
  <si>
    <t>Moscoso, Josef Martínez</t>
  </si>
  <si>
    <t>Josef Martínez Moscoso</t>
  </si>
  <si>
    <t>…ro D? Josef Teodoro Santos; por la de S. Josef D. Santiago Gutiérrez de Arinterof y marques de Castrefíuerte; por la de S. Míllan D. León de Ja , Cámara Cano, D: Antonio Marte 1 y D. Josef Martínez Moscoso; por lá de S. Salvador D:/Juan'de Lera'Cañó1; por da'de S. Luis D. Francisco Marchámalo y D. Fáustirrá‘Sánchez'Sevillano; por la de Santiago D. Cayetano Aravaca y el señor secretario del aytmtamibnto de esta dicha viila D. Angel González Barreyro. Y asi reuni…</t>
  </si>
  <si>
    <t>Moser</t>
  </si>
  <si>
    <t>…, mas., bello aspecto y mayor 'éxáctitud, y- se hallan-animadas-fdel niejor. espíritu. ;.r * Wurtzburgo 10 de julio. Un batallón perteneciente agesté ígíánj ducado, mandado por el coronel Moser, ha salido hoi por la mañana det esta, plaza;. Esta tropa se halla bien acondicionada,Ay tiene los mayores deseos de dis' tinguirse. Aquí han llegado estos días anteriores varios regimientos de infan tería ligera y de línea V Cotilo tafiibien algunos -destaca…</t>
  </si>
  <si>
    <t>Motan, José</t>
  </si>
  <si>
    <t>José Motan</t>
  </si>
  <si>
    <t>…en este día afianzar su anterior reputación , adquiriendo nuevos derechos á la gloria. „Eí comandante de Puebla, capitán D. Mame! Fíon, perdió en la carga su ccballo ; el teniente coronel D. José Motan, á quien había fiado el mando de la cübillería, perdió también el suyo, y se di&amp;tínguió como siempre. El comandante de México capitán O. Francisco de Palacio, el capitán graduado D. José Ignacio Ib ni y el cadete D. Juan Alonso se precipitaron de tal guanera…</t>
  </si>
  <si>
    <t>Motoxidi, Andrés</t>
  </si>
  <si>
    <t>Andrés Motoxidi</t>
  </si>
  <si>
    <t>…e el cambio, restituido á ;u han quedado 40 prisioneros. antiguo estado con arreglo á un fragmento de cer El virei había reunido todo su exército, que as- ca de 80 páginas, por el señor Andrés Motoxidi, cendia ú ico0 hombres coa 300 cañones, al rededor miembro corresponsal de ¡a tercera clase del in,ti-</t>
  </si>
  <si>
    <t>Mounsey</t>
  </si>
  <si>
    <t>…ber atacado á un convoy francés cerca.de-Noirmoutiér, del que apreso 7 buques, y destruyó otros 3: el espitan Alexander del Coloso participa la toma del buque americano. Prii t El capitán Mounsey, de la Furiosa, da cuenta del apresamiento de un corsario francés: y eí capitán Craw» ford, de la Modesta, avisa haber apresado otro.corsario fo anees. En el mes de Enero último se han exportado del reyno diferen tes artículos de manufactura inglesa por valor…</t>
  </si>
  <si>
    <t>Mouton</t>
  </si>
  <si>
    <t>…opas. Habiendo intentado el enemigo atacar el campo de Gushabel,-fü'e rechazado, y pérdió alguna gente.___El y$ el Emperador salló de Dresde j y marchó al campo de Pirna. Envió al general Mouton; DjuV ernét, comandante dé I* quadrágésimásegünda división, &amp; las&lt;aldeas de LángenhersdoVÍf y Bera, para que de este modo envolviese la derecha del enemigo , como lo fexecutó. Al mismo tiempo el conde de Lo bau atacó por el frenteel enemigo fue cargado á la p…</t>
  </si>
  <si>
    <t>Moya, Miguel de</t>
  </si>
  <si>
    <t>Miguel de Moya</t>
  </si>
  <si>
    <t>…de las Mercenarias. D. Carlos A riña, substituto segundo. D. Domingo Rcinoso, alcalde. Barrio de la Loma.ire. D. Josef Aronso , substituto primero. D. Francisco Gorvea , alcalde. D. Miguel de Moya, substituto segundo. D. Ramón del Casal, substituto primero. Barrio de Capuchinos de ¡a Paciencia. D. F rancisco Ortiz , substituto segundo. D. Vicente Zally, alcalde. Barrio de S. Isidro. D. Antonio Andatuce, substituto primero. D. Tomas Perez , alcalde. D.…</t>
  </si>
  <si>
    <t>Mr</t>
  </si>
  <si>
    <t>…estó te sabía que jos que habían prendido á S. E. eran que el Empérador vivía, y que todo aquello eran los ey-gpnerales Guijial y L^horie. tramas de jacobinos, dirigidas pór «1 ex-general Mr. Saulnier, que tenia noticia de la conducta Malet, de quien debb de haber oido hablar hacia anterior de esrps-oficiales, dlxp inmcdlytamente que algunos años: que él .rabia venido con el, ayudante esto era cosa de jacobinos, y que era preciso ir á Laborde par…</t>
  </si>
  <si>
    <t>…s divisiones Durutte , Lagrange , Loison, agua. la división napolitana, Jas guardias de los gobier Del t.° de diciembre. nos de Toscana y de Xurin , los batallones de mar El mayor general Mr. de Bulow, gefe del escha de la guardia imperial y de tbdas las divisiones tado mayor general, que de 20 anos a esta parte del exército grande Scc. Scc. Esta masa de fuerzas gozaba del mas alto favor, acaba de ser desterrado tan respetable, que el cómputo mas…</t>
  </si>
  <si>
    <t>…seguido al Reí. - * do hospitales en varias ciudades, especialmente en EL canciller del estado Mr. de Hardemberg y La Lituania; pero estos hospitales están mui mal or el teniente general Mr. de Koeckeritz han salido ganizados, los enfermos carecen de muchas cosas igualmente Je aquí para la misma ciudad. necesarias, les facultativos que los asisten son po Nuestra gazeta ha publicado de oficio que los cos , y estos no mui hábiles, de modo que muer…</t>
  </si>
  <si>
    <t>…erida mamá : consagremos para siempre nuestros corazones á la gratitud, porque debemos Sesión del 23. ser agradecidos eternamente á la Providencia, y á Discurso pronunciado por el caballero Mr. Molos estimables gefes 'de nuestra casa de educación. desto Paroletti, con ocasión de presentar alTendría que avergonzarme si os dexara ignorar cuerpo legislativo los últimos tomos de ¡as memas tiempo lo que me da motivo á este agradeci morias de la academia…</t>
  </si>
  <si>
    <t>…é mayo hecha por los franceses, llegaron inmediatamente papeles de Hamburgo y cartas de Heligoland con otras relaciones mui diversas de aquella. Es cogeremos entre todas la que el capitán Mr. Kenlie del 'navio de S. M. bri tánica Calltope comunica desde las alturas de Cuxhaven con fecha de 9 de mayo. La batalla se dio entre Lutzen y Pegan. Los prusianos fueron los únicos que entraron en ella, y los dos exércitos francés y prusiano fueron manda do…</t>
  </si>
  <si>
    <t>…a persúásíóníde que rhabia buques defítransporteconJa esquádrav ségun las noticias-de,Scherliñg; .pero por lo queyo: lecdixestmidó el planr, de que ya había enviado; u¡na copia al almirante Mr. Changuion. Quando llegué á Scherliñg con el nuevo plan* el almirante-’habia dado la vela para el" Texrel, dexando el Cutnber.land, de y^ cañones, y da fragatafrancesa Caraitna an-dados en : Scherliñg..El capitán Baker* del Gtimbe rJattd, había pasado la *rád…</t>
  </si>
  <si>
    <t>Mr, Castlereagh</t>
  </si>
  <si>
    <t>Castlereagh Mr</t>
  </si>
  <si>
    <t>…no se toda taclia ;'óov lo qué, dixo Mr. Whítbréad &gt; que confirmase antes de haber cumplido la edad de 18 110 llevaría adelante lá división. . años. En consecuencia se opuso- el' lord Castlereagh Mr. Canning, declarando que jamas apoyaría á la exhibición-de-los'documentos-. •- proposiciones semejantes á ta presente , dixo que •Mr. Stuatr Wortlei dixo 'que Sin embargo de no obstante estaba pronto á afirmar,y. sostener que que toma en-este'asunto c'l finas…</t>
  </si>
  <si>
    <t>Mr, Cathcart y</t>
  </si>
  <si>
    <t>Cathcart y Mr</t>
  </si>
  <si>
    <t>…Príncipe se sabe que en el camino re vistó las tropas rusas que estaban baxo su mando , y que el conde Stadion, ministro de Estado y de las conferencias del Emperador de Austria, lord Cathcart y Mr. Thornton , ministros de S. M. cerca del Emperador de Rusia y del Reí de Suecia, estaban en Trachemberg. Por medio del telégrafo se supo en Lónares desde Plimouth el 10 del corriente la nueva victoria det lord Wellington y derrota de Soult. En la misma mañana…</t>
  </si>
  <si>
    <t>Mr, Daubigny y</t>
  </si>
  <si>
    <t>Daubigny y Mr</t>
  </si>
  <si>
    <t>…ies primera y quarra. Han pos antiguos, defensores obstinados de todos ios sido elegidos á una mayoría absoluta de votos el se abusos y pretensiones que nos han afligido; igno ñor general Daubigny y Mr. Bourlier. Este nom rantes , altivos, holgazanes de profesión, hipócritas bramiento, que ha ocupado toda la sesión, se pre arteros, aduladores baxos de los grandes y los tira sentará á S. M- por medio de un mensage. nos , traficantes infames de la docilidad y…</t>
  </si>
  <si>
    <t>Mr, Hukinehamshitv y</t>
  </si>
  <si>
    <t>Hukinehamshitv y Mr</t>
  </si>
  <si>
    <t>…barco inmediatamente al que el ministerio- juzgue necesario añadir. Los au agua, y volvió este poco.apoco á entrar en su tores de la nueva constitución para la India son el álveo. lord Hukinehamshitv y Mr. Snílivan. ___En la ultima sesión déla cámara de los pares SAXONIA. anunció ei marques- de V\l'slies'oí que'en las prime ras .cesiones de in .vzo presentaría á- la cámara algu Leipsick 2 j de febrero. nas proposiciones relativas- á la última campaña de El her…</t>
  </si>
  <si>
    <t>Mr, MelAquí</t>
  </si>
  <si>
    <t>MelAquí Mr</t>
  </si>
  <si>
    <t>…esen á algunos reglamentos que eran ne menester dexar al cuidado del consejo el escoger cesarios para impedir las especulaciones irregulares. entre Mr. Fox, Mr. Pitt, lord North y lord MelAquí Mr. Quin leyó una car,ra del lord Melvi- ville por una pane, y los hombres que hoi com ile á los directores, en la qual este señor ha mani ponen el ministerio. festado su opinión, reducida á que el monopolio de Mr. Quin terminó su discurso con la mocion de la co…</t>
  </si>
  <si>
    <t>Mr, Perpdncher y</t>
  </si>
  <si>
    <t>Perpdncher y Mr</t>
  </si>
  <si>
    <t>…ernizar su memoria, haciendo felices á sus amados y heles sicilianos.** GRAN-BRETAÑA. Lóndres 2 2 de Noviembre. Por gaceta extraordinaria de ayer 21 se ha publicado la llegada del barón Perpdncher y Mr. J. Fagel, diputados por las provincias de Holanda, que han establecido un gobierno provisional. Vienen á comunicar á S. A. R. el Príncipe Regenté y i, S. A. S. el príncipe de Orange, haberse hecho ya en Holanda una contrarevolucion el día 15 del corriente, l…</t>
  </si>
  <si>
    <t>Mr, Perponcher y</t>
  </si>
  <si>
    <t>Perponcher y Mr</t>
  </si>
  <si>
    <t>…y duquesa de Bedford, vinieron papeles de Londres basta 23 de noviembre, cuyas noti cias principales son las siguientes___-Ei día 21 de noviembre llegaron de Holanda á Londres el barón Perponcher y Mr. James Pagel, diputados del gobierno interino de' Holanda , para informar al Príncipe Regen*c de la Gran Bretaña y ai de Orange, que el dia 1-5 de aquel mes se había sublevado par te de las Provincias unidas, y que el pueblo de Annterdan se levantó y proclamó…</t>
  </si>
  <si>
    <t>Mr.'A, Selmwalow y</t>
  </si>
  <si>
    <t>Selmwalow y Mr.'A</t>
  </si>
  <si>
    <t>…arecido ni el barón de Hardemberg .ni Nes^elrode , aun que se Ies anunció: el barón de Humboldr continúa residiendo en Praga; y ha venido Mr. Loinbard como embaxador de Prusia. El general Selmwalow y Mr.'A ifsttet se hallan aquí por parte de Rusia. También se ha presenta do, sin pensarlo, un diputado de Turquía, y se continúa esperando otro de Inglaterra. La embaxada austríaca es la mas numerosa. El conde de Metternich se halla aquí con toda su comitiva, cuyo g…</t>
  </si>
  <si>
    <t>Mroehot</t>
  </si>
  <si>
    <t>…s sobre sus pretensioneslos llaman proyectos llenos Continúan los documentos y declaraciones relatide sabiduría y de profundidad; y en todas sus cosas vas .al expediente del señor conde Mroehot. ros recuerdan sin querer la anécdota del quadro de familia en eí vicario de Wakejieid, quando este NUMERO II. buen clérigo y su muger pintaron un gran tenzón, sin acordarse hajta que estaba concluido de'que nú Copia de la carta de Malet al comandante había e…</t>
  </si>
  <si>
    <t>Mt.au</t>
  </si>
  <si>
    <t>…fuá hecho prisionero, entró ere ia acción lleno de valor entusiasmando á su tropa: que el capítna Fañosa d* Abancay , que se dice herido y prisionero coa el distinguido de Par uro D. Mt.au el Olaguivel muerto, fueron los primeros que con sable en mauo se posesionaron del cañón enemigo. jjHay otras mil brillantes acciones que la premura del tiempo no rae permite comunicar á V. S., y que lo haré cuando tenga me nos atenciones- * • ‘ ' A «,La alta…</t>
  </si>
  <si>
    <t>Mtmuce, Francisco</t>
  </si>
  <si>
    <t>Francisco Mtmuce</t>
  </si>
  <si>
    <t>IOS de, D. Manuel Ibañez, D. José López, D Prudencio Dallo, D. Ce lestino Ximenez , D. Fermín Al Aúnate, D. Angel Labiano, D. ber nardo ZaTo, D. Francisco Mtmuce, D. Pedro Mancho. D. Matías Ezcay, D. Félix Beroz, D. Bernardo Sonosiain , IT Mañano Ustarroz, D. Felipe Virtus, D. Joaquín Aquerreta, D. Fermín Josué, 1), Martin Ziarriz, D, Francisco Larrodé , D. Matías Alzorr z, D. J uan Ramón Arlegui, D. Bonifacio Jaso, D…</t>
  </si>
  <si>
    <t>Mtndiola, Mariano</t>
  </si>
  <si>
    <t>Mariano Mtndiola</t>
  </si>
  <si>
    <t>…nstitución política de la monarquía, han nombrado para individuos de la diputación per manente de Cortes á los Sres. D. José Evpiga, diputado por la jun ta provincial de Cataluña; D. Mariano Mtndiola, que lo es por la rovincia de Queiétaro; D. Jayme de Creux , por la de Cataluña; &gt;. José Joaquín Olmedo, por la de Guayaquil; D. José TeodoroS Santos, por la de Madrid; D. Antonio Larrazabal, por la de Gua temala; el marques de Espeja, por la dé Salamanca: y…</t>
  </si>
  <si>
    <t>Müaradowkcíl</t>
  </si>
  <si>
    <t>…el ataque con el mayor vigor. La izquierda enemiga fné envuelta por los austríacos al mando de Colloredo; la caballería cargó repe tidas veces, mientras que por el otro flanco el general Müaradowkcíl coa los húsares de las guardias y granaderos forzó todos los puntos que en vano ¡mentaba defender el enemigo. Por este kdo cayeron en poder de los rusos 40 piezas de arti le ía y 60 cazones, mucho bagage, y todo el equipage del general Vaadamm;. Batido comple…</t>
  </si>
  <si>
    <t>Mueüeüoxo, Simplicio</t>
  </si>
  <si>
    <t>Simplicio Mueüeüoxo</t>
  </si>
  <si>
    <t>…con los apurado de las circunstancias, con que no querían ridículos anagramas de D- Benito Sotavento , Don obedecerlos, y otras cosas tan ridíduias como tri Cristóbal Micromegas, D. Simplicio Mueüeüoxo y viales, entre tanto que todo iba de mal en peor; D. Deogracias Vitela; siendo algo mas que ridi de modo que á la vista de tanta confusión, y ad culo el apodo de Bartolo Ballena dado al ministro viniendo un amigo juicioso que e! padre se discul de Hacienda.…</t>
  </si>
  <si>
    <t>Muiet</t>
  </si>
  <si>
    <t>…con la lanza en ristrada, á pesar del fuego obstinado del enemigo, les obligamos á retirarse dentro de Torreblanca y á abandonar el convoy. 2.° En la madrugada del 22 me avisó el capitán Muiet, que aquella misma noche habían entrado 90 franceses en Burriol, y sin perder tiempo le mandé que los atacase, mientras yo me ponía en marcha con la caballería para socorrerle. No fué necesario, pues fué tal la intrepidez del capitán , que una hora antes de l…</t>
  </si>
  <si>
    <t>Muiet, Benito</t>
  </si>
  <si>
    <t>Benito Muiet</t>
  </si>
  <si>
    <t>…mismo dia fuesen á atacar , aquella á Onda y esta á Alcora, con el objeto de impedir la reunión y el que pudieran auxiliarse. Al llegar á Adsaneta mandé al capitán de la pri mera D. Benito Muiet, que con su compañía y la sexta fuese, sin erder tiempo , á colocarse en el punto de Burriol, con el objeto de Samarles la atención por todas partes, pará poder con mas seguri dad batir á los que salían con el convoy,yyo con dos compañías de caballería y tres…</t>
  </si>
  <si>
    <t>MUl</t>
  </si>
  <si>
    <t>…ción que hicieron contra el general Lauriston. - «El cuerpo del general York tomó posiciones por la noche; pero el de Barclay de Tolly no lo efectuó hasta la.mañana siguiente. «El general MUl,aradowÍtcIi resistió los repetidos esfuerzos del enemigo, dirigidos con todo vigor aromper.su izquierda • de suerte que las columnas enemigas , cuyo objeto era pasar á las montañas, hubieron de detenerse. Sin embargo el general Millaradowitch, sa biendo por l…</t>
  </si>
  <si>
    <t>Mulgravc</t>
  </si>
  <si>
    <t>…en los archivos del primer secretario de sello privado (Westmorland), el duque de Port- Estado de V. AL" land, el conde de Chatam , el conde de Bathurst, el vizconde Castlereagh , lord Mulgravc , el señor Información sobre ía conducta de la princesa secretario Canningy lord Ilawkesbury, de Gales.* „ Los ministros de V. M. en cumplimiento de Declaración de Carlota lady Douglas. vuestras reales órdenes han examinado coa suma atención las acusaciones,…</t>
  </si>
  <si>
    <t>Muller</t>
  </si>
  <si>
    <t>…an ceses á laS siete. „E1 sábado anterior hubo una^ acción en OscKenwerder: la legión anseá tica, los prusianos y los tiradores ingleses hicieron una valerosa resistencia; pero el capitán Muller tuvo tiüá equivocación , juzgando que un cuerpo de (1) Esta relación es la que lord Catchart remitió con el oficio que insertamos en la gazeta de 2 a del corriente* •</t>
  </si>
  <si>
    <t>Mumy</t>
  </si>
  <si>
    <t>…irigieron toda *u infantería, el resto de su cabelle* ría y su artillería en busca de nuestros aliados. Estos los esperaron er Biar, y se trabó una reñida acción. Como la idea del general Mumy no era conservar el pueblo , empezó á replegarse defendien do á palmos el terreno, y haciendo un estrago terrible en los ene migos , que se obstinaron en seguirlos hasta el puerto de Biar, don de cesó el fuego porque la noche puso fin á su empeño. „Yo , con t…</t>
  </si>
  <si>
    <t>Munarriz, Agustín</t>
  </si>
  <si>
    <t>Agustín Munarriz</t>
  </si>
  <si>
    <t>…, D. José Perulan, D. Ray» mundo Marqués, D. José Gorriz, D. Dionisio Fonolitas, D. Can» dido Zunzarren * D. M:guel Quartero , D. Juan Urzaniqui, D. Ruerto Rajum, D. Manuel López, D. Agustín Munarriz, D. Juan Sliutista fnd'.iusti, D. Pedio López de Baylo, D. José García, D. Andrés Diaz y D. Félix Quitarte. Igualmente se ha servido S. A. promover en el regimiento de caballeril ligera húsares de Navarra de la misma división á teniente coronel á D. Juan José…</t>
  </si>
  <si>
    <t>Munarriz, Lucas</t>
  </si>
  <si>
    <t>Lucas Munarriz</t>
  </si>
  <si>
    <t>…carate , D. Martin Antonio Laquidaia , D Santos Ayerra, D. Tomas Ayerra, D Juan Esteban Alemán, D. León Mayo, D. Aniceto Unciti y D. Sebastian íso : á alféreces á D. Nicolás Sada, D. Lucas Munarriz, D. Francisco Ruiz , D. Cristóbal Pereti, D. Mariano Raqpedano, D. Mariano Amorós, D. Manuel Rodrigo, D. Gregorio Lagarda, D. José García, D. Antonio Ortíz, D. An gel Martínez, D. Antonio Blesa, D Fermín Fabiano, D. Pedro Garrea, D. Pablo Franca, D. Antonio S…</t>
  </si>
  <si>
    <t>Munich</t>
  </si>
  <si>
    <t>65 costa de la Pomerania y del Meck! emburgo- á los 53 á ¡a muerte de Pédró, y el general Munich los lúe grados 50 minutos; y eí mas meridional ai fin dei á inspeccionar para acelerar su execucion; pero no golfo de Botnia, cerca de Torneo, á los .65 grados pudieron vencerse los obstáculos que opuso el mar, 5 x minutos de latitud. Considerado en toda su e…</t>
  </si>
  <si>
    <t>Muñiz.í, Manuel</t>
  </si>
  <si>
    <t>Manuel Muñiz.í</t>
  </si>
  <si>
    <t>…D. DomingoX'ago........................... Idem. b ■Subteniente........ D. Ventura,Lorenzo....................... Idem. . Id. en comisión...^ D. Juan Per£z.. Idem;. Teniente..... D. Manuel Muñiz.í.. 2.0 de Asturias. Capiran................ D. Manuel Rio Mayor....... . Corona (voluntarios.) Teniente.............. D. Luis Leca................. ................. Idem. , V ’ :Qtro.................. I). Manuel Martínez Sajazar......... Idem. , Idem.Subtenie…</t>
  </si>
  <si>
    <t>Muñoz, Antonio</t>
  </si>
  <si>
    <t>Antonio Muñoz</t>
  </si>
  <si>
    <t>…quantos encargos:puse en su cuidado: también se hallaron á mi in—' mediación durante toda la batalla el teniente D. Joaquín de Velasco, y lossubtenientes D..Roque Jacinto Valle y D. Antonio Muñoz hiervas, emplea-* dos á mis inmediatas órdenes. El capitán ingles sir Eiduardo Malet, comisionado por V. E. á mi inme diación, se me presentó para que le emplease, y fue muerto de un balazo de fusil; recomiendo también i V. su gloriosa memoria por las calidad…</t>
  </si>
  <si>
    <t>Muñoz, Atauasio</t>
  </si>
  <si>
    <t>Atauasio Muñoz</t>
  </si>
  <si>
    <t>…odo el regimiento avanzase á paso violentó: que el capitán de gra-' naderos D. Pedro Sologaistoa con la mitad de su compañía penetrase por el arco de la ciudad:*que el de la sexta D. Atauasio Muñoz con la suya fuese á ocupar el puente que sale á Tudela por la calle que guia á la catedral; y que el resto del regimiento se echase sobre el campamento enemigo, auxi liando esta operación las tropas del capitán Lagandara y del teniente de granaderos D. Marian…</t>
  </si>
  <si>
    <t>Muñoz, Ramón García</t>
  </si>
  <si>
    <t>Ramón García Muñoz</t>
  </si>
  <si>
    <t>…tuto primero. D. Francbco L..yin , 'substituto primero. D. Manuel Urbina , substituto segundo. D. Juan Torre , substituto segundo. Barrio de ¡a Encarnación. Barra de les ring. íes D. Ramón García Muñoz , alcalde. D. Manuel Cardeñoso Herrczueto, alcalde. D. Pedro Monfort y Viergol , substituto pri D. T ornas Tordesillas, substituto primero. mero. t D. Santiago Conde, substituto segundo. D. Eugenio Mesa, substituto segundo. Barrio ae ¿Mortana. D. Rafael de Ya…</t>
  </si>
  <si>
    <t>Munuce, José María</t>
  </si>
  <si>
    <t>José María Munuce</t>
  </si>
  <si>
    <t>…Martin Ziarriz, D, Francisco Larrodé , D. Matías Alzorr z, D. J uan Ramón Arlegui, D. Bonifacio Jaso, D; Mvouel Sancho, D. Bonifacio Martínez, D. Julián Gofr , D. Justo Taiazona, D. José María Munuce, D. Antonio Longis, D. José Canoras, D Cele Io nio Lerruz, D. Juan Macáya, D, Luis A lamo, D Francisco íturralde, D. Miguel Ube’za , D. Xavier Mariotegni, D Fermín Adrián, D. Francisco Miranda, D. laucas Zubkta, D. Vicente Larraga, D. M ¿mano Onnaeckea, D. Vi…</t>
  </si>
  <si>
    <t>Murad</t>
  </si>
  <si>
    <t>…ombre de su abue siásticas. Se ha brindado por el Rci con el mayor lo Abdulr-Hamid. La madre del príncipe recien entusiasmo. nacido es la misma que dio al Sultán hace 18 me ses el príncipe Murad. IMPERIO FRANCES. La misma tarde se anunció al público esta agra Parts 14 de abril.dable noticia por los cañones del serrallo, y la ma ñana siguiente por los de todas las baterías. Las fies El príncipe de Schwartzemberg ha tenido el tas acostumbradas en esta…</t>
  </si>
  <si>
    <t>Murat</t>
  </si>
  <si>
    <t>…burg ha sido enteramente deshecha y derrotada baxo los muros de la plaza &gt; habiéndola cogido seis ca ñones y 700 hombres de infantería. Copia de una carta de Gerónimo Bonaparte al general Murat. Mi querido hermano. Acabo de saber qué habéis llegado á V*ach t esta noticia me inquieta» Mi situación es horrible. — Decidme la verdad &gt; y si debo retirarme mas lejos» porque no tengo conmigo mas que 4 ó 5® misera bles conscriptos.__lCómo Va el Emperador?-*…</t>
  </si>
  <si>
    <t>…áticos y estudiantes. S. A. R. toma medidas para el pago de todo , y considera el país y sus ha bitantes con el mayor afecto posible. sz Steivart."' Carta de Gerónimo Bonaparte al general Murat. Mi querido he?mano: acabo de jaber que habéis llegado ! Vacb: esta noticia me inquieta. Mi situación es horrible : decidme la ver— dad 5 y para don de debo retirarme, porque tengo conmigo como unos 4 a 5$ ..istrabies conscriptos. ¿Cómo está el emperador ? No…</t>
  </si>
  <si>
    <t>Murcay, Juan</t>
  </si>
  <si>
    <t>Juan Murcay</t>
  </si>
  <si>
    <t>…lorquína, dice al Sr. gefe del estado mayor general desde el cuartel general de Alcoy con fecha 16 del actuaí lo que signe: , Exorno. Sr.: En consecuencia de una orden del Excrao. Sr. D. Juan Murcay, general en gefe de este exéreito aliado, para ha cer un reconocimiento en fuerza sobre el enemigo cerca de Concantayna, avancé á las 3 de la madrugada de ayer con la mayor parte de la fuerza de mi división. „ Luego que recibí dicha orden , previne al tenient…</t>
  </si>
  <si>
    <t>Murcia</t>
  </si>
  <si>
    <t>…sigue: VANGUARDIA. Tres compañías del regimiento de cazadores de Mallorca................................................. Al mando Una Ídem ligera del regimiento segundo de .del teniente Murcia.................... . ;............................ ( coronel Mo* Una ídem del regimiento primero de Córdoba. uet. Un oficial subalterno y 10 hombres de caba ñería cazadores de Olivencia. .................. J íolümnA. 4&gt;:nco compañías del regimiento cazadores…</t>
  </si>
  <si>
    <t>Murcia, Domingo</t>
  </si>
  <si>
    <t>Domingo Murcia</t>
  </si>
  <si>
    <t>…jano, y en el fuerte se han cogido algunos fusiles, granadas , cartuchos y otros efectos, según lo avisa oficialmente á su general el teniente coronel y coman dante de las tropas D. Domingo Murcia. (Patriota de Soria.) Alicante 28 de julio. Por carta de persona fidedigna se sabe que habiendo* salido de Tortosa qn gran convoi con su escolta de tropa con dirección á Mequinenza, ai lle gar al Sinel fue sorprehendido por los nuestros , que le atacaron con…</t>
  </si>
  <si>
    <t>Murcia, Domingo de</t>
  </si>
  <si>
    <t>Domingo de Murcia</t>
  </si>
  <si>
    <t>…r cunstancias. En tanto que la guarnición del primero de dichos fuertes que daba completamente cerrada y estrechada , el coronel y comandante interino de la compañía de artillería D. Domingo de Murcia batía con dos cañones dé ■regular calibre al segundo, obligando ai enemigo mui luego á sepultarse dentro del subterráneo , donde ha permanecido hasta el 19 último, en cuya tarde, no quedándoles otro arbitrio, se rindieron. El- 22 tuvo esta ciudad el gusto de…</t>
  </si>
  <si>
    <t>Murgrave</t>
  </si>
  <si>
    <t>…e Mecklemburgo cerca de la corte de land), el duque de Portland, el conde de-Chatam, Francia, ha pasado por aquí con dirección á París. el eonde üathurst, el vizconde Castlereagh, lord Murgrave, M. G. Canníng y Lord Hawkesbury. 4;&lt;. GRAN BRETAÑA. „ En la minuta de la deliberación inserta en los registros, después de haber declarado que S. A. R. LSndret 14 de febrero. el príncipe de Giles no podía sin faltar á su deber Con mucha pena estamos viendo l…</t>
  </si>
  <si>
    <t>Murillo</t>
  </si>
  <si>
    <t>…nto las siguientes divisiones de in fantería.del exército aliado anglo-portügues : la segunda, la división, ligera, y la del mando del conde de Amarante; la división españo la del general Murillo; y asimismo los cuerpos de caballería del man</t>
  </si>
  <si>
    <t>…infantería y caballe ría procedente de Alba; y entonces dispuse que la caballería de-xase de. perseguirle , en .atención á que aun no habia llegado . nuestra in fantería. " ; »EI brigadier Murillo, que pasó con su división á Alba de Tórmes en virtud de orden mía , obligó á un regimiento de infante ría y.caballería que, aUí tenia ef enemigo? :á evacuar,aquel punto. »&gt;'D!ps guardeá V* E. muchos años.. Sala,mancía 26 de Mayo de 1813- == VV'ellington , duq…</t>
  </si>
  <si>
    <t>…cuerpo de infantería y caballería procedente de Alba; y entonces dispuse que la caballería dexase de perse guirle, en atención á que aun'no había llegado nuestra infantería. ,,Ei brigadier Murillo, que pasó con su división á Alba de Tormes en " ■virtud de orden mia, obligó á un regimiento de infantería y caballería que alii tenia el enemigo á evacuar aquel punto. ' &lt; 1</t>
  </si>
  <si>
    <t>Murny, Sir George</t>
  </si>
  <si>
    <t>Sir George Murny</t>
  </si>
  <si>
    <t>*sr Alicante %T de Febrero. Antes de ayet'desembarcó en este puerto el Excmo. Sr. Sir George Murny * general en gefe del exército combinado, cuya presenciay créditos militares ? juzgamos del mayor iafiuxo ea la expulsión de íos: feroííás jcnémigbs iqi^e devastan esta provincia. El general enemigo baton de Runfort , comisionado para perse guir al acreditado…</t>
  </si>
  <si>
    <t>Murot</t>
  </si>
  <si>
    <t>…an también manco en .este cuerpo, cuya fuerza total era de 700 in fantes y S9 caballos, un escuadrón de mamelucos, y un destaca mento de tártaros de la guaroia , baxo el mando del coronel Murot. Dicen los prisioneros que el general Kessciskí fue muerto. EL fruto de esta victoria ha sido 1500. prisioneros, 5 piezas y 40 oíicíales, 3 de ellos del estado mayor. —• El exércho pardo de aquí,, y está en movimiento scbie la izquierda. Ei cuerpo del general…</t>
  </si>
  <si>
    <t>Murraj, Sir Juan</t>
  </si>
  <si>
    <t>Sir Juan Murraj</t>
  </si>
  <si>
    <t>…iente: ,,Exorno. Sr.: No ha habido por esta parte de la península nin gún movimiento de importancia. „Teng© el honor de incluir á V. E. el parte oficial que me remi te el teniente general Sir Juan Murraj, en que expresa lo ocurrido en el ataque que hizo el 7 de esta mes contra el puesto enemigo que ocupaba á Alcoy, en donde ha establecido puestas sujos.-— Dios gnarde á V.E. muchos años. Fresneda 31 de Marzo de 1813.— JFéUivglon, duque de Ciudad-Rodrigo. — Exc…</t>
  </si>
  <si>
    <t>Murray</t>
  </si>
  <si>
    <t>…que han soste nido con decoro un vivo tiroteo, haciendo algunos prisioneros. Se es peran sucesos de la mayor importancia, atendidas la actividad, in teligencia y disposiciones del Sr. Murray , general en gefe. Los ene migos continúan en sus precauciones y en sus disposiciones de re tirada , sacando de Sagunto todos sus efectos. ARTICULO DE OFICIO. Circular expedida por el ministerio de la Gobernación de la península. Animada la Regencia del reyno…</t>
  </si>
  <si>
    <t>435 nea del exército aliado , y así sa raduxo á hacer movimientos de amenazas para cubrir la retirada que emprendió. El general Murray coríiprehendió su intención, é hizo que 9 batallones, 900 caballos y 10 piezas de artillería saliesen en su alcance, y lo incomoda* sen en su marcha ; habiéndolo conseguido tan completamente, que en menos de media legua que hay hasta el puerto de Biar, don de…</t>
  </si>
  <si>
    <t>…o al mismo, su fecha en Elizondo el r.# de Agosto. ••Milord: Tengo la honra de participar á V. E. de que en cum plimiento de las instrncciones que recibí por el conducto del mayor general Murray, seguí dirigiéndome ayer con la columna que man daba al camino de Doña-María. A nuestra llegada al pie del Pasa hallamos al enemigo subiendo á la montaña con mucha celeridad, y perseguido de cerca por la séptima división, moviéndose por nn ca mino paralelo, y…</t>
  </si>
  <si>
    <t>Murray, Sir Juan</t>
  </si>
  <si>
    <t>Sir Juan Murray</t>
  </si>
  <si>
    <t>…s.-— Dios gnarde á V.E. muchos años. Fresneda 31 de Marzo de 1813.— JFéUivglon, duque de Ciudad-Rodrigo. — Excmo. Sr. D. José María de Carvajal.’" Extracto del pa? te del teniente general Sir Juan Murray al marques de Wettiugtcn, su fecha en Alicante a 10 de Marzo de 1813. ?íEn mi carta de ¿6 del mes último tuve el honor de informar á V. S. que jo había tomado ,el mando de la división del exército del Mediterráneo empleada en la costa oriental de España hasta…</t>
  </si>
  <si>
    <t>…l del éxército del mediodía se ha trasladado de Toledo á Madrid; y el todo del expresado éxército, al parecer, está preparado para un repentino movimiento. ,,Desde que el teniente general Sir Juan Murray hizo el moví* miento detallado en el paite que inclní á V\ E. en mi último despa cho , parece que el mariscal Suchet ha reunido; sus' tropas sobre la derecha del Júcar, estableciendo su cuartel general en S. Felipe de ■ L ■. . ...o t ..Xátiva. . s' i: í ' : •…</t>
  </si>
  <si>
    <t>Murüio</t>
  </si>
  <si>
    <t>…a división del mando del teniente general Sir Henríque Cl'ntoo; una división portuguesa á las órdenes del teniente general Sir Juan Amhtdn; una división española i las órdenes del general Murüio; una brigada de caballería al mando del coronel Grant; una brigada de artillería portuguesa mandada por el teniente coronel Tulioh, y tres caño nes de montaña á las órdenes del teniente Bobe; estas tropas ata caron la posición del enemigo situado á la espalda…</t>
  </si>
  <si>
    <t>Murwitz</t>
  </si>
  <si>
    <t>…iscal, conde Stedingk , quería pasar la noche en la cabeza del puente, y fué necesario todo el poder de la persuasión de S. A. R. para que desistiese de su resolución. El teniente coronel Murwitz , que había s do destacado como par tidario para proteger las operaciones del general Tetíeoborn, entró en Brunswick donde hizo 400 prisioneros enemigos entre oficiales y soldados. EL capitán roso Bsrotzi Fuá acometido en Halle por tropas su periores en númer…</t>
  </si>
  <si>
    <t>Mustoxidi</t>
  </si>
  <si>
    <t>…ag á ella y á ellos los he alabado mucho mas y mejor, mento de Isócratcs, que se esperaba mucho há con no podré encontrar parage donde pasar con seguri ia mas viva impaciencia. El señor Mustoxidi ha te dad el corto resto de mis dias!" nido por conveniente publicar entero el discurso Al paso que nuestro orador va desenvolviendo como le ha hallado en un manuscrito del siglo xm su argumento, se explica generalmente con la maconservado en la biblioteca La…</t>
  </si>
  <si>
    <t>Muz</t>
  </si>
  <si>
    <t>…ficio por el partido ecle duzca. Cádiz 10 de febrero de i8i3. = Josef Mo siástico , que en ella al fin prevaleció. Han salido reno de Guerra.” electos los señores conde Tenreiró , arzobispo Muz,,Nota. Nadie mas constante que nosotros en quiz , penitenciario de esra santa iglesia Roda, sostener la representación nacional; pero nadie tam agente de su cabildo González Montaos, y cura de poco mas zeloso que nosotros por la justicia , he Sayar Domínguez;…</t>
  </si>
  <si>
    <t>Muzqulz, Rafael de</t>
  </si>
  <si>
    <t>Rafael de Muzqulz</t>
  </si>
  <si>
    <t>…en la librería de Perez, calle de las^Carretas , 1 2 quartos. El Tribuno del pueblo: política eclesiástica. Exposición á la Regencia del rtino &lt;del reverendo arzobispo de Santiago D. Rafael de Muzqulz y otros prelados, solicitando la suspensión del.cumplimiento de los soberanos decretos de 22 de fe brero último , relativos á la extinción del tribunal de la inquisición &amp;c.; todo cor* notas sumimente curiosas. Un tomitó en 8.°, á 4 rs. en rústica. Se hallará…</t>
  </si>
  <si>
    <t>Myers, W.</t>
  </si>
  <si>
    <t>W. Myers</t>
  </si>
  <si>
    <t>…que conoce bien la costa. Se iba á erigir en Londres monumentos al general Bowes, muerto en el sitio del castillo de Salamanca; al general Brock, muerto últimamente en América; al coronel W. Myers, muerto en la batalla de la Albuera, y al coronel Cadogan, muerto, en la de Vitoria. Los periódicos de Londres han publicado y desmentido el rumor de la muerte del Emperador Francisco envenenado. _ En Portsmouth se habían estado preparando con la mayor activi…</t>
  </si>
  <si>
    <t>Mzuby</t>
  </si>
  <si>
    <t>…rdad que haya mani Lui*a el título de regente con los derechos y fun festado yo á n.idie deseos de que fuesen menus fre ciones mencionados en dicha cédula; cuentes las visitas del capitán Mzuby. Quando la Después de haber oido el informe de U comí-</t>
  </si>
  <si>
    <t>M’Dorudd</t>
  </si>
  <si>
    <t>…suecas, el cuerpo que manda el general Walmoden, y e! ruso del general Beniagsen.” Se habla de la conquista de Dantztck; pero el gobierno parece no ha recibido mas pliegos que del coronel M’Dorudd, que está de lante de la plaza, y participando solo , con fecha dd 1 0 del cor riente, haberse tomado por asalto el fuerte llamado Stackelberg. ESPAÑA. Villafranca del Panadee 2$ de No-siembre, Sabemos que las municipalidades francesas salen á recibir y obse…</t>
  </si>
  <si>
    <t>N, Francisco de Copons y</t>
  </si>
  <si>
    <t>Francisco de Copons y N</t>
  </si>
  <si>
    <t>…S. Fernando. Cuartel general de Vich 2 de Mayo de 1813. — El ayundante general gefe de estado mayor. — F. X. Gabanes. 11. 8. Orden del día. El Sr. general en gefe de esta exército D. Francisco de Copons y N&amp;via acaba de saber que el coronel Llauder, con arreglo á las oréeos que le tanta dadas, ha empeñado una acoion con uaa co lumna enemiga de 1500 hombres, ¡¿randada por el coronal Mnch&amp;l, cuyo resultado ha sido hacer retroceder á esta columna desde uaa legua de…</t>
  </si>
  <si>
    <t>…as de este exército: en todas partes encuentra igual entusiasmo y resistencia : en todas los re sultados son duras lecciones, que recibe. El reñor general en gefe de este exército D. Francisco de Copons y N,.via tiene la satisfacción de anunciar á las tropas que lo forman, que operando el señor coronel Llauder con la brigada de su mando en las inmediaciones de Olot, consecuente á las in.t mociones que le tenia dadícS, fué atacado ea la mañana del 4 del actual, p…</t>
  </si>
  <si>
    <t>N, N.</t>
  </si>
  <si>
    <t>N. N</t>
  </si>
  <si>
    <t>…a se pondrá el encabezamiento correspondiente), á todos los que las presentes vieren y entendieren, sabed: que habiendo acudi do á nuestra real persona (ó á la Regencia del reyno) D. N. N., natural de tal pueblo, provincia de tal, en el reyno de tal, en soli citud de carta de naturaleza; y habiendo hecho constar ser católico, apostólico, romano, y concurrir en él las circunstancias y calidades que le pueden hacer merecedor de esta gracia ; hemo…</t>
  </si>
  <si>
    <t>…ncia pongase el encabezamiento correspondiente), á todos los que laá presentes vieren y entendieren, sabed: Que habiendo acudido á nuestra real persona (ó á la Regencia del reyno) D. N. N., vecino de tal parte, y naturalizado por nuestra real carta de tantos (y cuan do fuere por io años de vecindad ganada según ley, 6 fuere espa ñol de nacimiento, se expresará así) ¡ en solicitud de carta de ciu dadano; y habiendo hecho constar que concurren en…</t>
  </si>
  <si>
    <t>N-code-, D</t>
  </si>
  <si>
    <t>D N-code-</t>
  </si>
  <si>
    <t>…Es un sermoncito. —¿ Ahora sa era natural, y siguen: len otra vez con sermones ? Ya; como estamos „ Pero no basta, Señor • ni basta la justicia coa enquarésma.....pero es el caso, señor D N-code- que V. M. apartó de sí desde el principio toda idea mus, que estos misioneros son casi nuevos en estos de ambición , reservándose solo el poder legislativo; pulpitos: son de la otra banda..—; Es alguna pro ni el pundonor de sus individuos en renunciará ios cl…</t>
  </si>
  <si>
    <t>Na</t>
  </si>
  <si>
    <t>…e fierro de este reyno; rio debía esperarse que la Francia acu sase á la Suecia por estas condescendencias de la Inglaterra: al contrario , V. M. tenia derecho para supone? que el emperador Na poleón llevaría á bien los benignos miramientos de una nación que tiene tantos medios para dañar á ia nuestra, . Lejos de esto se aumentaron mas y mas las violencias de los cor sarios franceses contra el pabellón sueco. El ministro de V. M. en París represent…</t>
  </si>
  <si>
    <t>…esde el momento en que las tropas francesas invadieren la Pomerania sueca, contra la fe de los tratados y las mas solemnes obli gaciones, se manifestaron los designios de S. M. el emperador Na poleón con respecto á la Suecia. Ei rey, justamente sorprehendido con esta inesperada agresión, no hizo mas que repetir diligencias para conseguir una explicación franca y fiel, ai mismo tiempo que el gobierno francés solo contestaba.con nuevas hostilidades.…</t>
  </si>
  <si>
    <t>…e tomo la libertad de poner en consideración de V. la con ducta de los oficiales, marineros y soldados que fueron empleados; y si aquella merece algunos elogios, todos se deben ai capitán Na pier, á. los oficiales, marineros y soldados de marina de los dos na vios que han llenado completamente mis deseos, y no -tengo otra pérdida que sentir que ia de un hombre muerto y de otro extraviado. «Solo haré particular mención del teniente Sweedland y del…</t>
  </si>
  <si>
    <t>…arrollado las tropas enemigas apostadas en los desfiladeros. El 26 tenían los aliados su cuartel general delante de Dresde, y ha biendo bombardeado la ciudad qnedaba ardiendo. El emperador Na poleón llego allí el 25 con su guardia: el exército francés que esta ba baxo sus órdenes inmediatas abandonó la Lusacia y la Silesia, y se acercó ai Elba. El general Blucher se puso en marcha desde Jauer el 25 por la mañana, seguido de todas sus fuerzas. El g…</t>
  </si>
  <si>
    <t>…ón alguna estos arbitrarios límites, unas veces con indig nación y amenazas , y otras con amargos desprecios ; como si no fue se-po.ible declarar en términos bien distintos que el emperador Na poleón estaba resuelto á no hacer el mas pequeño sacrificio por ¿1 reposo del mondo. Estoí preparativos militares iban acompañados de una mor ti dea cion particular para el Austria, pues les propuestas de paz que hacia este gabinete á las otras cortes, con co…</t>
  </si>
  <si>
    <t>I2l8 destrucción de las columna* enemigas. Se dice que el emperador Na poleón estaba en medio de ellas , y los prisioneros añaden que le hi rieron su caballo. Según los boletines franceses, el exército enemigo se halla victo rioso y avanzando por todas partes; pero el hecho es que ha aban donado la mayor parte de la derecha del…</t>
  </si>
  <si>
    <t>Na-via, Francisco de Copons y</t>
  </si>
  <si>
    <t>Francisco de Copons y Na-via</t>
  </si>
  <si>
    <t>…rimer exército español! Do qaiera que el señor general en gefe dirige sus brigadas , tiene el gusto de verlas llenar heroica mente sus deseos. Ciudadanos: el señor general en gefe D. Francisco de Copons y Na-via quiere se os anticipe la noticia de este triunfo, ínterin pueden publicarse los detalles. Hemos visto un extracto de las gazetas de Londres hasta el 25 de no viembre, impreso en Santander en 7 de diciembre, en que ademas de parti ciparse la revolución de Hola…</t>
  </si>
  <si>
    <t>Nafárrondo, Fermín de Uria</t>
  </si>
  <si>
    <t>Fermín de Uria Nafárrondo</t>
  </si>
  <si>
    <t>…euidado de este establecimiento), compuesta de los Sres. D. Antónió Siles, secretario de la sociedad y protector-de dicha escuela;• D. JoSéf;Millanova y Jordán, censor, y el socio D. Fermín de Uria Nafárrondo. El catedrático D. Francisco de Papla Martí leyó un elocuente discurso, en que probó la antigüedad de este maravilloso arte de escribir con tanta velocidad como se habla: dio una idea de los varios mé todos antiguos y modernos qué se han publicado en todas la…</t>
  </si>
  <si>
    <t>Nafarrondo, Fermín María de Uria</t>
  </si>
  <si>
    <t>Fermín María de Uria Nafarrondo</t>
  </si>
  <si>
    <t>…ayuntamiento. D. Juan Antonio Salcedo, cura párroco de S. Gines, y D. Juan Josef Barrios, cura párroco de Sta. María, como individuos del cabildo de seño res curas y beneficiados. D. Fermín María de Uria Nafarrondo y D. Luis Gabaldon y López, como individuos de la sociedad económica. D. Angel González Barreiío, secretario del ayuntamiento constitucional, y como tal secretario de esta junta. D. Francisco Fernandez de Ibarra, como habilitado de secretario de dicho ayuntamiento, lo…</t>
  </si>
  <si>
    <t>…tamiento; D. Juan Antonio Salcedo, cura párroco de S. Gines , y D. Juan José Barrios , cara pjrrt c'O íis Sta. María, como individuos del cabildo de señores curas y bene ficiados; D. Fermín María de Uria Nafarrondo y D. Luis Gabaldon</t>
  </si>
  <si>
    <t>Naharro, Vicente</t>
  </si>
  <si>
    <t>Vicente Naharro</t>
  </si>
  <si>
    <t>…s: cate cismos de Ripalda y de Flcuri: catón segundo, y método práctico de enseñar á leer; y recopilación de los varios métodos inventados para facilitar la enseñanza de leer, por D. Vicente Naharro: compendio de gramática castellana: un iibritó ' en 8.° con las definiciones de aritmética: una colección de 16 muestras de escri bir, que se venden juntas y separadas;'y dos láminas que demuestran la operación del corte de la pluma, y la verdadera postura de…</t>
  </si>
  <si>
    <t>Nailsouty</t>
  </si>
  <si>
    <t>…gunos generales (1). En el centro un vivo cañoneo fixó la atención del enemigo, y algunas colunas se mostraron prontas para atacarle por la izquierda.__ El duque de Treviso con el general Nailsouty maniobraron en la llanura, teniendo la izquierda apoyada en el rio, y la derecha en las alturas. El cuerpo de St. Cyr reunió su izquierda al centro, que le formaba el cuerpo del duque de Ragusa. A las dos de la tarde el enemigo determinó retirarse. Habia perd…</t>
  </si>
  <si>
    <t>Nales, Paula de</t>
  </si>
  <si>
    <t>Paula de Nales</t>
  </si>
  <si>
    <t>…de Ja imprenta nacional, á oo rs. cada exemplar. Poesías patrióticas del mismo autor, edición de Londres en papel vítela. Vén dense á 20 "rs. en dicho despacho. Habiendo rállecido Doña Paula de Nales, quedó por uno de sus herederos D. Prudencio de Orea, menor de edad, qiíien salió de esta corte enfermo á fines ,del año de 1808 , sin que haya mas noticia que de haber llegado á Avila, presu miéndose que haya fallecido; y como en la testamentaría, se necesit…</t>
  </si>
  <si>
    <t>Nansouty</t>
  </si>
  <si>
    <t>…ariscal Massena y el conde Grenier. Los otros generales comandantes de divisiones en Alemania son los siguientes : De caballería: el conde_Latónr-Maubourg.— El conde Grouchy. — El conde Nansouty. — El conde Valence. — El conde S. Germán. De infantería: el conde Labor de. — El conde Loison. — El conde Bonnet. — El conde Molitor. — El conde Friant. — El conde Legrand. Los polacos, reducidos á 15$, están en Pirna, mandados por el príncipe Poniatowsky, y…</t>
  </si>
  <si>
    <t>…des orden: el enemigo pasó el Partha, y marchó á Reidnitz, de que se apode ró: no distaba ya de Leipsick sino media legua. El Emperador envió sü guardia de á caballo al mando del general Nansouty con 20 piezas de artillería, á fin de flanquear las tropas qué se adelan taban á lo largo del Partha para atacar á Leipsick. Él mismo se dirigió con una división de la guardia al pueblo de Reidnitz. La prontitud de estos mo vimientos restableció el orden: el…</t>
  </si>
  <si>
    <t>…enemigo pasó el rio Partha, marchó sobre Reidnitz, de que se apoderó, hallándose distante solo media legua de Le'psick. El emperador envió su guardia de á caballo, mandada por el general Nansouty, con 20 piezas de artillería , á fin de ceger el flan co á las tropas que avanzaban á lo largo del rio Partha para atacar /á Leipsick. Se dirigió él mismo con una división de la guardia á laaldea de Reid.üitz, La prontitud de estos movimientos restableció el…</t>
  </si>
  <si>
    <t>…migo con dos batallones de cazadores de la guardia antigua, y que le arrojase hasta mas allá de la desembocadura: ai general Drouet que saliese inmediatamente con 50 cañones; y al general Nansouty que con todo el cuerpo del general Sebastian! y con la caballería de la guardia antigua atacase vigorosamente al enemigo en la llanura. Executáronse exactamente todas estas disposiciones. El general Curial destruyó varios batallones del enemigo. Los austríaco…</t>
  </si>
  <si>
    <t>Napcl</t>
  </si>
  <si>
    <t>…e han enviado fuert:s destacamentos á retaguardia del enemigo para cortarle sus comunicaciones: e t:s destacamentos ib.ín sos enidos por cuerpos d: reserva Durante eí.te tiempo el emperador Napcl on había o ra v„z ido á Silesia con sus gu*rdLs y otras tropas. El prín cipe de Moskwa debía cubrir su flanco izquierdo, y de'pues qae hu biese batido el exéreito del mando de S. A. R. débil volver parte de su fnerza hacia el N i s. Los sucesos ,d l día 6 des…</t>
  </si>
  <si>
    <t>Napier</t>
  </si>
  <si>
    <t>…n el Mediterráneo , abordo del Berwick , delante de Cavalacio, á i&amp; de Mayo. »Mi comandante : me tomo la libertad de poner en noticia de VT que por las disposiciones juiciosas del capitán Napier, los barcos de oabotage del enemigo al E. de T0I011 se hallaban reunidos del 10 al 15 de este mes en Ta rada de Cavalacio, en número de 20 velas. Juzgando que el objeto merecía que se arriesgase un ataque, hice los preparativos necesarios para tomarlos ; pero…</t>
  </si>
  <si>
    <t>ss* gos fueron salvados por el Eucyalus, que echó el ancla para proteger á los trabajadores; y por los grandes esfuerzos del capitán Napier nos llevamos los que podían servir. «Me tomo la libertad de poner en consideración de V. la con ducta de los oficiales, marineros y soldados que fueron empleados; y si aquella merece algunos elogios, todos se deben ai capitán Na pier, á. los oficiales, marine…</t>
  </si>
  <si>
    <t>…nchones la noche del 25 de este mes, y por las excelentes disposiciones del contra-almirante Cockburn, que estuvo i la vista de la operación, la vanguardia mandada por el teniente coronel Napier, compuesta del regimiento núm. 102, de dos compañías de cazadores canadianos, y de tres compañías de soldados de la marina de la escuadra, con dos cañones de artillería de á 6, desembarco media hora ántts de amanecer del dia 27, co mo á unas dos millas al O.…</t>
  </si>
  <si>
    <t>han podido recoger han sido sepultados. No puedo meros de con fesar que debo mil obligaciones al teniente coronel Napier, al te niente coronel Williams , ai mayor Malcolm y ai espitan Smith , y en general á todos los oficiales y soldados, cuya conducta y valer merecen mis mas sincero reconocimiento. = Tengo la honra &amp;c. = S. Becknitth, cuartel-maestre general.” Por los estados…</t>
  </si>
  <si>
    <t>Napo</t>
  </si>
  <si>
    <t>…sición dirigida á empeñaí á la Suecia en una guerra coatra la Rusia, «Debiéndose considerar ya rotas por la ocupación de la Pomerania las relaciones entre la Suecia y Francia , el emperador Napo león hizo la siguiente propuesta, no de oficio, sino por otra via no menos segura: , D espués de haber hecho una larga exposición acerca de haberse separado varias veces la Suecia de la rigurosa observancia del sistema continental; cuyo procedimiento, deda Na…</t>
  </si>
  <si>
    <t>…sM erda el d que de Ragusa ; pero notici so allí de la batalla de Dennewitz, se retiró a mesuradanuen e dos lloras después por el camino de Konigsbruck ■, hácia Orevd; * donde -ti emperador Napo león,, que iba delante de él, entró en la mañana del 9. Dos veces ha hecho el emp rador Napoleón con sus guardias y el cuerpo del duque de Ragusa, movimiento* ofensivos, sobre la iz quierda del exército de Alemania, y ómoas v.ces ha sdo obligado por las circu…</t>
  </si>
  <si>
    <t>14*6 . , P. T&gt;. El emperador Napo1eon repase) el Rhin, sin que se sepa de fixo la fuerza del exército 'cae le há quedado, porque las rela ciones varían mucho , lo que mas le dan son de 6o á 6^ hanibres. Ei día 5 tenia" eh emperador su engírter gehe.'al :¿n Francfort: Los enemigos, que estabar…</t>
  </si>
  <si>
    <t>Ñapo-</t>
  </si>
  <si>
    <t>…n tan puro fuesen terminantemente despreciadas; pero por el modo con que fueron recibidas, y aun mas por el contraste notable entre los sentimientos del Austria; y la conducta dei emperador Ñapo-</t>
  </si>
  <si>
    <t>Napokou</t>
  </si>
  <si>
    <t>…de sus ardientes deseos, y con el objeto también de disponer con mayor vigor los prepara tivos para la guerra ,-si el Austria no tuviese otro recurso. Hacia muy poco tiempo que ei emperador Napokou declaró ha ber propuesto un congreso en Praga, al que debían concurrir de una parte los plenipotenciarios de Frauda 5 Estados-Unidos del Norte de America, Dinamarca, rey de España, y de los otros principes sus a ia los; y de la otra parte b'S .^emootf n™arios…</t>
  </si>
  <si>
    <t>Napoleón</t>
  </si>
  <si>
    <t>…tza, des pués de haber andado 12 millas por caminos de travesía , encontró el 29 por la mañana la vanguardia dei enemigo en aquel pueblo, donde estaba preparando cuarteles para el emperador Napoleón. El fruto de este ataque inesperado fué el apresamiento del general Kamisky , 2 coroneles , 2 tenientes coroneles , 2 mayores , 24 oficia les ¿e diferentes graduaciones y 217 soldados. La vanguardia del almirante TchichagoíF, persiguiendo vigorosamente al ene…</t>
  </si>
  <si>
    <t>…2, que el mayor ge neral Lauskoy, á quien había mandado con un cuerpo á Piestchenitza por Jourieff, encontró, eT29 de Noviembre, un cuerpo ene migo que preparaba cuarteles para el emperador Napoleón, y había hecho prisioneros al general Kaminsky, 30 oficiales del estado ma yor y 217 hombres. La proximidad de las columnas enemigas le obligó á abandonar aquel sitio y dirigirse hácia la izquierda , á ha de retardar todo lo posible la marcha del enemigo. Hab…</t>
  </si>
  <si>
    <t>…cias que se temían. Con todo no era de esperar que esta feliz situación en que la Sue cia padia reparar sus fuerzas debilitadas con una guerra destructora, durase mucho tiempo. El emperador Napoleón, con el fin de sub yugar a la Europa, había establecido por regla general, que solo tendría por amigos á los enemigos de la Gran Bretaña ; que la neu tralidad^ baluarte en otro tiempo de los estados débiles durante las contiendas de los mas poderoso*, era ya…</t>
  </si>
  <si>
    <t>…a de la Pomerania y el vice cónsul de Fran cia. Para asegurar á esta provincia de la entrada de tropas fraucesas, se levantó en ella una fuerza considerable á petición expresa del emperador Napoleón ? y con gran detrimento del país ; obser vándose la mas escrupulosa vigilancia respecto al ilícito comercio de los efectos coloniales. A pesar de esta condescendencia no fue ja mas posible satisfacer las pretensiones dél vice-cónsul francés. Una ‘quimera ocur…</t>
  </si>
  <si>
    <t>…ie&gt; se sometido á la voluntad de la Francia, se hubieran visto suecos en España, así como se han visto alemanes, italianos y polacos, y Be hubieran visto también en Turquía, si el emperador Napoleón hubie se vencido al emperador Alexandro. Si para asegurar la suerte de la Suecia, procurándole seguridad para el dia y garantía para lo sucesivo, V, M. se ha visto obligado á poner en movimiento sus cxércitos, no será seguramente con la intención de conquista…</t>
  </si>
  <si>
    <t>m FRANCIA. París 14 de Febrero. Concordato del emperador Napoleón ccn S. S. el Papa Pió VII, Jirmudo en Fontaincbleau á 25 de Entro de 1813. Queriendo S. M. el emperador y rey, y S. S. terminarlas desavsnienei&amp;s suscitadas entre ambos, y allanar las dificultades ocurri das en varios punt03 de la iglesia, han convenido en lo…</t>
  </si>
  <si>
    <t>…ecia ; y por el artículo 5*° del mismo tra tado, estipuló la Ftanoia que renunciaba el derecho de conquista, y que se concedía á la Suecia la posesión tranquila del territorio. El emperador Napoleón violó esta promesa por el ataque injusto', y ^entrada, en ef.to país en Enero del año pasado5 y esta violación del tratada-rompió los vínculos que unían á la Suecia con ia Francia. „Lo6 derechos y soberanía de estas posesiones han vuelto al rey mi amo, en cuy…</t>
  </si>
  <si>
    <t>…; y adherido invariablemente al sistema de la Francia, me lisonjeo de haber ya dado pruebas de la firmeza de mi determinación. Si posible es que le queden todavía algunas dudas al emperador Napoleón sobre mis deseos eficaces de concurrir coa todas mis facultades al gran designio que se propone , bástenle para desvanecerlas las órdenes rigorosas con que acabo de renovar la ab soluta prohibición de comercio y de todo género de comunicacio nes con la Inglat…</t>
  </si>
  <si>
    <t>…sas al trance de un rompimiento entre Jas dos. cortes imperiales, ofrece siempre considerables ventajas á la Francia? En . este raciocinio fundaba el rey sus esperanzas de que' $1 emperador Napoleón , á consecuencia de las susodichas proposicio nes , ahora por lo menos se dignaría de entrar en contestación con él, y en gran parte con la mira de apresurar este momento os en cargo S. M. que oficialmente hiciéseís la justa solicitud de la evacua ción de Glo…</t>
  </si>
  <si>
    <t>…te suspendido de sus funciones y puesto en juicio. 4.0 Que conforme á la letra del tratado hecho con Francia, las tropas permanezcan á la disposición sola y particular de S. M. el emperador Napoleón, ó de su lugar-teniente el rey de Ñapóles. M- de Natzmer , ayudante del rey, portador de estas órdenes, ha marchado ya al exército. S. M. ha sentido mucho que se halle inactivo en estas circuns tancias un cuerpo de exército que en toda la campaña ha dado tan…</t>
  </si>
  <si>
    <t>…en des cribirse. A pesar de todas las razones que había para romper con la Francia, todavía trataba el rey de emplear el medio de ias negociaciones"; en consecuencia, manifestó al emperador Napoleón que en viarla un sugeío de confianza al emperador de Rusia, á fin de per suadirle que reconociese la neutralidad de la parte, de i* Silesia que había reconocido la Francia. Este era el único medio que le queda ba al rey, abandonado como se hallaba entonces po…</t>
  </si>
  <si>
    <t>…» es el momento en que las rivalidades , las preocupaciones nacionales y las antipatías , todo , todo debe desapa recer ante el gran objeto de la independencia de las naciones. El emperador Napoleón no puede vivir en paz con Europa, á no ser que esta se reduzca á ser su esclava. Su presunción eonduxo 400® valientes soldados á 700 millas de sus hogares : las mayo res desgracias, que no se dignó siquiera compadecer, recayeron so bre aquellos infelices, y 3…</t>
  </si>
  <si>
    <t>…ipios justos y moderados , sin los cuales los estados no son mas que unas sociedades de infelices y miserables. $. M. juzgaba aun mes bien fundadas estas esperanzas por ver que el emperador Napoleón había llegado en su carrera á aquel pun to en que debía preferir la conservación de sus conqubtss á una lu cha. emprendida por nuevos dominios. Todo aumento de territorio,, extendido fuera de sus Emites naturales, era peligroso no solo para iaFraneia, ya opri…</t>
  </si>
  <si>
    <t>…o de 1810, en que la guerra de vastaba la España, y el pueblo de Alemania apenas respiraba des pués de las desgracias de las dos guerras anteriores , cuando en hora desgraciada el emperador Napoleón determinó unir gran parte del norte de Alemania á los países que tenían el nombre de imperio frasees, privando á Ies antiguas ciudades anseáticas de Hamburgo, Bremen y Lubeck de su existencia política, arruinando después el comercio, y usurpando los medios de…</t>
  </si>
  <si>
    <t>…o determinado y completo , que no podía considerarse sino como p.ecursor de otras usurpaciones mayores , por las cuales la mitad de Alemania debía ser una provincia francesa, y el emperador Napoleón gere del Continente. La extensión extraordinaria del teritorio francés excito como debia serias inquietudes en Rusia y Prusia. Esta potencia , cercada por todos lados sin poder obrar libremente, y privada de los medios de rumen:ar sos fuerzas, parecía que cam…</t>
  </si>
  <si>
    <t>1104</t>
  </si>
  <si>
    <t>…e los soberanos adidos, el estado de los p ises que ocupaban, y sus an siosos deseos de poner ñn á un período tan largo de incertidíimbre , - impidieron que se extendiese mis. E¡. emperador Napoleón era sabedor de tocias estes circunstancias; constábale que el término de las negociaciones estaba neG-csarlamente íimi ado por el del armis ticio , y no podía ademas ignorar cuanto habían de influir sus pro pias determinaciones en la pronta decisión y f^iiz r…</t>
  </si>
  <si>
    <t>…dirigidas y com binadas , el interes verdadero y permanente de la Europa. A princi pios de Diciembre el gobierno austríaco habia ya dado pasos con siderables, á fin de disponer al emperador Napoleón para que se conviniese en unos principios de política pacífica, sobre bases que interesaban igualmente al mundo y á su propia felicidad. Estas dili gencias se renovaron de tiempo en tiempo con toda energía, y se esperaba que la impresión de los acontecimiento…</t>
  </si>
  <si>
    <t>…a á tomar parte en las negociaciones para la paz, el ministro británico respondió ,lque dichas negociscíones no acreditaban que el Austria tuviese aun esperanzas de paz, cuando el emperador Napoleón ha bía marifestado al mismo tiempo que sus sentimientos solo se enca minaban á perpetuar la guerra ”: declaración tanto mas sensible para 5. M. cuanto era mas justa y bien fundada. No de:«&gt; con todo el Austria por este motivo de insistir en los términos mas f…</t>
  </si>
  <si>
    <t>I ÍO l ble conseguir *hi nuevo orden de cosas de un modo 6 de otro , por negociación, ó por fuerza de armas. El emperador Napoleón no solo tenis noticia de los preparativos del Austria para la guerra, sino que llegó á confesar que eran ne cesarios, y los justfieo mas de una vez. Tenia sobrados motivos para creer que S. M. el emperador, en un período tan deciiivo para la suerte del manió…</t>
  </si>
  <si>
    <t>…se reuniese en Prega el congreso,y que el 5 de Julio fuese el día de se aberrara. A fin de ganar bas tante tiempo .para. Ja nego.Lc'on , se.determinó por el mismo con venio que el emperador Napoleón no diese por concluido el armis ticio , que debía terminar el 20 de Julio , y existía en aquel tiempo entre él y ia Rusia hasta 10 de Agosto; y S. M. el emperador se obligo á conseguir la. misma declaración de las cortes de Rusia, y Prusia. Comun'cároii'e á l…</t>
  </si>
  <si>
    <t>…rador, sino por una penosa necesidad, por cump ir con unos deberes deque no puede prescindir, .y-ei-tá persuadido de que todos sus ñeíes subditos, el mundo entero , y aun ei mismo emperador Napoleón, si reflexiona tranquilamente, han de tener por justo tu procedimiento. En el corazón de todos los austdí.cos, y aun de todos ios europeos, sea cualquiera el dominio baxo que existan , está escrita la necesidad de esta gaerra con caracteres tan claros que no…</t>
  </si>
  <si>
    <t>…os ,d l día 6 desbarataron es te plan. El exéreito del príncipe de Mo kwa está disperso; perdii dos terceras partes de su a=tillcría , todas lis municiones, bagages, y hombres. Ei emperador Napoleón se r tira hacia Dresde. El exéreito dd general B;ucher le sigue, y hay probibílidid que 'e cau se mucha v érdida. El exéreito unido d l norte d’ Alem nia, está por lo t?nto ea comunicidon con el exéreito de Silesia. El general Bocuiig . n sigue to dos estos m…</t>
  </si>
  <si>
    <t>…os mandaba fueron hechos prisioneros. La vanguardia del ala derecha está delante de Zittati y Romburgo. Ei coronel conde Zichy asaltó á Romburg, donde cogió varios prisioneros. El emperador Napoleón parece haber dirigido, dias ha, toda su fuerza, contra el general B ucher. Pero e: te no aceptó la batalla f i no que se marceó hacia el Nie.se, mientras que varios cuerpos su-* yos destacados á retaguardia dei enem go y en comunicación con las tropas austría…</t>
  </si>
  <si>
    <t>…desde el principio de las hostilidades á mas de 100© hombres y 250 piezas de artillería. Si, como se espera, la Baviera y Wurtemberg se unen á la cau sa de la libertad alemana, el emperador Napoleón solo quedará coa 150© hombres que oponer á los aliados. El rey de Dinamarca ha hecho salir de su corte al ministro pru siano , y dado por motivo para ello, que como la Pruda está em peñada en guerra con el emperador Napo’eon , no debía permitir ea Copenhague…</t>
  </si>
  <si>
    <t>…del pasado, en ei que se describen los úl timos sucesos del Norte en términos de no dexar ya duda alguna de la total destrucción de los exércitos franceses del Norte , y de que el emperador Napoleón ha llegado al último término de su poder,</t>
  </si>
  <si>
    <t>…ia adelante hallará fuerzas qué le servirán de auxiliares. Las cartas de jDre de dicen que e&lt; príncipe" de Neufchaíel está 'muy enfermo, y que ha hecho las mus vivas instancias al emperador Napoleón para que se decida á hacer la paz. Si sus consejos se siguie* sen su Liria menos males la humanidad. (óV continuaran.) . „ .j</t>
  </si>
  <si>
    <t>…que la guarnición de Pamplona goza rá de todas -las veutajrs que pueda asegurarle un armisticio, ó cual quiera otro convenio que hubiese sido ajustado entre S. M. el em perador y rey Napoleón, y las potencias coligadas, ¿ntes de la ra tificación de la capitulación presente. R.sp. Negado. Art. 18. Si ocurriesen algunas contestaciones sobre la execccioi* dé los articules de Ja presente capitulación, se hará siempre la in terpretación á favor de la g…</t>
  </si>
  <si>
    <t>*34©El emperador Napoleón ordenó á sus generales que temasen £ Desvaa á toda co ta. Hubo noticia de esto a tkmpo p; rs avis r al general Schulzerhein que evacuase la plaza x y se r tirase por esca lones á las obras de la cabrea del puente; lo q: e se txecutó el ij desde el m dro d:a á…</t>
  </si>
  <si>
    <t>…es Orescott y Luwenttein con un destacamento de cosacos. Cayeron sobre tres escua drones de huíanos polacos, y derrotándolos, aprisionaron al oficial comandante y á 40 hombres. Ei emperador Napoleón tiene de tal modo cortada la comunica ción con la Francia, que se ve obligado á hacer escoltar sus correos por divisiones enteras. Hasta ahora solamente las tropas ligaras ha cían esta especie de guerra; pero de algún tiempo á esta parte han principiado los p…</t>
  </si>
  <si>
    <t>…la proclama del general Hiller d sus tropas. »S. M. nuestro augusto emperador deseaba restablecer la paz en Europa por su mediación. Todos sus esfuerzos fueron infructuosos; y el emperador Napoleón es quien se opone á una paz tan deseada del género humano. „ Esta perseverancia en la determinación de hacer la guerra á to do el mundo, ha inducido á nuestro augusto monarca á reunirse á las potencias aliadas para hacer causa común con ellas, y por con sigui…</t>
  </si>
  <si>
    <t>…enemigo por la ruta en columnas cerrada'?, míen-ras atravesaban el bosque sus ¡tiradores. Se adelantaron 180 piezas de artillería para obligar al exército aliado á que cediera. El emperador Napoleón hizo todos los esfuerzos posibles para conse guirlo, pero en vano. El exérc to combinado, con heroica bizarría, sostuvo hasta en la noche el campo de batalla. Fueron recházalos tódos los ataques sobre la derecha , y las cargas de caballería s.b e la .izquierd…</t>
  </si>
  <si>
    <t>…del príncipe de Suecia, Hannover 10 de Noviembre. — El Príncipe real trasladó el dia 6 su cuartel general á Hannover, despües de jiaber pasado por Gottirigen, Einbíck y Elzen. El emperador Napoleón repasó el Rhia por -Maguncia, dorando los caminos cubiertos de muertos y moribundos y y estos tristes ves;-</t>
  </si>
  <si>
    <t>Napoleón, Eugenia</t>
  </si>
  <si>
    <t>Eugenia Napoleón</t>
  </si>
  <si>
    <t>331</t>
  </si>
  <si>
    <t>…loa periódicos iránceses las siguiente» cartas, con el objeto de alucinar á sus esclavos, y disminuir, en el modo posible, las inmensas pérdidas: que batenido en Rusia. Carta del príncipe Eugenia Napoleón, wey de ItaUa, al mi&amp;istro de guerra. Marienwerder 6 de Enero. — „Señor duque : las gacetas de Petersburgo que han llegado á mis manos contienen mil falsedades sobre ios acontecimientos de los meses de Noviembre y Diciem bre. No me detendré sino en lo que per…</t>
  </si>
  <si>
    <t>Napoleón, Josef</t>
  </si>
  <si>
    <t>Josef Napoleón</t>
  </si>
  <si>
    <t>…de Es Para el de Sojuela al ex-benedictino D. Benito tado. Galilea. En nuestro palacio de Madrid á j de enero Para el de Matute al ex-franciscano D. Josef de 1813. María Hernacz. D. Josef Napoleón por la gracia de Dios y por Nuestro ministro de Negocios eclesiásticos que la constitución del estado, REI de las Españas y da encargado de la execucion del presente decre de las Indias. to. = Firmados:YO EL REI. = Por S. M., el mi ,,Atendiendo al mériro y ci…</t>
  </si>
  <si>
    <t>…o. causa de una enfermedad del juicio, enfermedad En nuestro palacio de Madrid á 5 de enero mucho mas deplorable que quantas padecen los de 1813. » hombres, pues ataca el ingenio. Don Josef Napoleón por la gracia de Dios y „E1 Tasso tuvo que temer crueles y misterio por la constitución dei Estado, REI de las Espasos tratamientos, precauciones vergonzosas, y has ñas y de las Indias. ta los sarcasmos de los perversos, y tal vez se cons Hemos decretado y de…</t>
  </si>
  <si>
    <t>…os mismos tado. del gobierno, y citó varios exemplos que causaron En nuestro palacio de Madrid á 12 de enero un vivo altercado entre él y algunos miembros mi de 1813. nisteriales. Don Josef Napoleón por la gracia de Dios y Se hizo la mocion, y se admitió el bilí unáni- por la constitución del Estado, REI de las.Espameinentv. ñas y de las Indias. Visto el informe de nuestro ministro de la Jus SUIZA. ticia , Hemos decretado y decretamos lo siguiente: Appen…</t>
  </si>
  <si>
    <t>…e: Si él rei nos debemos prometer de nuestra perfecta sumisión nara...... á nuestro Rei, :á nuestro Soberano, al católico .Mo „¡Oh expresión enfática, digna por cierto de la narca D. Josef Napoleón i. generosidad y lealtad española! Apenas le cono „ Alma paz, virtud nacida en el cielo, como la cíais, y ya le amabais: aun no os habíais del todo religión, desde el coro de los ángeles donde habi sometido, y os manifestabais ya zelosos de su so tas, oye mis…</t>
  </si>
  <si>
    <t>…ro secretario de Estado = Fir de cinco individuos. Su primera ocupación será re mado = Matiafio Luis de Urquijo.” r partir entre los pueblos la contribución decretada en este dia. Don Josef Napoleón por la gracia de Dios y art! vi. El repartimiento deberá hacerse en el por la constitución del Estador REI de las Espatérmino perentorio de siete dias, contados desde la ñas y de las.Indias. abertura de las sesiones. Icemos decretado y decretamos lo siguiente…</t>
  </si>
  <si>
    <t>…ripulación. tado. El Corredor ha apresado otros seis buques in En nuestro palacio Je Madrid á 3 de marzo gleses , que probablemente habrán sido dirigidos á de 1813. otros puertos. Don Josef Napoleón por la gracia de Dios y por la constitución del Estado, REI de las EspaBrest aj de diciembre. ñas y de las Indias. ................. El corsario la Juno, capitán Debon , ha apre Para que los bienes del estado se administren én sado la embarcación inglesa la M…</t>
  </si>
  <si>
    <t>…de febrero. , tado. S. M. ha tenido hoi á las quatro un consejo de En nuestro palacio de Madrid á 2 de marzo ministros. ’ v n de 1813. El virei, lugarteniente del Emperador, coman Don Josef Napoleón por la gracia de Dios- y dante, en geté del exército grande, escribe de Po por la constitución del Estado, REI de las Espasen d 26 de enero á las seis de la tarde que las ñas y de las í.nd‘as. ........ re.muirás de caballos se efectúan conmucha acti O!do el i…</t>
  </si>
  <si>
    <t>…ante, debiendo por consi En nuestro palacio de Madrid ¿ 28 de febrero guiente ser distintas, es mui .interesante determi de 1813. narlas en cada una de estas circunstancias. La in Don Josef Napoleón por ta gracia de Dios y vestigación es tanto mas útil, quanto que si el calor por la constitución del Estado, REI de las Espaempleado en subir la temperatura no es en los di ñas y de las Indias. ferentes cuerpos proporcional al que se emplea en Oídos los info…</t>
  </si>
  <si>
    <t>…el ayuntamientoyciudad era cristiana, se volvió á encontrar 1676 años des de Salamanca, con motivo del cumpleaños de S. M. pués casi intacta. Fuera de la jparte superior de los el Sr. D. Josef Napoleón 1, asistió con las autori edificios todo lo demas se hallo perfectamente con dades civiles y militares y demas ge fes de la admi servado s los estucos, las pinturas , los mosaicos nistración á un solemne le D :tm, que se cantó en mantenían toda su frescura; l…</t>
  </si>
  <si>
    <t>…Es Guerra. tado. El genera! Curto me da cuenta de las resultas En nuestro palacio de Valladolid á 28 de abril de una operación que ha concertado con el gene de 1813. ral Gantier. Don Josef Napoleón por la gracia de Dios y Habiendo sabido que un general español se ha por la constitución del Estado, REI de las Espa llaba con algunos oficiales en Caravajales , en don das y de las Indias. de se creían ai abrigo de todo ataque por la dificul „ Estando princi…</t>
  </si>
  <si>
    <t>Napo’eon</t>
  </si>
  <si>
    <t>…res que oponer á los aliados. El rey de Dinamarca ha hecho salir de su corte al ministro pru siano , y dado por motivo para ello, que como la Pruda está em peñada en guerra con el emperador Napo’eon , no debía permitir ea Copenhague la presencia de aquél ministro. Esta corte intenta justi ficarse con los aliados, respecto á su declaración de guerra contra Suecia, y pretende haber dado este paso taa solo por evadirse de las incesantes demandas del barón A…</t>
  </si>
  <si>
    <t>Nappleon</t>
  </si>
  <si>
    <t>…das por S. M., cualesquiera que fuesen las esperanzas 6 rece los que tuviese el gobierno francés del Austria. De esta modo estaban bien desenvueltos las circunstancias, cuan do el emperador Nappleon safio de París para oponerse á los pro gresos de los exercitos aliados. Hasta sus mismos enemigos hicieron justicia al valor de las tropas rusas y prusianas en las sangrientas ac ciones de Mayo; pero no les fué favorable el resultado de esta pri mera época de…</t>
  </si>
  <si>
    <t>Nar-</t>
  </si>
  <si>
    <t>…etextos frív irlo* , y por fin se denegaron ubalmamente. Ofréc ela este procedí mi uto un nuevo y poderoso motivo para dudas, jjistas sobre la siuceridad de las seguridades que el emperador Nar-</t>
  </si>
  <si>
    <t>Narishkin</t>
  </si>
  <si>
    <t>…evacuación de Moscow. Los rusos ocuparon este último pueblo el 22 dé Octubre , y perdieren al te niente general Winzingerode, que fué cogido vil y traydomqiíiite con su edecán el capitán Narishkin, al tiempo que avanzaban con una bandera blanca para representar á la retaguardia la inutilidad de prolongar su resistencia. „Ei 24 de Octubre , un oficial de cosacos del cuerpo de Moscou reconoció al exército francés, y vió cuatro campamentos, uno en el cami…</t>
  </si>
  <si>
    <t>Ñaritschin</t>
  </si>
  <si>
    <t>…ht por los franceses. El 30 de noviembre llegó con 1500 hombres á dicha ciudad el general BIucher, hijo del gran Blucher, y en el discurso de la tarde entró también en la misma el general Ñaritschin con 2© rusos de infantería y caballería. En el iuismo día se recibió en el Haya la noticia cierta de haber llegado á Isiel 18© aliados , y que habían tomado por asaltoJí Zutphen, causando el menor daño posible á los habitantes. Su puntó inmediato de ataque er…</t>
  </si>
  <si>
    <t>Narvaez, Andrés</t>
  </si>
  <si>
    <t>Andrés Narvaez</t>
  </si>
  <si>
    <t>…nte, y D. Leonardo Cotera, subteniente del prime ro cántabro, y D. Joaquín Díaz, capitán de tiradores de Cantabria. Los heridos son: D. Antonio Bausivi, subteniente del de Toledo; D. Andrés Narvaez y D. Francisco Romero, tenientes del de Monterey ; D. Juan de Asas y D. José Pumarejo, tenientes del Regimiento de Marina; D. Geferino Arau/o, subteniente del de Benaveate; Don Félix Carrera, coronel, y D. Alberto Gutiérrez , teniente del de Rivero ; D. Esteban Rodríguez y D. Albe…</t>
  </si>
  <si>
    <t>Nasarzewski</t>
  </si>
  <si>
    <t>…de en I’aris. pensar de un gefe de partido: que ama exclusiva Por S. E. el duque de Bnssano, ministro de Re mente su país, mas no á ningún otro: que tiene laciones exteriores, el señor Nasarzewski, caballero mucho apego á sus costumbres, á su régimen, á su polaco; y el señor conde Nicolás Abrainruicz, agre patria ; pero de donde al mismo tiempo se expa gado al estado mayor del ducado de Varsovia. trian tantos individuos voluntariamente para no vol ver…</t>
  </si>
  <si>
    <t>Naschokin</t>
  </si>
  <si>
    <t>37 ...... 1S de Noviembre. — El capitán Naschokin, de los húsares de la'guardia, destacado por el ayudante general conde Or'gercw , aco metió con algunos cazadores y caballería ligera un destacamento enemigo en la aldea de Smorai: duró el combate 4 horas, y el ene migo se retiró á la aldea de Micháilow ; per…</t>
  </si>
  <si>
    <t>Nava, Francisco</t>
  </si>
  <si>
    <t>Francisco Nava</t>
  </si>
  <si>
    <t>…os en una arboleda : coh conocimiento ya de su situación armé mis 2 cañones, y firmado en batalla con ellos al centro , una guerrilla por mi dere cha al mando del alférez de navio D. Francisco Nava, y por la iz quierda el capitán D. José Manuel Vidal , emprendí mi ataque de firme , y á pesar de que al primer tiro se desmoató el cañón de ¿ 4 que V. 8. me remitió , conseguí la total derrota de los enemigos, y en seguida me posesioné de la plaza de esta ci…</t>
  </si>
  <si>
    <t>Naval, Francisco</t>
  </si>
  <si>
    <t>Francisco Naval</t>
  </si>
  <si>
    <t>…uis Arillo, D. José Erriz, O. Felipe Tule sana, XX Luis Gaitdiaga , 1). Simón Perez, D. Silvestre‘Ezcurra, D. Gregorio Durana y D. Antonio VAliivielso : á capitanesde fusileras á D. Francisco Naval, D. Fermín Esandí, D. Antonio QroD. Joaquín í duate,-D. Vicente Soravilla, IX José ítútria, IX Pedro Mayó , U. Ambrosio Seguin , D. R ímon Artica, IX Agus-* ílu Góngora , D -Félix Miranda ,' D. FideL Boira , D. Ramón Elorrio, Jó. Joaquín Ferrér, D. Sebastian…</t>
  </si>
  <si>
    <t>Navanete, Julián</t>
  </si>
  <si>
    <t>Julián Navanete</t>
  </si>
  <si>
    <t>…erra en 4 de Diciembre y en 21 de Fnero últimos , se ha servido nombrar inten dente general del primer exército á D. Francisco Xavier de Oteiza; del segundo al comisario ordenador D. Julián Navanete; del ter cero al de igual clase D. Ramón Aldasoro ; y del cuarto al inten dente D. Baltasar Valdes Argiielles. Los distritos asigóados i cada uno de estos intendentes genera les constan de las provincias que comprchenden las capitanías ge nerales anexas á los…</t>
  </si>
  <si>
    <t>Navarlaz, Ramón</t>
  </si>
  <si>
    <t>Ramón Navarlaz</t>
  </si>
  <si>
    <t>…ULO DE OFICIO. Continuación de lar promociones ñedhns pon la Regencia del reyno en la división que mando el mariscal de campo D. Francisco Espoz y Mina• A capitanes de fusileros á D. Ramón Navarlaz, D. Hilario Mar co, D. Ramón Marichalar, D. Juan Badina y D. Juan Francisco Zarimluqui: á ayudantes á D. Pascual Sanz, D. Domingo Olejua , Don Juan Esteban Anant, D. Juan Monton ,D. Ramón Díaz de Itarraza, D. Ambrosio Dorregaray, D. José Mari a Larcano j Joaq…</t>
  </si>
  <si>
    <t>Navarrete, José Antonio</t>
  </si>
  <si>
    <t>José Antonio Navarrete</t>
  </si>
  <si>
    <t>…ación ae su presidente, vice presidente y uno de sus secretarios, salieron electos, para presidente el Sr. D. José Antonio Sombicla, diputado por Valencia; para vice presidente el Sr. D. José Antonio Navarrete, diputado por el Perú, y para secretario el 5r. D. Miguel Riesco, diputado por Chile. El Sr. duque de Ciudad-Rodrigo ha dirigido al Sr. secretario del despacho dé la Guerra el oficio siguiente 1 .** Excmo. Sr.: El exéreito pasó el Carrion el 7 del corriente ,…</t>
  </si>
  <si>
    <t>99* y á D. José Antonio Navarrete , que lo es por la de Puirá en el Perú. — Lo tendrá entendido la Regencia del reyno, y dispondrá que se publique. = José Miguel Gordo a y Barrios, presidente. = Juan Manuel Subrié , .diputado secretario. = Miguel Riesco y Puente, diputado secretario. = Dado e…</t>
  </si>
  <si>
    <t>Navarro, Manuel</t>
  </si>
  <si>
    <t>Manuel Navarro</t>
  </si>
  <si>
    <t>…o. D. Pedro Sepúlvcda, alcalde. Barrio de fas Niñas de L&lt;ganes. D. Manuel Valerio de ta Garata, substituto pri D. loscf Costa , alcalde. mero. D. Joset Rivero, substituto primero. D. Manuel Navarro, substituto segundo. D. ju! ¡an Burccnilla, substituto segundo. Barrio de S. Andrés. D. Tuan Antonio Medina, alcalde. CUARTEL DE MARAVILLAS. D. F vancisco Mata, substituto primero. Barríc de S. Basilio. D. Antonio Poma redo, substituto segundo. D. Francisco P…</t>
  </si>
  <si>
    <t>Navas, Martin de</t>
  </si>
  <si>
    <t>Martin de Navas</t>
  </si>
  <si>
    <t>…esas. El gobierno ha formado la junta suprema de Censura, y elegido para vocales de ella al reverendo obispo de Arequipa D. Pedro Chaves de la Ro sa, á D. Josef Miguel Ramírez y á D. Martin de Navas por el ramo ecle siástico; y por el secular á los señores D. Miguel Moreno, D. Manuel Quin tana, D. Felipe Bauzá, D. Manuel de Llano, D. Eugenio Tapia y D. Vi cente Sancho. Los suplentes son D. Pablo Lallave por lo eclesiástico , y Don Josef Revollo y D. Juan…</t>
  </si>
  <si>
    <t>Navascues, Felipe</t>
  </si>
  <si>
    <t>Felipe Navascues</t>
  </si>
  <si>
    <t>…parte de estos. Un coronel murió al dia siguiente de resulta de sus heridas. La mia fue deL capitán de caballería D. Tedro Fran cés , muerto; del capitán de cazadores del primero D. Felipe Navascues , herido, y en igual estado el teniente D.Mariano Cliver 3? el sub teniente D. Francisco Gurpide, 3- de 33 soldados heridos 3’ 7 muer tos , 5 caballos muertos de bala de cañón 3^ 6 heridos. Toco lo que tengo la satisfacción de participar á V. E., debiendo ase…</t>
  </si>
  <si>
    <t>Navasqües, Felipe</t>
  </si>
  <si>
    <t>Felipe Navasqües</t>
  </si>
  <si>
    <t>…blo : á primeros sargentos mayores á D. Benito'irigoyen , D. Manuel Arvilla , IX Marcelino O. rea y IX Fermín Argaiz : á capitanes de granaderos y cazadores a¿ i). Juan Vülamieva, D. Felipe Navasqües , D. Angel Ros , •Don-’ José. - María Barrica!, D. L uis Arillo, D. José Erriz, O. Felipe Tule sana, XX Luis Gaitdiaga , 1). Simón Perez, D. Silvestre‘Ezcurra, D. Gregorio Durana y D. Antonio VAliivielso : á capitanesde fusileras á D. Francisco Naval, D. Ferm…</t>
  </si>
  <si>
    <t>NavÍ, Francisco Copons y</t>
  </si>
  <si>
    <t>Francisco Copons y NavÍ</t>
  </si>
  <si>
    <t>934 i8i$ • — 'Francisco Rovira = Fxcmo. Sr. D. Francisco Copons y NavÍ2..= Es copia. ss Antonio Puigy ayudante primero.” Oy ¿ir z un $ d¿ Agosta. Parte del general D. Pedro Agustín (Airón a. Exento. Sr. D. Eran*• cisco Xavier Castaños. *»Excmo. Sr.,: Habiendo recibido avisos ,al amanecer del i.° del actual de que ios enemigos, d…</t>
  </si>
  <si>
    <t>Navia, Copons y</t>
  </si>
  <si>
    <t>Copons y Navia</t>
  </si>
  <si>
    <t>…con objeto de envolver á Davoust. ; - &gt; (3) El gobierno ha tenido á bien reducir á solos quatro exércitos los que antes éran siete: el'de Cataluña es el primero á las órdenes del general Copons y Navia: el segundo cómprchende los que antes se denominaban segijndo' y tércero, y fó marida'cl ExcnVo. Sr. D. Francisco Xavier Elío: el tercero, a las óVáeprs dél Excmo, •Sr. duque; del * Parqfté, es el que antes conocíamos por quarto exércitoy el quarto se compone…</t>
  </si>
  <si>
    <t>Navia, Francisco Copons y</t>
  </si>
  <si>
    <t>Francisco Copons y Navia</t>
  </si>
  <si>
    <t>…i mo, y S. A. no solo ha aprobado todo lo executado, sino que ade mas ha mandado que para satisfacción de los interesados se publi que en la gaceta. , f, - ; íEl mariscal de oampo D. Francisco Copons y Navia , general en gefe del primer exército de operaciones, impelido de su celo pa triótico, y queriendo hacer «na nueva demostración dedos senti mientos de que se halla animado, y de su adhesión á la justa causa nacional; ha puesto á disposición de la Regencia dél…</t>
  </si>
  <si>
    <t>…a la noticia siguiente: *&gt;El mariscal Suchet ha sido batido, con una pérdida de enti dad, cerca de Molins de Rey por las tropas nacionales al mando del general del primer exército D. Francisco Copons y Navia. Se esperan los pormenores de este importante suceso.” Idem. jg. Esperamos por momentos la noticia de la rendición de Tarrago na por el general en gefe del exército aliado Sir W. Bentinck: dicha plaza se hallaba ccn fecha del 7 en el último extremo, y el cuar…</t>
  </si>
  <si>
    <t>…para ello, y justificó que era digno de pelear entre los valientes del primer exército. Dios guarde á V. E. muchos años.__ Ripoll 2.7 de julio de 1813.= Francisco Rovira.rr Excmo. Sr. D. Francisco Copons y Navia.=Es copia. = Antonio Puig, ayudante primero. Vlid¿con a 22 de agosto, ORDEN GENERAL DEL TERCER EXERCITO. Las beneméritas tropas que componen la tercera división y el regimiento de granaderos del General, superiores á sí mismas, en la acción que acaban ,de sos…</t>
  </si>
  <si>
    <t>1230 Yich jj de Octure. Orden general. El señor general en gefe de este exército D. Francisco Copons y Navia se complace en poner en conocimiento de las beneméritas tro pas de su mando, que habendo parte de la división enemiga, Musrsier, acantonada en Sababell, salido de este punto para hacer excur siones y obtener víveres de los pueblos de Caídas y Sta. Eulalia, fu…</t>
  </si>
  <si>
    <t>Navia, Francisco de Ccpons y</t>
  </si>
  <si>
    <t>Francisco de Ccpons y Navia</t>
  </si>
  <si>
    <t>…Vich 14 de Octubre. Primer exército nací nal. = Estado mayor. Cuartel general de Esparraguera 2 de Octubre de 18 - 3. = Orden ceneral. s= El señor general en gefe de este exército D. Francisco de Ccpons y Navia tie i.Q la satisfacción de ver que en cualquier punto , y de cualquier modo en que l¿s rrop.is que torman el exírcito de "su mando, se em peñan con ios enemigos , los résult dos son siempre ventajosos, siem pre corr sqondi ntes á la grandeza de la nación espa…</t>
  </si>
  <si>
    <t>Navía, Francisco de Copons y</t>
  </si>
  <si>
    <t>Francisco de Copons y Navía</t>
  </si>
  <si>
    <t>…ones y creación dé los dos de reserva en Andalucía y Galicia, ha tenido á bien resolver lo siguiente. El exército de Cataluña conservará el nombre de primero; y su general en gefe D. Francisco de Copons y Navía reunirá al mismo tiempo la capitanía general de aquella provincia y de la parte de la de Aragón, situada á la derecha del Ebro. EL exército segundo quedará en la propia forma determinada por la circular de 4 de Diciembre, y su general en gefe D. Francisco Xav…</t>
  </si>
  <si>
    <t>Navia, Francisco de Copons y</t>
  </si>
  <si>
    <t>Francisco de Copons y Navia</t>
  </si>
  <si>
    <t>…e hombres, sin que nosotros hayamos experimentado mas pérdida que la de un herido levemen te. Dios guarde á V. S. muchos años. Mieras 22 de Junio de 1813.=; El barón de Eróles. =s Sr. D. Francisco de Copons y Navia.” Parte que se cita en el anterior. «Para dar cumplimiento al encargo que V. S. me dio de diri girme á las inmediaciones de Besalú, con eh objeto de sorprehender y apoderarme, si era posible, de parte de la guarnición de aquel fuerte, emprendí mi marcha desde…</t>
  </si>
  <si>
    <t>470</t>
  </si>
  <si>
    <t>…cho batallón, que gloriosamente ha muerto de un balazo de fusil dentro de la población.— Dios guarde á V. E. muchos años. Campredón 20 de Marzo de 1813.—Francisco Rovira. — Excmo. Sr. D. Francisco de Copons y Navia.” Madridejos 26 ds Abril. El 19 del corriente se presentaron á las puertas de Toledo 100 dragones enemigos con 13 prisioneros nuestros para carlearlos por otros suyos ; para lo cual hicieron salir ¿ las puertas , de donde no qnlaieron panar, al ayuntamiento ,…</t>
  </si>
  <si>
    <t>…totalmente inutilizados. Todo lo cual comunico á V. JE. para su satítfeccíon y gobierno.— Dios guarde ¿ V. E&gt; muchos años. Ripoli 24 de Marzo de ISIS. — Francuco Rovira. — Excmo. Sr. D. Francisco de Copons y Navia.” Soria 16 de Abril. Siguen pasando tropas para Vitoria por Burgos, computándose y» en mas de 36000 hombres los que han transitado con aquella dirección de los exércitos de Portugal y de Soult. En Logroño en traron ántes de ayer 10000 que parece se dirigirán…</t>
  </si>
  <si>
    <t>…s'peramos que el congreso que se va á abrir en Praga dé la paz á la -Europa. ESPAÑA. Ripoll 2/ de julio. Copia del parle del brigadier D. Francisco Rovira al señor general en gefe D. Francisco de Copons y Navia, comunicada al señor gefe superior político de este principado por el estado mayor de este primer exército. Excmo. Sr.: para poner en execucion lo que V. E. me tenia mandado de pasar á la frontera de Francia al objeto de recoger alguna porción de ga nado, hic…</t>
  </si>
  <si>
    <t>…e la execucion. Dios guarde a V. S. muchos años. Pailejá 24 dé Julio.de 1813 á las 6 de la tarde. == El comandante de la segunda brigada de la primera división, rs: José Manso.zz. Sr. D. Francisco de Copons y Navía.” Y de orden del expresado superior gefe se hace saber al publico para su satisfacción.. Cuartel general de Vich 25 de Julio de 1813.=: El ayudante general gefe del estado mayor zz F. X. Cabanes. Proclafna publicada el dia de ayer.. Heroicos catalanes: A prin…</t>
  </si>
  <si>
    <t>…do gefe. =s Firmado =5 Vihier. = Sr. ajrudsrne general Cabanes, gefe del estad® mayor del primer exército español. Todo lo que ha querido el señor general en gefe de este exercito D. Francisco de Copons y Navia que se haga publico, y que se comunique á quien corresponda. Cuartel general de Vich i.° de Agosto de 1813. = El ayudante general gefe de estado mayor=.F. X. Gabanes. Parte del brigadier D. Francisco Rovira al general en gefe Don Francisco de Copons y Navia«E…</t>
  </si>
  <si>
    <t>…contuso y dos caballos heridos. = Dios guarde á V. S. machos años. Esparraguera 25 de Julio de 1813.= El comandante de la segunda brigada de la primera división — José $l*nzso. = Sr. D. Francisco de Copons y Navia. ■=: Es copia. = Cár— kanes. = Sr. gefe superior político de Cataluña-” Id. 4 de Agosto. Primer cxército. Estado mayor. = Anuncio. = Ei señor gene ral en gefe tiene la mayor satisfacción que se haga pública en el principado la carta' interceptada' entré los p…</t>
  </si>
  <si>
    <t>…ito. marcha para Francia, lo que se cree ser de resultas, del correo que recibió.. Mameso. 23 de Agosto. Anuncio publicado hoy en. este primer exercito. ' El señor general en gefe D. Francisco de Copons y Navia que en su cuartel general de Oliana tuvb ya la feliz noticia de la eva cuación de Tarragona por los enemigos, y de su rápida retirada al Panadcs, tiene en este momento el aviso de que las autoridades es pañolas están ya en Tarragona, y de que el mariscal Such…</t>
  </si>
  <si>
    <t>…á las armas del p.Imer exército español! Do quiera él general en gefe dirige sus brigadas, tiene el gusto de verles llenar he roicamente sks desees. Ciudadanos: el general ep gefe D. Francisco de Copons y Navia quiere se- os anticipe la noticia de este triunfo, ínterin pueden publi carse los detalles. Cuartel general de.Vich 28 de Noviembre de 1813.3= El ayu dante general gefe de estado mayor r= F. X. Cabanes " Taragoza 7 de Diciembre. Con fecha del f del corriente…</t>
  </si>
  <si>
    <t>Navia, Francisco de Gopons y</t>
  </si>
  <si>
    <t>Francisco de Gopons y Navia</t>
  </si>
  <si>
    <t>…de la execucion. Dios guarde á V. S. muchos años. Pallejá 24 de julio de 1813 á las seis de la tarde; sEl comandante de la segunda brigada de la primera división = Josef Manso. = Sr. D. Francisco de Gopons y Navia. Santiago 10 de agosto. • ' -i ' . ' En el mismo dia que llegó á esta ciudad el general Lacy visitó el depó sito de reclutas y las escuelas militares. Vio maniobrar á los alumnos que e$-&gt; tan al cargo del señor La^Roque, y quedó completamente satisfecho de la</t>
  </si>
  <si>
    <t>Naviaf, IX Francisco de Copons y</t>
  </si>
  <si>
    <t>IX Francisco de Copons y Naviaf</t>
  </si>
  <si>
    <t>…empo, que es de esperar, pueda permanecer en sa territorio. «Dios guarde á V. S. muchos años. Cuartel general de H. 19 dé Julio de 1813. = Wellingion , duque de Ciudad -Rodrigo. = Señor IX Francisco de Copons y Naviaf*</t>
  </si>
  <si>
    <t>Ne-, Manuel del Castillo y</t>
  </si>
  <si>
    <t>Manuel del Castillo y Ne-</t>
  </si>
  <si>
    <t>…que copia, en „ Un leguleyo de Sevil'a pava distraerse de los que se dice: los hijos, parientes, testamentarios y y porquccs y otrosíes, se ha afloxa¿o un poco la amigos dei limo. Sr. D. Manuel del Castillo y Ne- golilla, y metídose á periodista, publicando Él tio rete, ministro que fue del supremo tribunal .de tremendo 6 los críticos del mtlccoff, periódico es usticia, que en paz descanse, suplican á V. se crito en lengua bárbara, y de no menos bárbaros sirva encomen…</t>
  </si>
  <si>
    <t>Neartder</t>
  </si>
  <si>
    <t>…ctor acromático,, últimamente construido con estos vidrios, tiene 7! pulgadas de Berlín 16de diciembre. abertura y 9 pies de foco. Se ha adaptado al mis El jproyecro ideado por el capitán Neartder pa mo una especie de muestra ó reiox para hacerle se ra la limpieza de las calle? ha principiado á exe- guir el movimiento diurno, y se trabajan otros ins cntarse en esta capital el día i.° del mes corriente. trumentos de esta clase, cuyas proporciones serán…</t>
  </si>
  <si>
    <t>Neboda</t>
  </si>
  <si>
    <t>…s cortas, con Declaración de Tomas Edmeads, cirujano y bot¡~ géneros coloniales y producciones de Turquía. cario de Greemvich. ■ Sábese que los negocios de la Servia los dirige el caballero Neboda , coronel aruso, que ha permaneci Soi cirujano y boticario*de Greenwich, y desde do en aquel pais,-y. recibió el otoño último-título el año de. 1801 KngojeLsiombramieuto.de cirujano de cónsul general, y juntamente la condecoración de V boticario de la princes…</t>
  </si>
  <si>
    <t>Nebot, Asensio</t>
  </si>
  <si>
    <t>Asensio Nebot</t>
  </si>
  <si>
    <t>…agona, cuya plaza se hallaba cinco dias hace con tres brechas abiertas. Las plazas de Tortosa y Peñíscola continúan estrechamente bloqueadas. El comandante de la coluna patriótica D. Asensio Nebot ha intimado por segunda vez la rendición á los enemigos del castillo de Morella, los quales, si no se entregan, serán irremisiblemente volados, por tener este comandan te en mui buen estado una mina, que hace algunos dias tenia muchos pies de longitud, y en m…</t>
  </si>
  <si>
    <t>…a de la corta guarnición de aquel fuerte á varias tropas que se reúnen en la villa. El general Villacampa continua en Amposta cubriendo las ave nidas de Tortosa mientras el frayle D. Asensio Nebot, mantiene sin comunicación con Peñíscola á Morella; y por la parte de Cataluña mas de 40® hombres se desplegan contra Suchet y sus plazas. Habiéndose rendido ya el castillo de Daroca, solo queda la guar nición enemiga de Mailen por este lado del Ebro. Su coma…</t>
  </si>
  <si>
    <t>Nebreda, Juan</t>
  </si>
  <si>
    <t>Juan Nebreda</t>
  </si>
  <si>
    <t>…. Caries de Espsña, y de las de este exército, que mandó el brigadier D. José Aymerich , no podiendo menos de recomendar á la bondad del Gobierno- superior la viuda del respetable capitán D. Juan Nebreda,. de la cual hace honorífica mención el general España. — Lo restante déla infantería de este exército se halló en les acciones de dichos dias y en la ba talla del 30, sosteniendo los distintos puntos atacados por el exor dio enemigo y guarnición de la plaza,…</t>
  </si>
  <si>
    <t>…llorca muertos, 3 tenientes heridos , y 103 soldados entre muertos y heridos; el to tal de la pérdida 109. «Es de rni obligación pagar el dltimo tributo á ía respetable memoria de D. Juan Nebreda y D. Francisco la Roque, capitanes de Mallorca, y D. Isidro Casas, teniente del mismo, con cuya muerte ha perdido la nación y ei rey unos oficiales dignos de todo aprecio. El primero dexa una muger que no tiene mas recursos que las gracias que el Gobierno la dispense, por lo que la…</t>
  </si>
  <si>
    <t>Necff</t>
  </si>
  <si>
    <t>…ipe Badbolk y ©tro que fue destinado por el mayor general Carp, hicieron mas de K-0 prisión eres. F1 general Milláradovitch participa con fecha de 12 de Noviera* bre, que el mayor general Necff hizo 160 prisioneros en Chaivanaoff. El mayor general Volosdini participa que el coronel Kreiganobski había desbaratado un destacamento de 7G0 hombres que man daba el mayor Aberjeu : parte de ellos fueron muertos, y el resto prisionero, componiendo un total d…</t>
  </si>
  <si>
    <t>Negreíe</t>
  </si>
  <si>
    <t>…ordinaria lluvia , hiz* la división en busca de la canalla, que instruida por un prófugo de la* avanzada sorprehendida, se había fugado de los Reyes ántes de ama necer, dispuso el coronel Negreíe en el puesto de la Yerbabuenar donde soío se encontraron dos pionrages de cañón desbaratados , que solo continuasen la marcha dos compañías montadas, segunda y cuarta del dos de Toluca con sus oficiales, y 40 dragones aí mandedel capital Brizuela r siguiéndol…</t>
  </si>
  <si>
    <t>Negrete</t>
  </si>
  <si>
    <t>…entes del camino , no hubiesen retardado el arribo del brigadier D. Diego García Conde con la primera división del exército deL cen tro , que debía obrar en combinación con la del Sr. Negrete, el que por este accidente entretuvo en vano la acción por espacio de 40 ho ras. El Sr. Negrete con arreglo al plan convenido salió de la Piedad el 11 de Mayo para Arachipo, el 12 á Pénjamo, y el 13 á la ha cienda de Guanimaro, avistando por todo ei camino mu…</t>
  </si>
  <si>
    <t>8o6 nuestra. Así se mantuvieron hasta las 3 de la tarde en que comen zaron á desfilar en seguida y á reunirse en las lomas del camino del valle, lo cual visto por el Sr. Negrete, mando luego ocupar las altu ras del Sur que separan dicho valle de Yurira; esperando que lá di visión del Sr. García "Conde llegase por el norte y este, según el plan convenido. Pero los obstáculos que retardaron el arribo de esta fuerza dieron lugar á la ev…</t>
  </si>
  <si>
    <t>…o número, entre ellos de gravedad al ca becilla Arroyo, é hizo porción considerable de prisioneros. Entre los patriotas que se distinguieron en tan reñida acción, se recomienda al señor Negrete, al teniente Brizuela, al párroco de dicho pueblo I). Pedro José Borja, al subdelegado D. Francisco Suarez y otros. Por nuestra parte no hubo ni un herido. 33. Según oficio del gobernador de Durango al teniente coro nel D. Mariano Urrea ; comandante de una di…</t>
  </si>
  <si>
    <t>…muni ciones y una gran porción de yeguas, que había robado en Guara cha. Ai otro día i.° de Julio, retrocedió la división de Parangaricu— tiro á lo* R yes, en donde se apoderó el coronel Negrete de los dos cañones ú obuses , y cantidad de municiones , que componían el parque y confianza de los nombrados vocales de la citada juntilla»\Se continuarán.) Valencia /p de Julio. Antes de ayer salieron tropas inglesas hácia Tcrtosa con el ob jeto de poner si…</t>
  </si>
  <si>
    <t>Negrete, Felipe</t>
  </si>
  <si>
    <t>Felipe Negrete</t>
  </si>
  <si>
    <t>…dríguez , D. José Sánchez y D. Manuel de los Santos. En el de Ir landa á capitán ¿ D. Miguel Miangolarna; á ayudante á D. José Alba; á teniente á D. José Benet, y á subteniente á D. Felipe Negrete. En el cuerpo de ingenieros de los exércitos nacionales, en la di visión de Ultramar, se ha servido la Regencia del reyno promover á teniente coronel al sargento mayor de brigada D. Miguel Atero; y á este empleo al capitán D. Suan Bautista Jáuregui. CADIZ: EN…</t>
  </si>
  <si>
    <t>Negrete, O. Pedro Celestino</t>
  </si>
  <si>
    <t>O. Pedro Celestino Negrete</t>
  </si>
  <si>
    <t>…insurgentes, hizo 8 prisioneros, y les re presó 1200 cabt-zas de ganado menor y 300 caballos y muías, que había a robado en la incursión de Ciénega de Mata. 48. En 18 de ídem, el coronel O. Pedro Celestino Negrete, co mandante general de la primera división, da parte de que el 18 del propio mes, el teniente coronel D. Luis Quintanar, gefe de la Acor dada de México, á quien había destacado con una subdivisión com petente de infantería y caballería, salió de la hacienda…</t>
  </si>
  <si>
    <t>Negrete, Pedro Celestino</t>
  </si>
  <si>
    <t>Pedro Celestino Negrete</t>
  </si>
  <si>
    <t>…ra desgracia, si por una excesiva intre pidez no hubiese abandonado su puesto un patriota, que fue el úni co muerto de los nuestros . Habiendo llegado á las 11 y media el co ronel D. Pedro Celestino Negrete con todo el grueso de la dimisión, despees de haber andado 8 leguas en posco mas-de 4 horas , cargó sobre él peloto.11, persiguiéndolo hasta el llano de Arachipo por es pacio de 4 leguas ; haciendo gran carnicería en caballos y-ginétes, •suspendiéndose entonc…</t>
  </si>
  <si>
    <t>3° 5 últimas acciones cíe la primera división de este exército, á las órde nes del coronel D. Pedro Celestino Negrete, en la obstinada perse cución de la gavilla de Alvino García, cuyo total exterminio se hu biera verificado indefectiblemente, si los rebeldes, cortando todos los puentes del camino , no hubiesen retardado el arribo del brigadier D. Diego García Conde con la p…</t>
  </si>
  <si>
    <t>…incendiar parte de ellas, intimando al teniente D. Anastasio Brizuela, que se hallaba allí con una parti da de infantería de la primera división de este exército, destacada por el coronel D. Pedro Celestino Negrete, que rindiese las armas, iií valiente y sereno Brizuela dispuso lue^o su tropa en el mejor or den, como también á los patriotas de dicho pueble, y atacó intré pidamente á ía canalla, á U que derrotó' y puso en precipitada ti;ga después de una resistencia de y…</t>
  </si>
  <si>
    <t>…a de las compañías de pa triotas de la Barca, D. Diego Moreno Jaso, con la tropa de su man do, y auxiliado cen 20 infantes al mando del capitán D. Juan Ma cad , de la división del coronel D. Pedro Celestino Negrete , atacó en la Ciénega de Snmuato, cerca del pueblo viejo, á 2c© bandidos acaudillados por el asesino Miguel del Rio- La situación de^ aquel parage, circundado por todas partes de fango y ?gua, que llegaba á los infantes hasta al pecho, dio lugar á que con ks…</t>
  </si>
  <si>
    <t>…to Truxillo escribió desde Valladolid el 27 de Setiembre á D. Pedro Retis, administrador de correos de Qaerétaro, y entre otras cosas le decía: «hoy hace ocho dias batió el activo D. Pedro Celestino Negrete á Verdusco, pretendido vocal de la ridicula junta, y otros cabecillas que se encontraban con macha gente, en las eminencias del cerro de Tancitaro, de un modo tan decisivo que pasan de 1200 los muertos sobre el campo, y considerable número de heridos y prisio…</t>
  </si>
  <si>
    <t>Negrete, Pedro Celestinq</t>
  </si>
  <si>
    <t>Pedro Celestinq Negrete</t>
  </si>
  <si>
    <t>…omelos d¿.sde los p^rages en que se haile, para que sirvan de gobierno á mis ulteriores determinaciones. «Dios guarde á V. $. muchos años. México 22 de Marzo de 1813. == Calleja.^ Sr. D. Pedro Celestinq Negrete.” S gunda. »Debiendo salir próximamente de esta capital un con voy con ef.ctos pertenecientes al erario público y á particulares, y conviniendo que la división que sale de esta capital escoliándolo no pase de Querétaro á fin de que pueda regresar con la celer…</t>
  </si>
  <si>
    <t>Nei</t>
  </si>
  <si>
    <t>…’ habia sido destacada contra nuestro flanco derecho» haciendo un gian rodeo, y tras; de ella venia á una jornada de distancia otra división de 18® honv bres, baxo las órdenes del mariscal Nei. Sabiendo esto , se resolvió por los aliados atacar al general Lauriston antes que pudiese recibír refuerzos, y*l efecto se dieron las órdenes al general Barclay déTolly, quien después de mediodía del 10 se dirigió rápidamente sobre Konigswartha, mientras que…</t>
  </si>
  <si>
    <t>…ando salió el correo. ,,E1 general York se vio mas empeñado en la derecha contra grandes fuerzas, pues el cuerpo de Lauriston estaba reforzado con otro que se su ponía, ser el del mariscal Nei. Peleó hasta las 11 de la noche contra un nú mero de tropas superior al suyo, y el éxito fue favorable á los aliados. Am bos cuerpos aliados volvieron esta mañana á su posición. A las 6de la tarde. „Vengo ahora de la vanguardia del general Mi llaradowitch, y…</t>
  </si>
  <si>
    <t>…ostenidas por un fuego terrible, mientras otras desfilaban para apoderarse de nuestra derecha. El general Barclay de Tolly fue ata cado por fuerzas muí superiores, mandadas por el mariscal Nei y el general Lauriston ; y despees de una obstinada resistencia se vió obligado á abando nar las aldeas de Klutz y Cannewitz. Barclay de Tolly tenia orden, en caso de ser atacado por fuerzas superiores, de abandonar el terreno que ocupaba enfrente de Cannewit…</t>
  </si>
  <si>
    <t>…a pasado hasta ahora las fronteras, excepto algunas partidas, para hacer reconocimientos. El general francés de división Jominí,. gefe del estado mayor del exército mandado por el mariscal Nei, se ha, pasado á los aijados el 15 de agosto, y atrave sando el exército, de Blucher , siguió al quartel general ruso. Confirma ,1at noticia de que Napoleón pensaba atacar al exército que cubre á Berlín. El general Biucher ocupaba á-Breslau el 14 de agosto. ,…</t>
  </si>
  <si>
    <t>Neill</t>
  </si>
  <si>
    <t>…iones. Cabo-Mai 9 de diciembre. EL corsario Highjlier ha apresado tres buques ingleses; á saber, la Diana, capitán Harvey, la El brick ingles Laura, de i o cañones, ha su Jamaica, capitán Neill, y la Mary- Ann- Mitler, frido á la vista de nuestro puerto un combate san cargados de géneros coloniales de mucho valor; y griento con el corsario francés el Diligente, capi aórnismo la goleta Harriet, de Nueva-Providen tán Grassin , que al lin se apoderó de…</t>
  </si>
  <si>
    <t>Neipperg</t>
  </si>
  <si>
    <t>…carga, se apoderó de la aldea, cercó dos batallones saxones que habia alli, y los hizo prisioneros. La caballería avanzó entonces, y efectuó su reunión con la guardia avanzada del general Neipperg, que hace parte de una división austriaea mandada por el general conde Bubna, perte neciente al exército del general Bennigsen. El general hetmán Platow llegó al mismo tiempo con sus cosacos, y poco después S. A. 1. el gran duque Constantino. flf enemigo, des…</t>
  </si>
  <si>
    <t>Nej</t>
  </si>
  <si>
    <t>…tandarte é hizo volver contra el enemigo algunos batallo nes que se habían replegado. El 2 &lt;; ce Agosto la caballería ligera del cuerpo de Sacken había ya perseguido al cuerpo del mariscal Nej^ hasta Hayrau ; pero allí mandó ,volver caras, y se dirigió hacia el Katzbaeh. Entonces el general en gefe mandó que el cuerpo de 5ackei&gt; se</t>
  </si>
  <si>
    <t>Nelson</t>
  </si>
  <si>
    <t>…ó pasar a la secretaría. perar á que la compañía de las Indias orientales re« El obispo de Carlisle en nombre del deán y del presentara al cuerpo legislativo. cabildo de Ely, y el conde Nelson en el de los ar cedianos y de la diócesis de Norwich, lian hecho CAMARA BAXA. representaciones sobre el mismo particular. Sesión del j de febrero. Concluida la lectura de estas peticionesy he chas varias observaciones por el duque de Norfolk, Lord Castlereagh…</t>
  </si>
  <si>
    <t>…Dorade y el Mar á la nación. Ei señor García Herreros'te opuso á itata apresaron ei dia 26 de febrero á la goleta in que pasase á una comisión si las cortes luego no ha glesa the lord Nelson, de 73 toneladas de porto, bían de tomar una providencia ; pues ya estaba armada de dos cañones de á seis, y llevando ió visto que el gobierno no se cuidaba de hacerlo. El hombres de tripulación yquatro pasageros. Pasaba señor Calatrava indicó que la ordenanz…</t>
  </si>
  <si>
    <t>Nerhchkin</t>
  </si>
  <si>
    <t>…tirada á Francia. El general barón de Winzingerode se dirige á Bremen, y debe ocupar con sls tropas todo el prxis de Oldenburgo y ks fronteras de Holanda , para don de envió y* al coronel Nerhchkin. El general Balow, que está en Minden , debe enviar un cuerpo á Munster, y su caballería está ya pronta para reunirse al general CzernichefF en las márgenes del Rhin. El general conde de WoronzofF está en marcha p£,ra Funtburgo. Una dit hion del exército suec…</t>
  </si>
  <si>
    <t>Nes</t>
  </si>
  <si>
    <t>…de 15 odas á coLtar d^sde e. de su fec'is, 6 mas'pronto si pudiere ser. Hecho en Topitz á 9 de Setiembre del año d ' nu"s ro Señor 1813. z= C- V- i*- conde de Me.isrnich re C. K. conde Nes¿t ír^d. — Este tratado se ratificó el 20 de SetL-mbre.*' El mismo día 9 se firmó también otro tratado, que rento-n* hs mismas cláusulas entre el emperador de Austria y ei rey de Prusia. FRANCIA. Parts JO de Octubre. S. M. la emperatriz regente ha recibido las…</t>
  </si>
  <si>
    <t>Nesel-J</t>
  </si>
  <si>
    <t>…sus cuerpos á los oficiales que pertenecen al exércitb de! príncipe Poñiatowski, y que aun están en Bohemia. Está mili próxima5 lá apertura del congreso. Esperamós mui en breve al conde Nesel-J rodel El Emperador de Austria vino aqui. ayer de Brandéis, adonde volvió * pbr la tarde después de haber dado algunas audiencias.</t>
  </si>
  <si>
    <t>Newand</t>
  </si>
  <si>
    <t>…de publicarse en Londres la obra siguien llamadas por otro nombre de los Diablos, por sir te : A selection of curious, rare and earty voy ajes Tomas Gates, sir Jorge Sommers y el capitán Newand histories of interesting discoveries 6-r. , que port, obra continuada por Silvestre Jordán. Lon quiere decir: Colección escogida de viajes anti dres 1610. guos , curiosos y raros, y de historias de des 13. Copia fiel de una memoria que escribió un cubrimiento…</t>
  </si>
  <si>
    <t>Newnan</t>
  </si>
  <si>
    <t>…país. Los in dios han saqueado quanto han podido en el Estre ¡Millegcville (en Georgia) 4 cié noviembre. cho y sus contornos; pero luego que han sabido El gobierno ha recibido del coronel Newnan el que se acercaba el cuerpo de exército del general detalle de la expedición contra las Floridas. Toda Harrison, la mayor parte se ha retirado á M.dden vía no se ha publicado de olido; pero por el te ó á sus habitaciones salvages. No se ha dicho que niente F…</t>
  </si>
  <si>
    <t>Ney</t>
  </si>
  <si>
    <t>…ión cogimos un cañón y 40 carros con sus bagages. Quedaron prisioneros el secretario del duque de Bassano con su ofici na , 2 oficiales y 3 comisarios pertenecientes al cuerpo del mariscal Ney, y 130 soldados. El 3 por la mañana, el genera” MiMarodovitch atacó al enemigo cerca de Viasma: la batalla duró hasta que los con-</t>
  </si>
  <si>
    <t>…dan subs tituidos en sus destinos por ancianos. En fin Napoleón emplea todos los medios posibles para poner en campaña uu exército numeroso esta primavera. Napoleón ha nombrado al mariscal Ney príncipe de Moskwa, dándole con este título el castillo y tierras, de Rívoli en Italia; pero</t>
  </si>
  <si>
    <t>…urrencia aun seria mas numerosa si los franceses no lo impidieran: el duque de Wurtzburgo tenia ya en Praga sus equipages á mediados de abril, y al ir á partir fue detenido por el mariscal Ney, que se halla en su territorio con"6© hombres. Los rumores son que todo el sistema actual será destruido mediante grande acta nacional, que volveráá colocar al frente de los estados germánicos al Austria; pero tal vez no hai mas fundamento para estas voces qu…</t>
  </si>
  <si>
    <t>…la cual duro hasta la noche, rechazando én todos puntos al enemigo, y cogiéndole 1500 prisioneros, un general de división y n cañones. El general D’York por la derecha resistid al mariscal Ney con buen éxito. Reunido el exército alÁido á las ordenes de Wittgensteín, y situado en Wursehen y Hochkirch, fué atacado al amanecer del 21 por Bonaparte en persona; y después de una resistencia obstinadí simahubieron de ceder por la tarde los? aliados á las…</t>
  </si>
  <si>
    <t>…nores de ia acción. ''} «El general York se vio mas empeñado en la derecha contra gran des fuerzas, pues el cuerpo de Lauriston estaba reforzado con otra que se suponía ser el del mariscal Ney. Peleo hasta las ir dé i a no che contra un numero de tropas superior al suyo, y el éxito fué fa vorable á los aliados. Ambos cuerpos ¿liados volvieron esta mañana ¿suposición. f. ' •* ' A las 6 de la tarde. -— "Vengo ahora de la Vanguardia del ge neral Milla…</t>
  </si>
  <si>
    <t>tenidas por un fuego terrible, mientras otras desfilaban para apode rarse de nuestra derecha. El general Barclay de Tolly fué atacado por fuerzas muy superiores, mandadas por el mariscal Ney y el ge neral Lauriston; y á pesar del mas bizarro esfuerzo se vio obligado á abandonar las aldeas de Klutz y Cannewitz. Barclay de Tolly te nia orden, en caso de ser atacado por fuerzas superiores, de aban donar el terreno que ocupaba enfrente de Cannewitz y…</t>
  </si>
  <si>
    <t>…cuerpo de 829® hombres de caballería al mando del general Winzingerode con el fin de reconocer ai enemigo por su izquierda por Wittemberg y Juterbock. El gefe del estado mayor del general Ney, Mr. Joinini, se ha pasado á los aliados, y ha confirmado los temores que se tenían dé que Bonaparte adelantaría primero sobre Berlín. El tercer boletín d parte del príncipe real de Suecia es jde Charlotemburgo del 18 de Agosto último. Confirma las noticias a…</t>
  </si>
  <si>
    <t>…a perdiólo® hom bres__—Los papeles de París llegan hasta el 12 de setiembre, y no traen ningún otro boletín de Bonapárte. Sin embargo, algunos artículos particu lares dicen que el general Ney habia llegado á Dresae el 28 de agosto. Macdonald quedó en la Silesia con tres cuerpos. E$ probable que Blucher y Sa chen hayan atacado nuevamente á Macdoñald luego que supiesen que Ney se habia retirado» Algunas cartas dicen que Bonapárte salió; de Dresde el…</t>
  </si>
  <si>
    <t>…enemigas se componían de cuatro cuerpo* de exército, á saber ; el de Oudinot, Brrcrand, Rrgaier y Arrhtgi, y de 3 á 4® polacos de infantería y caballería, mandados en gefe por el mariscal Ney. «Ebta acetan se dio en las inmediaciones de la aldea de Dennewitz, de cuyo pueblo tomará el nombre la batalla: sus resultado* fueron hasta ayer por la mañana., haber tomado 5® prisioneros, 3 banderas, de 25 á 30 piezas, y mas de 200 carros de municiones. El…</t>
  </si>
  <si>
    <t>…eva victoria ganada por el gene al Blucher.— Los rumiacos se hallan dumes de Éiume por el lado de It.uis. El príncipe lLrnadotte , el 6 de Stíierabie ganó una victoria señalada al mariscal Ney que tenia óo© hombres: tomó 19 piezas</t>
  </si>
  <si>
    <t>…jumo á Wittemberg, y baxo el mismo canon de la plaza cogió un cuerpo avanzado y un correo con varias cartas. En|;re¡estas hai algunas del gobernador general Lapoypé , dirigidas al mariscal Ney duque de Elchingen, al duque de Reggio y á los generales Regnieiv, Narbonne y Margaron. El contenido demuestra que no solo desertan diariamente los soldados de esta débil guarnición, ,sino también ios sargentos y oficiales. Ei general conde Walmoden refiere c…</t>
  </si>
  <si>
    <t>…rio esta madrugada , y ha marchado otra vez á Dessau* Sus ¡avanzadas sé extendían hasta Ragun y Jonitz, y había efec tuado su reunión con el'éxército del general Bíucher. *E1 del mariscal Ney. dexó á Déssau y Jonitz á las cinco de esta mañana/ Se ha perseguido vigo rosamente á su retaguardia , y se le han hecho algunos prisioneros. Se^nece sitan cinco ó seis dias para concluir las obras dé Roslau. Sé han trazado en un hermoso plano , y hacen mucho…</t>
  </si>
  <si>
    <t>…tarde quedará su cuartel general en este ultimo punto. Su caba llería está en Duben. — Esta mañana á las 5 principiaron á retirarse á Leipsick las tropas enemigas, mandadas por el mariscal Ney, que estaban en esta ciudad en número de 18® hombres. — Esta tarde se han adelantado nuestras avanzadas hasta Raguh y Jesnitz, y maña* na tendrá efecto nuestra reunión con el general Blucher. — La van guardia rusa, á las órdenes del conde Woronzovv , occpa á…</t>
  </si>
  <si>
    <t>, . . **91 do se izquierda, hizo marchar aaeras irosas costra el conde de l am erón , empeñado principal meo te con el cuerpo del mariscal Ney, q .» nabia llegado de laa inmediaciones de Bub-n. Pero los rut-o:, i ir i. an do á sus rdientes compañeros de armas, hicieron los mayores evfoer*&gt;•, y cousigukr &gt;n un éxito completo. — La noche so o puso fin i la ac. ioíí. La ca ballería, rusa s* eocduxo c!e…</t>
  </si>
  <si>
    <t>…ios mariscales Marmont y Macdonald; los generales Regnier, Souham, Lauriston, Dombrouskí, Vailary, Bruñe y otros to. El-príncipe Poniatowsky ahogado; el general Grenier muerto; el mariscal Ney herido; el mariscal Augereau (según dicen los prisioneros) muerto. En los primeros hai 300 oficiales de estado maybr. Se han cogido 2oo: cañones y 800 carros de municiones. Se calcula que Napoleón ha Salvado de todo su exércitó de 30 á 60© hombres, que huyen…</t>
  </si>
  <si>
    <t>…el mismo dia en Eisenach. Según sus boletines oficiales el 23 estaba en Erfurth. Los restos de su exército habian llegado por aquellos dias á las inmediacio nes de Francfort, y el mariscal Ney entro en la ciudad el 2 ó. Se creía em París que la intención de Bonaparte era hacer todos los esfuerzos para sos tenerse en las orillas del Mein. Oficio de sir Carlos Stewart al vizconde Cafflereagh. Quartel general de Leipsick i$ de octubre. Milord: ya no p…</t>
  </si>
  <si>
    <t>…Roslau, pasó el Elba esta mañana, y marchó otra vez á Dessau. Llegó con sus‘avanzadas hasta Ragun y Jonitz, y verificó su unión con el exército del general Blucher. Las tropas del general Ney dexaron á Dessau y Jonitz á las 5 de la mañana. Su retaguar dia fué vigorosamente perseguida , y se le Hici§ron_algunes prisio*^-</t>
  </si>
  <si>
    <t>…ha lló el cuerpo del general í&gt;umoijrestief » gefe del estado mayor del undécimo cuerpo» y mas de 1© hombres quedaron ahogados. El duque de Bassano es capó á pie. Se supone que el mariscal Ney ha sido herido. Los aliados to marón mas de 250 piezas de ártillería, 900 carros , é hicieron mas de 15© prisioneros» con varias águilas y banderas. El enemigo lia abandonado aquí mas dé 23© heridos y enfermos con quanto pertenecía al hospital. La pérdida tot…</t>
  </si>
  <si>
    <t>Neyra, José</t>
  </si>
  <si>
    <t>José Neyra</t>
  </si>
  <si>
    <t>…mismo cuerpo D. Jote Vidal y D. José Sierra: el capitán de Guadalaxara D. Francisco Orus, y los sub alternos del propio D. Cándido Arxsmendi y D. Manuel Zuluaga; como asimismo el capitán D. José Neyra, y el sargento primero de este regimiento D. José Roxas, que á ía bayoneta mató en el puente á un sargento enemigo, qu¿ perseguía al géfe de la brigada; y el soldado Andrés Bueno, que con otros 2 hizo prisionero á un sar gento enemigo; á todos los que recomie…</t>
  </si>
  <si>
    <t>Ni</t>
  </si>
  <si>
    <t>…nísima Señora: los buenos españoles re del A: Ha nu-stros triunfantes pabellones (r) ? . sidentes en Cádiz han oído y visto con indecible No" falta quien lo diga.— Eso si, mi buen D. Ni— {&gt;lacer el juicioso modo-de pensar de V. A. sobre codem -s ; pero esta baladronada se ha dicho en Gi- a constitución política'de Ja monarquía española: diz , y va sabe vmd. que los españoles nos reimos bien pronto lo verán y aplaudirán los de todas de las br…</t>
  </si>
  <si>
    <t>Nico</t>
  </si>
  <si>
    <t>…tes ni de la constitución ; y aun han corrido lar ¿ponerse á L. R. P. de v . A. = P. A. N.” copias portuguesas de la órden, que decían mandó ¡Esa carta es de algún jacobino! saltó D. Nico comunicar al efecto á la regencia de Portugal.... Yo demus tomando el sombrero. ¡ Pobre señora! pero y otros afectos á la causa de V. A. creimos siempre bien empleado te está por haber cometido la baxeque aquella seria apócrifa, ó que no la entenderían za de…</t>
  </si>
  <si>
    <t>…nos no idem: en Mondoñedo, el limo. Sr. obispo 40 idem: ayuntamiento y vecinos 176 idem: en Lorenzana, su monasterio 63 idem. Ademas en esta capital ha entregado para dicho objeto D. Nico lás Lavage 500 rs. vn. Coruña Diciembre 3 de 1813. — Alexandro 0 Donncll." Bilbao J% de Diciembre. Han entrado en la ria de esta villa, y presentado sus despacho* . en la comandancia de marina , desde la evacuación de los franceses</t>
  </si>
  <si>
    <t>Nicode</t>
  </si>
  <si>
    <t>…cias es la obra está por hacer, que nada se ha con agua de cerrajas! A loque le repliqué, desde la cluido, y que casi todo está por empezar.”__ Pe puerta de mi quarto: lo peor es, Sr. D. Nicode ro eso no quita que la constitución sea buena___ mus, que es merienda de negros! Será quanfo vmd. quiera; pero ni se executa, ni se Si vmds., señores redactores, para hacer mas puede plantear siquiera. Él mismo gobierno que han patente el triunfo de la verdad…</t>
  </si>
  <si>
    <t>Nicodeímis</t>
  </si>
  <si>
    <t>…á la Sernta. Sra. Iofanta de España , Priitfesaque todos pensásemos :dei ‘ mismo modo. ¡Pues ya de Portugal^ Doña Carlota Joaquina de Borbo'n.tenemos obra para dias! ¿Y luego ,3r. D. Nicodeímis, iremos á París ¿i lolocar sobre las márgenes ,, Serenísima Señora: los buenos españoles re del A: Ha nu-stros triunfantes pabellones (r) ? . sidentes en Cádiz han oído y visto con indecible No" falta quien lo diga.— Eso si, mi buen D. Ni— {&gt;lacer el juicioso…</t>
  </si>
  <si>
    <t>Nicodemus</t>
  </si>
  <si>
    <t>…eriar* los ingreses, y aun zo del mismo añor” ■ ' mas el gobierno de Portugal. Yá ven vmdi. ;s¡ la co sa es bien clara* pues á pesar de eso no pude con ■■ ESPAÑA. vencer a mi buen D. Nicodemus. «¿Pues-'no ve ▼md., le decía, que los ingleses no pueden Querer Madrid 9 de febrero. que una nación que desean dominar tenga mejor Los redactores han recibido por el correo el ar gobierno que el suyo ?- ¿ No: está vmd. yiehdo á su tículo siguiente: . ‘ ; gob…</t>
  </si>
  <si>
    <t>…ente los redactores te &amp;c. * han tenido buena elección: el papel no puede es tar mas fuerte y terminante.... ¡Pero no dice vmd. Los comisarios de guerra del reino de Italia nada , señor D. Nicodemus! Levantan i»se can d S. AI. I. y R. enfado. Pues, señor, lo que yo digo es que esa re Milart 30 de enero de 1813. presentación , ó lo que es, es cosa de qúatro pica Señor: ros descontentos, y...... ___Pero su contenido es „ Los comisarios de guerta de vuestro…</t>
  </si>
  <si>
    <t>…amaciones que pedirle que obre como piensa, como puede y como existían en et congreso contra varios funcionarios debe.” públicos y gefes dé las provincias; y en quanto á ¿ Qué tal D. Nicodemus ? Mire vmd. que son la representación se resolvió que se tuviese presente cosas bien terribles las que aquí se dicen. Por vida quando se discutiese el expresado dictámen.” mia que no les han dicho mas los que ellos llaman Atónito se quedó el buen I). Nicodemu…</t>
  </si>
  <si>
    <t>NicoJe'mus</t>
  </si>
  <si>
    <t>…..siempre en la sociedad mui especie de lucjha entre i Saqué, entonces el número 43 de la Abeja espa los que ya poseen y_ ios que no poseen, todavía, no ñola, y leí á mi espantado D. NicoJe'mus el si cabiendo exceso en fortificar ú.Iqs- primeros tr.uad guiente artículo, que está á ia página ii),.. para que ia sociedad nunca se comprometa., como ........ ¡AY QUE BODO, QUE BOBO ES VMD.! para afianzar los derechos y ia libertad de tpdos. ( Se concluirá…</t>
  </si>
  <si>
    <t>Nicolás</t>
  </si>
  <si>
    <t>…Ruperto Otero, teniente del de Rivero; D. Josef María Carrido, coronel, y D. Francisco S. Julián, capitán del segundo de Asturias; D. Josef Martínez, capitán del primero Cántabro; D. Nicolás Do^ ronzoro, teniente ; D. Josef Arana , subteniente del primero de Guipúzcoa. Los'prisioneros son TX Joaquín González, subteniente del segundo de Asturias; D. Agustín Benitez, tenientet^el de la Constitución; D. Agus4 tin Bera¡$./ capitán del de Santiago ; D;&lt;…</t>
  </si>
  <si>
    <t>Nidia, Lorenzo</t>
  </si>
  <si>
    <t>Lorenzo Nidia</t>
  </si>
  <si>
    <t>…ados salieron de lss casas consistoriales, acompañados de tropa y música militar, y se dirigie ron á la parroquia de Sta. María, en donde se cantó nn solemne^Te Deum compuesto por D. Lorenzo Nidia. Ofició el limo. Sr. obispo auxiliar, solemnizándose ia función con todo aquel aparato digno de su objer.o. El inmenso concurso de espectadores y convidados, el repique general de campanas, la música marcial, las salvas de fusi lería, la brillantez de la herm…</t>
  </si>
  <si>
    <t>Nielfa, Lorenzo</t>
  </si>
  <si>
    <t>Lorenzo Nielfa</t>
  </si>
  <si>
    <t>…s salieron de las casas consistoriales, acompañados de tropa y músi ca militar, y se dirigieron á la parroquia de Santa María, en donde se cantó un solemne Te Dettrn compuesto por D. Lorenzo Nielfa. Oficio el limo. Sr. obispo auxiliar, solemnizándose la función con todo aquel aparato digno de su objeto. El inmenso concurso de espectadores y convidados, el repique ge neral de campanas, la música marcial, las salvas de fusilería, la brillantez de Ja hermo…</t>
  </si>
  <si>
    <t>Niemira</t>
  </si>
  <si>
    <t>…, antiguo confederado de 3.0 Que se obliguen á enviar sus hijos á las es Bar; el señor Orsetti, rico hacendado en Lithuacuelas nacionales lúego que hayan llegado á la edad nia; el señor Niemira, nuncio del distrito de Sieldde siete años. cc, que en 1794 fue general de las tropas del dis 4.0 No llevarán nada en su exterior que los dis trito de Mielnick ; el señor Alexandro Walewsky, tinga de los demas habitantes del país. primer nuncio del departamen…</t>
  </si>
  <si>
    <t>Nieodcmus</t>
  </si>
  <si>
    <t>…mala ú engañar á los chinos. ira poco a poco poniendo en práctica la consúm No, pues á mí...........¡Cuidado con los propósitos, elo.!...... « essogeraa los hombres de provecho pa Sr. D. Nieodcmus! F.N LA IMPRENTA REAL.</t>
  </si>
  <si>
    <t>Níey</t>
  </si>
  <si>
    <t>…Schwartz¡emberg. ■ ,5Se frustró la tentati va de volar ?a catedral de Smolensko por ha»? . benr apagado la mecha antes de,llegar á la mina, , ;jj, , No sé sabe todavía que es del mariscal Níey..-—Tengo.la honra &amp;c.— C&amp;thcart; Petersburgo 6 de Diciembre„Milord: T engo la satisfacción de remitir á Y. S. la relación de la derrota, del cuerpo de Yictor por eb general conde Wittgenstein el 27 del pasado. „Parcee que este cuerpo mudó de dirección á su sa…</t>
  </si>
  <si>
    <t>No</t>
  </si>
  <si>
    <t>…uesto chor. general? P. ¿Y en efecto habéis enseñado uno y otro'al D. Sí; la misma es*, la reconozco por la que señor conde Frochot? se me leyó , á lo menos en parte; pues al prin D. No estoi cierto sí le enseñé el pagaré; pero cipio , estando en la cama arropado, no la tomé en sí de que saqué de mi bolsillo los dos documentos, la mano, y luego, después de algunas preguntas que y bien reguro de que le di la carta concerniente al me hizo el g…</t>
  </si>
  <si>
    <t>…ncos y la de Mr. Doueet. ,el grado de general de brigada lo que os lian hecho P. Quando teníais órdenes de,un oficia] del ^taO Gql? estado mayor, á quien conociais biep;‘quando es D. No ha sido ni uno ni otro: el Emperador tas órdenes eran tan sencillas,que lejos-tle conte pie, ha puesto en si tuición de haber podido hacer ner providencias violentas solo os preyenian retira-me con mucho pinero* y ¿o me he aprovechado ros ai quartel , vos vac…</t>
  </si>
  <si>
    <t>…stuvieron á las órdenes de dicho mayor general, é igualmente del teniente general conde de Amarante, y del brigadier general Costa, que fue herido. Tengo la honra &amp;c. = R. Hill P. D. No puedo omitir los nombres del coronel Pamplona, del teniente coronel del 18 Pyn, del teniente coronel Grant, coman dante del sexto regimiento de la división del teniente general Lin, y del mayor Mitcheíls del sexto batallón de cazadores de la brigada del coron…</t>
  </si>
  <si>
    <t>No, Pedro</t>
  </si>
  <si>
    <t>Pedro No</t>
  </si>
  <si>
    <t>…mpañías de cazadores fuese á atacar eu vanguardia que estaba á la izquierda de S.nta Eublia. Ai mismo tiempo marché el re gimiento de cazadores de Cataluña, al mando de tu "emente coronel D. Pedro No^asco Br.za, á apostarse entre Caldas y Santa Eulalia en el punto llamado la Crea de baduell, para atacar su retaguardia qtse se hallaba inmediata. Era mi ánimo atacarlo por ambos puntes, divi diendo así su atención; y como no distaban estos mas que legua y me…</t>
  </si>
  <si>
    <t>Noain, Juan Ignacio</t>
  </si>
  <si>
    <t>Juan Ignacio Noain</t>
  </si>
  <si>
    <t>…mingo Josué y D. Diego Cebadua; á ayudantes á D. Francisco Moñones , D. León Amedo, D. Manuel Mecolalde y D. Atanasio Mendivil: á tenientes á D. An drés Berrueta, D. Mariano Sauz, D. Juan Ignacio Noain, D. Fran cisco Azcarate , D. Martin Antonio Laquidaia , D Santos Ayerra, D. Tomas Ayerra, D Juan Esteban Alemán, D. León Mayo, D. Aniceto Unciti y D. Sebastian íso : á alféreces á D. Nicolás Sada, D. Lucas Munarriz, D. Francisco Ruiz , D. Cristóbal Pereti, D.…</t>
  </si>
  <si>
    <t>…biera destrozado toda la vanguardia sino hu biese huido rechazada á incorporarse con la columna, que á la sa zón estaba inmediata al pueblo; sin embargo el teniente de caba llería D. Juan Ignacio Noain, habiendo cerrado solo contra 3 húsa res y el comandante de la vanguardia, que era un capitán , le divi dió *en dos partes la cabeza, y consiguió evadirse de aquellos sin le sión alguna. En seguida el enemigo preparó su batalla en las llanu ras de Barasoain ,…</t>
  </si>
  <si>
    <t>Nobeser</t>
  </si>
  <si>
    <t>…idad de lo que se creia al principio: ya se calcula haberse cogido ío®. prisioneros, 80 cañones- y mas de 400 carros de municiones, con tres banderas y un estandarte. Después, que general Nobeser puso en fuga al exército enemigo, con tinuó este su retirada sobre Torgau. Nuestras tropas ligeras no dexaren de perseguirle, cogiéndole algunos prisioneros, varios carros de municiones y equiipages. E.1.enemigo cortó los puentes sobre ei F.tster, en las cerc…</t>
  </si>
  <si>
    <t>Noche, Angei Custo</t>
  </si>
  <si>
    <t>Angei Custo Noche</t>
  </si>
  <si>
    <t>…ico próxima liberad. D. Pedro Vicente Betratiaga. En el dia hemos tenido un muerto y dos he Para la vicaría perpetua de la real capilla par ridos. roquial de la ciudad de Náxera á D. Angei Custo Noche del 2/ al 29. Hemos pasado una noche dio Carrillo, beneficiado de la villa de Ocon. mui sosegada con respecto á los ataques;pero se ha Para el curato de Quel al ex-benedictino Don oido mucho movimiento en la ciudad y sus inme Isidoro Merino. diaciones. Para e…</t>
  </si>
  <si>
    <t>Nogués</t>
  </si>
  <si>
    <t>…, se entiende si no hai superior urgencia en otros puntos. No me detengo en relatarle la mucha artillería, armas y otros efectos que salen de Figueras para Francia. £1 dia = 21 el general Nogués pasó á re vistar el castillo de Bellegarde. En Perpiñan hai noticias de haber pasado una esquadra por frente de Tolón , y que losr exércitós del Norte se han retirado á Maguncia. Dos prisioneros españoles fugados, qué ham venido en posta, dap la noticia^quedo…</t>
  </si>
  <si>
    <t>Nogueyra, Ventura</t>
  </si>
  <si>
    <t>Ventura Nogueyra</t>
  </si>
  <si>
    <t>…Constitución; D. Mariano Castell, teniente coronel; D, José Rio-mayor, capitán; D* Nicolás Collar D. Manuel Ramón Gastell , D. José María Hernández y D. José .efe Paga, tenientes; D. Ventura Nogueyra y D. Laureano Iriarte, sub tenientes del de voluntarios de la Corona; D. Andrés Parga, ayudan te ; D. Ramón Suero Díaz , y D. Francisco Saigado, tenientes , el</t>
  </si>
  <si>
    <t>Nordenhaker</t>
  </si>
  <si>
    <t>…disminución conjeturas mas fundadas son las de Mr. Schulren, real de aguas* Pero á pesar de las investigaciones y sabio sueco, que se hallan en las memorias de la raciocinios del almirante Nordenhaker , de Mr. academia de las ciencias de Estockolmo del año Schultcn, y otros varios partidarios de este siste de 1804. ma , hai motivos poderosos para creer que la pre La causa de las corrientes rápidas que tieuC «l tendida disminución de las aguas del Báltico e…</t>
  </si>
  <si>
    <t>Noriega, Francisco</t>
  </si>
  <si>
    <t>Francisco Noriega</t>
  </si>
  <si>
    <t>…y tropa se ha portado con el valor y constancia que tanto los distingue : el dia de la acción lo mostraron á mi lado en los momentos mas apurados, el capitán de zapadores teniente coronel D. Francisco Noriega, su teniente D. Méiiano Portillo , y eu alférez D. Francisco del Corral : el capitán D. Jacobo Rodrí guez, e! teniente de la guerrilla de Aibancsy D. José Mariano Sil va , oficial el mas vigilante, activo é intrépido; sn segundo D. Car los Samborainy D. Casim…</t>
  </si>
  <si>
    <t>Noriega, Vicente</t>
  </si>
  <si>
    <t>Vicente Noriega</t>
  </si>
  <si>
    <t>…rcelo Ortiz y D. Francisco Salvador , subtenientes del primero cántabro; D. Silvestre Hidalgo, teniente coronel; D. Bernardo Alvarez, D. José Tai la y D. Manuel Mendez, capitanes; D. Vicente Noriega,D. Francisco Xavier Alva rez y D. Francisco Fresno , tenientes ; D. Sebastian Sánchez, Don Félix Arenal, D. Juan José Paz y D. Luis Ortiz Falla, subtenientes dei de Laredo; D. José Castrejon, teniente, y D. Vicente de la Tórnente., subteniente del de tiradore…</t>
  </si>
  <si>
    <t>…elo. Ortiz y D.. Francisco Salvador, subtenientes del primero Cántabro; D. Silvestre Hidalgo, tenien te coronel; D. Bernardo Alvarez, D. Josef Talla y D. Manuel Mendez, capitanes; D. Vicente Noriega, D. Francisco Xavier Alvarez y D. Fran cisco Fresno , tenientes; D. Sebastian Sánchez , D. Félix Arenal ; D. Juan Josef Paz y D. Luiz Ortiz Falla, subtenientes del de Laredo; D. Josef Castrejon , teniente, y D. Vicente de la Tórnente, subteniente del de tirad…</t>
  </si>
  <si>
    <t>North</t>
  </si>
  <si>
    <t>…Es se sometiesen á algunos reglamentos que eran ne menester dexar al cuidado del consejo el escoger cesarios para impedir las especulaciones irregulares. entre Mr. Fox, Mr. Pitt, lord North y lord MelAquí Mr. Quin leyó una car,ra del lord Melvi- ville por una pane, y los hombres que hoi com ile á los directores, en la qual este señor ha mani ponen el ministerio. festado su opinión, reducida á que el monopolio de Mr. Quin terminó su discurso con…</t>
  </si>
  <si>
    <t>Nostlitz</t>
  </si>
  <si>
    <t>…cuerpo del general Mcerfdd, y de las divisiones de Bianchi y dé Weissenwolr sobre Zwackau y’Connevvitz, apoderándose del puente del Pleisse en este ültimo punto. Ln caballería del general Nostlitz se formaría sobre su derecha. En caso de retirada debían estos cuerpos hacerla sobre Zeitz. Las reservas de los guardias rusa y prusiana debían dirigirse sobre Rotha , donde pasarían el Pleisse, y se formarían en reserva en la orilla derecha. Las reservas dei…</t>
  </si>
  <si>
    <t>Novilla, Roque</t>
  </si>
  <si>
    <t>Roque Novilla</t>
  </si>
  <si>
    <t>…timonio de reco AVISO» nocimiento á vuestros trabajos y cuidados paterna Por providencia ’del señor juez de ptímera instan les que la expresión de nuestros afectos de respeto, cia D. Roque Novilla, fecha ji del corriente', sé ha de admiración y de amor. Nos atrevemos á rispe-* vuelto á señálar el término preciso de riiíeve diás, con rar que V. M. se dignará aceptar este homenage tad 05’ur»dc 5U p ubiicacioB, para que todas f quálcsebn aquella bondad co…</t>
  </si>
  <si>
    <t>…Bouhin, nuará. ) gefe de la secretaría; y habiendo mandado que se pusiesen mesas y sillas en aquella sala, dexé alli á AVISO. los dos oficiales, y me retiré á mi quarto, diciendo Don Roque Novilla, jaez de primera instancia en que iba á mudarme botas. Iba meditando qüé de esta villa j cita, llama y emplaza ¿ toH ts y q 1 ibsq ncr berla hacer; de que medio' me valdría para pasar al personas que tengan p.-reutesco con D&gt;ñ« .Vliríi Milpalacio del príncipe…</t>
  </si>
  <si>
    <t>Novoa, Antonio</t>
  </si>
  <si>
    <t>Antonio Novoa</t>
  </si>
  <si>
    <t>…tenientes^ á D. Juan Vela y Olmo y D. José García de Tovar, cadetes de laacademia militaT déla Ida de León, D. .Manuel* Guio, distinguid ó de la. referida academia, ai subteniente D. Antonio Novoa, sargento primero del sexto batallón de zapadores , D. Martin Santoíirniaj ca dete de la referida academia, D. Julián Martínez, sargento primero de zapadores , IX Manuel 'Gallardo;, i). Calixto Rodrigues y D. León Qordo , distinguidos de la expresada academia…</t>
  </si>
  <si>
    <t>Novoa, José María</t>
  </si>
  <si>
    <t>José María Novoa</t>
  </si>
  <si>
    <t>…Gutiérrez , teniente del de Rivero ; D. Esteban Rodríguez y D. Alberto Rodríguez , capitanes, D. Manuel Taboada , D. Juan Hevia y D.-Francisco Lema , sub tenientes del de Oviedo ; D. José María Novoa , sargento mayor; D. Francisco Xavier Toral, espitan de cazadoresí/Q.Bedro Zuluaga, capitán; D. Francisco Moreno y D. Pedro Bonet, tenientes; D. Manuel María Saliquet, ídem del de cazadores; D'. Pedro Solis y D. Juan Martínez, subtenientes de granaderos; D. J…</t>
  </si>
  <si>
    <t>…haciendo un militar desprecio de las bslas comunicaban siempre mis órdín;.s con pronti tud y tino, y se hallaron en el paso dei puente, al siempre intrépi do teniente de Frontera D. José María Novoa, y al valieme alfé rez de la compañía de Ponce D. Alexandro Quixano, que con el agua á la cintura pasaron por el vado ó vereda del rio, coa inry pocos soldados de sus respectivos cuerpos, despreciando el fuego con que sostenían aqud punto; á los virtuosos ser…</t>
  </si>
  <si>
    <t>Novoewerscheca, Grekoff Inicia</t>
  </si>
  <si>
    <t>Grekoff Inicia Novoewerscheca</t>
  </si>
  <si>
    <t>…es del ayu dante general conde Oschurcff ky. /íí.J4. El mayor generas Teutschkoff llegó el 10 con su cuerpo é Mm*k, é inmediatamente envió dos regimientos de cosacos al man do del coronel Grekoff Inicia Novoewerscheca en biiica del enemigo, y con objeto de entablar comunicación con el destacamento que man da el conde OschíiefLky. Id. 15 El conde Os-ckarofísky dice con fec ha del 14 que entró el dia anterior con su destacamento en el pueblo ce Lida t he bien fioadelantado s…</t>
  </si>
  <si>
    <t>Noya, Francisco</t>
  </si>
  <si>
    <t>Francisco Noya</t>
  </si>
  <si>
    <t>…n G-.rc a de Ponte, id., 100. D. Mariano Vázquez de la Riva, id., 100. I). Manuel Vázquez de la Riva, id., 100. D. Manuel Luciano Ló pez, id.,, 100. D. Sergio Quintaiio^ id., 1Ó0..D. Francisco Noya,id., 625. D.. Manuel de Labirrera. id., 12. Son 79385 ps. fs. Lima y Diciembre 6 de 1811. — Firmado—Manuel de ligarte * Es copia del original. — Juan Miguel de Sostra. Excitado el consulado de Goatemala por su presidente á qne concum: se en. cuanto estuviese…</t>
  </si>
  <si>
    <t>Nug</t>
  </si>
  <si>
    <t>…noticias del exército de operaciones en la frontera de Italia. Por lo qa^ toca á la expedición á xa Istria, ha recibí ¿o ti teniente fe Id mariscal Radivojevich avisos de h¿ber el general Nug nt conseguido apoderarse -ds los purtos fuertes de Pela, Cspo de Istria y Monte Mayor, en donde entre cti^s cosas feeil ó conJdevable porción de artillería y inaniciones ; á saber, 46 pícese de 30, 4 ce n y 2 49 bamba de polvo/*?, y Oirás mu ¡.iciomes,— Ei 2C…</t>
  </si>
  <si>
    <t>Ñugeftf</t>
  </si>
  <si>
    <t>…©tras cosas halló considerable porción de artillería y municiones , á saber: 46 piezas de á 30,4 de 1.2 f 249 barriles, de pólvora, y yna gran cantidad de munición en barras___ Él general Ñugeftf estaba á punto dé* ¿ihpezar sus operaciones dé Pisrno en la-Istria,¡ Jl retaguardia del? .enemigo paradlo que le apoyaban los ingleses con todo.-zelo; pues.no, solo^habían prestiadh sus ar tilleros de marina para el seívicio deí la artillería , sino que tambi…</t>
  </si>
  <si>
    <t>Nugent</t>
  </si>
  <si>
    <t>…el general Palombini mantuvo aqu dia la reputación que ha adquirido en España. El general Perremonde dio un brillante ataque al frente del regimi- • 3.0 de cazadores italianos. El general Nugent mandaba las tropas enem'</t>
  </si>
  <si>
    <t>1192</t>
  </si>
  <si>
    <t>…rich es tanto mas importante, cuanto que estos prisioneros estaban destinados á obrar de flaneo de acuerdo con la tropa francesa de Trieste., y desconcertar ks pia ses del general conde Nugent, que avanzaba hácia aquella ciudad. —*</t>
  </si>
  <si>
    <t>Ñugent</t>
  </si>
  <si>
    <t>…el exército que obra en las. - fronteras de Italia. Por lo que hace á la -expedición de Istria' ha recibido, el teniente feld-mariscal Radi▼ojevich partes de haber conseguido. el. general Ñugent apoderarse dé los puntos fuertes de Pola, Capo de Istria y Monte Maggiore, donde eñtre ©tras cosas halló considerable porción de artillería y municiones , á saber: 46 piezas de á 30,4 de 1.2 f 249 barriles, de pólvora, y yna gran cantidad de munición en barra…</t>
  </si>
  <si>
    <t>…habí n d,do armas ■^ara armar completamente ia milicia nacional de U Liria. -- El ma yor Gavenda, que está apostado con su destacamento en Lippa, con serva m ©©^luuícucío» coa el general Nugent.— i£l 16 de Setiembre</t>
  </si>
  <si>
    <t>…l exérci to del Prínetpé dé Éckimilh (Da voust ) y las tropas rusas y suecas. Milán 2$ de noviembre. El enemigc hizo un desembarco en el baxo Po, junto á Volano, á las órdenes dei general Nugent, y llegaron por Mewla hasta Rovigo y Ferrara. Uno de nuestro? cuerpos avanzados sobre el baxo Adige tuvo que replegarse. El conde de Pino reunía en Bolonia to das las tropas para contener aquellos movimientos. Idem del a¿T. El Príncipe de Essling (Massena) ti…</t>
  </si>
  <si>
    <t>Nuguent</t>
  </si>
  <si>
    <t>…icias recibidas de Altona en Londres se sabe que Bonaparte en persona había sido derrotado el 10 con pérdida de 60® hombres: que Dres de se hallaba en poder de los aliados: que el general Nuguent había entra do en Fiume, y los cosacos en Leipsick, donde libertaron 2® austríacos que se hallaban prisioneros. La siguiente carta, de cuya verdad salimos garantes, confirma estas no ticias. Bilbao 12 de octubre. A Pasages llegó el dia 9 una fragata inglesa,…</t>
  </si>
  <si>
    <t>NUM</t>
  </si>
  <si>
    <t>…deserción cerme, presentándome un discurso de felicitación del general de Yorck. por la feliz destrucción de la conspiración urdida contra mi honor y mi vida, me siento incapaz de D. NUM. I. expresar mi reconocimiento por el sincero interes Copia de ttti despacho de Mr. de San-Marsan. con que el lord corregidor y la ciudad de Londres me han dado un testimonio de su deseo por mi Berlín f de enero de 1813. bien estar y mi felicidad. El triste a…</t>
  </si>
  <si>
    <t>…a conducta no pediendo obtenerle cpn condiciones ¡listas y con de la P rusti. venientes. Por desgracia lian salido mal todas las tentativas hechas hasta ahora para obtener este re D. NUM. ir. sultado; pero tenemos á lo menos la satisfacción de Publicación hecha He orden del gobierno prusiano. creer que del silencio de! parlamento y de la na ción en general re[pecto la imima negociación se Berlín 19 de enero. puede razonablemente sacar la cons…</t>
  </si>
  <si>
    <t>NUM, C.</t>
  </si>
  <si>
    <t>C. NUM</t>
  </si>
  <si>
    <t>…iental y occidental. de Tarer.to. (Se insertó en la gazeta del jjí de art. V. Los caballos se entregarán en los de febrero de este año.) pósitos que se señalaran por el intendente general C. NUM. II. del exército. arT. vi. La pólvora y plomo se entregarán en Carta del teniente general de Massembach al lis plazas de Modelin, Thorn y Damzick baxo las mariscal duque de Tarento. (Se insertó en ia mis proporciones que determinará el comandante de la ma ga…</t>
  </si>
  <si>
    <t>Nuncio</t>
  </si>
  <si>
    <t>…se fusiles presentaba 8$’hombres en esa capital de ia juventud de «Ha Plana. Nulcs 9 dé julio de 1813. =Firmado= Nebot. ÍG azeta de Murcia 20 dejulio.$ , Cádiz 1$ de julio* . E El Sr. Nuncio tenía ya buque prevenido y buscado por sí para dirigirse</t>
  </si>
  <si>
    <t>Nuñez, Manuel</t>
  </si>
  <si>
    <t>Manuel Nuñez</t>
  </si>
  <si>
    <t>…murió D. Juan Jesé Lczama, vecino de calma* cion de «dicha ciudad, cuya familia huérfana merece la recompea« sa a que él se había hecho acreedor por su valor : también han muerto D. Manuel Nuñez de los Urbanos, de la misma ciudad , un soldado de Cotabambas, otro de les provinciales de Potosí , asis ten ce mío Ramón Gutiérrez, que dexa una madre pobre. Los heri dos gravemente .de nuestra parte son soló 3 , yA de.poca conaide* ración, sin contarme en e…</t>
  </si>
  <si>
    <t>Nuñoz, Melchor García</t>
  </si>
  <si>
    <t>Melchor García Nuñoz</t>
  </si>
  <si>
    <t>372 , D. Melchor García Nuñoz, abogado, vecino de Hoyo-quesero. D. Josef Agapito García, cura de Mesegar. D. Juan Manuel Bazan, vecino de Arévalo. D. Lorenzo Rodríguez, vecino de Viüaraayor. Suplentes. D. Santiago Perez, abogado, vecino de Can deleda. D. Josef Bautista Brochero, labrador,…</t>
  </si>
  <si>
    <t>Nüpokon</t>
  </si>
  <si>
    <t>…gén, cerca de •Eisterw.erda , en la n»c he del j*9' í:b2o , el cual -sel regulaba- en 4®' hombres! Según los últimos in-; formes, ei rey de Ná.poles.estaba- aun en Grossenhayn. E1 emperador Nüpokon en persoga atacó eb 17 las gargantas de Bohemia; peto fué rechazado por el cuerpo austríaco de los genera les Colloreao y Meetfeidy con pérdd®- de 7 cañones-, un - estandarte, 4©*prisioneros;; entre ellos-ei general de brigada Kreutzer. . . “BÉLexérdto edra-b…</t>
  </si>
  <si>
    <t>Nupping</t>
  </si>
  <si>
    <t>287 los franceses quieran usar de la fuerza para sacar los caballos. — Dícese que el emperador Alejandro ha declarado á sn hermano Constantino rey de Polonia. El conde Nupping, embaxador austríaco cerca de la corte de Suecia, pasó el 3 de Febrero por Hele imburgo para su destino. Dícese que se va á hacer un arreglo entre Dinamarca y Rusia,, según el cual se permitirá por la Gran-Bretaña el comercio entre Dinamarca, Noruega y Rusia…</t>
  </si>
  <si>
    <t>Nuria, Francisco de Copoas y</t>
  </si>
  <si>
    <t>Francisco de Copoas y Nuria</t>
  </si>
  <si>
    <t>…, y contraxeron un mérito particalnr.=Dios guarde á V. S. muchos años. Esparraguera 8 de A^orto de i8i3.=El comandante de la segunda brigada de la primera división = José Manso. = Sr. D. Francisco de Copoas y Nuria. -=.Es copia. La Regencia del reyno se ha servido nombrar teniente coronel del regimiento de infantería de México á D Ignacio de Mora, sar gento njayor del propio cuerpo. CADIZ : IMPRENTA NACIONAL : 1813.</t>
  </si>
  <si>
    <t>Nuuaüíes</t>
  </si>
  <si>
    <t>…nte es un oficial de mucho DLz ;p. El enemigo se ha dirigido contra la mérito. La segunda compañía de gastadores, man altura de S. Miguel. Acercándose á favor de escar dada por el capitán Nuuaüíes , se ha conducido gran pes, que no se habían visto, ha encerrado todos ios demente. La tropa que había en ei castillo perte puestos en ia obra. Ha tomado las estrellas, que neciente á la guardia de París se destinó ai servi se habiau empezado á'la izquierda y…</t>
  </si>
  <si>
    <t>O, Jacinto</t>
  </si>
  <si>
    <t>Jacinto O</t>
  </si>
  <si>
    <t>…bkta, D. Vicente Larraga, D. M ¿mano Onnaeckea, D. Victoriano Iribarren , D. Juan José Tercero, D. Ignacio Lasa, I), Tomas Faudiño, 1). Gregorio .Eche» garay, D. A n Ionio Arzola, D. Jacinto O na , D José Vinegra, D. Santos Besga , D. Joaquín Ruiz, D. Ma uel Clemente, D. Ra món Marañon , D. José Albumes, D. José Luizaain , D. Francisca Ardaiz, D. José Díaz, D Antonio Abadía, D. Nicolás Soriano, D. Bernardo Moliner, D. Manuel Llera, D. José Perulan,…</t>
  </si>
  <si>
    <t>Ó, Juan</t>
  </si>
  <si>
    <t>Juan Ó</t>
  </si>
  <si>
    <t>…n Girón: y ruego á V. E. me permita le recomiende á su protección. = Dios guarde á V. E. muchos anos. Lesaca 9 de Octubre de 1813. = Wellington, duque de Ciudad -Rodrigo. = Excmo. Sr. D. Juan Ó^Donoju.” =: Es copia. SEGUNDO. Parte del general en gefe interino del exército de reserva de An dalucía al señor duque de Ciudad-Rodrigo. »Excmo. Sr.: En consecuencia de las órdenes que V. E. se sir vió comunicarme, ataque el 7 del presente las fuertes posici…</t>
  </si>
  <si>
    <t>O, Santiago</t>
  </si>
  <si>
    <t>Santiago O</t>
  </si>
  <si>
    <t>…caballería dé esta división, ha biendo quedado el campo sembrado de cadáveres, con gran número de heridos, de aterrados y fugitivos. Perdimos al valiente coman dante de granaderos D. Santiago O -Reiliy y otros 2 oficiales de gra duación, cuyos nombres ignoramos. El todo de la acción nos ase guran que ha sido muy glorioso; pero que la brillante carga de Ur caballería, dada al cuadro enemigo, excede á todo elogio. Con esta acción ha quedado Tortosa ca…</t>
  </si>
  <si>
    <t>O-Caílaqhan</t>
  </si>
  <si>
    <t>…lería del brigadier general • Tensón by , y la división ligera procedente de Izar, mientras qué la brigada de caballería del general Víctor Alten, y la de infantería del honorable coronel O-Caílaqhan, de la segunda división , subían des de Hormaza las alturas ; y el resto de las tropas ¿ mandadas, por el teniente general Sir Rolando Hi 11, amenazaban las alturas de Estepar. Estos movimientos desalojaron inmediatamente al enemigo de su posicios. La caballe…</t>
  </si>
  <si>
    <t>O-Callaghan</t>
  </si>
  <si>
    <t>…atendiendo á la dispari dad de fuerzas. »Estoy particularmente satisfecho de la conducta del mayor ge neral Pringle en esta ocasión, como también de la del coronel Ash worth , del coronel O-Callaghan, y del teniente coronel Fitzgerald del regimiento num. 60 de infantería; de todos los comandantes de brigadas que estuvieron á las órdenes de dicho mayor general, é igualmente del teniente general conde de Amarante, y del brigadier general Costa, que fue heri…</t>
  </si>
  <si>
    <t>O-Collaghan</t>
  </si>
  <si>
    <t>…cooperación con él. w En este tiempo fué herido el teniente general, y el mando de la división recayó en el mayor general Pringle , el cual con su pro pia brigada, mandada por ei coronel O-Collaghan, renovó el atas que por nuestro lado, mientras que la séptima división los perseguía por el otro, y ambas divisiones ganaron la altura casi al mismo tiempo, y el enemigo se retiró después sufriendo una pérdida muy considerable. »La conducta del teniente gener…</t>
  </si>
  <si>
    <t>O-Con, Francisca</t>
  </si>
  <si>
    <t>Francisca O-Con</t>
  </si>
  <si>
    <t>…sulta que en su vista hizo .el tribunal especia: de Guerra y Marina con fe cha 13 de Mayo último; se han servido resolver, accediendo á la solicitud de esta interesada : i.° Que á Doña Francisca O-Con se le considere todo el sueldo que su marido debia gozar en cali dad de comandante del batallón del General, á cuya cabeza mu rió Heno de gloria; pagándose por el erario nacional la diferencia entre la pensión de sargento mayor que tiene ya asignada , y el ha…</t>
  </si>
  <si>
    <t>O-DomaeU, Alexsndro</t>
  </si>
  <si>
    <t>Alexsndro O-DomaeU</t>
  </si>
  <si>
    <t>…glo riosa lucha. La emperatriz reynante, deseando todavía dar mayores pruebas de su particular afecto, convidó á comer si dia siguiente al señor de Bardaxí, al cónsul general y al coronel D. Alexsndro O-DomaeU, que lo es del regimiento; y mandó distribuir á la tropa 14 barricas de arroz, 3© libras de carne, mas de 1© botellas ¿e leche y mucho aguardiente. Igualmente la emperatriz madre tuvo la dignación de convidar á comer el día 25 al referido señor de Bardaxí.\.…</t>
  </si>
  <si>
    <t>O-Donell</t>
  </si>
  <si>
    <t>…que le fueron per siguiendo por aquel camino y el de Irun. En la primera de estas dos cartas se asegura que en el día ó 26 de bían entrar en Burgos 1 j2) hombres á las órdenes del general O-Donell, Esperamos con ansia la rélatidm ctreunstáhciadá de-esta acciónque pue de decirse con seguridad ha garantido la independencia.de la península. Pero entre tanto se verifica este extremo, copiaremos á la letra otra carta, que se, ha recibido del mismo JJúrgos c…</t>
  </si>
  <si>
    <t>…el territorio español, y nos restituyan las personas reales. =r En el castillo de Pancorbo había 600 hombres aislados, que se han rendido hoi al exército de reserva, que manda el general O-Donell. La gazeta extraordinaria de Aragón de 8 del corriente y la ordinaria del 10 conlirman la noticia de haber los enemigos evacuado la ciudad de Teruel el dia ó protegidos de una coluna procedente de Valencia; y que todos re unidos tomaron el camino de la sierra…</t>
  </si>
  <si>
    <t>…rdan los habitantes que se haya practicado en ninguna guerra; lo que manifestaron los mismos franceses con la sorpresa que les causó al verla jugar contra ellos.__ El exército del general O-Donell con una división nuestra debe quedar sitiando á Pamplona; y por este camino que lleva el quartel general marchan las divisiones del general Hill y las ligeras quarta y séptima. {Telégrafoportugués*) 1 Alicante s&gt; de julio. Orden que ha comunicado el señor com…</t>
  </si>
  <si>
    <t>…o añade que en los dias 28 y 29 hubo otra especie de acción me nos: fuerte en Castalia-, en la que los españoles sufrieron una considerable pérdida, principalmente la división del general O-Donell (i); Por cartas de la costa de Francia sabemos que y a s£ había extendido por aquella nación la noticia de la batalla del 21. En Alemania corría la voz de que Berthier, ó mas bien Ney, había muerto abrasado en la casa donde es taba alojado juntamente con Bona…</t>
  </si>
  <si>
    <t>…endo llegado las Emperatrices, empezó la ceremonia de la bendición por las oraciones de costumbre: acabadas estas, fueron presenta das las banderas al comandante de este cuerpo el coronel O-Donell y á dos oficiales del mismo regimiento. El cuerpo prestó entonces el juramento de Adelidad al Rei Fernando vn y á la Constitución según las formalidades pres critas.. Cantóse después un le Deum, y se celebró la misa, que concluyó con unas preces por la conser…</t>
  </si>
  <si>
    <t>O-Donell, Henrique</t>
  </si>
  <si>
    <t>Henrique O-Donell</t>
  </si>
  <si>
    <t>…. Madrid 27 de agosto. Parece que todos los individuos del exército de Andalucía están pene trados del mayor sentimiento por la inevitable separación de su digno general el Excmo. Sr. D. Henrique O-Donell. Mas esto nada tiene de extraño, pues según hemos visto en varias cartas el conde del Abisbal es uno de aquellos ge nerales que parte con el soldado los mayores riesgos y fatigas; siendo tal su actividad que en una marcha de mas de 200 leguas no ha faltadoque…</t>
  </si>
  <si>
    <t>O-Donneli</t>
  </si>
  <si>
    <t>…t exército aliado en este punto es la misma que á principios de Julio. En Vera se hallan las tropas españolas) y las francesas ocupan todavía algunos montes de su jurisdicción. El general O-Donneli está en Yanci con 16® hombres. El señor ue de Ciudad Rodrigo se halla en esta indispuesto, aunque no de cuidado. Valencia JO de Agosto. El general en gefe del seguido exército pasa á ir¡ cor porarfe, al frente de algunas divisiones, con el exército aliado que…</t>
  </si>
  <si>
    <t>O-Donnell, Alexandro</t>
  </si>
  <si>
    <t>Alexandro O-Donnell</t>
  </si>
  <si>
    <t>…destino al exército de reserva de Galicia, el primer batallón del hermoso regimiento de infantería Im perial Alexandro, que formado en ia capital del imperio ruso por el teniente coronel D. Alexandro O-Donnell, baxo los auspicios y protección de aquel soberano, nuestro f.t'mo aliado, desembarcó en Santander el 4 del corriente, y se acantonó el mismo dia en esta villa. Ir un i.° de Noviembre. Se asegura que se han recibido aquí p no i i eos de Londres hasta el 2Ó de…</t>
  </si>
  <si>
    <t>O-Donojá, Juan</t>
  </si>
  <si>
    <t>Juan O-Donojá</t>
  </si>
  <si>
    <t>…s de los senadores que se han opuesto á las ideas del Emperador están encerrados en el Temple. Parte dirigido por el señor duque de Ciudad •'Rodrigo en del mes ante rior al Excmo. Sr. D. Juan O-Donojá, secretario del despacho de la Querrá. (Véase la gazeta anterior, pág. 804.) „Exemo. Sr.: el enemigo desde principio de agosto ocupó una posición, apoyando su derecha al mar enfrente de S. Juan de Luz, sobre la márgen izquierda del Nivelle, con su centro en l…</t>
  </si>
  <si>
    <t>O-Donojñ, Juan</t>
  </si>
  <si>
    <t>Juan O-Donojñ</t>
  </si>
  <si>
    <t>…ie^ca. En ia noche del 14 vi mos las lumbres de un pequeño cuerpo en Frías. Dios guardé á V. E. muchos años. Quincoces 17 de Junio de 1813. Exentó. Sr. =s José Q-Lantlor. — Excmo. Sr. D. Juan O-Donojñ." En consideración á los servicios y mérito det brigadier D. Mel chor Ayinerich , gobernador de la provincia de Cuenca en ultramar, y del coronel D. Juan Saman©, y al particular que han contraído en el exército de Quito al mando del teniente general D. Toribi…</t>
  </si>
  <si>
    <t>O-Dónoju</t>
  </si>
  <si>
    <t>…os, apla zándose su continuación á mañana. n-Del 18. El secretario del despacho de Marina dio cuenta de que la Re gencia había encargado el de Estado, durante la indisposición del Sr. O-Dónoju , que lo estaba interinamente, ¿ D. Fernando La-Serna. El Sr. Quartero, anunciando que diría verdades amargas para algunos</t>
  </si>
  <si>
    <t>O-Donojú, Juan</t>
  </si>
  <si>
    <t>Juan O-Donojú</t>
  </si>
  <si>
    <t>…ó el fuerte de Alcañiz, re tirándose por Caspe hacia Mequinenza. = Dios guarde i V. E. mu chos años. Lesaca 19 de Julio de 1813. = Wellington , duque .de Ciudad-Rodrigo. =r Excmo. Sr. D. Juan O-Donojú.” La Regencia del rey no se ha servido conferir la tenencia vetera na de la primera compañía del primer batallón del regimiento de in fantería de milicias disciplinadas de la Habana á D. Andrés García, subteniente agregado ai regimiento de infantería de Méxic…</t>
  </si>
  <si>
    <t>O-Donoju, Juan</t>
  </si>
  <si>
    <t>Juan O-Donoju</t>
  </si>
  <si>
    <t>…abía batido al enemigo en la posición de Concal cerca del Abisbal. «Dios guarde á V. E. muchos años. Irurzun 24 de Junio de 1813. zszWellington \ duque de Ciudad-Rodrigo. ='Exemo. Sr. Don Juan O-Donoju.” (1) Se publico en la gaceta del sábado 12 de junio ultimo. y</t>
  </si>
  <si>
    <t>…estado de heridos'y muertos (*): el general Morillo fué herido , é ignoró hasta ahora el nombre de los demas‘oficiales de su división, pero lo remitiré en otra ocasión, as Excmo. Sr. D. Juan O-Donojú.” R si ación de la artillería, carros y municiones tomadas al enemigo .. en la acción del 2,1 de Junio de 1813. Dé á 12. 28^ r Cañones. De á 8. 42 í Dé á 4Artillería de j 53 \ De á 8 pulgadas. . . 3 &gt;• 151 bronce. 20 De á 6. ...... De 4 y dos quintos. j De 6…</t>
  </si>
  <si>
    <t>…. un estado de heridos y muertos: el general Morillo fue herido, é ignoro hasta ahora el nombre de los demas oficiales de su división; pero lo remitiié en otra ocasión. == Excmo, .Sr. D. Juan O-Donoju. Relación de la artillería, carros y municiones tomadas al enemu acción del 21 de junio de 1813. /De á 12 Cañones......i De á 8 . (.De á 4.. Artillería de ^ fDe á 8 pulgadas bronce..... i Obuses........JDe á 6. IDe á 4 y-dos quintos. (.Morteros..... De ó pulg…</t>
  </si>
  <si>
    <t>…bla batido al enemigo en la posición de Concal, cerca del Abisbal. „ Dios guarde á V. E. muchos años. Irurzun 24 de junio de 1813. = Wellington, duque de Ciudad-Rodrigo. =5 Excmo. Sr. D. Juan O-Donoju.* / ti</t>
  </si>
  <si>
    <t>…bre el Xucar, donde todavía permanecian el dia 24.= Dios guarde á V. E. muchos años. Quartel general de Ostiz á 3 de julio de 181 3.= Wellington, duque de Ciudad-Rodrigo. = Excmo. Sr. D. Juan O-Donojú. = Es copia.” Parte del conde del Abisbal, „ Con fecha de 29 de junio anterior dixe á V. S., para que lo elevase di conocimiento del Excmo. Sr. general en gefe de los exéreitos nacionales, que Jos cazadores y granaderos de la primera brigada de la primera div…</t>
  </si>
  <si>
    <t>…éis se im prima, publique y circule. =X. de Barbón, cardenal de Scala , ar zobispo de Toledo, presidente. = Pedro de Agar. ss Gabriel Cis car. = En Cádiz á 5 de Julio de 1813. = A D. Juan O-Donojú. Del lugar de Pando, montañas de Santander, se desapareció el dia 17 cíe Marzo de 1811 un jóv.n de edad de 13 años, llamado Ignacio Díaz de la Rasilla, y no habiendo desde entonces sabido de éi; se suplica á quien tenga noticia de su paradero haga el íavor de…</t>
  </si>
  <si>
    <t>…e aplaude altamente Ja conducta de su ge fe de estado mayor. ='Dios guarde á V. E. mucho5, años. Le taca 10 de Setiembre de 1813. ^r-Wellington , duque de Ciudad-Rodrigo. = Excmo. Sr. D. Juan O-Donojú.” Documentos que se citan en el parte anterior. ■Extracto de un ojíelo del teniente general Sir Tomas Grafiam al marques de Wellington , fecho en Ernani á $ de Seiúmbrs de 1815. ' ' * «Tengo la satisfacción de participar á V. S. que el castillo de S. Sebastia…</t>
  </si>
  <si>
    <t>…se vacante la secretaría del despacho de Estado que interinamente desempeñaba D. Antonio Cano Manuel, he tenido por conveniente disponer se encargue de ella en los mismos términos D. Juan O-Donojú, secretario del despacho de Guerra.— Tendréislo entendido, y dispondréis lo necesario á su cumplimien to. = Cádiz 10 de Octubre de 1813.= A D. Francisco de Paula Osorio.” Con la misma fecha se ha servido la Regencia del reyno dirigir al señor secretario del d…</t>
  </si>
  <si>
    <t>O-Donojü, Juan</t>
  </si>
  <si>
    <t>Juan O-Donojü</t>
  </si>
  <si>
    <t>…apitulación , me es preciso diferir hasta otra vez su remisión__ Dios guarde á V. E. muchos años. Vera 1.* de Noviembre de 1813.—W^ellington , duque de Ciudad- * Rodrigo. — Excmo. Sr. D. Juan O-Donojü.”</t>
  </si>
  <si>
    <t>…este cuerpo y su gefe el mariscal de campo D. Luis Wiinpffen. = i)ios guarde á V. E. muchos años. San Pe 13 de noviembre de 1813. = Wellington, duque de Ciudad-Rodri go, ss Excmo. Sr. D. Juan O-Donoju.” GOBIERNO POLITICO DE LA PROVINCIA DE MADRID. El Sr. Intendente general-del tercer exército me ha dirigido el oficio siguiente: «Teniendo considerables existencias de granos, menestras y aceites per tenecientes á este exército en los reinos de Granada y Jaén…</t>
  </si>
  <si>
    <t>…ellos, nada importante había ocurrido por aquella parte. Dios guarde á V. E. muchos años. S. Juan de Luz 22 de Noviembre de 1813. =2 Wellington^ duque de Ciudad Rodrigo. = Excmo. Sr. D. Juan O-Donoju.” CADIZ : IMPRENTA NACIONAL: 1813.</t>
  </si>
  <si>
    <t>O-Donojü, O. Juan</t>
  </si>
  <si>
    <t>O. Juan O-Donojü</t>
  </si>
  <si>
    <t>…nes para rendirse; pero aun no he recibido el parte del resultada__ Dios guarde á V. E. muchos años. Vera i? de Noviembre de 1813. — Wellington, duque de Ciu dad Rodrigo. — Excmo. Sr. O. Juan O-Donojü.” Segundo. „Excmo. Sr. : Después que escribí á V. E. esta ma ñana, he recibido el adjunto parte del mariscal de campo D. Carlos España , en que anuncia haberse rendido por capitulación la plaza de Pamplona, quedando la guarni ción prisionera de guerra , por c…</t>
  </si>
  <si>
    <t>O-Donqjú, Juan</t>
  </si>
  <si>
    <t>Juan O-Donqjú</t>
  </si>
  <si>
    <t>…udad Rodrigo.” P. D. ,, Acompaño el estado que expresa los muertos , heridos , pri sioneros y dispersos que tuvimos en la acción del general Barne el 2 del «oliente. — Exento. ¿r. D. Juan O-Donqjú.” — Es copié. % CADIZ: IMPRENTA NACIONAL: IM*</t>
  </si>
  <si>
    <t>O-Dpnojú, Juan</t>
  </si>
  <si>
    <t>Juan O-Dpnojú</t>
  </si>
  <si>
    <t>…costa de Levante desde que escribí á V. E. últimamente. «Dios guarde á V. E. muchos años. Subijana sobre el rio Ba yas 19 de Junio de duque de Ciudad~Rodngc.=. i8r/tiritón Exento. Sr. D. Juan O-Dpnojú.” La Regencia del í'eyno se ha servido promover á coronel deí re gimiento de infantería de la Luisiana, al graduado y teniente coronel del mismo D. Francisco Maximiliano de San-Maxent. La junta general de accionistas del Banco nacional de S. Carlos, celebrada…</t>
  </si>
  <si>
    <t>O-Gavan</t>
  </si>
  <si>
    <t>…ropeo: 6.° el Sr. Larrazabal ,' de ultraoTar; y debiendo; decidir la suerte la elección del 7;° diputado entre..un europeo y oti’o de ultramar, se procedió á verificarla entre el Sr. O-Gavan , americano, y el Sr. marques de Espeja, europeo: fue electo este,ultimo. Los Sres. Cévallos, europeo, y Navarrete, americano, fueron; elegidos por suplentes de la misma diputación.__ Las Cortes,.respondiendo á la cyrisulta de dicha.diputación ¿obre si se hab…</t>
  </si>
  <si>
    <t>O-Gon, Francisca</t>
  </si>
  <si>
    <t>Francisca O-Gon</t>
  </si>
  <si>
    <t>…á él. = Luis WimpfFen.= Sr. D. PedroAgustia Girón. ■ _____ i. Las Cortes, generales y extraordinarias, habiendo tomado en considera ción la,instancia y, documentos presentados por Doña Francisca O-Gon, viu da. del .teniente coronel graduado) D. Rafael Gevallos y Escalera, coman dante del batallón de granaderos del General del quárto exército (hoi tercer ro.) sin real aprobación, y la consulta que en su vista hizo el tribunal espede.Guerra,y Marina con fech…</t>
  </si>
  <si>
    <t>O-Lawlor, José</t>
  </si>
  <si>
    <t>José O-Lawlor</t>
  </si>
  <si>
    <t>…asegura que una sección de la caballería del gelieikl DürbOn que se dirigió7 por Tabara á; Benavente , ha hecho 46© dragones prisioneros en Castro-Gonfcalo. ARTICULO DE OFICIO. El brigadier D. José O-Lawlor, empleado á las inmediatáy,¿ófúi dénes del Sr. duque de:Ciudad-Rodrigó, y nombrado por 'esté' su secretario de campaña, en oficio de 4 de este mes desde la Mota de Toro dice al Sr. ministro de la Guerra, entré cosas, lo siguiente: ftEl exército aliado sigue s…</t>
  </si>
  <si>
    <t>…irculé. == .£. de Béébpii% «ardenal de Scala , arzobispo de Toledo, presidente. = Pedro de Agar. = Gabriel Ciscar. = En Cádiz á 11 de Junio de 1813. = A D. Antonio Cano Manuel. El brigadier D. José O-Lawlor, secretario de campaña del señó» duque de Ciudad-Rodrigo ¿ ha- dirigido al Sr. secretario del despacho de la guerra el parte siguiente:. j&gt; Kxcmo. Sr.: El todo del exército ha pasado el Ebro, y nos ha llamos en marcha hácia Vitoria y el .camino real de Franci…</t>
  </si>
  <si>
    <t>tis-fecfco que estoy 3e 'sti coñáüctá, ígHálrnétíte qué la del mariscal de ¿•ampo D. Miguel de Alava, y de la aél brigadier D. José O-Lawlor, quienes hace tanto tiempo que e^tan empleados útilmente conmigo. La artillería se colocó juiciosamente por, el teniente coronel Dikson¿ y esta anrva fue bieh: servida ,, y el exército está particularmente reco nocido éste cuerpo. - '• 5 ' «La natqrale«á del…</t>
  </si>
  <si>
    <t>O-Réilly</t>
  </si>
  <si>
    <t>1002 &gt;*La conducta de ja marina ba continuado con -el misino celo en su cooperación por disposición de Sir Jorge Goiliier ; y los servicios dei teniente O-Réilly con los marineros empleados en las baterías, han sido tan distinguidos como antes. »Me permitirá V. S. que llame su atención á la conducta del distinguido oficiar mayor general Osivaid, que ha tenido el mando interinamente de la quinu división en ausencia del…</t>
  </si>
  <si>
    <t>O-Reilly, Santiago</t>
  </si>
  <si>
    <t>Santiago O-Reilly</t>
  </si>
  <si>
    <t>…aballería de esta división, ha biendo quedado el campo cubierto de cadáveres, con gran número de heri dos, de aterrados y fugitivos. Perdimos al valiente comandante de granade ros D. Santiago O-Reilly, y dos oficiales de graduación mas, cuyos nom bres ignoramos. El todo de la acción nos aseguran que ha sido mui glorio sa ; pero que la brillante carga de la caballería dada al quadro enemigo ex cede á todo elogio.«—También se asegura que noticioso Suehet de…</t>
  </si>
  <si>
    <t>O-Toole</t>
  </si>
  <si>
    <t>…al brigadier general Campbell al servicio portugués: todos los gefes y oficiales de Tos regimien tos se distinguieron por su bizarría; pero noté particularmente la del tenien* te coronel O-Toole, del regimiento núm. 7.* de cazadores, en la carga á la bayoneta sobre nuestra izquierda el dia 28; y la del capitán del regimiento:</t>
  </si>
  <si>
    <t>Obeso, Bartolomé de</t>
  </si>
  <si>
    <t>Bartolomé de Obeso</t>
  </si>
  <si>
    <t>…go á replegarse á Zara y atrincheramientos de aquella parte. Obser vando que el enemigo hacia baxar de la montaña tropas para atacar ini iz«r quierda,, ordene al coronel de Madrid D. Bartolomé de Obeso, que con su batallón y dos compañías del de Galicia arrojase al enemigo á toda costa de aquella posición; lo qual verificó con una rapidez admirable. En seguida emprendí mi marcha con el batallón de Galicia para perseguir al enemigo; pero habiendo este embara…</t>
  </si>
  <si>
    <t>Obeso, Manuel</t>
  </si>
  <si>
    <t>Manuel Obeso</t>
  </si>
  <si>
    <t>76 mentó de 23 de Julio del año próximo pasado, se lia servido promo ver á sargento mayor del quinto batallón del regimiento de Zapa dores-minadores, á D. Manuel Obeso , capitán de granaderos del re gimiento iufimtepa, de Jaén,, actualmente mayor del detall en él d*j Prayia: á capitanes, á D. Alberico Manpoey, ayudante mayor del regimiento de Zamora, D. Lorenzo José Limpo Cuello Texeyra, teniente del de voluntarios de Madri…</t>
  </si>
  <si>
    <t>Obregon, Manuel</t>
  </si>
  <si>
    <t>Manuel Obregon</t>
  </si>
  <si>
    <t>…’de ios-atrincheraníientos del enemigo, en cuyas'Operaciones le mataron el ¡jabalío de tres ■ ‘'■ • ; f. -balazos. - ' ': Los ayudantes del estadd mayor D. Josef María Pania^ua y D. Manuel Obregon, el primero encargado de la segunda división, desempeñaron sus funciones á su satisfacción. 'v !' *. • Mi ayudante de campo «1 teniente coronel.D. Ramón Díeguez se bajío constantemente en los puntos? adonde fiévó misprddnés, acreditando lá ma yor actividad, z…</t>
  </si>
  <si>
    <t>Ocampo, José María</t>
  </si>
  <si>
    <t>José María Ocampo</t>
  </si>
  <si>
    <t>I(Jjgj?hi de granaderos; D. José Villamil y D. Vicente López, sub tenientes del segundo de granaderos del de voluntarios de Asturias; D. José María Ocampo, subteniente del de Santiago; D. Pedro Oloris, sargento mayor ; D. Francisco Lapedreza , D. José Salama , Don -Gerónimo Londoño, D. Juan del Rio y D. Francisco Mediaviila, tenientes; D. Francisco Solimi, D. Marcelo Ortiz y D. Francisco Salvador , subtenientes…</t>
  </si>
  <si>
    <t>Ocampo, Josef María</t>
  </si>
  <si>
    <t>Josef María Ocampo</t>
  </si>
  <si>
    <t>…o Díaz, y D. Francisco Salgado, tenientes, el primero de granaderos; D. Josef Villar mil y D. Vicente López, subtenientes del segunda de granaderos del de yoluntarios de Asturias; D. Josef María Ocampo, subteniente del de San? tiago; D. Pedro Oloris , sargento mayor; D* Francisco Lapedra?a * TXtJosef Salama , D. Gerónimo Londoño;, D. Juan del Rio y D. Francisco: Median villa, tenientes; D. Francisco Solimi, D. Marcelo. Ortiz y D.. Francisco Salvador, subten…</t>
  </si>
  <si>
    <t>Ocaña</t>
  </si>
  <si>
    <t>…s para traer refuerzos al exércíto del Lord. El dia ii de julio dio la vela para Stralsund una parte de la legión alemana. En la sesión de Cortes del dia io de este mes prppuso el señor Ocaña? que estando ya próximo el dia en que había de comenzar sus sesiones la jun ta preparatoria de las Cortes ordinarias , y debiendo celebrarse en Madrid, capital del reino, si no lo impidiesen las circunstancias de aquel momento, la Regencia expidiese inmediata…</t>
  </si>
  <si>
    <t>Ocaña, Eusebio Sánchez de</t>
  </si>
  <si>
    <t>Eusebio Sánchez de Ocaña</t>
  </si>
  <si>
    <t>…próximas Cortes ordinarias, y de los individuos que han de componer la diputación provincial, han sido electos Para diputados de Cortes. D. Juan Manuel Renjifb, cura de Casavieja. D. Eusebio Sánchez de Ocaña , vecino del Barco de Avila. Suplente. D. Juan Agustín Sanz, vecino de Arévalo* Para la diputación provincial. D. Miguel Benito Cantero y Grande , provisor y canon igo de esta santa iglesia. D. Juan Sánchez Bermejo, vecino del Sotillo de las Palomas. D. Anton…</t>
  </si>
  <si>
    <t>Ochoa</t>
  </si>
  <si>
    <t>…huyeron de nuevo por las barrancas. Su pérdida fue de 54 muertos y muchos heridos, siendo la de la tropa del rey un patriota de los primeros y 9 de los segundos, entre ‘ «líos el comandante Ochoa de gravedad en un pie. , y. Hacienda- de Ville la 2 de Abril de 1812. Una división de</t>
  </si>
  <si>
    <t>Ochoa, Esteban</t>
  </si>
  <si>
    <t>Esteban Ochoa</t>
  </si>
  <si>
    <t>…btenientes á las sargentos, primeros del propio cuerpo veterano D. José Villamil y D. José Ensebio More no, y ú los cadetes D. Domingo Velarde, D. Juan Ortega, D An tonio Andrade, D. Esteban Ochoa, D. Antonio de RooyJ). José</t>
  </si>
  <si>
    <t>Ochoa, Miguel</t>
  </si>
  <si>
    <t>Miguel Ochoa</t>
  </si>
  <si>
    <t>…dor del camino. 3. Norias , provincia de Nayarit, 2S de Marzo de j 812 . Por oficio del mariscal de campo D. Bernardo Bonavia, fecha en Durango á 6 de Abril, consta que el capitán comandante D. Miguel Ochoa, que salió de Sta. Teresa en persecución'de la gavilla de Cecilio Gon zález, después de haber recorrido varios puntos de la sierra sin en contrar al enemigo , y castigado al pueblo de Dolores en que se ha bía dado muerte al general Matías Flores y 2 patriotas…</t>
  </si>
  <si>
    <t>Odonojti, Juan</t>
  </si>
  <si>
    <t>Juan Odonojti</t>
  </si>
  <si>
    <t>…Freyre; y ruego á V. E. me permita recomendarle á su protección. s= Dios guarde á V. E. muchos años. Lesaca 2»de Setiem bre de 1813.“ Wellingten, duque de Ciudad Rodrigo. = Excmo. Sr. D. Juan Odonojti. = Es copia” Núm. 2.® Parte del general en gefe del cuarto exército D. Manuel Freyre. }, Excmo. Sr.: El 31 del mes próximo pasado al amanecer pasaron los enemigos el Bidasoa en fuerza por los vados delante de la cañada de Soroya , haciendo replegar nuestros p…</t>
  </si>
  <si>
    <t>ODonoju, Juan</t>
  </si>
  <si>
    <t>Juan ODonoju</t>
  </si>
  <si>
    <t>…abía ocupado nuevamente la posición de Casta’la. = Dios guarde á V. E. muchos años. Cuartel general de Zubieta 10 de Julio de 1813.=: Weliington, duque de Ciudad-Rodrigo. = Excmo. Sr. D. Juan ODonoju.” CADIZ: IMPRENTA NACIONAL : 1813.</t>
  </si>
  <si>
    <t>ODonojú, Juan</t>
  </si>
  <si>
    <t>Juan ODonojú</t>
  </si>
  <si>
    <t>…e el 7 hasta el 27 de Julio , y los de los muer to* , heridos , prisioneros y dispersos que hemos tenido en las operaciones desde 35 del pagado hasta el l.Q del corriente. — Excmo Sr. D. Juan ODonojú.” NUM. 2.« „ Excmo. Sr.: Habiéndose detenido el coronel Goycoechea hasta hoy para dar lugar á que se reuniesen, los estados relativos al oficio que acompaña de las operaciones hasta l.° del corriente, tengo que añadir para el conocimiento de V. E. que el enem…</t>
  </si>
  <si>
    <t>Odonojú, Juan</t>
  </si>
  <si>
    <t>Juan Odonojú</t>
  </si>
  <si>
    <t>…éire; y ruego á V. Eí me permita recomendarle.á su pro tección. = Dios guarde á V. E. muchos años. Lesaca 2 de setiembre de 1813:= Wellington, duque de Ciudad-Rodrigó. = Excmo. Sr.D. Juan Odonojú¿= Es copia.” (Sí continuará.) "Estando mandado por las ileyes del reino (tít. 7, lib. 1 de la Recop.j y otras reales órdenes que dé tódas las.obras, libros, papeles y escritos, de quálquiera clase y riatu raleza qüe sean, quereimpriman ó reimpriman se entre g…</t>
  </si>
  <si>
    <t>Odoqui, Juan de</t>
  </si>
  <si>
    <t>Juan de Odoqui</t>
  </si>
  <si>
    <t>…,; D. Josef Heros» ídem,de ca zadores; D. Esteban Islafoyo, D. Josef Tejada, D. Jdsef Caña y.D. Fran cisco Vargas, subteniente del segundo de Asturias; I&gt;. Josef Rico, capi tán, y D. Juan de Odoqui, teniente del de Guadalaxara; D. Juan Loarte* coronel; D. Antonio Villegas y D. Antonio Martínez, tenientes; D. Luis •Alcalá, subteniente del de la Constitución; Mariano Castell, teniente coronel; D. Josef Rio-mayor, capitán ;D. Nicolás Collar, D. Manuel Rajn…</t>
  </si>
  <si>
    <t>Odrinsola, Manuel</t>
  </si>
  <si>
    <t>Manuel Odrinsola</t>
  </si>
  <si>
    <t>…50. D. To-ms Jurado, 50. O Sebastian Corrínarefc,50. D. Antonio León, 50. D. Juan y D. M g-id Viña, 50. D Andrés Sánchez Quiroz , 50. D. Antonio Bbras, 50. D Francisco Nnaez, 50. D. Manuel Odrinsola, 50 D. Fulg í c o Z avala, 50. D. Vicente Aborta, 50. D. Francisco Sagasti, 50. D. Pedro Larrañ ga, 25 D. Julián Psraz, 25 O. José Osorio, 25. D. Miguel Jáaregui, 25. D Juan Mella, 95 O. Alonso Ronero, 25. 13 Domingo Ufqu’jo. 25 1). José Oétolasa, 25. D. Fran…</t>
  </si>
  <si>
    <t>Ofcrdell</t>
  </si>
  <si>
    <t>…us tropas el mayor valor en la toma de la aidea de Shoufeld , creyó necesario proteger ai general conde St. Priest, que no tenia artillería. Veinte cañones suecos, mandados por el general Ofcrdell, llegaron prontamente. Se aseguró el punto» y el vivo y acertado fuego obli gó al enemigo á retirarse precipitadamente. ; Como se adelantaba la noche, el exército quedó en vivaque. Los generales Suchtelen, Steward , Vincent, Pozzodi, Borgo y Krusemarek estuvi…</t>
  </si>
  <si>
    <t>Ogendorf</t>
  </si>
  <si>
    <t>…0 barcos cargados de harina, vino y municiones de guerra destinados para ei exército que está sitiando X Glogau. Nuestros puestos avanzados están en medio del camino de Brieg-. El general Ogendorf fue nombrado gobernador de Breslau, en cuya capital reina el mayor orden. Los habitantes están mui descontentos é indignados con las medidas del levantamiento en masa, que atribuyen al general Scharn horst, quien está reputado por un jacobino anarquicé', este…</t>
  </si>
  <si>
    <t>Ogeroff</t>
  </si>
  <si>
    <t>58 mado el camino de Smolensko el cuerpo de Beauharnois, continúa persiguiéndole y privándole de todos los medios para procurarse ví veres y forrages. El ayudante general Ogeroff participa con fecha de 14 de No viembre que asaltó, la aldea de Krasnoy. Los cazadores, á pesar del fuego de metralla del enemigq, acometieron, á la bayoneta, á sus columnas, y después de un combate en que tuvieron también parte nuestra-artillería y caballerí…</t>
  </si>
  <si>
    <t>Ogeroffsky</t>
  </si>
  <si>
    <t>…ara reunirse con el general Platow en Gumbinnen. „E1 general Tormasow con la columna que había mandado el feid-mariscal en persona, se movió hacia Grodno; y V. E observa rá que el conde Ogeroffsky con su destacamento tomé posesión de aquella plaza, en la que había entrado el coronel Davidow en 20 del corriente. Los austríacos se habían destacado con dirección á Grod no ; pero se retiraron de todos los puntos al avanzar las tropas rusas, y un destacamen…</t>
  </si>
  <si>
    <t>Oiabrol</t>
  </si>
  <si>
    <t>…tro de lo Interior, piraf con danza á Soulíer » accediendo á su petición, Hemos dteretado y decretamos lo siguiente*. con la esperanza de ganar tiempo, y de obtener no ahí. i.° El señor Oiabrol, prefecto del depar ticias positivas del estado de las cosas , no 1c sirve tamento de Montenotte,. queda nombrado prefec de escusa de no haber tomado desde el principio to del departamento del Sena. Una resolución enérgica; 2-0, Nuestro ministro de lo Interio…</t>
  </si>
  <si>
    <t>Oiazarra, Joset</t>
  </si>
  <si>
    <t>Joset Oiazarra</t>
  </si>
  <si>
    <t>…quedas presentes vieren'y entendieren, sabed: que las Cortes han decretado lo siguiente : ‘ ' ,,sLas Cortes' generales y extraordinarias, á consecuencia de lo que les ha expuesto D. Joset Oiazarra á nombre del reverendo obispo electo deGuayana D. Josef Ventura-Cabello,-acerca de los inales que asi en lo moral co mo,en lo político añiden á aquella provincia^ con motivo d.e que las reduc ciones de .iydibs enc.arg^da,s ,á .misiones pnhque, $e emplean los…</t>
  </si>
  <si>
    <t>Oiler</t>
  </si>
  <si>
    <t>…se estas Cortes, empezándose por las de Guerra y Hacienda, Aprobado. Sr. Villanueva: que se den gracias al duque de Ciudad-Rodrigo y s« exército por el paso del Vidasoa. Aprobado. Sr. Oiler: que se recomienden á la Regencia las viudas é hijos de los dos gefes del regimiento de Benavente, muertos gloriosamente en estas acciones. Aprobado. El castillo de Morella se ha rendido: en la gazeta próxima publicaremos los- detalles. Nueva Ciropedia, ó los…</t>
  </si>
  <si>
    <t>Oiloqái, Cayetano</t>
  </si>
  <si>
    <t>Cayetano Oiloqái</t>
  </si>
  <si>
    <t>…e mayor del regimiento de Zamora, D. Lorenzo José Limpo Cuello Texeyra, teniente del de voluntarios de Madrid , D. Manuel Fuentes de Toro, ayudante del de voHuitarios de Mérida, y D. Cayetano Oiloqái^ te niente del de Lean?: á ayiidauté niayor segundo, a, IX Vicente Goyanes, teniente del primero de Sevilla : á tenientes, á D, Juan Cam pos, subteniente del regimiento infantería del Rey, D. José Cas can!, subteniente agregado al de Truxillo, D. Indalecio Co…</t>
  </si>
  <si>
    <t>Oirange, Federico de</t>
  </si>
  <si>
    <t>Federico de Oirange</t>
  </si>
  <si>
    <t>…er á este exhorto, deben Acaba dé publicarse una ordenanza de 3 febrero, pasar inmediatamente á Bresiau ó á Colberg.” dada en Bresiau» y firmada por el canciller barón __ S. A. el príncipe Federico de Oirange ha salido delHardemberg, en cuyo preámbulo se dice lo si hoi de aquí con «1 consejero de legación Glasser pa guiente: ra Bresiau. ,,;El ínteres dél estado exige un pronto aumen Los señores generales Latour-Maúbourg y Sauto en nuestras tropas en una época en q…</t>
  </si>
  <si>
    <t>Oís, José</t>
  </si>
  <si>
    <t>José Oís</t>
  </si>
  <si>
    <t>…los que las presente* vieren y entendie ren , s$bed: que las Cortas han decretado lo siguiente: «Las Cdrt-.s generales y extraordinarias, á consecuencia de lo que les ha expuesto D. José Oís zarra á nombre del reverendo obiípo. elec to de Guayona D. José Ventura Cabello, acerca de los mal- s que así en. lo mori-1 como en lo político afligen á aquella proviri ia, con mo tivo de que las reducciones de indios encargadas á las Misiones en que se empl…</t>
  </si>
  <si>
    <t>Olabé, Florencio</t>
  </si>
  <si>
    <t>Florencio Olabé</t>
  </si>
  <si>
    <t>…, D. Vicente Pe- rez, D; Pedro Osta, D. PrudencLoBujandayD- José Orduna,D. An gel El vial de. D- Marianos Jlundain , D. Federico G billón , D. Luis Ganuza, Fan^ rancisco Ilundáin, D. Florencio Olabé ,&lt;D. Francisco Antonio Asuran D. Tomás Zubiri, D. Pedro Miguel Salvador , Don Prudencio Cortazar , D. Celedonio Gómez , D. Juan Braulio Diaz, D. Patricio Calvete, D. Serafín Zaráquiegui, D. Miguel Senosiain, D. José Echeverría;y D^ Clemente Diez de Tejada: á…</t>
  </si>
  <si>
    <t>Olaeta, Ramón de</t>
  </si>
  <si>
    <t>Ramón de Olaeta</t>
  </si>
  <si>
    <t>…e el Sr. D. Francisco dé Assin en .esta corte, y por las escribanías citadas; en inteligencia de que'pasado dicho término/les parará el perjuicio que haya lugar. ; ? Por muerte de D. Ramón de Olaeta, coronel que fue del regimiento de Vo luntarios de Castilla , han quedado algunos intereses en poder de ciertas personas. Los herederos del expresado coronel podrán acudir á D. Martin Alonso de las Heras, eslíe del Carmen , núm. 7, quarto. segundo, quien les…</t>
  </si>
  <si>
    <t>Olalor</t>
  </si>
  <si>
    <t>…arte...__Ya sabrás como el gobierno español ha obsequiado á lord :Wellington por tanto comó se le debe con la hermosa posesión del Soto de Roma, la qual ha cedido di¿ cho señor.al brigadier Olalor por los dias de su vida: rasgó de generosidad* y ninguna ambición por tener___ Un grande convoi que los franceses iban á introducir en S.,Sebastian ha sido apresado,por los ingleses.__-Acaban los franceses de echar de Pamplona mas de 300 personas de sus amigo…</t>
  </si>
  <si>
    <t>Olañeta, Pedro Antonio</t>
  </si>
  <si>
    <t>Pedro Antonio Olañeta</t>
  </si>
  <si>
    <t>…resado Hontaneda, cuya actividad en ayudarme á poner este punto en estado de defensa ha sido ex traordinaria y constante; como también la del subdelegado teniente coronel graduado D. Pedro Antonio Olañeta, proporcionándome to* dos los recursos que ha podido allanar su actividad. Igualmente son digno» deda consideración de V. S. ios de igual clase D. Mariano Antesana y D. Venancio B 2*1 ávidos , mi ayudaste de órdenes capí* tan graduado D. Casimiro Hoyos, 0. Jo…</t>
  </si>
  <si>
    <t>Olasagarri, Pedro Juan de</t>
  </si>
  <si>
    <t>Pedro Juan de Olasagarri</t>
  </si>
  <si>
    <t>…2 id. D. Juan Bautista Zaracondegui, 2 id. D. Francisco Antonio Goitesolo, 2 id. D. Miguel Fernando Ruiz, 2 id. D. Andrés Sánchez Quiros, 2 id. D. Francisco de Paula Calvo, 2 id. D. Pedro Juan de Olasagarri, 2 id. D. Juan Ignaoio de Mndizabal, 2 id. D. Manuel Garrido, 2 id. D. Esteban Cardona, 2 id. D. Nicolás Cameruaga, 2 id. D. Francisco Fernandez Ziesa, 1 id. D. Manuel Barreda, 1 id. D. Alonso Candamo, 1 id. D Benito Cristi, 1 id. T). José de San Martin y Bla…</t>
  </si>
  <si>
    <t>Olavaríieta, Francisco</t>
  </si>
  <si>
    <t>Francisco Olavaríieta</t>
  </si>
  <si>
    <t>«4* t.° D. Ramón Montero., natural de Fiícncarral, canónigo lectoral de S. Ildefonso. 3*° D. Francisco Olavaríieta, natural y del comercio» de Madrid. •4.0 D. Román Corona , natural y hacendado en Yebra. '5*° D. Josef del Valle Salaba r, natural de Fuenlabrada, y abogado del colegio de Madrid. Suplentes. »D. Antonio Gami* , ministro del suprimido consejo de «Indias. D. Ju…</t>
  </si>
  <si>
    <t>Olazabal</t>
  </si>
  <si>
    <t>…una parte de los rebeldes ata caron el convoy, que se extendía una legua, por ia izquierda y re taguardia; pero fueron rechazados sin que lograsen el menor fruto. Considerando el señor Olazabal que hubiera sido muy sangriento un ataque formal, y deseando economizar la sangre de sus tropas, resolvió replegarse á Xalapa á íiu de depositar c-n dicha villa todo equipage y embarazo * y pasar el rio por otro punto. La pérdida del enemigo tué de considerac…</t>
  </si>
  <si>
    <t>…nel de artillería comandante dé su arma D. Antonio Zarate, su acreditado conocimiento é incansable celo. La compañía de indios zapadores de Xalapa cumplió sobresalientemente, y el señor Olazabal la recomien da al superior gobierno , suplicando la aprobación de una medalla que les concedió para recompensar su patriotismo. Para dar descanso á la tropa y proveer algunas cosas necesarias, se detuvo el señor Olazabal en Veracruz hasta el dia 11 , y dexand…</t>
  </si>
  <si>
    <t>Olazabtl</t>
  </si>
  <si>
    <t>…fecha de 16 de Febrero último , su expedición á Veracruz y regreso á acuella viíla, cuya, relación substancial es como sigueDepositadas las platas-en el fuerte de Perote siguió el señor Olazabtl á Xalapa, procurando fixar y combinar las noticias vagas é in conexas que tenia de la fuerza y fortificaciones de los rebeldes en el ■puente del Rey. Llegado el 1.4 de Enero á este .punto, determino practicar sobre él un reconocimiento antes de comprometer un…</t>
  </si>
  <si>
    <t>Olejua, Domingo</t>
  </si>
  <si>
    <t>Domingo Olejua</t>
  </si>
  <si>
    <t>…o Espoz y Mina• A capitanes de fusileros á D. Ramón Navarlaz, D. Hilario Mar co, D. Ramón Marichalar, D. Juan Badina y D. Juan Francisco Zarimluqui: á ayudantes á D. Pascual Sanz, D. Domingo Olejua , Don Juan Esteban Anant, D. Juan Monton ,D. Ramón Díaz de Itarraza, D. Ambrosio Dorregaray, D. José Mari a Larcano j Joaquín Mezquiriz, D. Santiago Arizavala, Dj Ildefonso Zizur, D.José Pinilla y D. Pedro Brull .* á tenientes de granaderos y. cazadores á D.…</t>
  </si>
  <si>
    <t>Oliver</t>
  </si>
  <si>
    <t>…retaría del almirantezgo se han recibido pliegos del ca pitán Epwort de la fragata ia Ninfa que anuncian la presa del corsario americano el Earagon, el 14 de Agosto. Una carta dei capitán Oliver , del Valiant, dice que sas fragatas Acaste y Atalante han des truido 15 buques en Lorg Is'and. El almirante Warren escribe de Halifax, el 23 de Setiembre, oue i&amp;s tropas mondadas por Sidney B^ck -viih desembarcaron en frente de Peplar Isíand, de donde ho yo…</t>
  </si>
  <si>
    <t>Oliver, Mariano</t>
  </si>
  <si>
    <t>Mariano Oliver</t>
  </si>
  <si>
    <t>…ua , D. Antonio Alvarez , D. Manuel Sesé , D Martin Martínez, D. Antonio Laso y D. José Moriones: á subtenientes de granade ros y cazadores á D. Fermín Izu , D Sebastian Echarte , D. Mariano Oliver, D Dionisio Antoñana, D. Antonio Andia, D. Eusebio Oraá , D Mariano Gayarte , D. Faustino Irigoyen , D. Antonio Ladrón, D. Antonio Zabalza, D. Felipe Vicuña, D Manuel Arragu i, D Manuel Otayza, D Ramón Tajonar, D. José Hernández, D. Gregorio Beriani, D. Domin…</t>
  </si>
  <si>
    <t>Olmeda, Benito</t>
  </si>
  <si>
    <t>Benito Olmeda</t>
  </si>
  <si>
    <t>263 Bj.tr rio df lar CpanA diría. B ¡rrio de jesus Nazareno. D. Pedro Pescador, alcalde.. D. Benito Olmeda, alcaide. D. Frvnpi co Pando,, substituto primero. . D. Calixto Vi!! dva, substituto profiero. •D. Pablo,Marquiep, substituto segundo. ; D. Felipe Monasterio, substituto segundo. Barrio (te la puerta de Sigovia. Barrio de Pinto. D. Francisco Vives, alcalde. D…</t>
  </si>
  <si>
    <t>Olmedo</t>
  </si>
  <si>
    <t>…rificó, y en su consecuencia se procedió al nombramiento qué la misma diputación hizo de presidente y secretario de ella, recayendo el primero en el Sr. Espiga, y el segundo en el Sr. Olmedo. 1 . ARTICULO DS OFICIO. • 1 ' y f . - . . Continúa la instrucción'para el gobierno económico-poKtico de las pro* viñetas. ! ,ART. yn, „ El sueldo -de. J05. ge fes políticos.en Ja. peníosu!a.nobaxará,.de .50© reales anuale^, ni pasará de 100©, arreglándose, e…</t>
  </si>
  <si>
    <t>Olmedo, Mariano Rodríguez</t>
  </si>
  <si>
    <t>Mariano Rodríguez Olmedo</t>
  </si>
  <si>
    <t>…valor y decisión : mi mayor general interine conde de Casa-Ría!; los coroneles O. José Gircía Santiago y Con Pedro Barreda son dignos de elogio ; el diputado en Corees de la Plata D. Mariano Rodríguez Olmedo, prebendado de aquella igle sia, mi auditor conde de Valle-hermoso y D. Pedro Vicente Cañete, fueron inseparables de mi lado , y en medio de los tiros de la artille ría enemiga se mantuvieron con mucha serenidad: y sin excepción del último tambor del exército…</t>
  </si>
  <si>
    <t>Olmo, Fernando García del</t>
  </si>
  <si>
    <t>Fernando García del Olmo</t>
  </si>
  <si>
    <t>…Lie. D.' Francisco Hernanz de Vargas, vecino de Lozoya. '5.0 Sr. D. Baltasar Carrillo Lozano y Manrique, vecino de Atienza. 6.a Sr. D. Ventura de Zudiaur, vecino de Cifuentes. 7.0 Sr. D. Fernando García del Olmo, vecino de Alcolea del Pinar. Suplentes. i.° Sr. D. Patricio Sanz Pinilla, vecino de Alustante. 2.0 Sr. Lie. D. Pedro Josef Ibarrola, vecino de Mondejar. 3.0 Sr. Lie. D. Manuel Sabroso, vecino de Valdearenas. Madrid 26" de julio, Extracto del parte del corone…</t>
  </si>
  <si>
    <t>Olmo, Juan Vela y</t>
  </si>
  <si>
    <t>Juan Vela y Olmo</t>
  </si>
  <si>
    <t>…gado al de Truxillo, D. Indalecio Coronel, subteniente del de Guuda-axara, y D. J uan Escolar, subteniente del tercer bgí^flgn del mismo regimiento de zapadores: á subtenientes^ á D. Juan Vela y Olmo y D. José García de Tovar, cadetes de laacademia militaT déla Ida de León, D. .Manuel* Guio, distinguid ó de la. referida academia, ai subteniente D. Antonio Novoa, sargento primero del sexto batallón de zapadores , D. Martin Santoíirniaj ca dete de la referida academia, D. J…</t>
  </si>
  <si>
    <t>Oloris, Pedro</t>
  </si>
  <si>
    <t>Pedro Oloris</t>
  </si>
  <si>
    <t>…j?hi de granaderos; D. José Villamil y D. Vicente López, sub tenientes del segundo de granaderos del de voluntarios de Asturias; D. José María Ocampo, subteniente del de Santiago; D. Pedro Oloris, sargento mayor ; D. Francisco Lapedreza , D. José Salama , Don -Gerónimo Londoño, D. Juan del Rio y D. Francisco Mediaviila, tenientes; D. Francisco Solimi, D. Marcelo Ortiz y D. Francisco Salvador , subtenientes del primero cántabro; D. Silvestre Hidalgo, t…</t>
  </si>
  <si>
    <t>…de granaderos; D. Josef Villar mil y D. Vicente López, subtenientes del segunda de granaderos del de yoluntarios de Asturias; D. Josef María Ocampo, subteniente del de San? tiago; D. Pedro Oloris , sargento mayor; D* Francisco Lapedra?a * TXtJosef Salama , D. Gerónimo Londoño;, D. Juan del Rio y D. Francisco: Median villa, tenientes; D. Francisco Solimi, D. Marcelo. Ortiz y D.. Francisco Salvador, subtenientes del primero Cántabro; D. Silvestre Hidalg…</t>
  </si>
  <si>
    <t>Onteniente, Reidistancia de</t>
  </si>
  <si>
    <t>Reidistancia de Onteniente</t>
  </si>
  <si>
    <t>…el mcs, las tropas de Alicante volvieron otra vez hi dia tj de enero de 1813 al Excmo. Sr. minisela esta misma parte. Habiéndose fixado i corta tro de Guerra por el señor general conde Reidistancia de Onteniente un puesto de 80 hombres» l'.e, comandante del exército de Portugal. el gefe de batallón Bugeaud del 116.0, comandante de esta villa, destacó el 16 de diciembre por la no Excelentísimo Señor: che, con igual número de hombres sin mochilas, al „ El general Merme…</t>
  </si>
  <si>
    <t>Oolviíle</t>
  </si>
  <si>
    <t>…cuerpo por tugués, que ha tomado el nombre de Cazadores de águilas, en razón de estar dedicado á coger banderas y,trofeos del enemigo. Estas tropas están adictas á la brigada del general Oolviíle en la tercera división ; y. hallándose con este oficLi destacadas en un servicio mui avanzado el día de la batalla de Vitoria, se apoderaron del bastón del general Jourdan, y se le entrega ron á su comandante el geueral Colville, quien al día siguiente le pre…</t>
  </si>
  <si>
    <t>Or'gercw</t>
  </si>
  <si>
    <t>37 ...... 1S de Noviembre. — El capitán Naschokin, de los húsares de la'guardia, destacado por el ayudante general conde Or'gercw , aco metió con algunos cazadores y caballería ligera un destacamento enemigo en la aldea de Smorai: duró el combate 4 horas, y el ene migo se retiró á la aldea de Micháilow ; pero habiendo sido perse guido , cayó allí mismo prisionero. Algunos destacamentos…</t>
  </si>
  <si>
    <t>Oraá</t>
  </si>
  <si>
    <t>…ue se hallaba sobre el convoy que retiraban por aquella parte, el cual se vid precisado á abandonar el enemigo ¿exaudo en poder de mis soldados un canon de á 12. Su cesivamente el señor Oraá fue recibiendo ordenes del señor general Hiíl por medio de un edecán suyo para ocupar todas las alturas de la derecha, é impedir que el enemigo tomase ninguna posición, y en este caso desalojarlo: habiendo intentado hacerlo una columna ene miga, fue batida po…</t>
  </si>
  <si>
    <t>Oraá, Eusebio</t>
  </si>
  <si>
    <t>Eusebio Oraá</t>
  </si>
  <si>
    <t>…ez, D. Antonio Laso y D. José Moriones: á subtenientes de granade ros y cazadores á D. Fermín Izu , D Sebastian Echarte , D. Mariano Oliver, D Dionisio Antoñana, D. Antonio Andia, D. Eusebio Oraá , D Mariano Gayarte , D. Faustino Irigoyen , D. Antonio Ladrón, D. Antonio Zabalza, D. Felipe Vicuña, D Manuel Arragu i, D Manuel Otayza, D Ramón Tajonar, D. José Hernández, D. Gregorio Beriani, D. Domingo Ihañez, D. Eusebio Ocha de Alda, D Angel Estabulo, D…</t>
  </si>
  <si>
    <t>Oraa, Marcelino</t>
  </si>
  <si>
    <t>Marcelino Oraa</t>
  </si>
  <si>
    <t>…ción á Francia había entrabo en oai inas , y que de esta guarnición salieron bastan tes enenrgos á tomar las alturas que hay sobre la Texeria. Dispuse enanco que el sargento mayor D. Marcelino Oraa, con una com paró 1 de las de reserva y las 3 que quedaron de observación, saliese á detenerlos liana tanto que cruzara ia carretera todo el equipase y brigada; y así fue, que á posar de ser muy superiores las fuerzas enemigas , se batió con ellas por mas de…</t>
  </si>
  <si>
    <t>Oraá, Marcelino</t>
  </si>
  <si>
    <t>Marcelino Oraá</t>
  </si>
  <si>
    <t>…umna de infantería, á los que habiendo hecho algún fuego puse en confusa dispersión Luego que conocí que los enemigos se. retiraban por el punto de Salvatier ra, mandé al teniente coronel D. Marcelino Oraá que ocn toda la infantería cargase sobre su flanco derecho, mientras que yo con la caballería los recargaba sobre su izquierda: Oraá cruzaba ya el ca mino que de Vitoria se dirige al puerto de Mostrun , cuando reci bid ordenes del general Sir Rolando Híil par…</t>
  </si>
  <si>
    <t>Oraá, Mareelino</t>
  </si>
  <si>
    <t>Mareelino Oraá</t>
  </si>
  <si>
    <t>492</t>
  </si>
  <si>
    <t>492 D. Mareelino Oraá, comandante del 5.0 regimiento de la división de Na varra, el oficio y estado siguientes: Paso á manos de V. S. el adjunto estado, que manifiesta los efectos ha llados en la rendición del castillo de esta plaza r para que se slxva. mandarlo insertar en la gaz…</t>
  </si>
  <si>
    <t>Orakesheiíf</t>
  </si>
  <si>
    <t>…llí volvió por Glatz y Reichembach al castillo de Petersvaldaco. Acompañaban á S. M. su secretario de Estado conde de Nesselrode, el gran mariscal de la corte conde de Tolstoy, el general Orakesheiíf, el ayu dante general conde dé Ozazowsky, y varios oficiales de estado mayor. El Emperador de Austria pasó algunas dias.en el castillo de Kormopos, y volvió á Gitschin; no sabemos si se avistará con el Emperador Alexanaro en Opotschna, donde también parece qu…</t>
  </si>
  <si>
    <t>Orange, Federico de</t>
  </si>
  <si>
    <t>Federico de Orange</t>
  </si>
  <si>
    <t>…esiones de amistad y estimación persona!. S. M. el emperador de Rusia se ha dignado condecorar con la orden de S. Jorge, y S. Me el rey de Frusta con la del águila Aoxa á S. A. el príncipe Federico de Orange , hermano dei-príncipe he redero que sirve en la península á las órdenes de lord Weíiington, en recompensa de sií distinguida conducta en las batallas de Lutzen y Bautzcn. .&lt; Man salido de Glatgou hacia Leiíh, con el objeto de embarcarse para E&gt;paria, varios…</t>
  </si>
  <si>
    <t>Orbuña, José</t>
  </si>
  <si>
    <t>José Orbuña</t>
  </si>
  <si>
    <t>…s estuvo á tiro de pistola de la columna enemiga haciendo fuego sin perder un tiro. Asimismo re comiendo á la compañía de cazadores de este batallón , que al mando del subteniente D. José Orbuña , despites de hí berse batido bizarra mente, recibió con la mayor serenidad una embestida de la caballe ría, á la que rechazó. Todo lo que traslado al conocimiento de V. E. para que se sirva elevarlo al de S. A. , á fin de que premie , si lo tuviere á bien ,…</t>
  </si>
  <si>
    <t>Orczco, Josef García</t>
  </si>
  <si>
    <t>Josef García Orczco</t>
  </si>
  <si>
    <t>…tán D. Manuel Carrillo, del batallón de .Almería^ el ayudante mayor D. Manuel Baso, y el teniente D. Josef Vi•tal.,. del "regimiento segundo de Sevilla : el capitán ele cazadores. D. Josef García Orczco , ) los subtenientes D. Juan Marc y D. Vicente Alcina, del segundo de Cataluña; el subteniente D. Juan Manuel Quevedo ,-del bata llón del General, y el subteniente de granaderos* de Ordenes Dv Teodoro Martínez. Campo de Larrun 8 de octubre de i8i3.=V.° B.° =…</t>
  </si>
  <si>
    <t>Orda, Marcelino</t>
  </si>
  <si>
    <t>Marcelino Orda</t>
  </si>
  <si>
    <t>…ntinúan los partes del mariscal de campo D. Francisco Espese y Mina,. Undécimo. wEl mismo comandante me dice haber recibido del teniente co ronel del quinto regimiento de su mando D. Marcelino Orda el si guiente parte. Mi coronel: el general Taupin con 4© infantes, 60 caballos y 2 cañones, discurría las Amescoas, y noticioso del fuego que tuvo ayer nuestra tropa en las inmediaciones de Vitoria, se di rigid hacia Salvatierra: como que no ignoraba las ten…</t>
  </si>
  <si>
    <t>Ordcñez</t>
  </si>
  <si>
    <t>…nticipadas á aquel señor in tendente, creo que no se me detendrá allí , y en tal caso estaré en Querétaro el u’timo de este, lo que aviso también por medio de cor reo escoltado al Sr. Ordcñez. Acompaño á V. E. para su conocimiento copia del parte que he dirigido á mi general del golpe dado á ks Rayones en Salvatierra el dia 16 , y remito también á V. E. un extracto de las declara ciones simples, que se han tomado á los 4 soldados insurgentes pre s…</t>
  </si>
  <si>
    <t>OrDoaoju</t>
  </si>
  <si>
    <t>…iado por esos Ilustres militares, cuya vista rae deleita!? Quisiera hallarme en sus filas, sí no para pelear, para consolarlos, y reco ger la sangre de sus heridas.’* : , • . Y el general OrDoaoju,. dexando colocados los trofeos enemigos á los pies del retrato del Rei Fernando, se retiró con su acómpañamiento; des pedido con las iqismas formalidades con que se le recibió. *, / ? D. Rodrigo Reieha Barrantes Maldonado, natural de la ¡ vilia de Valen cia…</t>
  </si>
  <si>
    <t>Ordoñez, Cristóbal</t>
  </si>
  <si>
    <t>Cristóbal Ordoñez</t>
  </si>
  <si>
    <t>…'clo, y solo hay dife rencia de que los traydores Eieeaga y Verdusco no ayudaron como se decía á las tropas dd rey, ni se sabe el que hayan sido indulta dos : así me !o escribe el Sr. D. Cristóbal Ordoñez desde Cdaya con fecha de ayer, incluyéndome un pliego pura V. E. que le di rigió el enunciado teniente coronel Iturvide , y yo lo despacho en «I dia de hoy con competente escolta hasta el pueblo de S. Juan</t>
  </si>
  <si>
    <t>…bo h¿sra la jurisdicción de Mextitlan, efectos t. dos dé las acciones anteriores. = Dios guarde á V. S machos, año';. Ixmiqeilpatn Juni 3 8 de 1813. == Rafael Casasolz. zz eo:onei D. Cristóbal Ordoñez, comandante de la sección d *. Zimapan. « O.spu-.s ce escrita esta se han presentado 300 indios al indubo, remitidas par Casimiro Gómez. = Casasota." listiidi que manifiesta la artillería, armamento y municiones que e¿ india Casimiro Gómez, titulado coronel y…</t>
  </si>
  <si>
    <t>…indultado con toda su gente José Felipe Maya, que se nom braba coronel, debiendo á este en mucha. p;¿rte la prisión del citado Viiiagran. De todo daré pme detalladamente al señor coronel Don Cristóbal Ordoñez; pues por no di atar á V. E. tan satisfactoria no ticia, dirijo este en derechura. «Pasado mañana lugo 2 Ixmiquüpam , y los presos estarán bien custodiados hasta la determinación de V. E =D^os guarde i V. E. muchos unos. Campamento de Camarones 13 de Junio de…</t>
  </si>
  <si>
    <t>OrDonojú, Juan</t>
  </si>
  <si>
    <t>Juan OrDonojú</t>
  </si>
  <si>
    <t>…a este cuerpo y su gefe el mariscal de cam po D. Luis Wimpífen. = Dios guarde á V. E. muchos años. San Pe 13 de Noviembre de 1813. = Weiüngíon^ duque de Ciudad» Rodrigo. = Exento. Sr. D. Juan OrDonojú." CADIZ i IMPRENTA NACIONAL i iSij.</t>
  </si>
  <si>
    <t>Ordovas, Miguel Santillana y D Ignaeio</t>
  </si>
  <si>
    <t>Miguel Santillana y D Ignaeio Ordovas</t>
  </si>
  <si>
    <t>…es D. Ramón Ignacio Plana, D. Jo sé Prieto Brigadier y D. Francisco Bustamante, graduado de coro nel; á tenientes coroneles á los sargentos mayores de brigada D, Ví sente Sánchez, D. Miguel Santillana y D Ignaeio Ordovas, gradua do de teniente coronel, D. Juan Bautista Pousich y D, Felipe de Arco Agüero, este graduado de teniente coronel; á sargentos maya res de brigada á los capitanes D. Domingo de la Iglesia, D Juan Oromi, D. Antonio Ibarrola, D. Andrés Rodríguez, D Félix d…</t>
  </si>
  <si>
    <t>Orduna, PrudencLoBujandayD- José</t>
  </si>
  <si>
    <t>PrudencLoBujandayD- José Orduna</t>
  </si>
  <si>
    <t>…so Zizur, D.José Pinilla y D. Pedro Brull .* á tenientes de granaderos y. cazadores á D. Isidoro IrachMta, D. Martin de Yoldi, D. Martin Gastón, D. Vicente Pe- rez, D; Pedro Osta, D. PrudencLoBujandayD- José Orduna,D. An gel El vial de. D- Marianos Jlundain , D. Federico G billón , D. Luis Ganuza, Fan^ rancisco Ilundáin, D. Florencio Olabé ,&lt;D. Francisco Antonio Asuran D. Tomás Zubiri, D. Pedro Miguel Salvador , Don Prudencio Cortazar , D. Celedonio Gómez , D. Juan Brau…</t>
  </si>
  <si>
    <t>Orea, Prudencio de</t>
  </si>
  <si>
    <t>Prudencio de Orea</t>
  </si>
  <si>
    <t>…sías patrióticas del mismo autor, edición de Londres en papel vítela. Vén dense á 20 "rs. en dicho despacho. Habiendo rállecido Doña Paula de Nales, quedó por uno de sus herederos D. Prudencio de Orea, menor de edad, qiíien salió de esta corte enfermo á fines ,del año de 1808 , sin que haya mas noticia que de haber llegado á Avila, presu miéndose que haya fallecido; y como en la testamentaría, se necesita saKer de su paradero, ó si ha muerto, como también…</t>
  </si>
  <si>
    <t>Orelly, Santiago</t>
  </si>
  <si>
    <t>Santiago Orelly</t>
  </si>
  <si>
    <t>…deí Excmo. Sr. gene ral en gefe,d brigadier D. Francisco Ferraz, gefe interino, de estado ma yor ? lo son* también el coronel agregado al estado mayor de la división ma llorquína D. Santiago Orelly, que estuvo como voluntario, por la bizarría t*uc' demostró- en la carga qu.e hizo con elesquadrou de.Ubrkj.ue, en la que:</t>
  </si>
  <si>
    <t>Oribe, Rafael de</t>
  </si>
  <si>
    <t>Rafael de Oribe</t>
  </si>
  <si>
    <t>1122</t>
  </si>
  <si>
    <t>…3 del cor riente por el ju?z primero de primera instancia de aquella ciudad, por ante el escribano de su numero O. Juan de Dios de Roxas y Cantero, quien mandó se hiciese saber al D. Rafael de Oribe exhi biese 1a fundación del vínculo, de la que se pusiese testimonio en sucinta relacipn, y que fuese bastante para acreditar los fundadores, dias en que se erigieron y con' qué facultades; y fecho, volviese á providencia. En efecto, hecho saber al D. Rafael…</t>
  </si>
  <si>
    <t>Orlando, Tur-</t>
  </si>
  <si>
    <t>Tur- Orlando</t>
  </si>
  <si>
    <t>…magno, il Mesciño, il Mambriano. Mas estima Mesa redonda. La primera de estas historias está dos son le Morgante maggiore de Luis Pulci y el consignada en la crónica atribuida al arzobispo Tur- Orlando innamotato de Boyardo, especialmente el Íin, y la segunda en la de Geuffroi de Monmouth. corregido por Berni. Apenas hai mucnacho en Ita os sucesos fabulosos que te cuentan en ellas pasa lia que, por poco que haya frecuentado la escuela, ron después á los poe…</t>
  </si>
  <si>
    <t>Ormaechea, Juan Miguel</t>
  </si>
  <si>
    <t>Juan Miguel Ormaechea</t>
  </si>
  <si>
    <t>…rotadores podían huir hacia el cerro de la Batea á Yurira. Ei resto de su división lo dividió en cuatro trozos, que fueron mandados por los tenientes coroneles D. Este ban Manera, D. Juan Miguel Ormaechea, el capitán D. Vicente Enderica, y el otro por ei mismo Iturbide. Luego que vieron los rebeldes marchar la división en todos rumbos, perdieron la firmeza que aparentaban, lo que observado por Iturbide, mandó atacar al momento. En electo, lo verificó con unos…</t>
  </si>
  <si>
    <t>Ornano</t>
  </si>
  <si>
    <t>…fii regi miento 9 de infantería marchó inmediatamente á este punto; pero las piezas estaban ya perdidas. A retaguardia rompió el enemigo el fuego con 4 piezas de arti llería, y el general Ornano cree (aunque síu asegurarlo) haber visto alguna infantería. Encada uno dé los otros dos puntos hubia 2 pie zas de campaña. Y. A. puede conocer cuan crítica será mi posición hallándome embarazado con mis grandes equipagcs y una artillería numerosa, de cuyo tre…</t>
  </si>
  <si>
    <t>…s para la artillería, este exército hubiera sido acometido por el flanco en el discurso de su marcha; pero fueron inútiles todos los esfuerzos para hacer pasar la artillería.___El general Ornano desembocó en las alturas de Petterswalde, mientras que el general Dumonceau llegó allí desde Hollen^ dorf. Hicimos algunos centenares de prisioneros, inclusos varios oficiales. El enemigo rehusó constantemente la batalla, y se retiró con precipitación en toda…</t>
  </si>
  <si>
    <t>…ó poco daño por estar fuera de tiro; pero habiendo los austríacos dexado su posición, y avanzado #on una batería de 24 cañones para atacar mas de cerca á ía división Duver net, el general Ornano mandó á los lanceros roxos de la guardia que car gasen sobre el enemigo, á quien cogieron los 24 cañones, y acuchillaron á todos los artilleros; mas no pudieron traer sino los caballos, dos cañones y un tren avanzado (2). El dia 18 el conde de Lobau se conser…</t>
  </si>
  <si>
    <t>Oro, Agustín</t>
  </si>
  <si>
    <t>Agustín Oro</t>
  </si>
  <si>
    <t>…D^ Clemente Diez de Tejada: á tenientes de fusileros á . D, VictorianoMangiron, D; Joaquín Mendiando , Don Pedro Oses* D José María Subirán , D. Miguel Tartas , D. Manuel Baztan ¿ D. Agustín Oro, D. José Joaquín Ározatena, D. Domingo Chávame, D. Agustín Mora, D. Juan Cruz Larrondo, D. Fran cisco Peralta, D. Manuel Salaberri, D. Dámaso Landa, D. Atanasio Diez, D. Bartolomé Comas, D. Ildefonso Mayo, D» JVLguql Ormachea, D Joaquín Sánchez, D José Miguel…</t>
  </si>
  <si>
    <t>Oronoz, José</t>
  </si>
  <si>
    <t>José Oronoz</t>
  </si>
  <si>
    <t>…tenientes los segundos del propio cuerpo; D. Andrés González, teniente del de Oviedo; Don Manuel Suarez Campa , capitán de la compañía de obreros; D. Ra món Lozano, D. Juan Ruvi, D. José Oronoz , capitanes, D. Felipe Ruvalcab3, teniente, y D. Leonardo Cotera, subteniente del prime ro cántabro, y D. Joaquín Díaz, capitán de tiradores de Cantabria. Los heridos son: D. Antonio Bausivi, subteniente del de Toledo; D. Andrés Narvaez y D. Francisco Romero,…</t>
  </si>
  <si>
    <t>Oros</t>
  </si>
  <si>
    <t>…a dignado concederle 12 decora entre los hombres de un mismo cuerpo, producirá ciones de la legión de Honor: se cita entre otros at necesariamente una economía, porque los cuerpos capitán Oros d’Aubonne en el número de los que proveerán el vestuario y fornituras á menos coste la han obtenido. El primer regimiento suizo partió que la municipalidad. el 21 de diciembre de Koénigsberg para trasladarse „Os encargo que no perdáis de vista un instan á Mar…</t>
  </si>
  <si>
    <t>Orourck</t>
  </si>
  <si>
    <t>…2] ¿30 piezas de artillería. El ge neral Wobeser hizo 250® prisioneros junto á Dahme: el mayor Itelwig con 5óó caballos cogió á los franceses 600 prisioneros y ocho cañones, y el general Orourck mas de 1®. La pérdida del enemigo en muertos y prisio neros debe haber sido inmensa. Puede calcularse en 16® hombres, mas de 50 cañones y 400 carros. La mitad de la guardia de Ney ha sido pasada á cuchillo____El general Blucher batió completamente al enemigo…</t>
  </si>
  <si>
    <t>…oo-prisione^ tos. El mayor Itelwig con 500 caballos avanzó á Sweinitz, Itertsbefg, y du rante la noche atacó una coluna enemiga, á la que cogió 600. prisioneros y Ocho cañones. El general Orourck aL frente de su caballería hizo mas de 1® prisioneros, y tomó algunas, piezas de artillería. Las tropas ligeras están con tinuamente haciendo prisioneros.. El general Regnier se mantuvo:.mucho tiempo expuesto al fuego de nuestros tiradores como un hombre que…</t>
  </si>
  <si>
    <t>…s. El mayor Itelwig con 500 caballos avanzó á Schweinkz y á Itartsberg, y durante la no che atacó á una columna enemiga, y la hizo 600 prisioneros, qui tándole ademas 8 piezas. El general Orourck, al frente de su ca ballería , hrto mas de 1® prisioneros, y tomó algunas piezis de ar tillería. Las tropas ligeras están continusmente cogiendo pasioneros. El general Regnier se mantuvo mucho tiempo expuesto al fuego de nuestros tiradores, como un desesperad…</t>
  </si>
  <si>
    <t>Orourk</t>
  </si>
  <si>
    <t>prisioneros. El general Orourk marchó'á Zerbig, y el teniente coronel Mel-’ nikow á Landsberg. Este y el teniente coronel Chrampowitsky tuvieron un1 bizarro encuentro entre Landsberg y Delitsch. El general francés Foutnief había salido de Leipsick con una división de caballería y quatró; p…</t>
  </si>
  <si>
    <t>Orourka</t>
  </si>
  <si>
    <t>…6. El cuartel general ha pasado á Modaschkowitsch. 1.7. Ei almirante Tchichagoff participa, el 4, que la vanguar dia p r ig Usó al enemigo ha^tu Latigal, y que el cuerpo del mayor general Orourka cogió á los guardias 2 banderas, un cañón, iÍGO prisioneros , sin incluir heridos y enfermos, entre aquellos muchos oficiales de todas graduaciones, y el general Pelit-Pressigny. El con de Pía lovr mandaba en este encuentro su regimiento de cos&amp;cos. El partid…</t>
  </si>
  <si>
    <t>15! El 7 filé perseguido el enemigo por el conde Orourka desde Mo* Hodetsclmo á Beliizi; y en su fuga perdió aquel 9 cañones, un gran número de caxones y carros, y mas de i000 prisioneros ; habiéndo se encontrado en los caminos un gran número de muertos , á censa del frió excesivo, entre los que había muchos de la…</t>
  </si>
  <si>
    <t>Orrantia, Francisco</t>
  </si>
  <si>
    <t>Francisco Orrantia</t>
  </si>
  <si>
    <t>…ta, de 100 caballos al mando del citado espitan Concha con orden de no em peñarse , y solo observar de cerca replegándose en buen orden , y al mismo tiempo se- la pasé al teniente coronel D. Francisco Orrantia, para que reuniéndose el destacamento de su mando con el de la goleta, lo hiciese entre doce ó una de la misma noche á esta ciudad. En el dia quedó situada la artillería en los puntos exterio res y cortaduras interiores, y lo mismo los comandantes y tropa que…</t>
  </si>
  <si>
    <t>Orrantia, Francisco de</t>
  </si>
  <si>
    <t>Francisco de Orrantia</t>
  </si>
  <si>
    <t>…pital para las provincias interiores. *• No salí inmediatamente porque se hallaba fuera de aquella villa con la mitad de la fuerza de esta división mi segundo el teniente co ronel D. Francisco de Orrantia ; pero habiéndoseme incorporado ei mismo dia, después de haber caminado muchos sin uro de descan so , le di el 6 para qiie se repusiesen algo los caballos, y el 7 em prendí la marcha con dirección á Guanaxuato; pero habiéndoseme asegurado en Penjamillo que en…</t>
  </si>
  <si>
    <t>…gones de S. Luis; pues todos tienen grande entusiasmo, firmeza y subordinación; pero recomiendo mas encare cidamente á mi segundo el may sereno y honrado teniente coronel graduado D. Francisco de Orrantia, quien recibió en un mudo una contusión de bala de fusil; á mis ayudantes de campo el teniente de una de las compañías del regimiento de infantería provincial de Pue bla D. Ramón Poace de León, y el de la misma cíase de ía Corona D. Rafael Calvo, que con el m…</t>
  </si>
  <si>
    <t>Orsetti</t>
  </si>
  <si>
    <t>…olaco, el fran El señor Popiel, nuncio del distrito de Sendocés y el aleman. mirzi. El señor Glinka, antiguo confederado de 3.0 Que se obliguen á enviar sus hijos á las es Bar; el señor Orsetti, rico hacendado en Lithuacuelas nacionales lúego que hayan llegado á la edad nia; el señor Niemira, nuncio del distrito de Sieldde siete años. cc, que en 1794 fue general de las tropas del dis 4.0 No llevarán nada en su exterior que los dis trito de Mielnick…</t>
  </si>
  <si>
    <t>Ortega, Casimiro Gómez de</t>
  </si>
  <si>
    <t>Casimiro Gómez de Ortega</t>
  </si>
  <si>
    <t>…. josef de Viilanova y Jordán, censor. D. Agustín Pasqual, substituto de censor. D&gt; Antonio.Siles , secretario. D. Josef Pabor?, substituto de secretario. D. Ramón Ruel, conrador. D. Casimiro Gómez de Ortega, ‘ubstjtDto de;Contador. D. Francisco de Paula Marti, tesorero. Don Ped^o Arícente deSqldeviüa, bibliotecario. D. Antonio Sandalió Arias , archi vero. ÍL Claudio Boutelou, secretario deja clase de agricultura. D. Torqitato lorio de la Riba, secretario ce U cl…</t>
  </si>
  <si>
    <t>Ortega, Juan</t>
  </si>
  <si>
    <t>Juan Ortega</t>
  </si>
  <si>
    <t>…de blancas D. Redro Urdaneta: de subtenientes á las sargentos, primeros del propio cuerpo veterano D. José Villamil y D. José Ensebio More no, y ú los cadetes D. Domingo Velarde, D. Juan Ortega, D An tonio Andrade, D. Esteban Ochoa, D. Antonio de RooyJ). José</t>
  </si>
  <si>
    <t>Ortega, Rafael</t>
  </si>
  <si>
    <t>Rafael Ortega</t>
  </si>
  <si>
    <t>…su ; i ementa y armas blancas y dé fuego. . . 19. Panga ayicicu aro 13 de Mayo de 1812. Una partida de pa triotas de Zamora, auxiliados dé )Q húsares, y destacada poi el te niente coronel D. Rafael Ortega, á las ordenes del teniente _de dra gones de Patzcuaro D. Francisco Torres, contra las gavillas de Xa— xera y Reínaga3 «atacó á esfcas con denuedo en el pueblo de Tanguan- . cicuaro, y los dispersó completamente dando muerte a 24 iebe*des, entre ellos á Reina…</t>
  </si>
  <si>
    <t>Ortigosa, Juan</t>
  </si>
  <si>
    <t>Juan Ortigosa</t>
  </si>
  <si>
    <t>…ara Salvatierra: la caballería marchó á Iquileta, y siguió igualmente á vanguardia de la infantería. He hecho á los ene migos unos 100 prisioneros: las heridas que han recibido el teniente D. Juan Ortigosa y 4 soldados del primer regimiento han sido toda raí pérdida en esta jornada; la del enemigo ha sido excesiva, y ha dexado en manos de mis'soldados una buena porción de sus rique zas , y muchos efectos. Debo recomendarlos á todos, ya que me consta que han mer…</t>
  </si>
  <si>
    <t>Ortigosa, Juan de</t>
  </si>
  <si>
    <t>Juan de Ortigosa</t>
  </si>
  <si>
    <t>…egoyen , D. José María Gurrea, D. Francisco Erdozain , D. Ma nuel Sauca, D. Agustín Apezteguia, D. Martin Benuza, D. Miguel Tolqsana , D. Juan Bautista Acosta , D. Xavier Azanza , D. Juan de Ortigosa, D, Basilio Oilabarren , D. Sebastian Cortazar, D. Teo doro González, D. Juan Oyaga, D. Remigio Crespo, D. Mauricio Segura, D. I^on Landache, D. Pedro Suso, P. Hermenegildo Mendigam n, D. F&lt;-mando Gamboa. (Se continuarán.) CADIZ : EN LA IMPRENTA NACIONAL. ^</t>
  </si>
  <si>
    <t>Ortíz, Antonio</t>
  </si>
  <si>
    <t>Antonio Ortíz</t>
  </si>
  <si>
    <t>…ces á D. Nicolás Sada, D. Lucas Munarriz, D. Francisco Ruiz , D. Cristóbal Pereti, D. Mariano Raqpedano, D. Mariano Amorós, D. Manuel Rodrigo, D. Gregorio Lagarda, D. José García, D. Antonio Ortíz, D. An gel Martínez, D. Antonio Blesa, D Fermín Fabiano, D. Pedro Garrea, D. Pablo Franca, D. Antonio Santos, D. Manuel Uría^ D. Bernardo Uriz, D. Geferino Galindo y D. Seraíin Ockoa. CADIZ ; EN LA IMPRENTA NACIONAL.</t>
  </si>
  <si>
    <t>Ortiz, Josef Alonso</t>
  </si>
  <si>
    <t>Josef Alonso Ortiz</t>
  </si>
  <si>
    <t>…St. He eis y _ \ armouth : el coronel Bioomfield ; el teniente coronel Congreve; 1). Luis de los Ríos, hermano de nuestro embaxador; el brigadier Dowméjal servicio de Espa ña J ; D. Josef Alonso Ortiz, cónsul general de España, y. D. Mauricio,Ort¡z, secretario interino de la embaxada. (conciso.)</t>
  </si>
  <si>
    <t>Ortiz, Marcelo</t>
  </si>
  <si>
    <t>Marcelo Ortiz</t>
  </si>
  <si>
    <t>…iago; D. Pedro Oloris, sargento mayor ; D. Francisco Lapedreza , D. José Salama , Don -Gerónimo Londoño, D. Juan del Rio y D. Francisco Mediaviila, tenientes; D. Francisco Solimi, D. Marcelo Ortiz y D. Francisco Salvador , subtenientes del primero cántabro; D. Silvestre Hidalgo, teniente coronel; D. Bernardo Alvarez, D. José Tai la y D. Manuel Mendez, capitanes; D. Vicente Noriega,D. Francisco Xavier Alva rez y D. Francisco Fresno , tenientes ; D. Sebastian Sánchez, Don Félix…</t>
  </si>
  <si>
    <t>Orus, Francisco</t>
  </si>
  <si>
    <t>Francisco Orus</t>
  </si>
  <si>
    <t>…ravo, sosteniendo los ataques del puente con su compañía, y cargando á los enemi gos ; y los subalternos del mismo cuerpo D. Jote Vidal y D. José Sierra: el capitán de Guadalaxara D. Francisco Orus, y los sub alternos del propio D. Cándido Arxsmendi y D. Manuel Zuluaga; como asimismo el capitán D. José Neyra, y el sargento primero de este regimiento D. José Roxas, que á ía bayoneta mató en el puente á un sargento enemigo, qu¿ perseguía al géfe de la bri…</t>
  </si>
  <si>
    <t>Orus, Miguel</t>
  </si>
  <si>
    <t>Miguel Orus</t>
  </si>
  <si>
    <t>…, y que los cuerpos permaneciesen de reserva en Una altura á tu derecha, mientras él cún dos compa ñías de cazadores, tres de granaderos y caballería&gt; ai-'ináúdó 'de ios capitanes D. Miguel Orus, del regimiento de Cariñena, y D. Jo sé Eechel del de iNumantinos, atacaba' y tomaba, durante la noche, el monte Torrero. Habiendo reconocido el campo observo que Pa rís tenia fortificado el puente de América, único por donde podría pasarse el canal, con 5 ca…</t>
  </si>
  <si>
    <t>Os-ckarofísky</t>
  </si>
  <si>
    <t>…cos al man do del coronel Grekoff Inicia Novoewerscheca en biiica del enemigo, y con objeto de entablar comunicación con el destacamento que man da el conde OschíiefLky. Id. 15 El conde Os-ckarofísky dice con fec ha del 14 que entró el dia anterior con su destacamento en el pueblo ce Lida t he bien fioadelantado sus puestos avanzados h-.sta las mismas nnirsdks de BieUeza; pero informado de que las tropas austríacas hablan salido de</t>
  </si>
  <si>
    <t>Osasilo</t>
  </si>
  <si>
    <t>…upación los pobres hubieran tenido por rica dos expedientes, de los quales resulta excomul •prisión la clausura, y mirado como una cárcei-el gado y deudor á los fondos públicos el doctor Osasilo de la misericordia. Para darles ocupación era tolaza.” { Redactor general núm. 582.) necesaria alguna industria, y no había ninguna en Rosas y llores son estas anécdotas y noticias pa la casa: para establecerla Litaban fondos; pero el ra los dicterios que en…</t>
  </si>
  <si>
    <t>Oscharoífaky</t>
  </si>
  <si>
    <t>…l dia 3. El general conde Platow pañi cipa, el dia l.°, que persiguiendo al enemigo le ha cogido un cañón, y hecho prisioneros varios oficia les y 300 hombres. El ayudante general conde Oscharoífaky estaba el dia 2 con su cuerpo en Logoiski. El general de infantería ha llegado hoy coa su vanguardia á Kosino. El almirante TchichagoíF comunica, el dia 2, que el mayor ge neral Lauskoy, á quien había mandado con un cuerpo á Piestchenitza por Jourieff, encont…</t>
  </si>
  <si>
    <t>Oschí.Toff</t>
  </si>
  <si>
    <t>…y con su destacamento á Mcsty. Iá. 20. El teniente general Schepeleff dice, que el 10 del cor riente de tacó 1000 hombres de la milicia de Kalouga á Bobrouisk. El ayudante general conde Oschí.Toff¿ky refiere con fecha de 19 de este mes, que el mayoT SchamscheíF, á quien feabia enviado con un regimiento de cosacos á Lcunna, habiendo sabido que iban por el-camino de Grodno algunos prisioneros rusos escoltados por tropa* austríacas, destacó ai É aou Marko…</t>
  </si>
  <si>
    <t>OschíiefLky</t>
  </si>
  <si>
    <t>…envió dos regimientos de cosacos al man do del coronel Grekoff Inicia Novoewerscheca en biiica del enemigo, y con objeto de entablar comunicación con el destacamento que man da el conde OschíiefLky. Id. 15 El conde Os-ckarofísky dice con fec ha del 14 que entró el dia anterior con su destacamento en el pueblo ce Lida t he bien fioadelantado sus puestos avanzados h-.sta las mismas nnirsdks de BieUeza; pero informado de que las tropas austríacas hablan sa…</t>
  </si>
  <si>
    <t>Oschurcff</t>
  </si>
  <si>
    <t>…llería ocupaban á Novcgrodeck y' Gavión, y que un destacamento enemigo que se retiraba con preci pitación habla sido derrotad a por los cosacos á las órdenes del ayu dante general conde Oschurcff ky. /íí.J4. El mayor generas Teutschkoff llegó el 10 con su cuerpo é Mm*k, é inmediatamente envió dos regimientos de cosacos al man do del coronel Grekoff Inicia Novoewerscheca en biiica del enemigo, y con objeto de entablar comunicación con el destacamento q…</t>
  </si>
  <si>
    <t>Oseñalde, Rafael</t>
  </si>
  <si>
    <t>Rafael Oseñalde</t>
  </si>
  <si>
    <t>…legio de Madrid. D. Manuel Aleas, vecino de Colmenar viejo. D. Francisco Marchámalo, magistrado de la audiencia de Castilla la nueva. D. Francisco López Alcaraz, vecino de Madrid. D. Rafael Oseñalde , cura propio de S. Andrés de Madrid. 1). Francisco Crespo de Texaaa, d^l comercio de (Madrid. ARTICULO DS OFICIO* las.Cortes generales y extraordinarias, deseando transmitir,á,la mas re mota posteridad lá memoria de % glpriosa yictoria: que el. exércijto ali…</t>
  </si>
  <si>
    <t>Oses, Pedro</t>
  </si>
  <si>
    <t>Pedro Oses</t>
  </si>
  <si>
    <t>…o Calvete, D. Serafín Zaráquiegui, D. Miguel Senosiain, D. José Echeverría;y D^ Clemente Diez de Tejada: á tenientes de fusileros á . D, VictorianoMangiron, D; Joaquín Mendiando , Don Pedro Oses* D José María Subirán , D. Miguel Tartas , D. Manuel Baztan ¿ D. Agustín Oro, D. José Joaquín Ározatena, D. Domingo Chávame, D. Agustín Mora, D. Juan Cruz Larrondo, D. Fran cisco Peralta, D. Manuel Salaberri, D. Dámaso Landa, D. Atanasio Diez, D. Bartolomé Co…</t>
  </si>
  <si>
    <t>Osivaid</t>
  </si>
  <si>
    <t>…e O-Réilly con los marineros empleados en las baterías, han sido tan distinguidos como antes. »Me permitirá V. S. que llame su atención á la conducta del distinguido oficiar mayor general Osivaid, que ha tenido el mando interinamente de la quinu división en ausencia del teniente general Sir J. Leith durante toda la campaña, y que dexó dicho mando á la llegada de Sir J. Leith el 30 dei pasado. . .......... » Habiendo seguido con infatigable atención lo…</t>
  </si>
  <si>
    <t>Osivald</t>
  </si>
  <si>
    <t>…acompañando al teniente general Sir J. Leith á la trinchera en ia ocasión del asalto. Tengo suma satisfacción en manifestar á V. S.mi perfecta aprobación de la conducta del mayor general Osivald des de que la quinta división forma parte de ia izquierda del exército. j* Me tomo la libertad de asegurar á V. S. que el coronel Delancoy., cuartel -maestre general, y el teniente coronel Bouvesi, adicto á la columna de la izquierda, han continuado á mis ord…</t>
  </si>
  <si>
    <t>Osma, Joaquín de</t>
  </si>
  <si>
    <t>Joaquín de Osma</t>
  </si>
  <si>
    <t>…n quaderno en 8,°, á 6 quartos. =: Apología de los palos dados en la ciudad de Cádiz al Excmo. Sr. D. Lorenzo Calvo de Ro zas (miembro que fue de Ja Junta central) por el teniente coronel D. Joaquín de Osma: publícalo, en obsequio de las armas y las letras, el licenciado Palomeque, con notas del doctor Encina*, este papel es una mui fina y graciosísima crítica de varios personages visibles en nuestra santa revolución*, un quaderno en 8.° á 2 rs. Se hallarán en l…</t>
  </si>
  <si>
    <t>Osorio, Francisco</t>
  </si>
  <si>
    <t>Francisco Osorio</t>
  </si>
  <si>
    <t>…mpeñar las secretarías de Estado y del des pacho de Hacienda9 Gobernación de la península, Mtiríña y Guerra á los Excmos. Sres. D. Tomas González Carvajal, D. Juan Alvarez Guerra* Don Francisco Osorio y D. Juan Odonqjú. Don Francisco Antonio de Góngora, intendente general en comisión de esta capital y su provincia &amp;c. Siendo mui interesante el conocimiento de la cuenta y razón en los di versos ramos de la hacienda pública , mando qua todos los comisionados que han interveni…</t>
  </si>
  <si>
    <t>…se im prima, publique y circule.=L. de Rorbon, cardenal de Scala, ar zobispo de Toledo , presidente. r= Pedro de Agar, = Gabriel Cis car, = En Cádiz á 10 de Setiembre de 1813. = A D. Francisco Osorio„ El embixador del rey en Londres ha comunicado, con fecha del 12 de Octubre último, la contestación que ha recibido el 30 del mes anterior del miah.tro de negocios extrangeros de S. M. B., á las re clamaciones que ha hecho por orden de la Regencia contra el a…</t>
  </si>
  <si>
    <t>Osorio, Francisco de Paula</t>
  </si>
  <si>
    <t>Francisco de Paula Osorio</t>
  </si>
  <si>
    <t>…en los mismos términos D. Juan O-Donojú, secretario del despacho de Guerra.— Tendréislo entendido, y dispondréis lo necesario á su cumplimien to. = Cádiz 10 de Octubre de 1813.= A D. Francisco de Paula Osorio.” Con la misma fecha se ha servido la Regencia del reyno dirigir al señor secretario del despacho de la Guerra otro decreto del tenor siguiente: D. Fernando vii, por la gracia de Dios y por la Constitución</t>
  </si>
  <si>
    <t>1402</t>
  </si>
  <si>
    <t>…a, publique y circu le. = L. de Borbon, cardenal de Soda, arzobispo de Toledo, presi dente. zz Pedro de Agar. — Gabriel Ciscar. = En ia Is a de León á 2^ de Noviembre de 1813. = A D. Francisco de Paula Osorio. En autos que penden en el tribunal del consulado de Cádiz al nú mero 27 de este año juicio universal de concurso de acreedores á la casa que corrió en este comercio baxo la nominación de Torre hermanos y compañía , consigniente á solicitud que ha hecho el sí…</t>
  </si>
  <si>
    <t>…ublique y circule. = X. de Barbón , cardenal de Scala, arzo bispo de Toledo , presidente. = Pedro de Agar. =r Q-ah riel Ciscar. = En la Isla de León á 24 de Noviembre de 1813. = A D. Francisco de Paula Osorio. Segundo. D. Fernando vii, por la gracia de Dios y por la Censtitucion de la monarquía española, rey de las Españas, y en su ausencia y cautividad la Regencia del reyno, nombrada por las Corres genera les y extraordinarias, á todos los que ías presentes viere…</t>
  </si>
  <si>
    <t>Osorno</t>
  </si>
  <si>
    <t>…consistió en 2 hombres muertos y 4 heridos, en 3 caballos muertos y mayor número de heridos. Por un rebelde que se hizo prisionero se sabe que mandaba aquella re unión el hijo del general Osorno con los cabecillas Ortiz, Cabeza' da Vaca, Montano, Serrano, Roxano y Bocardo. 58. Con fecha de 5 del mismo mes ha remitido al señor virey D. Joaquín del Castillo y Bustamante dos partes que le había dirigido el comandante de la sección de Temascaitepec, de l…</t>
  </si>
  <si>
    <t>Ostermann</t>
  </si>
  <si>
    <t>…ar á causa de los malos caminos,. S. M. Prusiana, que estaba en Toplitz cuando el enemigo hizo su rápido avance por Pe terswalde, dió las mas sabias disposiciones para reforzar al conde Ostermann, y por su serenidad y esfuerzos perso nales conservó el órden y el arreglo que podía producir la idea mo mentánea de tener al enemigo á retaguardia. La admirable conducta de este soberano en todas las ocasiones es el obj to de elogios gene rales. El cuerpo de…</t>
  </si>
  <si>
    <t>Osternv</t>
  </si>
  <si>
    <t>…Diebzetsch , oficial de mucho mérito, se di tinguió par ti cu lar me ate ; y también el príncipe Gallitzia, que salió he lio del ataque Una bala de artillería le llevó un br^zo al conde Osternv nn, al anochecer: también fue herido el general que mandaba í©;&gt; coracero?. La importancia de la bizarría de estas tropas se aumenta cuan do se comidera que si ne hubieran conservado el terreno, habrían sufrido mucho las columnas del exército y artillería que…</t>
  </si>
  <si>
    <t>Osterraann</t>
  </si>
  <si>
    <t>…r, se me ha comunicado haber habido hoy una brillante acción en el camino de Toplitz hácia Peterswdde, á dos millas alemanas de este último .pueblo. Parece que la columna rusa del conde Osterraann, que se retiraba por el paso de Ostersu alde, se encostró con el enemigo que á la sa?on había pasado ei Elba en Pirna y Konigstein : se hallaba dueño de las gargantas, y se apoderó de las montañas, por lo cual se vio precisado á.abrirse psso á ia bayone ta, Q…</t>
  </si>
  <si>
    <t>Ostola</t>
  </si>
  <si>
    <t>…ue el fiscal, según prescribe el reglamen to de libertad de imprenta , le^denunciase al tribunal correspondiente, retiró íd señor Capmani sú proposición; y, aunque la reproduxo el señor Ostola— za, se declaró no haber lugar á votar sobre ella: con lo qual continuó la discusión del asunto señalado. Los señores rV illagomez y Rech opinaron por la traslación. De distinto dictámet? fueron los señores ae La-Serna, Pelegrin y Ántillon, adhiriéndose al de…</t>
  </si>
  <si>
    <t>Ostolaza</t>
  </si>
  <si>
    <t>…últimas proposiciones se admitieron á discusión; habiendo retirado su autor la primera, mediante á estar ya admitida otra idéntica, que en la sesión de. 2 de junio último hizo el señor Ostolaza. , El dia i.° de setiembre próximo á las quatro de la tarde se dará princi pio al curso de Taquigrafía, ó del arte de escribir, con tanta velocidad co mo se habla, en la escuela nacional, que está al cargo de la sociedad patrió tica de esta corte* y ha sido r…</t>
  </si>
  <si>
    <t>pañol. Ya es nuestra una de hs llaves de España: obremos de tal sirefte que no caiga mas en poder de sus enemigos.” , } „ Veo, continuó en seguida el señor Ostolaza,,restablecidos*dosí límites antiguos de España j y espero que la bandera española tremole en Burdeos yTolósa. ¡Oxalá viéramos entre nosotros á nuestro amado FerrandoH¿Cóimo haremos demasiado por esos Ilustres militares, cuya vista rae deleita!? Quisiera halla…</t>
  </si>
  <si>
    <t>Oswald</t>
  </si>
  <si>
    <t>…Neandel 5.0 de cazadores, y sostenida por el 9.0 re gimiento, al mando del teniente coronel Cameron. El total de tropas em pleadas en este servicio estaban baxo el mando del mayor general Oswald. A las 10 de la mañana empezó la coluna izquierda el ataque sobre el convento, mientras que la derecha pasaba por cerca del rio. Se dieron dos ataques con tal vigor y determinación^ que todos los obstáculos se vencie ron sin la pérdida que era de esperar. Los…</t>
  </si>
  <si>
    <t>Ote, Pedro</t>
  </si>
  <si>
    <t>Pedro Ote</t>
  </si>
  <si>
    <t>552 „Todas las tropas han cumplido con nn obligado* ; paro son acreedores á elogio el teniente coronel D, Joté Mor*n, con la ca ballera de S. Luis, y el tejiente coronel graduado D. Pedro Ote ro * comandante de Giianaxuato , que con sus valientes soldados cu brió el convoy en su marcha al cerro , y que á ps&amp;sr de quedar so lo en la llanura stacó el frente d®l enemigo, y le tomé los cañones. Este perdió cerca de 600 hombres ademas de muchas armas q…</t>
  </si>
  <si>
    <t>Oteiza, Francisco Xavier de</t>
  </si>
  <si>
    <t>Francisco Xavier de Oteiza</t>
  </si>
  <si>
    <t>…por las cir* culares de S. A. expedidas por el ministerio de la guerra en 4 de Diciembre y en 21 de Fnero últimos , se ha servido nombrar inten dente general del primer exército á D. Francisco Xavier de Oteiza; del segundo al comisario ordenador D. Julián Navanete; del ter cero al de igual clase D. Ramón Aldasoro ; y del cuarto al inten dente D. Baltasar Valdes Argiielles. Los distritos asigóados i cada uno de estos intendentes genera les constan de las provincias…</t>
  </si>
  <si>
    <t>Otero, José</t>
  </si>
  <si>
    <t>José Otero</t>
  </si>
  <si>
    <t>…uerpo de ingenieros nombrada al efecto, se ha servido promover á subtenientes de dicho cuerpo de ingenieros de los exércitos nacionales, plazas y fronteras ,á f), Joa quín Junoy , D. José Otero , D. Benito Canales , D. Tomas Cortés, D. Francisco Melero, D. Tomas Bao darán, D. Epifanio Esteban, D. Temas Terreiro, D. Manuel Ubiña, D. Juan Jaldon , D. Alexandro Buitrón , D. Gabriel Lobo , D. Femando Castro, D. Juan Areliano y D. Antonio Matamoros. Tamb…</t>
  </si>
  <si>
    <t>Otero, Pedro</t>
  </si>
  <si>
    <t>Pedro Otero</t>
  </si>
  <si>
    <t>…os;; entre ios primeros el capitaa -áe Guanaxuato D. Tomas Haro, y entre los segundos eí sargento ma yor Ménica y otros 3 oficiales. Recomienda el valor .del capitán de Guanaxuato D. Pedro Otero , que después de la herida de Ménica tomó el mando y empeñó de nuevo la tropa hasta el pie del para peto: el capitán de Zamora D. Joaquín Arias Flores , y al teniente del batallón Americano D. José Martin, que con el piquete de su cuerpo se portó bizarramente…</t>
  </si>
  <si>
    <t>Otero, Ruperto</t>
  </si>
  <si>
    <t>Ruperto Otero</t>
  </si>
  <si>
    <t>…ronel; D. Guimeiindo Churruca, teniente, y D. José Manuel Carril, subteniente dei segundo de Guipúzcoa, y D. José Aibun, subteniente del primero del mñmo nombre. Los contusos son: D. Ruperto Otero, teniente del de R-ivero; D. José María Carrillo, coronel, y D. Francisco Son Julián, capitán del segundo de Asturias; D. José Martínez ,'espitan del primero cántabro; D. Nicolás Doronzoro, teniente ; D. José Arana , subte niente del primero de Guipúzcoa. Les…</t>
  </si>
  <si>
    <t>…uimeriudo Cliurruca, teniente, y D. Josef Manuel Carril, subteniente del se gundo de Guipúzcoa, y D. Josef Albun , subteniente del primero del mis ino nombre. ! « Los contusos son D. Ruperto Otero, teniente del de Rivero; D. Josef María Carrido, coronel, y D. Francisco S. Julián, capitán del segundo de Asturias; D. Josef Martínez, capitán del primero Cántabro; D. Nicolás Do^ ronzoro, teniente ; D. Josef Arana , subteniente del primero de Guipúzcoa. Los…</t>
  </si>
  <si>
    <t>Otochoreua, Tomas</t>
  </si>
  <si>
    <t>Tomas Otochoreua</t>
  </si>
  <si>
    <t>…Mina. A tenientes de fusileros á D. Francisco Retana, D. Agustín Men* dioroz, D. Juan Francisco Guelbenzu , D. Joaquín Diez, D. Do mingo Zaídna, D. José Buesa, D. Antonio Gastón, D. Tomas Otochoreua , D. Antonio Alvarez , D. Manuel Sesé , D Martin Martínez, D. Antonio Laso y D. José Moriones: á subtenientes de granade ros y cazadores á D. Fermín Izu , D Sebastian Echarte , D. Mariano Oliver, D Dionisio Antoñana, D. Antonio Andia, D. Eusebio Oraá , D Mari…</t>
  </si>
  <si>
    <t>Otpzo, Luis</t>
  </si>
  <si>
    <t>Luis Otpzo</t>
  </si>
  <si>
    <t>…endieron en rehenes 4 regidores, D. San tiago Gallego, D. Cayetano Ramos, D. Joaquín Encara y D. Ga« bino Montes : 6 capitnlares , chantre , lectora!, doctoral, 'arcediano de Cea, D. Luis Otpzo y D. Gabriel Alonso; 3 hacendados D. Ani ceto Cavero , D. Ruperto Cea y D. Benito Merino, y 2 cemerciantes Puclits y Coi tés: pidieron racionas solo para aquel día, y á las 11 de la mañana del 4 salieron con dirección ¿ Man silla , dexando encargada la pronta remesa de 20 colcho…</t>
  </si>
  <si>
    <t>Otto</t>
  </si>
  <si>
    <t>…pasaron á cum nerales Lagrange, Gross y Gourí. plimentará SS. MM. II. en sus respectivos quartos. ' 4 , Entre 10 y n fue admitido á la audiencia de GRAN BRETAÑA. SS. MM. el señor conde Otto, embaxador de Fran cia, y en seguida los arzobispos, los ministros y Londres rC de febrero. los consejeros de Estado, los feld-mariscales, los La ocupación en estos días de la-mayor pai capitanes de la guardia iqiperial, los grandes cru~ ces de Jas órdenes, y…</t>
  </si>
  <si>
    <t>Oudinot</t>
  </si>
  <si>
    <t>…stula, en donde el se te la execucion de estas diferentes disposiciones, so gundo cuerpo de exército, baxo las órdenes del se bre las quales os pondréis de acuerdo con el gene ñor mariscal Oudinot, duque de Reggio, debía re ral Lefebvre. unirse. ,,Os ruego también que me aviséis puntualmen te del resultado. Recibid , señor &amp;c. = Firmado = IMPERIO FRANCES. el duque de Peltre.’* En su consecuencia el consejo municipal ha ma Parts 28 de enere. nifestado p…</t>
  </si>
  <si>
    <t>…príncipe Bérnadotte con el duque de Gumberíand. ^ Parece que la vanguardia del exército francés avanzaba por Neamark , y se hallaba á 7 leguas de Bresláu: un cuerpo mandado pon el mariscal Oudinot se encaminaba á Berlín. El objeto de los france ses era ocupar á ún tiempo estas dos ciudades.-- - * En la mañana del 29 ,‘Jsegun refiere Bonaparte -en ün boletín, se presentaron en los puestos avanzados franceses el general prusiano Kleist y un edecán del em…</t>
  </si>
  <si>
    <t>…de Hamburgo hasta el 5 , y de Hel-igoland hasta 10 del corriente: las primeras dicen que hasta aquella facha n® habían cometido exceso los franceses. Según noticias de Berlín, el mariscal Oudinot tuvo una acción con el conde Buiow, en que el primero fué muy mal tratado, ha biéndosele cerrado el paso á Berlín. Ha habido cerca de Lubeck un encuentro entre suecos y dina marqueses sostenidos por los franceses, en el cual han quedado los primeros completam…</t>
  </si>
  <si>
    <t>…tado mayor.__ La división del ge neral Vandamme fue enteramente destruida. £ Los boletines franceses, que también publicaremos, guardan el mas pro fundo silencio de la derrota del mariscal Oudinot, y apenas hacen mención de Davoust (2); tanipoco dicen que retrocedieron á Dresde, en donde sé hallaban el dia 30 déngósto, y nada hablan del Príncipe Bernadotte , ni del general Moreau. (1) La precisión de remitir á los subscriptores las gaaretasren la noche…</t>
  </si>
  <si>
    <t>…le ó adverso de las batallas en las posiciones que respectivamente ocupen los exércitos. (t) Es de notar que en les boletines que hemos copiado Bonaparte calle las operaciones del mariscal Oudinot, que fue derrotado por el Principé Bernadotte: que apenas habla de Davoust; y que sus boletines no ponen ahora el lugar de su fecha. Ademan de que sabemos que el 30 de agosto se hallaba en Dresde , si derro tónos exércitos aliados en los días 26 y 27, ¿porqué…</t>
  </si>
  <si>
    <t>Oüoqui, Juan de</t>
  </si>
  <si>
    <t>Juan de Oüoqui</t>
  </si>
  <si>
    <t>…aderos; D. José Heros, ídem de cazado res ; D. Esteban Islaíoyo, D. José Tejada, D¿ José Caña y D. Francisco Vargas, subteniente del segundo de Asturias; D. José Rico , capitán; y D. Juan de Oüoqui, teniente del de Gaadalaxara; D* Juan Loarte, coronel; D. Antonio Villegas y D. Antonio Martínez, tenientes ; Don Luis Alcalá, subteniente dei de la Constitución; D. Mariano Castell, teniente coronel; D, José Rio-mayor, capitán; D* Nicolás Collar D. Manuel Ra…</t>
  </si>
  <si>
    <t>Oy, Juan Bautista</t>
  </si>
  <si>
    <t>Juan Bautista Oy</t>
  </si>
  <si>
    <t>…A D. Pedro Labrador. Donativo para auxilio de la valiente división navarra el mando del ma riscal de campo D. Fian cisco Espoz y Mina. D. Martin y D. Miguel Osambela, 6000 ps. fs. D. Juan Bautista Oy&amp;rzabal y D. Pedro Abadía, 1000. D. Antonio y IX José Matías Eiizalde, 500. D. Francisco Xavier Izcue, 500. D Juan Bautista Errea, 500 D. .Loan Pcrtica, 500. D. José Arizmendi y D. Miguel Abnorza, 500. D. J sé Antonio Errea , 500. D. José Hipólito y Don Ambros…</t>
  </si>
  <si>
    <t>Oyaga, Juan</t>
  </si>
  <si>
    <t>Juan Oyaga</t>
  </si>
  <si>
    <t>…guia, D. Martin Benuza, D. Miguel Tolqsana , D. Juan Bautista Acosta , D. Xavier Azanza , D. Juan de Ortigosa, D, Basilio Oilabarren , D. Sebastian Cortazar, D. Teo doro González, D. Juan Oyaga, D. Remigio Crespo, D. Mauricio Segura, D. I^on Landache, D. Pedro Suso, P. Hermenegildo Mendigam n, D. F&lt;-mando Gamboa. (Se continuarán.) CADIZ : EN LA IMPRENTA NACIONAL. ^</t>
  </si>
  <si>
    <t>Ozouzka</t>
  </si>
  <si>
    <t>…abeza de un balazo. „E1 enemigo, perseguido siempre por !a vanguardia del almiran te TchichagoíF, fué alcanzado el 3 de Diciembre en Litiga!, y ata cado vigorosamente por el mayor general Ozouzka, quien cogió 2 banderas saxonas (que tengo la honra de poner á I03 pies de V. M I. por mano del teniente de guardias Feutsch) un cañón y mas de 1500 prisioneros, entre los que se cuentan muchos oficiales y un general, cuyo nombre ignoro. Habiéndose acercado á…</t>
  </si>
  <si>
    <t>O’Rourk</t>
  </si>
  <si>
    <t>…a orilh d r jcha del Muida para abrir la comunicación con la guardia avanzarla del ge neral Blucher , y persiguiendo al en :m:go entre Orani nbau n y Golp, hizo 38 prisioneros. El general O’Rourk marchó á Ze.big, y el teniente coronel MelnikoíF á Landsberg. Este, y el teniente coro nel Chranpowitsky» tuvieron ayer un encuentro bizarro entre L ;ndsberg y Delitsch. Ei general francés Foarnier había sal.d^ de Leip sick con una división de caballería y 4…</t>
  </si>
  <si>
    <t>O’Rourke</t>
  </si>
  <si>
    <t>…acos huíanos, con él objeto sin duda de facilitar una retirada y mantener libre su comunicación con el Elba; fue desalojado pron tamente el 26 por parte de las tropas que manda el general O’Rourke y por dos escuadrones prusianos al mando del mayor Helhvig. Ei coronel Krasowsky ataco y se apoderó del pueblo. El general Benkendorf persiguió al enemigo coa 4 escuadrones de caballería ruta, habiéndosele reunido los dos escuadrones prusianos con 2 piezas de…</t>
  </si>
  <si>
    <t>P, F. de</t>
  </si>
  <si>
    <t>F. de P</t>
  </si>
  <si>
    <t>…de S. Felipe', y'de Perez, cálle de lás Carretas, casa de la fonda V Véitíco quártos.' . • ' ' ^ ; 1 " El dia zJdé máfyo de 1808 en Madrid. Tragedia en tres actos, eti verso, por D. F. de P.-M-it ü'n tomito en 8.° 'en papel fino. Esta tragedia se está actualmente representañdoíeft’él teatro del Príncipe en Madrid, y ha sido recibida con el ma yor entusiasma'cíel público. Se hallará-en las librerías de Castillo, frente i las gra das de S. Felipe é…</t>
  </si>
  <si>
    <t>P, Francisco</t>
  </si>
  <si>
    <t>Francisco P</t>
  </si>
  <si>
    <t>…arrio de S. Andrés. D. Tuan Antonio Medina, alcalde. CUARTEL DE MARAVILLAS. D. F vancisco Mata, substituto primero. Barríc de S. Basilio. D. Antonio Poma redo, substituto segundo. D. Francisco P.uiíio, alcalde. Barrio d’ tas Vistillas. D. Ansí res Ortiz , su'vriiuto primero. D. Pedro Lu is Nápolt, alcalde. D. Santiago de la Peña, substituto segundo. D. Migue! Oquendo,substituto primero. Barrio de la Buena-Dicha. D. Angel de Sata, substituto segundo. D…</t>
  </si>
  <si>
    <t>P, Francisco de</t>
  </si>
  <si>
    <t>Francisco de P</t>
  </si>
  <si>
    <t>…el Sergean., y el segundo teniente del mi mo cuer po D. Joaquín Bayona: también fue herido, y se incluye en el nú mero total, el cadete del regimi nto de infantería de Ciudad-Real D. Francisco de P¿uls Villalba.” CADIZ : IMPRENTA NACIONAL: 1813.</t>
  </si>
  <si>
    <t>P-atow</t>
  </si>
  <si>
    <t>…ia de los exercitos franceses ♦ con el del príncipe real de la coroua de Suecia, quien después de haber atrave ado ei Elba, se había adeiaruñóo hasta Ha lla, y pasado el Saale. El general P-atow estaba en Lvazen. .Honaparte hsbia dexado en Dresde un cuerpo de exércko, y con el res to se retiró i Lripdck. Las cartas de Lesaca participan qne corre la vez entre lo? fran ceses de haberse declarado Bsviera por los aliados; que dos Teji mientos saxones se…</t>
  </si>
  <si>
    <t>P., M.</t>
  </si>
  <si>
    <t>M. P.</t>
  </si>
  <si>
    <t>…de memorial al ayuntamiento de dicho pueblo. Manual de un joven oficial, ó Ensayo sobre la teoría militar, escrita en frinces por el conde de Bacon, y traducida al castellano por D. M. P. La £*Ita de unía obra elemental de esta clase da mayor interes á la presente traducción, dirigida á facilitar á los oficiales el medio de instruirse en e! arte difícil de ia guerra. Se ha llará en la librería de Perez, calle de Tas Carretas, á'8 rs. en rústica y…</t>
  </si>
  <si>
    <t>Pa</t>
  </si>
  <si>
    <t>…sus primeros empeños, no atreviéndose á acercarse, y contentándo se solo con hacer un vivo fuego de artillería, como también que por el frente de S. Pedro, que mandaba el teniente coronel D. Pa blo Vicente Sola, había pasado el rio parte de nuestra caballería, y alguna infantería, con cuyo motivo di orden inmediatamente por mis ayudantes para que se hiciese una salida general,-que se verifi có por ios tres puntos principales de S. Pedro, Sta. Catali…</t>
  </si>
  <si>
    <t>Pa, Juan</t>
  </si>
  <si>
    <t>Juan Pa</t>
  </si>
  <si>
    <t>…sé Costa ; al teniente coronel D. Pedro No'asco Ba sa; al sargento mayor D. Matías Cantero, que executaron cada uno escrupulosam.n:e las operaciones que les mandé: á los capitanes D. Juan Pa bia Prast, D. Gaspar Estalella y D. Francisco Maserts; al teniente D. Manuel Herrando y D. José Loscos: los subtenientes D. Alexo Valls y D, Juan Buenaventura Mateu: los sargentos primeros Pe dro Falcon, Justo ToU, José Borras y Agustín Alealde, y los segun d…</t>
  </si>
  <si>
    <t>Pa, Tomas</t>
  </si>
  <si>
    <t>Tomas Pa</t>
  </si>
  <si>
    <t>¿el centro, á cnyá cabeza se pusieron el teniente D. Tomas Pa checo, el subteniente graduado D. Francisco Perez, el sargento pri mero de patriotas Eduardo Ribera, el segundo vctersno Isidro Larrada, los segundos de milicias Francisco Labaríes y j can • O ntierrez, los cabos primeros veteranos Manuel Rodríguez, Joaquín S…</t>
  </si>
  <si>
    <t>Pablen</t>
  </si>
  <si>
    <t>…apoderó de Ostrelenka con su cuerpo : el 26 , después que los austríacos se retira ron , se hallaban stia avanzadas á milla y media alemana de aquella ciudad. El teniente general conde Pablen se halla en Welike Sabelie. Dia 30. El cuerpo del teniente general Saken continúa su mar cha en la dirección que se le tenia indicada. El mayor general conde Leuven arrojó al enemigo de Komosehin, donde hizo prisioneros á un capitán y 82 soldados polacos. Dia…</t>
  </si>
  <si>
    <t>Pablo</t>
  </si>
  <si>
    <t>…anA diría. B ¡rrio de jesus Nazareno. D. Pedro Pescador, alcalde.. D. Benito Olmeda, alcaide. D. Frvnpi co Pando,, substituto primero. . D. Calixto Vi!! dva, substituto profiero. •D. Pablo,Marquiep, substituto segundo. ; D. Felipe Monasterio, substituto segundo. Barrio (te la puerta de Sigovia. Barrio de Pinto. D. Francisco Vives, alcalde. D. Ju an Icnacio Berriózaba! , alcalde. D. Tomas Peña , substituto primero. 13. ManuelSala y Piran, substi…</t>
  </si>
  <si>
    <t>Pablo, Francisco</t>
  </si>
  <si>
    <t>Francisco Pablo</t>
  </si>
  <si>
    <t>…n que, baxo la dirección del coronel Dickson se llevó al panto de ataque, y por los próximos caminos de las montañas en esta estación del año. «Remito á V. E. esta relación por el coronel D. Francisco Pablo de ia Peña, ayudant* del^ estado mayor general de cam paña, y ruego á V. E. me permita le recomiende á su protec ción ,é igualmente que exprese lo satisfecho que estoy de que cons tantemente me ayuda este cuerpo y su gefe el mariscal de cam po D. Luis Wimpífe…</t>
  </si>
  <si>
    <t>…baxo la di lección del coronel Dickson, se llevó al punto de «taque , y por los próxi mos caminos de las montañas en esta estación del año. ,, Remito á V\ E. esta relación por el coronel D. Francisco Pablo de la Peña, ayudante del estado mayor general de campaña, y ruego á V- E. me permita le recomiende á su protección , é igualmente que exprese lo sa tisfecho que estoi de que constantemente me ayuda este cuerpo y su gefe el mariscal de campo D. Luis Wiinpffen.…</t>
  </si>
  <si>
    <t>Pablo, Pedro</t>
  </si>
  <si>
    <t>Pedro Pablo</t>
  </si>
  <si>
    <t>…ropas de s« mando. Tengo la honra £kc. = C. Sientan." (Se continuaran) ‘'-V ■/ ;;esea®a. ..., Oviedo, $ de junio. Parte qn« después de evacuada la plaza de Castro dio el tenien te coronel D. Pedro Pablo, gobernador de ella, ai Excmo. Su. Don Gabriel de Mendizabal. "Excmo. Sr.: Después de 18 dias de la mas vigorosa defensa, en que ha habido 7 del mas horroroso fuego de artillería de 17 piezas de grueso calibre, después de abierta brecha en la cortina izquier…</t>
  </si>
  <si>
    <t>Pabor, Josef</t>
  </si>
  <si>
    <t>Josef Pabor</t>
  </si>
  <si>
    <t>…e Hipar,. director. D Francisco López de Olavarrieta, subdirector. D. josef de Viilanova y Jordán, censor. D. Agustín Pasqual, substituto de censor. D&gt; Antonio.Siles , secretario. D. Josef Pabor?, substituto de secretario. D. Ramón Ruel, conrador. D. Casimiro Gómez de Ortega, ‘ubstjtDto de;Contador. D. Francisco de Paula Marti, tesorero. Don Ped^o Arícente deSqldeviüa, bibliotecario. D. Antonio Sandalió Arias , archi vero. ÍL Claudio Boutelou, secret…</t>
  </si>
  <si>
    <t>Pacheco, Domingo</t>
  </si>
  <si>
    <t>Domingo Pacheco</t>
  </si>
  <si>
    <t>…brados latrocinios, y en que no pocas veces fueron escarmentados por las partidas que salie ron de esta, plaza á las ordenes del capitán de patriotas D. Manuel de la Concha, y del teniente D. Domingo Pacheco. El 30 por la mañana recibí aviso de que se arrimaban á esta ciudad , y que en el dia se situarían en las lomas de Sta. María los que venían de Paztcuaro y Navarrete en Sindurio. Para cerciorarme mejor del nú mero de gente, artillería y demas, mandé una-descu…</t>
  </si>
  <si>
    <t>Pacheco, Tomas</t>
  </si>
  <si>
    <t>Tomas Pacheco</t>
  </si>
  <si>
    <t>…emigo, y lamentable en caso de lograrlo; y á la uaa de la tarde diice mi retirada con 2 violentos 2 las orillas de la Savana, é hice venir á este cuartel al comandante de la Barra D. Tomas Pacheco, ya por algunas aclamaciones del pueblo, y ya también-por el bien que podría proporcionar en un empeño de tanta consideración la utilidad de-los conocimientos y espíritu de este acre ditado oficial, y ya lo hallaron que venia conduciendo un cañón de 18 que ha…</t>
  </si>
  <si>
    <t>Pació, José Antonio</t>
  </si>
  <si>
    <t>José Antonio Pació</t>
  </si>
  <si>
    <t>…cazadores de Cantabria, que destacó en su auxilio el br gadier Don Juan Antonio Rarrut-.l, comandante gene al de aquel distrito, diri gidas por el ayudante segundo de estado mayor D. José Antonio Pació; y estimuladas por este y por sus dignos oficíales se decidieron á atacar al enemigo á la bayoneta, y en menos de 8 minutos, des preciando el horroroso fuego de c-.uíon que contra ellos se dirigía, no solo se apoderaron del mencionado fuerte, arrojando al ene…</t>
  </si>
  <si>
    <t>Pack</t>
  </si>
  <si>
    <t>…Goman» mayor. Tanto Gomar ía como A vechuco estaban ocupados por fuerza de consideración, cor mo cabezas de puente para defender los que hay sobre el Zadorra en estos lugares. El brigadier Pack con su brigada portuguesa, y @1 coronel Tonga cón su división española, sostenidos por la brigada del general Anson, y la quinta división de infantería del mariscal de campo Osibaid , destinado á mandar todas estas tropas, tuvieron ofi cien de envolver y gana…</t>
  </si>
  <si>
    <t>…de Gomarra mayor. Tanto Gomarra como Avechuco esta ban ocupados por fuerza de consideración, como cabezas de puente para defender los qüe hai sobre el-Zadorra en estos lugares. El brigadier Pack con su brigada portuguesa, y el¡ coronel Longa con su división española, sostenidos por la brigada del general Anson, y la quinta división de infan tería del mariscal de campo Osibald, destinado á mandar todas estas tropas, tuvieron orden de envolter y ganar…</t>
  </si>
  <si>
    <t>…ia por un ataque muy dié tro del teniente coronel Willians , con dos compañías de granade ros del primer regimiento y tres del cuarto de cazadores pertenecien tes á la brisada del general Pack. ,,La conducía del teniente Queros y del alférez Vasconcelos del quarto de cazadores, se distinguió en esta ocasión. Este ultimo per dió un ojo por una bata de fusil. « [Lía altura fue ocupada inmediatamente por la brigada del ma yor general Bradford , sosten…</t>
  </si>
  <si>
    <t>…sario se guir por la calzada, lo que hicieron los batallones ligeros del mando dél co ronel Hack, auxiliados y flanqueados por algunas compañías de la brigada portuguesa del mayor general Pack, cuya operación fue desempeñada del modo mas bizarro por estas valientes tropas, que arrojaron al enemigo de la aldea de Beasvin. „ Teniendo el enemigo tropas á mano apostadas en la cordillera de fuer tes alturas sobre cada uno de los profundos valles, por cu…</t>
  </si>
  <si>
    <t>Padilla, Antonio</t>
  </si>
  <si>
    <t>Antonio Padilla</t>
  </si>
  <si>
    <t>…Mo y Bustamante de que estaba inundado de rebeldes el distrito de las haciendas de la Gavia, Ayaía y Cerro Colorado, el 2 de Setiembre desde Toluca destaco 68 lanceros al mando de D. Antonio Padilla, quien al lle gar al pueblo de Aimoloya, supo que ei cabecilla Montes de Oca había saqueado en el Alamo y S. Miguel, llevándose 66 carean de trigo y los caballos de la trilla. Con esta noticia marchó Psddla en su busca, y en Ayala ledixeron que el trigo lo ha…</t>
  </si>
  <si>
    <t>Padilla, Memo y</t>
  </si>
  <si>
    <t>Memo y Padilla</t>
  </si>
  <si>
    <t>…villa. EL cuartel general de Toledo pasó por Villacastin con la división del general conde de Tylli, quien viro á Segcvia á despedirse, según, dixo, de los condes de Mansilla. El cura Memo y Padilla serprehendieron el jueves sanio á la guarnición dé Roa*, donde hicieren SÍ0 prisioneros. — En Peñ&amp;fiel tiene el enemigo 500 hombres; en tre Sepulveda, C a ni alejo y Monte-Mayor como 4CC0; en Tondesillas, Toro y Zamora otros 4000; en Olmedo está la tercera di…</t>
  </si>
  <si>
    <t>Padilla, Santos</t>
  </si>
  <si>
    <t>Santos Padilla</t>
  </si>
  <si>
    <t>…mpo, que hizo falta para alcanzar el grueso de ca ballería é infantería, que huían, persiguiéndoles solo alemas guer rillas. Yo tomé por su derecha con tm escuadrón del comandaste D. Santos Padilla, que acababa de llegar, con ánimo de kytereeptarles el puente de S. Martin; mas lo escabroso del terreno y emba razoso del viñedo me impidió poderlo realizar. A este üempo acaba ba de llegar igualmente el comandante D. Tomas Príncipe, quien se reunió al momen…</t>
  </si>
  <si>
    <t>Padrol, José</t>
  </si>
  <si>
    <t>José Padrol</t>
  </si>
  <si>
    <t>…un caphan, 2 subalternos, 2 soldados y un subalterno coátaso. Nota. Los señores oficiales heridos son el capitán D. Francisco Monner, el teniente D. Ramón Bechac y el sub-entente D. José Padrol, t d os de la compañía de cazadores de Leales Manressños. San Felin de Codinas 17 de Octubre de 1813. El ayudante segando de estado mayor encargado cL l de la primera división, sss Francisco Severo Sterling.zzQnznéi general de Vich 20 de Octubre de iSrj.zs Es…</t>
  </si>
  <si>
    <t>Padrón, Antonio Josef Ruiz de</t>
  </si>
  <si>
    <t>Antonio Josef Ruiz de Padrón</t>
  </si>
  <si>
    <t>…, verificada en 27 de mayo de este año. Se ha llará en las librerías de Ranz, calle de ia Cruz; de Quiroga, calle de las Carretas, y de Orea, calle de la Montera. Dictamen del Dr. D. Antonio Josef Ruiz de Padrón, ministro calificado del santo oficio, diputado en Cortes, sobre el tribunal de inquisición. Se hallará en la librería de Quiroga, calle de las Carretas, casa de la fonda del Angel, á 5 rs. Ensayo de los elementos de la ciencia del buen gobierno, dedicado al…</t>
  </si>
  <si>
    <t>Page, García</t>
  </si>
  <si>
    <t>García Page</t>
  </si>
  <si>
    <t>…á. las -leyes ó decisiones soberanas, se tenga por extrañado, y que ei Gobierno no acuda á las Cortes sobre el particular sin esta previa declaración. Se leyó una proposición del Sr. García Page, para que por medio del Go bierno se excite á los literatos españoles á escribir en su propio idioma para mayor difusión de las luces é ilustración común. El señor García mostró h importancia del objeto de su proposición, indicando algunos puntos que de manda…</t>
  </si>
  <si>
    <t>…ritu exaltado* contra el alevoso atropellamiento executado en la recomendable persona del señor Antilion; y pido al Congreso que se apruebe en todo el dictamen de !a comisión___El señor García Page ma nifestó que, prevenidas sus ideas por el señor Martínez de la Rosa, nada te nia que añadir sino la consideración de que el atentado cometido, contra el señor Antilion lo era principalmente contra la nación española : por conse cuencia el delito salía de la…</t>
  </si>
  <si>
    <t>Pagel</t>
  </si>
  <si>
    <t>…mo en efecto lo son, las disposiciones generales de los pueblos, necesitan armas y municiones, y es UHa infelicidad que por los continuos nort£&amp;&gt;y. lestes;aun no haya llegado el . coronel Pagel á bordo del Jason con 20® armas que salieron de Inglaterra tres dias antes que noso tros.___Ayer mismo avanzaron algunas tropas francesas hasta Gouda; pero los habitantes bien ó pial armados los recibieron tan bien , que viendo que era en vano el fquerer pene…</t>
  </si>
  <si>
    <t>Pahiin</t>
  </si>
  <si>
    <t>…motivo se ha necho una nueva desmembra ción; á saber, el conde Wittgenstein mandará los rusos, y el general Blticher los prusianos. El general Miliaradowitch ha cedido el mando al conde Pahiin por indisposición. ,, Tengo la satisfacción de comunicar á V. E. que ía caballería del cuer po que manda el general Blucher tuvo una acción gloriosa con la división del general Maison al salir esta de Haynau. Según el parte circunstanciado que he recibido de…</t>
  </si>
  <si>
    <t>Pahlen</t>
  </si>
  <si>
    <t>…don de se cogieron 3 oficiales y 400 soldados. Pero conociendo el enemigo la im portancia de aquel punto, desalojó á los cosacos, y le ocupó con fuerzas con siderables. El general barón Pahlen, auxiliado valientemente por el coronel de la artillería de á caballo Arnoldi (que perdió en esta ocasión una pierna), •dio una brillante carga, se apoderó de la aldea, cercó dos batallones saxones que habia alli, y los hizo prisioneros. La caballería avanzó…</t>
  </si>
  <si>
    <t>Pahlin</t>
  </si>
  <si>
    <t>…te moávo se Ira hecho una nueva desmembración; á saber, el conde Wítiger..-tcm mandará los rusos, y el general Blucher los prudanos. Ti gemral Milaradowitch lia cedido el mando al conde Pahlin por indisposición.</t>
  </si>
  <si>
    <t>Pákénham</t>
  </si>
  <si>
    <t>…o mencionarlos importantes servicio^ que' han: fróntVaidoi* durante "estas operaciones el quartel maestre general y mariscal d7e 'Campo' Miirray, y él dé la misma clase y ayudante general Pákénham¿ como tam bién los oficiales de sus respectivos departamentos', igualmente qué el lord1 Ehz Roy Spmerset j el teniente coronel Campbell y los oficiales adictos á’; &lt; /i*-:::» (mi persona. • ;í ; ,, Remito á V\ E. este pliego por el coronel ayudante !de estado…</t>
  </si>
  <si>
    <t>Pakenhan</t>
  </si>
  <si>
    <t>…mbién debo mencionar los importantes servicios que han contraído durante estas operaciones el quartei maestre general y mariscal de campo Murray , y el de la mismaclase y ayudante general Pakenhan , como también los oficiales de ,spg respectivos departamentos,. igualmente que el lord Fitz Roy Somerset, el' teniente coronel Campbell y los oficiales adictos á mi persona. ,, Remito á V E. este pliego por el coronel ayudante de estado mayor D. Gaspar de Go…</t>
  </si>
  <si>
    <t>Palacio, O. Francisco de</t>
  </si>
  <si>
    <t>O. Francisco de Palacio</t>
  </si>
  <si>
    <t>…carga su ccballo ; el teniente coronel D. José Motan, á quien había fiado el mando de la cübillería, perdió también el suyo, y se di&amp;tínguió como siempre. El comandante de México capitán O. Francisco de Palacio, el capitán graduado D. José Ignacio Ib ni y el cadete D. Juan Alonso se precipitaron de tal guanera sobre el enemigo, que se hallaron dentro de un cercado rodeados</t>
  </si>
  <si>
    <t>Palacios, Esteban de</t>
  </si>
  <si>
    <t>Esteban de Palacios</t>
  </si>
  <si>
    <t>…del exército y provincia de Aragón, y que se cree que falle ció en la ciudad de Zaragoza poco antes o después de la invasión del enemigo; se servirán avistarse en esta .plaza, con D. Esteban de Palacios, diputado en Cortes por la provincia dé Venezuela en la América, quien tiene que comunicarles noticias dél mayor interes. * Por decreto del, tribunal de! consulado de cómetelo de esta plaza, en autos de concurso de acreedores á la compañía que tituló Rosi y V…</t>
  </si>
  <si>
    <t>Palacios, Francisco</t>
  </si>
  <si>
    <t>Francisco Palacios</t>
  </si>
  <si>
    <t>6$2 En tabaco. Libs. D. Francisco Palacios en diferentes cali dades...................... 654 D.Ju a 11 Montalvo. . BS j D. Francisco Anieva. 427 V Sa valor en ps. 667 6 8 D. Matías Perez. . . 1145 Total. ... 2314 -............................................. ■ ■»-.........................&gt; ' &gt; Con e…</t>
  </si>
  <si>
    <t>Palarea</t>
  </si>
  <si>
    <t>…s contra las tropas sitiadoras sin causar perjuicio.', Estas, mui reforzadas en la actualidad, podrán contener semejantes ten tativas. Setecientos caballos, mandados por el famoso coronel Palarea (el Médi co), se han dirigidp por esta ciudad y sus inmediaciones hacia varios puntos de ievante de Aragón. El 14 del corriente tuvimos el gusto de ver entrar por la calle del Coso la‘guarnición francesa de Daroca prisionera de guerra, y esperamos no tar dará…</t>
  </si>
  <si>
    <t>…das contra las tropas sitiadoras sin causar perjuicio. Estas, muy reforzadas en la actuali dad, podrán contener semejantes tentativas. Setecientos caballos, mandados por el famoso coronel Palarea (el Médico), se han dirigido por esta ciudad y sus inmediaciones hacia varios puntos de levante de Aragón. El 14 del corriente tuvimos el gusto de ver entrar por la calle del Coso la guarnición francesa de Daroca prisionera de guerra, y esperamos no tardará m…</t>
  </si>
  <si>
    <t>Palarea, Juan</t>
  </si>
  <si>
    <t>Juan Palarea</t>
  </si>
  <si>
    <t>…ra que llevan consigo estas tropas les exonera de interrumpir sus mardías en razón de no necesitar de artículo alguno. En el mismo dia 17 entró en Torrecilla de Cameros el coronal D. Juan Palarea (el Médico), que salió de Soria, y partió al mo mento para Logroño. Lleva á sa aunado 8©o caballos, con los que se reunirá al txércit».</t>
  </si>
  <si>
    <t>…a librería de Quiroga, calle de Jas Carretas, casa de la fonda del Angel, á 80 rs. cada juego. Retratos de los gefes de partida D. Julián Sánchez, D. Juan Martin (el Em pecinado), D. Juan Palarea (%l'Médico J7 D. Erartcisco Abad ( Chaleco)* pues tos á jabalío, d(buzados y grabados con el mayor esmero'; jr sc ^eguirátj haciendo los de todos fos gefes de partida ó comandantes d[e. división, que mas se han distin guido *. qn me&lt;l^0 pliego de marquilia. S…</t>
  </si>
  <si>
    <t>…a y guerra que llevan consigo estas tropas les exonera de interrumpir sus marchas en razón de no necesitar de artículo alguno. En ei mismo dia 17 entró en Torrecilla de Cameros el coronel D. Juan Palarea (el Médico), que venia de Soria, y salió al momento para Logroño. Lleva á su mando 800 caballos, con los que se reunirá al exército. Corren voces de que hemos tomado el castillo de S. Sebastian; pero no hemos visto ningún documento que nos lo acredite. Sabemo…</t>
  </si>
  <si>
    <t>…. Pamplona sigue bloqueada; y luego que se concluya con S. Sebastian, será sitiada.__ Mina y D. Julián continúan sitiando el castillo dé Zaragoza. — Los 800 caballos, al mando del coronel D. Juan Palarea (el Médico), están sobre el Ebro entre Tu déla y Córella; y dicho coronel en Tolosa es perando las órdenes def Lord. ' La Junta provincial de censura, compuesta de los señores D. Ramón Ca brera presidente y D. -Eugenio de ia Peña , vice-presidente; IX Antonio…</t>
  </si>
  <si>
    <t>Palarea, O. Juaa</t>
  </si>
  <si>
    <t>O. Juaa Palarea</t>
  </si>
  <si>
    <t>…Pamplona sigue bloqueada; y luego que se concluya con S. Se bastian, será sitiada. — Mina y D. Julián continúan sitiando el cas tillo de Zaragoza. — Los So® caballos, al mando del coronel O. Juaa Palarea (ei Médico) están sobre el Ebro entre Tíldela y Cexeila; y dicho coronel en Tolosa esperando las órdenes del lord. CADIZ : IMPRENTA NACIONAL : x8ij&lt;</t>
  </si>
  <si>
    <t>Palfy</t>
  </si>
  <si>
    <t>…el Danu bio sobre- las fronteras-de Hungría , á- fin dé que se-pueda pasar.este rio icón mas facilidad y en menos tiempo. Debe colocarse en. The ven, ciudad :per— tenecíei‘ftíerál conde Palfy, á quedos húngaros Uáraan Deiviii, i la parte de occidente en el sitio en que el Lagoa entra en el Danubio. En el actual estan do de incertidumbre entre la paz y la guerra hai quien atribuye esta medida tínicamente á la necesidad de acortar el camino á las tr…</t>
  </si>
  <si>
    <t>Palmers</t>
  </si>
  <si>
    <t>…infantería italiana , que hace un año el canciller del echiquier, continuó la discusión en cogieron los insurgentes en Figueras, se presenta pro y en contra de la proposición del lord Palmers ron delante del fuerte, y respondieron en trances al tone; la que al fin se aprobó por una mayoría de 33 quien vive; pero reconocidos ya casi en las mis votos contra 4. mas puertas, se les recibió con una descarga d« Sesión del íy. metralla, que los arrolló,…</t>
  </si>
  <si>
    <t>Palmerston</t>
  </si>
  <si>
    <t>…rangeros, y sabiendo que bras esterlinas, sin incluir la suma concedida mala los dos nobles lords, caraá cara, lord Carstiereagh mente al duque de Yorck. El gasto de los cuerpos y lord Palmerston deben formar los planes de nues •xtrangeros sube ¿ 968©. Los empréstitos hecnos tras expediciones. Hai tan poca esperanz a de que al Portugal y, á la compañía de las Indias forman ellos obtengan sucesos contra Napoleón’, como la un total de quatro millones. L…</t>
  </si>
  <si>
    <t>…rechos sobre el vino en las tropas del contingente da este ducado. En su tinto de España , se lean al otro día la segunda vez. consecuencia los jóvenes nacidos en 1793 se harán El lord Palmerston ha presentado el cómputo de sentar en todo el mes de enero de 1813,)-. se pre las expensas necesarias para el servicio del cxército, sentarán en la icmana Je pascua del mismo ano an y se ha remitido á una comisión de subsidios, á tin te la comisión d&lt;; reclut…</t>
  </si>
  <si>
    <t>Palmerstone</t>
  </si>
  <si>
    <t>…ndió que las su aprobó. mas que se acababan de votar estaban aseguradas En seguida, formada la cámara en junta de sub ea los impuestos anuales, y en la votación de una sidios , el lord Palmerstone hizo la proposición de suma considerable de cédulas del echiquier, sin que ue se anticipase á disposición de S. M. una suma esto fuese decir que estas sumas serian las últimas e dos millones y 300© libras esterlinas para los que pidiese. gastos extraordinario…</t>
  </si>
  <si>
    <t>El lord Palmerstone respondió que habiéndose IMPERIO FRANCES. informado en la tesorería de las sumas que para Haya 23 de diciembre.gastos extraordinarios se pedirían probablemente, ya «n cédulas ya en efectivo, le habia parecido necesa Las relaciones que todos los pueblos del de…</t>
  </si>
  <si>
    <t>Palombini</t>
  </si>
  <si>
    <t>295</t>
  </si>
  <si>
    <t>…duar el mérito, para que reciban de la nación la debida recom pensa , omitiré hacer recomendación alguna; pero no podré menos de especificar ei ¿olor que me causa la salvación del general Palombini, oculto durante toda la acción en el tejado de la casa inmedia ta á la de su alejamiento, en donde se hicieron 2 oficiales prisione ros, y se cogieron los caballos , papeles y cuanto pertenecía á aquel; y ha sido tai el terror y espanto de ios enemigos , que…</t>
  </si>
  <si>
    <t>…10 no ha ocurrido novedad particular. Dia II, Se asegura que el Sr. Longa ha tenido dias pasados un encuentro en Poza , cuyo resultado ha sido coger 10 -caballos y el equipage del general Palombini, un cañón, y de 70 á 80 prisione ros : que volvió á perder el cañón después que se reforzaron los franceses, pero ya le habían clavado. Se han cangeado 7 soldados de Longa y 4 oficiales por igual número y graduación de franceses de la división de Caffarelli:…</t>
  </si>
  <si>
    <t>…refuerzo de varios batallones, y según las noticias recibidas se esperaba un Archiduque. El general Pino encontró en la madrugada del dia 14 al enemigo en la posición de Lippa. El general Palombini dio sus dispo siciones para atacarle, y realizó completamente su empresa: el enemigo fue derrotado pór nuestras tropas en todos los puntos, y dexó 400 hombres en el campo de batalla; cogimos también un cañón y mas de 100 prisioneros. Nuestra pérdida consiste…</t>
  </si>
  <si>
    <t>…e hombres mandada por el general Echart. AI momento que el prín cipe virey tuvo noticia de estos movimientos, dirigió contra el ene migo una columna de tropas baxo las órdenes del general Palombini, y creyó debía dirigir al mismo tiempo y sobre igual punto, el cuerpo del general Grenier con orden de obrar rigurosamente en esta dirección. El 23, el príncipe habla puesto su cuartel general en Udina, y el 24 estaban ya todas las tropas concentrada?. No de…</t>
  </si>
  <si>
    <t>Palomino, José</t>
  </si>
  <si>
    <t>José Palomino</t>
  </si>
  <si>
    <t>…se ha servido la Regencia del reyno promover en el regimiento de infantería de México &amp; capitán al teniente de gra naderos D Juan Serrano; á teniente de granaderos al de fusileros D. José Palomino ; á idem de fusileros al subteniente de granade ros D. Juan de Castro Palomino ; á subteniente de granaderos al de fusileros D. Juan de Acosta; y á subteniente de bandera al sargen to primero D. José Al varado. CADIZ : EN LA IMPRENTA NACIONAL.</t>
  </si>
  <si>
    <t>Palomino, Juan de Castro</t>
  </si>
  <si>
    <t>Juan de Castro Palomino</t>
  </si>
  <si>
    <t>…ntería de México &amp; capitán al teniente de gra naderos D Juan Serrano; á teniente de granaderos al de fusileros D. José Palomino ; á idem de fusileros al subteniente de granade ros D. Juan de Castro Palomino ; á subteniente de granaderos al de fusileros D. Juan de Acosta; y á subteniente de bandera al sargen to primero D. José Al varado. CADIZ : EN LA IMPRENTA NACIONAL.</t>
  </si>
  <si>
    <t>Palomino, Simeón</t>
  </si>
  <si>
    <t>Simeón Palomino</t>
  </si>
  <si>
    <t>…Sr. D. Juan Gerónimo Chacón. Sr. D. Silvestre Trigueros. Sr. D. Juan Josef Montero. Sr. D. Nicanor García Santos. Sr. D. Victoriano Sánchez. Y por suplentes Sr. D. Justo Peñalver. Sr. D. Simeón Palomino. Guadalaxaraj 8 dejulio* La junta electoral de esta provincia, en cumplimiento de lo prevenido en la constitución política de Ja monarquía española, y posteriores reales ór denes comunicadas, ha executado la elección de diputados á Cortes ordina rias del pres…</t>
  </si>
  <si>
    <t>Pálsffox, Teresa María de</t>
  </si>
  <si>
    <t>Teresa María de Pálsffox</t>
  </si>
  <si>
    <t>…la. .. ■!.[----------- —-------— -----;-----vrq.. ■■■ «1 .......................*' ■■■■■—. Xas perdonas querse consideren coh derecho á lo* bienes y caudal que drxó Ja Excm%‘ Sra. Doña Teresa María de Pálsffox, .condesa -qué fue de Peráladá, para repartir entre rsus parientes .pobres, y &lt;en particular Jos hijos de D. Ramón de Carvajal, :se presentarán dentro del-término de un mes,' contado desde * 8 del cor riente , i legi tima r sus .personas .endebida forma en el…</t>
  </si>
  <si>
    <t>Paluccí</t>
  </si>
  <si>
    <t>…cogimos también un cañón y mas de 100 prisioneros. Nuestra pérdida consiste en tres oficiales muertos y en 30 soldados fuera de combate. En el número de los oficiales se cuenta al coronel Paluccí, que se distinguió en la acción ,y también al coronel Dubas, que fue herido leveme te. Según la relación del general Pino, el general Palombini mantuvo aqu dia la reputación que ha adquirido en España. El general Perremonde dio un brillante ataque al frente d…</t>
  </si>
  <si>
    <t>Pamplona</t>
  </si>
  <si>
    <t>…yor general, é igualmente del teniente general conde de Amarante, y del brigadier general Costa, que fue herido. Tengo la honra &amp;c. = R. Hill P. D. No puedo omitir los nombres del coronel Pamplona, del teniente coronel del 18 Pyn, del teniente coronel Grant, coman dante del sexto regimiento de la división del teniente general Lin, y del mayor Mitcheíls del sexto batallón de cazadores de la brigada del coronel Ashworth. Qiro del mismo al mismo, su fecha…</t>
  </si>
  <si>
    <t>Panatier</t>
  </si>
  <si>
    <t>…dos dragones, los dexó muertos en el campo. „Dios guarde &amp;c. — Begís 22 de Noviembre de 1812. — Pedr• Vil'acmmpa” 2.® „Excm*. Sr.: EL23 del corriente fué reforzada la división del general Panatier con 50 caballos y 500 infantes que llegaren de la parte de Liria, y permanece, según tengo manifestado á V. E , en el pueblo de Vivel, tres horas cortas de este de Begís, sin haber hecho movimiento alguno. ,,Ayer salieron de Liria, para hacer efectivas las co…</t>
  </si>
  <si>
    <t>Panero, Juan</t>
  </si>
  <si>
    <t>Juan Panero</t>
  </si>
  <si>
    <t>…1 id. D. Mariano Sarria, 1 id. D. Juan Antonio Aramburu, 1 id. D. José Francisco de Isasi, 1 id. D. Ramón Eurivano, 1 id. D. Ramón de Azcarate, 1 id. D. Fran cisco Abasólo, l id. D. Juan Panero, 1 id. D. Juan Mella, 1 id. D. Miguel Jáuregui, 1 id. D. Rosendo Gao, 1 id. D- Antonio Her rero, 1 id. D. Vicente López y U. Manuel del Valle, 1 id. D. To mas de la Casa y Piedra, 6 id. D. Martin de Guisasola, 6 id. D. Jo sé Matías de Elizalde, 2 id. D. Anton…</t>
  </si>
  <si>
    <t>Pania, Josef María</t>
  </si>
  <si>
    <t>Josef María Pania</t>
  </si>
  <si>
    <t>…la: mas'bizarra en ía toma ’de ios-atrincheraníientos del enemigo, en cuyas'Operaciones le mataron el ¡jabalío de tres ■ ‘'■ • ; f. -balazos. - ' ': Los ayudantes del estadd mayor D. Josef María Pania^ua y D. Manuel Obregon, el primero encargado de la segunda división, desempeñaron sus funciones á su satisfacción. 'v !' *. • Mi ayudante de campo «1 teniente coronel.D. Ramón Díeguez se bajío constantemente en los puntos? adonde fiévó misprddnés, acreditando…</t>
  </si>
  <si>
    <t>Paniagua, José María</t>
  </si>
  <si>
    <t>José María Paniagua</t>
  </si>
  <si>
    <t>…abrera, comandante del batallón de cazadores, de la columna de la izquierda, que fué gravemente herido, y los •ficis! es de estaco mayor los tenientes soroneies 15. Jscrbo Escaño* D. José María Paniagua, y los capitanes D. Manuel Qbregoso y D. José Renden. » El 8 en la mañana V. E. reconoció por sí mismo la montaña de Larrun, y vista la imposibilidad de desalojar á viva fuerza ai enemi go de su eima se sirvió disponer hiciera un movimiento general con; todo…</t>
  </si>
  <si>
    <t>Paniagua, Josef María</t>
  </si>
  <si>
    <t>Josef María Paniagua</t>
  </si>
  <si>
    <t>…rera, comandante del batallon.de caz.ar dores de la coluna de ia izquierda, que fue gravemente herido; y lo,s ofi ciales de estado mayor los tenientes coroneles D. Jacobo Escario, D. Josef María Paniagua, y los capitanes D. Manuel Qbregoso y D. Josef Rendoq. ,,E1 8 en¡ la mañana V. E. reconoció por sí mismo Ja montaña de Larr run, y vista la imposibilidad de desalojar á viva fuerza ai enemigo de su ci ma, se sirvió disponer hiciera un movimiento general con t…</t>
  </si>
  <si>
    <t>Pániagua, Josef María</t>
  </si>
  <si>
    <t>Josef María Pániagua</t>
  </si>
  <si>
    <t>…fi filfa Vi^.'JósdistlilgnidossérVícios , bizarría y coIródtñTeiífóí qué fe desplegado en estás dós; acéioneS: él gefé de estado maybr dé lál segunda división de mi interinó máhdo D. Josef María Pániagua ; y como éstói. persuadido que \r. 5. conóce lo sobrésálfeote que es esté oficial, nrfpbeda ineriósde rogar a'V; S¿ lo haga presente áiGobieriic*, recomendaticio stís* dbtrnguídóc^erVictósí.a ,tjn u</t>
  </si>
  <si>
    <t>Panlagua, José María</t>
  </si>
  <si>
    <t>José María Panlagua</t>
  </si>
  <si>
    <t>…a definir á V. S. los distinguidos servi dlos, bizarría y conocimientos que ha desplegado en estas dos acciones el gefe de estado mayor de la segunda división de mi interino mando D. José María Panlagua, y como estoy persuadido que V. S. cono:ce lo sobresaliente que es este oficial, no puedo menos de rogar á V. S. lo haga presente al Gobierno, recomendando sus distinguidos -servicios. ¿«Mi ayudante de campo él teniente de Murcia D. Juan Antonio -Fernandez, h…</t>
  </si>
  <si>
    <t>Panlagua, Melchor</t>
  </si>
  <si>
    <t>Melchor Panlagua</t>
  </si>
  <si>
    <t>…ería ccn el general en gefe para que se conmutase su castigo tn una multa de 560000 rs., cogiendo solé un oficial y 4 soldados. Al momento que entraron fué á la oficina de correos D. Melchor Panlagua para, recoger la correspondencia que hubiese ; pero como en aquellos cortos momentos se había podido esconder la que esta ba pera peder salir aquel dia y la llegada últimamente, llevó solo un pequete perteneciente al año de 18 i2 El pueblo de L?on ha ma nifes…</t>
  </si>
  <si>
    <t>Pannatier</t>
  </si>
  <si>
    <t>…Italiano salió al nera! Bourgeois, envió á toda priesa desde Mequi-1 ser de dia de Vivel, cerca de Segorve, de orden del nenza al n.° de línea en busca del enemigo, á tiem general conde Pannatier, apostado con una brigada po que eí coronel Plicque hizo salir tropa de Tor en aquel punto para reconocer el camino de Be— tosa á recorrer las montañas por donde se dirigía. xis. Ei oficial que mandaba este destacamento, olvi El regimiento 11.a caminó con tal…</t>
  </si>
  <si>
    <t>Paperez</t>
  </si>
  <si>
    <t>…ito tenido nuevos desastres. (Gazeta de la Corana.) Vich i# de noviembre. PRIMER EXERCITO. — ESTADO MAYOR. Quartel general de Vichi — Orden general del Jg de noviembre de 1813. El sargento Paperez , del regimiento de cazadores de Cataluña, uno de los de la segunda brigada, priniera división y hallándose con seis soldados del mismo en las inmediaciones, de S. Vicens. d'ís f/(9/'/j‘, scrprehendió un des tacamento francés del exército del mariscal SucHet,…</t>
  </si>
  <si>
    <t>Par, Juan Pablo</t>
  </si>
  <si>
    <t>Juan Pablo Par</t>
  </si>
  <si>
    <t>…ograrlo dispuse, cuando es tuve á tiro de fusil del pueblo, que las compañías de cazadores y granaderos del regimiento cazadores de Cataluña, al mando de sus respectivos capitanes D. Juan Pablo Par y D. Gsspsr Estalella, se apoderasen del pueblo; que la quinta compañía del mismo cuerpo, al mando de su capitán D. Lidro Colis, atecase al mismo tiempo un reten qae había en la carretera de Martorell y flanquease el pueblo por la izquierda; que las compañías de cavadoras y granad…</t>
  </si>
  <si>
    <t>Para, Jacinto</t>
  </si>
  <si>
    <t>Jacinto Para</t>
  </si>
  <si>
    <t>…safes, vacante por muerte de D. Miguel Martínez, Por providencia del Sr. D. Domingo de Jáureguí, á D. Miguel Martí , cura de Sot de Chera. juez de primera instancia, refrendada de D. Jacinto Para el de Alcaali, vacante por fallecimiento Gaona y Locches, escribano del número, en virtud de de D. Tosef Aragonés , á D. Joaquín Saez Quinta- superior habilitación, te han mandado sacar á pública nilla, presbítero. subasta por término de 20 dias, contados des…</t>
  </si>
  <si>
    <t>Para, Juan Bautista</t>
  </si>
  <si>
    <t>Juan Bautista Para</t>
  </si>
  <si>
    <t>…stado Para los palacios imperiales y edificios de la corona...................... 62,000,000. AVISO. Para las fortificaciones ........... 144,000,000. En virtud de providencia del Sr. D. Juan Bautista Para los puertos marítimos..... 117,000,000. Guitjrt, juez de primera instancia de esta corte, re frendada por D. Jacinto Gaona y Loeches, se ha seña Para los caminos........................ 277,000,000. lado el miércoles 7 del corriente para el remite de un Pata…</t>
  </si>
  <si>
    <t>Pardo, Joaquín</t>
  </si>
  <si>
    <t>Joaquín Pardo</t>
  </si>
  <si>
    <t>…las it la reconocimos al en mo de la parroquial de Terroba. trar en la ciudad. Para el de Aguilar de Navarra al cx-cistcrcienTal es la fiel relación de los principales sucesos se D. Joaquín Pardo. de este sirio, que ha durado 35 dias, en cuyo dis Para el de Sansol al ex-benedictino D. Luciano curso el enemigo ha volado quatro minas, abierto Antonio Falcou. cinco brechas, ya por medio de aquellas como á Para el de Torres de Navarra á D- Pablo Maes caño…</t>
  </si>
  <si>
    <t>Pardo, Juan Antonio</t>
  </si>
  <si>
    <t>Juan Antonio Pardo</t>
  </si>
  <si>
    <t>…á teniente á O. José Olmo Zayas, y á subte niente á D. Juan Bautista Lagar. En el de Galicia á capitanes á D. Gabriel Sequeira y D. Alfonso Hernández Ea el de Navarra á ayudante á D. Juan Antonio Pardo; á tenientes á D. Francisco Lo zano y D. Pedro Fernandez, y á subtenientes á D. Bonifacio Ro dríguez , D. José Sánchez y D. Manuel de los Santos. En el de Ir landa á capitán ¿ D. Miguel Miangolarna; á ayudante á D. José Alba; á teniente á D. José Benet, y á s…</t>
  </si>
  <si>
    <t>Pardo, Manuel</t>
  </si>
  <si>
    <t>Manuel Pardo</t>
  </si>
  <si>
    <t>…hinos de ¡a Paciencia. D. F rancisco Ortiz , substituto segundo. D. Vicente Zally, alcalde. Barrio de S. Isidro. D. Antonio Andatuce, substituto primero. D. Tomas Perez , alcalde. D. Manuel Pardo, substituto segundo. D. Pedro Brugada, substituto primero. Nuestros ministros de la Policía general, de la D. Lázaro Soto, substituto segundo. Justicia y de lo Interior quedan encargados de la execucion del presente decreto. = Firmado = YO QUARTEL DE AFLIGIDO…</t>
  </si>
  <si>
    <t>…ancés con pérdida de toda.su artillería, municiones y bagages. espaSa. México jó de Febrero. Continúa el extracto de los partes de Nueva-España. *7. El 7 del propio mes dio cuenta D. Manuel Pardo, capitán de dragones, y comandante del destacamento de los Llanos de Apam, que aquella mañana á las 6 se vio atacado en su propio cuartel por. una fuerza que no baxaria de 2© caballos, con varios pedreros y un cañón; su tropa hiza una obstinada defensa hasta…</t>
  </si>
  <si>
    <t>…sef Vidal y D. Benigno Hernández, cápitan, teniente de cazadores, y teniente del re gimiento de infantería segundo de Asturias; D. Mariano Tprija, capitart del de la Constitución; D. Manuel Pardo, subteniente del de la Corona? D. femando Miranda , coronébdel. de voluntarios defAsturias; De Pedro Albuérne:,1 D. Mateo Torralba, D.. Tomas Caneja-y.D. Antonio; Fernandez^ capitanes los dos primeros, y tenientes los segundos del.propio cuerpo ; Dou Andrés G…</t>
  </si>
  <si>
    <t>Paredes, José García</t>
  </si>
  <si>
    <t>José García Paredes</t>
  </si>
  <si>
    <t>…campo D. Estanislao Sán chez Salvador y todos los oficiales de su cuerpo, se portaron en este dia con la distinción que les caracteriza y-tienen acreditada. El maris cal de et mpo D. José García Paredes y los cficides y tropa correspon dientes á su acreditado cuerpo de artillería ruciond- se hicieron dignoe de .umentcr el cprecío con que mira la-ríicion sus servicios. «El brig.dier comandante de ingenieros D. Ramón López, y Tos oficiales de su cargo, sirvier…</t>
  </si>
  <si>
    <t>Paredes, José García de</t>
  </si>
  <si>
    <t>José García de Paredes</t>
  </si>
  <si>
    <t>…ntía de que tiene dadas tantas pruebas, colocándose á pie tam- ien á la cabeza de la columna de ataque. ,;E1 comandante general de artillería de este exército el mariscal de campo D. José García de Paredes, sirvió igualmente á mi inmedia ción , y tanto él como todos los demas gefes y oficiales de su arma sostuvieron el crédito y buena opinión á que son tan acreedores. ,,E1 coronel D. José de la Fuente-Pita, comandante de Ingenie ros del cuerpo del centro, se me…</t>
  </si>
  <si>
    <t>Paredes, Josef García</t>
  </si>
  <si>
    <t>Josef García Paredes</t>
  </si>
  <si>
    <t>…lentía de que tiene da das tantas pruebas, colocándose á pie también á la cabeza de la coluna cíe ataque. - Mil comandante general de artillería de-este exército mariscal de campo D. Josef García Paredes se ha hallado igualmente á mi inmediación, y tan-^ to él como todos.ios demás gefes y oficiales de su arma sostuvieron el cré dito y buena: reputación á que son tan acreedores. El coronel D. Josef de la Fuente Pita, comandante de ingenieros del cuerpo del cen…</t>
  </si>
  <si>
    <t>…neral Méndizabal, quien se ofreció Voluntariamente, y mandó en las alturas de S. Marcial; «fél mariscal de campo Losada, que mandó el centro., y fue herido; del mariscal de campo D. Josef García Paredes; del comandante de artillería; de los brigadieres D._ Juan .Díaz Porlier, D. Josef María Ezpeleta, IX Estanislao Sánchez Salvador, gefe de estado mayor del quarto exército, y D. Antonio Rqselló^y délos caréneles Fpéntes-Pira, comandante de ingenieros, IX Juan…</t>
  </si>
  <si>
    <t>Parga, Andrés</t>
  </si>
  <si>
    <t>Andrés Parga</t>
  </si>
  <si>
    <t>…Collar D. Manuel Ramón Gastell , D. José María Hernández y D. José .efe Paga, tenientes; D. Ventura Nogueyra y D. Laureano Iriarte, sub tenientes del de voluntarios de la Corona; D. Andrés Parga, ayudan te ; D. Ramón Suero Díaz , y D. Francisco Saigado, tenientes , el</t>
  </si>
  <si>
    <t>…ollar, D. Manuel Rajnon Castell, D. Josef María Hernández y IX Josef de Puga» tenientes; IX Ventura Nogueyra y IX Laureano Triarte,, subtenientes del de volunta rios de Ja Corona; D. Andrés Parga, ayudante; D. Ramón Suero Díaz, y D. Francisco Salgado, tenientes, el primero de granaderos; D. Josef Villar mil y D. Vicente López, subtenientes del segunda de granaderos del de yoluntarios de Asturias; D. Josef María Ocampo, subteniente del de San? tiago; D…</t>
  </si>
  <si>
    <t>París</t>
  </si>
  <si>
    <t>…o, é inmediato al que los franceses habían quemado. «El general Min3, en 12 del corriente me dice que el general Duran se le había unido cerca de Z trago za ; que htbia atacado al general París el 8 , quien ha mandado de algún tiempo á esta parte en Aragón una división: que el general París se retiró en la noche del 9, dsxando guarnición en un reducto próximo á Zarago za: que el general Mina dexó al general Duran pira que le atacase, mientras que él…</t>
  </si>
  <si>
    <t>…rte de dete nerlos 24 horas en aquel punto, probablemente perecerán de sed, pues no es fácil que encuentren donde saciarla. = Zaragoza jj de julio de i8r ^.’r Noia. Se sabe que el general París por caminos extraviados, y dando va rios rodeos, pudo llegar á Huesca eon su gente y resto del convoi, y tomó el escabroso camino del pantano de Huesca, dexando al pie del monte cla vada la artillería, quemadas las cureñas y quanto había salvado en ia sierra…</t>
  </si>
  <si>
    <t>…psz , de que nos hablan diariamente. En S. -S hastian se ha rtforzado la artillería. Lá guarnición de Mallen se ha entregado á las tropas del ge neral Mina. Zaragoza de Agosto. El general París, que con las reliquias de sn división se hallaba en Cazuranc, ha volado aquel castillo, y ha entrado en Francia. En Jisca han quedado 400 hombres, habiendo ios demas repasa do ía frontera. Les mariscales Soult y Monee y trabajan infatigablemente para reunir e…</t>
  </si>
  <si>
    <t>…ádiz 6 de Agosto»Mx tracto de tina carta del mariscal de campo D. Francisco Fs— paz y Mina d un amigo suyo residente en esta plaza, pecha en Zaragoza á 18 de Julio* El 8 ataqué al general París en’ sus posiciones de Zaragoza; le causé una pérdida de 500 á 600 hombres; y de resultas levantó el campo el 9 entre 10 ó n de la noche , volando una arcada del puente. Entré en la ciudad; pero pasando de largo por sus murallas: fui en sn seguimiento y le alc…</t>
  </si>
  <si>
    <t>Páris</t>
  </si>
  <si>
    <t>…a pérdida de 12 heridos, 2 prisioneros, 12 muertos , y tomándoles 7 caballos, no habiendo perdido por su parte mas que un prisionero. «En la noche de este dia y hora de las 11, el general Páris, que por todo él había guardado un profundo silencio en ía ciudad, la abandonó, volando una arcada del puente á su salida, dexando en la Aijaferia ó cantillo una guarnición suficiente á defenderlo , que según se me dice, será de 50® á 600 hombres. Al momento…</t>
  </si>
  <si>
    <t>…l Príncipe y Pravia: su constancia y valor casi dieron la gloria de la bata lla principal por donde ataco Soult. (Diario de Salamanca.) ,fV, . ' i ' • f Zaragoza 2$ de, agosto. El general París, que con las reliquias de su división se hallaba ¿n Canfranc, ha volado aquel castillo, y ha entrado en Francia. En Jaca han quedado 400 hombres, habiendo los demas repasado la frontera. Los mariscales Soult y Moncey, bergantes^de Oloron , trabajan infati gab…</t>
  </si>
  <si>
    <t>Paris</t>
  </si>
  <si>
    <t>…te, incendió un al macén de pólvora , y produxo un estrago considerable. Es de esperar ten gamos pronto la noticia de su rendición. El mariscal Soult, á quien se ha incorporado el general Paris con hombres, reúne todas sus fuerzas disponibles en las inmediaciones de S. Juan del Puerto; pero sus movimientos no imponen á los aliados, cuyas fuerzas sen mui superiores. Estos se hallan bien fortificados y llenos de entusiasmo. La confianza que inspira la…</t>
  </si>
  <si>
    <t>…que de la Victoria {lord VVellington), dirigido desde su cuarteL general de Le saca, con fecha de 18 de Agosto, ¿í D. Miguel Fereyra Forjaz. »El destacamento enemigo del mando dél general París, que ha bía permanecido en Jaca desde su retirada del Ebro , sanó de aque lla plaza en la noche del 11 del corriente, y se retiró á Francia^ dexando allí una guarnición de 800 hombres. E^ta fuerza faé ata cada el mismo día por Un destacamento de infantería de…</t>
  </si>
  <si>
    <t>…itada y la proximidad de Jaca no lo permitieron. Anhelaba porque se empeñase la acción y tuviese efecto mi combinación; pero tan poco pude conseguirlo: en este caso el orgullo del general París quedaba enfrenado, y eran incalculables las ventajas que se conseguían. Sin embargo, este gene ral marchó tan confuso y corrido, que sin detenerse en Jaca hizo que su vanguardia tomase el camino de Francia, ciando su retaguardia se hallaba á alguna distancia…</t>
  </si>
  <si>
    <t>…uerra el parte siguiente: « Excmo. Sr.: Luego qne la izquierda del exército aliado hizo el día 7 del corriente el movimiento á su frente j el enemigo hizo mar char la divi ion del general París desde Oleron á las inmediaciones de S. Juan de Pie de Puerto. «En la noche del 12 atacó el enemigo y tomó el reducto situa do en el campo de Sara, ocupado por un piquete de 40 hombres det exército de reserva de Andalucía, que hicieron prisionero igualmen te q…</t>
  </si>
  <si>
    <t>…a avenida á aquella villa. Tenia una división, manda da por el general Foix , en Saint Jean de Pied de Porte, á la que se unió una división del exército de Aragón , mandada por el general París, quando en 7 de octubre último la izquierda del aliado pasó el Vidasoa. La división del general Foixise reunió; á los que ocupaban la altura á la espalda de Ainhoue quando. sir Rolando HiU pasó al valle de Bastan. „ El enemigo; no contento con la fuerza con q…</t>
  </si>
  <si>
    <t>…l dia 14 la tropa española con caballería alemana ocupaba el pueblo de As pame. ___El 1) hizo el enemigo un movimiento de frente al otro lado dei Adour con 4© hombres al mando del general París; con cv.yo motivo la de recha del exército aliado, particularmente la división del general Morillo, tomó posición el dia 16 para recibir el ataque.__ El 17 retrocedieron ios franceses, y los ingleses se aproximaron á Bayona por las dos márgenes del rio Nive__…</t>
  </si>
  <si>
    <t>…quicria1 del Nive.— Ea la madrugada del 13 todas las fuerzas enemigas se dirigieron á la izquierda de su iíáea y contra el cuerpo del mando del general Htll al mismo tiempo que el general París por el camino de Sais Juan de Pie de Puerto se dirigió contra aorstra prímér3 división situada á La orilla derechi deí Ñire en Us sitara áz Izugia. A las 11 de la mañana el co mandante de la primera división el ímriseal de campo D. Pablo Mo rillo, en virtud d…</t>
  </si>
  <si>
    <t>Parkin</t>
  </si>
  <si>
    <t>…el ene migo dexó en su retaguardia, á 17 indias de Smolenslvo, 112 pie zas.--- KutUSuW.'* ( i) Carta del general Platow al general en ge fe Kutusow, su fecha 17 de Noviembre, „E1 capitán Parkin, que llegó con las raciona después de firma do el parte que remití ayer á V". A-, refiere que á 17 millas de Smo&lt; lensko, contó en el cambio real 112 pizas, ademas de un gran námero de caxones y carros de toda especie. No puedo enviar á V. A. una r¿zon circun…</t>
  </si>
  <si>
    <t>Parte</t>
  </si>
  <si>
    <t>9*4 ■ ¡ . Madrid i.° de Setiembre; El mariscal Soult , á quien se ha incorporado el general Parte ; con 3® hombres, reúne todas sus fuerzas disponibles en las inmedia ciones de S.Juan de Pie de Puerto; pero sus movimientos no impo nen á los aliados, cuyas fuerzas son muy superiores. Estos se hallan bien fortificados y llenos de entusiasmo. .La confianza q…</t>
  </si>
  <si>
    <t>Parte, VVittgenstein.Y</t>
  </si>
  <si>
    <t>VVittgenstein.Y Parte</t>
  </si>
  <si>
    <t>…Clus Konegsborn y otros puntos, á fin de que el general Bu lou pueda con mayor seguridad bloquear á Magdeburgo por esta parte. F. D. Aubrai , gefe del estado mayor , en nombre del conde VVittgenstein.Y Parte que el comandante general de la, caballería del tercer excrcito Don J05ef Rich dirigió al Exano. Sr. duque del Parque en 2 7 de marzo del presente año. ’■ . * r Excmo. Sr.: el coronel D. Mariano Villa, gefe de estado mayor de [f caballería, me pasa el detalle…</t>
  </si>
  <si>
    <t>Parte-arroyo, Miguel</t>
  </si>
  <si>
    <t>Miguel Parte-arroyo</t>
  </si>
  <si>
    <t>…la pinza de S. Juan. D. Ramón Lancha alcalde. D. Domingo Cabezón, substituto segundo. Barrio de Monserrat, D. Juan .Adan, substituto primero. D. Félix Montexo, substituto segundo. D. Miguel Parte-arroyo, alcalde. Barrio del Hospital General. D. F rancisco Oliva, substituto primero. D. Josef Martínez , substituto segundo. D- Siiverio Perez , alcalde. Barrios a. Guardas de K,otps. D. Ignacio fichar, substituto primero. D. Andrés del Peral, substituto segundo.…</t>
  </si>
  <si>
    <t>Pas</t>
  </si>
  <si>
    <t>…a Emperador con quantos medios alcancen sus facul rina, un midshigman y 40 marineros han sido tades. Lina prueba es Ja diligencia y zelo con que muertos, y en este número entra el teniente Pas están ocupados hasta de los mas menudos detalles. coe, ex-comandante de la fragata de S. M. el Dea- La nación, que generalmente ha juzgado siempre Tin%, que habia sido destruida para que 110 cayese con buen tino, aplaude el plan adoptado. No quie en manos del…</t>
  </si>
  <si>
    <t>Pascoe</t>
  </si>
  <si>
    <t>…á ella suficientemente, y observándolo la Arethusay dexóel combate, cargó vela, y se unió Wittemberg 25 de marzo. á su conserva. En el espacio de 15 dias se ha fortificado esta El teniente Pascoe, que fue muerto, mandaba ciudad; y en fuerza de la increíble actividad con el sloop el Dareng, pocos días antes destruido por que se han executado los trabajos, puede en el día temor de que cayese en manos del enemigo. El ca sostener un sitio en regla. Los. a…</t>
  </si>
  <si>
    <t>…fuego recto, y que no hemos sufrido por esto Sierra-Leona para volver á Inglaterra con la fraga el menor accidente. La pérdida que hemos sufrido ta de S. M. de mi mando , llegó el teniente Pascoe ha sido ocasionada por el fuego regular del enemigo. con la mayor parte de la tripulación del brick de Os anuncio con el mayor sentimiento la pérdi 'Hierra el Dearing, el que se había visto obligado da de Mr. John Bates, primer teniente; de Mr. á destruir en…</t>
  </si>
  <si>
    <t>Pascual</t>
  </si>
  <si>
    <t>…ían1 considerado mas acreedor, y distribuyó por su mano del ntodo si guiente: á los cadetes D. Gregorio Brochero, D. Nicolás Campo,* D. Diego María Calatrava, D. José Valdemoros , D. Pascual de la Puente, D. Juan de Morales, D. Agustín Gamboa, D. José Rayo y Cortés, D. Antonio González y D. Pedro Abello, un exemplar á cada uno de un tratado de trigonometría y geometría práctica poj* su aprovechamiento en aritmética y álgebra : á les c,: de tés D.…</t>
  </si>
  <si>
    <t>Pascual, Agustín</t>
  </si>
  <si>
    <t>Agustín Pascual</t>
  </si>
  <si>
    <t>…as Sal.primero. D. Agustín Mlchel, substituto segundo. D. Josef Fabregas, alcalde. Barrio de S. Cayetano. D. Manuel Lucio Gutiérrez, substituto primero. D. Juan Represa , alcalde. D. Agustín Pascual, substituto segundo. D. Diego de Villa, substituto primero. Barrio de S. Pascual. D. Bartolomé Cano de Molina, substituto se D. Angel Sahagun, alcalde. D. Vicente Esper, substituto primero.gundo. Barrio de las Niñas de la Paz. D. Arias Gonzalo de Mendoza, sub…</t>
  </si>
  <si>
    <t>Pascual, San</t>
  </si>
  <si>
    <t>San Pascual</t>
  </si>
  <si>
    <t>…no, 17. D José Perez déla Mata, 7. D. José Herrera, 17. D. Gerónimo Vivanco, 10. D. Manuel Ibañ?z, 10. Don Rosendo Gao , 10. D. Ramón Forcelíc 5o, 10. D. Gaspar Gorruehano, 10. El conde San Pascual, 25. D. Martin y D. M guel Ventura Oáambela, por su {demento hecho con calidad de reintegro , á causa de la precipitada salida del baque, 2309. — T tal, 20000. Ademas los Sres. D. Ignacio y D. Manuel de Santiago han cedi do por vía de donativo los proventos d…</t>
  </si>
  <si>
    <t>Paskvitch</t>
  </si>
  <si>
    <t>…Erenina por la caballería ligera al mando del general Piatow. En este ataque el regimiento de infantería de Pernoff, guiado por su co ronel el general Tchoghokoíf, y por el mayor general Paskvitch, formando la cabeza de la Golumna, entró en el pueblo acometiendo á tambor batiente y banderas desplegadas. „La pérdida del enemigo entre muertos y heridos en esta acción se regula en 6000 hoiñbres por la parte mas corta, y 2500 prisione ros , en cuyo numero…</t>
  </si>
  <si>
    <t>Pasqual, Agustín</t>
  </si>
  <si>
    <t>Agustín Pasqual</t>
  </si>
  <si>
    <t>…rgos en el año'próximo son los siguientes : "m L- -Él Exentó. Sr. duque de Hipar,. director. D Francisco López de Olavarrieta, subdirector. D. josef de Viilanova y Jordán, censor. D. Agustín Pasqual, substituto de censor. D&gt; Antonio.Siles , secretario. D. Josef Pabor?, substituto de secretario. D. Ramón Ruel, conrador. D. Casimiro Gómez de Ortega, ‘ubstjtDto de;Contador. D. Francisco de Paula Marti, tesorero. Don Ped^o Arícente deSqldeviüa, bibliotecario…</t>
  </si>
  <si>
    <t>Pastor, Pedro de</t>
  </si>
  <si>
    <t>Pedro de Pastor</t>
  </si>
  <si>
    <t>…suplir á los demás hasta la edad de 60 años, inclusos loa poquísimos curas que han quedado, de forma que habiendo ocurrido este iance eñ el lugar de Embeitx, ha tocado la suerte á D. Pedro de Pastor de edad de fév ' ■ . ' * . ■ -■ ^ ' ó Las últimas noticias dei Norte suponen en poder de nuestros aliados los yeettos de Eiume y Trieste. Acaba de llegar aviso confidencial dé conducto</t>
  </si>
  <si>
    <t>…plir á los demas hasta Ja edad de 60 años, inclusos los po quísimos curas que han quedado; de forma que habiendo ocurrido este lance en el lugar de Eaibeitx, ha tocado la suerte á D. Pedro de Pastor, de edad de 5 6. Las últimas noticias del Norte suponen en poder de nuestros alia dos los puertos de Fiume y Trieste. Acaba de llegar aviso confi dencial por conducto seguro que los franceses han sufrido una com pleta derrota en las cercanías de Dresde, de cu…</t>
  </si>
  <si>
    <t>Pastor, Perez</t>
  </si>
  <si>
    <t>Perez Pastor</t>
  </si>
  <si>
    <t>…a de Censura. El Sr. Antillon, indicando lo determinado ayer con respecto á esta última, pro puso : que para la resolución de todo se traigan los antecedentes; y asifse acordó. El Sr. Perez Pastor hizo proposición, que se leyó por primera vez, de que se encargue á la Regencia tome las mas pronras y activas medidas para libertar el reino de los salteadores que por todas partes lo inundan. Fue también leída otra proposición del Sr. Martínez de la Rosa, p…</t>
  </si>
  <si>
    <t>Pastor, Tictor</t>
  </si>
  <si>
    <t>Tictor Pastor</t>
  </si>
  <si>
    <t>…estos el capitán D. Luis Afi lio , que aunque no en ia acción, murió después de resultas de sus heridas, y el subteniente D. Antonio Ladrón ? que quedó en el «am po* Los tenientes D. Tictor Pastor y D. José LpAiano, y el subte niente D. Gabriel Alegría, fueron heridos. Y si bien debo recomen dar á V. S. a todos ios oficiales y soldados de ambos batallones, h?go presente á V. S. el mérito particular que contT&amp;xeron las com pañías de cazadores y granaderos, que á la bayon…</t>
  </si>
  <si>
    <t>Pastor, Víctor</t>
  </si>
  <si>
    <t>Víctor Pastor</t>
  </si>
  <si>
    <t>…z, D. Bartolomé Comas, D. Ildefonso Mayo, D» JVLguql Ormachea, D Joaquín Sánchez, D José Migueltorena D Diego Gayarre, D. Fermín San Martin,*O. José Arozarena, D. Angel Esca lada, D. Víctor Pastor, D. Francisco Boira , D. Nicolás Uroz, D. Francisco Sarbide, P. Manuel'Inda, D Juan Ignacio Peña, D Diego OteruimDi Gabriel Alegría , D. Félix Sarasa $ D. José Labiano , D. Francisco Morillo , D, Juan Jaurrieta, D. Bartolomé Guiberalde, D- Antonio Ugarte, D.…</t>
  </si>
  <si>
    <t>Pastoret</t>
  </si>
  <si>
    <t>Gaceta de Madrid n.º 77</t>
  </si>
  <si>
    <t>…rfHmt que pue LrpresSlencia. de S. A. £’eLpríncipe archi-¿andiler den producir circunstancias extraordinarias, cuya del imperio. variedad no puede abrazar el pensamiento. El señor conde Pastoret, en nombre de la comi „ Aqu¡acába,jeñores, loque directamente con sión especial nombrada en da sesión ~d«l 2 de este cierne á la'-xggeticu *. y se presenta un órden de mes, presentó su informe sobra el proyecto de se ideas independientes ; pero que se retí er…</t>
  </si>
  <si>
    <t>Patea</t>
  </si>
  <si>
    <t>…este punto sé deshizo quando llegaron los cardenales, á los que se les mandó juntar con. el Papa. Su San tidad permanece en Fontainebleau, y goza de buena salud: tiene consigo al cardenal Patea; pero á ambos se les ha quitado la libertad de escri bir, y están guardados con estrecha vigilancia. Nada se sabe de la suerte de los otros cardenales; y Dios quiera que no esten también oprimidos con nueva persecución. En Roma y en el Estado Pontificio fuero…</t>
  </si>
  <si>
    <t>Patón, Francisco García</t>
  </si>
  <si>
    <t>Francisco García Patón</t>
  </si>
  <si>
    <t>…la ciudad de Zamora, y vivieron en esta capital en la calle del Pez, , frente á la fuente del Cura, núm. 2 , quarto segundo, podrán acudir en el térm.írio ¿e 60 dias á lá casa de Don Francisco García Patón, procurador d^ ;menótes,y ausentes en acuella ciudad, quien tiene que comunicarles noticiasi importantes con algunos intéréSes; en la in teligencia que pasado dicho término, se proccdei'ílááo ^he hubieré lugar , y ^¿¿ pa rará todo perjuicio. — ■ ■ - - - - - -…</t>
  </si>
  <si>
    <t>Patriarca</t>
  </si>
  <si>
    <t>…rio de ios negocios: de marina , exirangeros y de guerra. Dado en Lisboa en el p: lacio del Gobierno á 13 de Judo del año del nacimiento de nuestro Señor Je sucristo de 1813. = El obispo Patriarca electo. = Marques de 01kaouraz dfarques de Borba. = Principal Sousa. = Carlos Ste'ivart .zz ■Ricardo Raymundo NogueyrazzD. Miguel Pereyra Forjaz.zzJuaH Antonio Salter de Mendoza. ESPAÑAZaragoza 1,3 de Julio. Los 400 enemigos que están encerrados en el castill…</t>
  </si>
  <si>
    <t>Payan, Elias Izquierdo y</t>
  </si>
  <si>
    <t>Elias Izquierdo y Payan</t>
  </si>
  <si>
    <t>…Toledo, presidente. = Pedro de Agar.-=z Gabriel Ciscar. 3 En Cádiz á 5 de Julio de 1813. = A D. Juan Aivarez Guerra. Ante el tribunal del consulado, y por su escribanía á cargo de D. Elias Izquierdo y Payan pende el juicio general de quiebra y concurso de acreedores á la casa y compañía que ha corrido baxo el título de Torre Hermanos, que tuvo principio en 18 de Enero pa sado , de que son síndicos comisarios D. José Antonio de Salvidea y D. José María de Aurreco…</t>
  </si>
  <si>
    <t>Paz, Juan José</t>
  </si>
  <si>
    <t>Juan José Paz</t>
  </si>
  <si>
    <t>…Alvarez, D. José Tai la y D. Manuel Mendez, capitanes; D. Vicente Noriega,D. Francisco Xavier Alva rez y D. Francisco Fresno , tenientes ; D. Sebastian Sánchez, Don Félix Arenal, D. Juan José Paz y D. Luis Ortiz Falla, subtenientes dei de Laredo; D. José Castrejon, teniente, y D. Vicente de la Tórnente., subteniente del de tiradores de Cantabria; D: Buenavent&amp;ra Tomasa, teniente coronel; D. Guimeiindo Churruca, teniente, y D. José Manuel Carril, subteniente dei segun…</t>
  </si>
  <si>
    <t>Paz, Juan Josef</t>
  </si>
  <si>
    <t>Juan Josef Paz</t>
  </si>
  <si>
    <t>…Alvarez, D. Josef Talla y D. Manuel Mendez, capitanes; D. Vicente Noriega, D. Francisco Xavier Alvarez y D. Fran cisco Fresno , tenientes; D. Sebastian Sánchez , D. Félix Arenal ; D. Juan Josef Paz y D. Luiz Ortiz Falla, subtenientes del de Laredo; D. Josef Castrejon , teniente, y D. Vicente de la Tórnente, subteniente del de tirado res de Cantabria; D. Buenaventura Tomasa, teniente corone!; D. Guimeriudo Cliurruca, teniente, y D. Josef Manuel Carril, subteniente del s…</t>
  </si>
  <si>
    <t>Pe</t>
  </si>
  <si>
    <t>…executar el presente decreto en todas sus partes. — Tendréislo entendido para su cumplimiento, y dispondréis, se imprima, publique y circule.— En Cádiz á 16 de Febrero de 1813.—A D. Pe dro Labrador.</t>
  </si>
  <si>
    <t>…rtes generales y extraordinarias decretan: l.u La Re gencia actual de las Espadas, compuesta del M. R. cardenal de San* ta María de Scala, arzobispo de Toledo , D. Luis de Borbon, D. Pe dro Agar y D. Gabriel Ciscar , nombrada provisionalmente por de creto de 8 del corriente, dexa de ser provisional desde el día de hoy; y exercerá todas las facultades que le competen con arreglo á la constitución y decretos de las Cortes. 2.* El expresado car…</t>
  </si>
  <si>
    <t>…once, José de Lugo y Víctor Estrada, que fueron pasados por las armas, y les tomaron algunos caballos, y armas blancas y de fuego. «42. En 29 de idera, el siempre bizarro y activo coronel D. Pe dro Celestino Negrete, comandante general .de la primera división</t>
  </si>
  <si>
    <t>…MánueLLLfoada , L)t Juan .Hevüaqy* D. Francisco Lema, subtenientesedei dec Oviedo;) f):4 Joí é&amp;&gt;Mufí a¿ eMowíoí»* sargento mayor; D. Francisco Xavier Toral, capitán de cazadores; D. Pe1) Omi'tmr&gt;s insertar el parte que la gazeta^3e fa Regenera1 publicó btxo elr c. tiúaí?C aíV^pophíaiiePSe iifiaii'tadú ya^en la gazitá'ds 'Jiiixlridijdsni e de este mes. ,</t>
  </si>
  <si>
    <t>Pe, Bernardo Moreno de</t>
  </si>
  <si>
    <t>Bernardo Moreno de Pe</t>
  </si>
  <si>
    <t>…o de infantería del Comercio de México al teniente co ronel D. Roque Perez Gómez, capitán de granaderos del mismo re* gimiento. lil vicario eclesiástico de Vil* a nuera de Córdoba D. Bernardo Moreno de Pe iraxas, movido del mas ardiente é ilustrado celo por el bien de la humanidad, y deseoso de que dexando de servir de enterramiento la única iglesia parroquial de aquella villa, no se echen menos en ella, corno hasta ahora, ¡a decencia y aseo propios del sagrad…</t>
  </si>
  <si>
    <t>Pe, Francisco</t>
  </si>
  <si>
    <t>Francisco Pe</t>
  </si>
  <si>
    <t>…uerpo descubierto le intimidase de tal modo, que le deci diese á capitular al dia siguiente. El capitán D. Juan Wadin fué muer to en esta tentativa, como igualmente el subteniente D. Francisco Pe ralta, y herido el capitán'D. Alexandro Amigot, quien después ha muerto de resultas de sus heridas, y unos 20 soldados. Todos estos bra vos oficiales lo eran del primer batallón, y su pérdida ha sido general mente sentida. En la tarde del 10 intime un parlame…</t>
  </si>
  <si>
    <t>Pe, José</t>
  </si>
  <si>
    <t>José Pe</t>
  </si>
  <si>
    <t>…uana, D. José María Larraraendi, e*l sargento de primera clase del real de Lima Ildefonso Cadenas, los soldados retirados del tico de Buenos-Ayres Félix Quintana y Manuel Nuñez, y D. José Pe* risena, vecino de Salta. , , „ En la acción murió D. Juan Jesé Lczama, vecino de calma* cion de «dicha ciudad, cuya familia huérfana merece la recompea« sa a que él se había hecho acreedor por su valor : también han muerto D. Manuel Nuñez de los Urbanos, de…</t>
  </si>
  <si>
    <t>Pe, Manuel del</t>
  </si>
  <si>
    <t>Manuel del Pe</t>
  </si>
  <si>
    <t>…as colunas en facilitar los pasos y demoler los parapetos enemigos......... ■ ~ &lt; '-{ Nada me handexadoque apetecer en su-buen comportamiento mis ayu dantes de campo los capitanes D. Manuel del Pe^^^?cL».£LA.iit£ro-Hei::riquez, D. Josef Cacho y í). Tomas Domínguez ,.y el alférez D Manuel Jáconie, llevando con prontitud, inteligencia y resolución las órdenes necesarias á -los gefes de, las respectivas colpnas de apague y. demás,que les fuer* n-confiadas…</t>
  </si>
  <si>
    <t>Pe-, Francisco</t>
  </si>
  <si>
    <t>Francisco Pe-</t>
  </si>
  <si>
    <t>…Galicia y Madrid se conduxeron durante toda la batalla, y con especialidad las compañías de cazadores y compañía del primer bata llón, á las órdenes del capitán D. Josef Quitos y teniente D. Francisco Pe-</t>
  </si>
  <si>
    <t>Pe-, Vicente</t>
  </si>
  <si>
    <t>Vicente Pe-</t>
  </si>
  <si>
    <t>…, D. Santiago Arizavala, Dj Ildefonso Zizur, D.José Pinilla y D. Pedro Brull .* á tenientes de granaderos y. cazadores á D. Isidoro IrachMta, D. Martin de Yoldi, D. Martin Gastón, D. Vicente Pe- rez, D; Pedro Osta, D. PrudencLoBujandayD- José Orduna,D. An gel El vial de. D- Marianos Jlundain , D. Federico G billón , D. Luis Ganuza, Fan^ rancisco Ilundáin, D. Florencio Olabé ,&lt;D. Francisco Antonio Asuran D. Tomás Zubiri, D. Pedro Miguel Salvador , Don…</t>
  </si>
  <si>
    <t>Pecbeux</t>
  </si>
  <si>
    <t>…i fiesta gran inquietud. El príncipe de Eckmulh ocupa aun Ja línea detras de Steckwitz, y el 12 deí corriente tenia su quartel general en Ratzburg. Había destacado á Magdeburgo al general Pecbeux con 8 ó 9® hombres. El general conde VValmoden supo este movimiento por varias cartas que fueron interceptadas en la orilla izquierda del Elba. Marchó con parte de sus fuerzas á Domitz con el objeto de espiar los movimientos dei enemigo, y de obrar ofensivame…</t>
  </si>
  <si>
    <t>Pechelí</t>
  </si>
  <si>
    <t>…erpo vo lante de esta escuadra. Con esta mira di las instrucciones necesarias al contra-almirante Cockburn para conducir la parte naval de la ex^ pedición, y puse/á sus órdenes si capitán Pechelí con la corbeta la Mohawk, y las chalupas armadas para cubrir «I desembarco ; las tropas saltaron én tierra con la mayor prontitud. — Sir Sídney Beckwith , que mandaba las tropas, atacó diestramente , deshizo las fuerzas enemigas, y les tomó los cañones, bande…</t>
  </si>
  <si>
    <t>Pecheux</t>
  </si>
  <si>
    <t>…e hacen las partidas volantes y el gobierno de Westfaíia. Habiendo tenido noticia el teniente general conde Walmodext de que el príncipe de Eckmülh había destacado la división del general Pecheux á la orilla izquierda del Elba, pasó este rio en Domitz, y el 16 encontró en su marcha al enemigo. El general Pecheux se había situado ventajosamente en las alturas detras de Gorde. Empezó el fuego de canon; y el ataque dado por los tiradores de Lutzou y Rich…</t>
  </si>
  <si>
    <t>…ba cubierto de muertos y heridos enemigos. Cogimos ocho piezas de artille ría, 12 carros cubiertos y gran número de equipajes. El general de brigada Me¡ izinshi, dos ayudantes del general Pecheux y mas de i9 hombres fue ron hechos prisioneros. A! di? siguiente se conduxeron de todas paites al quartel general muchos prisioneros, de mqaó que d total ascenderá á unos 1800 hombres. El general Pecheux perdió su caballo, y escapo á pie. Los restos de su div…</t>
  </si>
  <si>
    <t>…ía perseguido al enemigo en su fuga hasta, Bleckede, Brackede, Limenburg, Wjnsen, y aun,hasta Haarburg: por .todas partes hemos cogido soldados que se habian quedado rezagados. El general Pecheux es capó con 500 ó 600 hombres que reunió en Lunenburg, adonde llego en la. madrugada del dia siguiente ál de la batalla, y continuó su marcha sin parar á Winsen y Hopte. El general enemigo Osten habia partido antes de Haar burg á Winsen con un destacamento ;…</t>
  </si>
  <si>
    <t>…los soldados que se han quedado detras del exército y el gobierno de We^tía ia. El teniente general Wslmoden, sabedor de que el príncipe de Eckmuhl había destacado la diviJon dei general Pecheux á la iz quierda del Elba, pasó aquel río en Domirz, y en su marcha el 16 se encontró con el enemigo. El general Pecheux se colocó ventajosa mente en las alturas detras de Goerde. Comentó ei cañoneo: el ata que fué dado por los tiradores de Lutzow y Reiche, y…</t>
  </si>
  <si>
    <t>…rseguido al fugitivo enani o hasta Bleekede, Brackede, Luncbu.-go, Y- insen y aun hasta Harburgo: hemos ido recogiendo por todas partes los soldados que se lian quedado ktrasi Él. general Pecheux pudo escaparse con 500 á 600 hombres, que reunid en Luneburgo, adonde llegó al amanecer del dia después de la batal-a, y continuo su marcha á Wirsen y Hopte sin detenerle. El general enemigo Osten se fué ántes con un destacamento desde Hsrbsrgo á Wináen; pero…</t>
  </si>
  <si>
    <t>…ó junto á la puerta Nueva un oficial francés, que venia en una silla de posta, enviado por el conde Salín, que hace correrías por el país, á fin de ponerse en comunicación c?&gt;n el general Pecheux. Era medio dia: la puerta estaba cerrada, y el oficial pidió imperiosamente que se le abriese la puerta: como el comandante tenia la llave, el oficial se vió obligado á esperar un quarto de llora, v se inquietó mucho por esta detención : por fin se abrió la p…</t>
  </si>
  <si>
    <t>Ped</t>
  </si>
  <si>
    <t>…Siles , secretario. D. Josef Pabor?, substituto de secretario. D. Ramón Ruel, conrador. D. Casimiro Gómez de Ortega, ‘ubstjtDto de;Contador. D. Francisco de Paula Marti, tesorero. Don Ped^o Arícente deSqldeviüa, bibliotecario. D. Antonio Sandalió Arias , archi vero. ÍL Claudio Boutelou, secretario deja clase de agricultura. D. Torqitato lorio de la Riba, secretario ce U clase de industria. D. Francisco de Pauia Martí, secretario de ia clase de…</t>
  </si>
  <si>
    <t>Pedesha-Shahallfcm</t>
  </si>
  <si>
    <t>…en los 7.0 Novedades de las Indias orientales, ó Via periódicos extrangeros. ge á Bengala, reino grande y poderoso, que go-' Mr. Larglés, miembro del instituto, y conser bierna ei príncipe Pedesha-Shahallfcm , llamada Gran vador de los manuscritos orientales de la biblioteca Mogol, con noticias tocantes á la religión, ritos, imperial , te ha encargado de la parte de la literatu sacrificios y usos de estos pueblos, por Willians; ra oriental que contenga el Mercuri…</t>
  </si>
  <si>
    <t>Pedro</t>
  </si>
  <si>
    <t>…I&gt;. Manuel de Manzaneque, alcalde. Barrio de S. Lu:... D. Mariano Vi!l.'c;ñor, substituto primero. El marques de la Torrecilla, alcalde. D. Domingo del Valle, substituto segundo. D. Pedro, Villar , substituto primeroBarrio d i Humiíl.núro. D F rancheo Sanz Ruiz, substituto segundo. D. Pedro Sepúlvcda, alcalde. Barrio de fas Niñas de L&lt;ganes. D. Manuel Valerio de ta Garata, substituto pri D. loscf Costa , alcalde. mero. D. Joset Rivero, substit…</t>
  </si>
  <si>
    <t>2 64 QUARTEL DB ATAPTES. _ Barrio delaplasuela del Gato. U. Agustín de Estebe, alcalde. r Barrio del Am«r de Dios. D. Domingo Labraría, substituto primero. D. Pedro de las Muelas, alcalde. D. Bernardo Rodríguez-, substituto segundo. D. Manuel Martínez, substituto primero. Barrio de las Niñas de Monttrri. D. Francisco Monteagudo, substituto segundo. D. Agustín Tavira, alcaide. D. Alfonso Luceño, substituto primero. Barrio…</t>
  </si>
  <si>
    <t>…a experiencia de cinco anos ape pues quando llegase á la época de su formación ya lamos. " habría otros tantos materiales para su trabajo. Era „ Cortes. Sesión del dia 9 de enero. D. Pedro menester que todos los diputados se ocupasen en González Vallejo se quejó de que á pesar de que este asunto, que sí arrojarla para llenar un buen las cortes habian resuelto que la causa de su hijo volumen en folio con cada mes de los que han cor D. Josef Gonz…</t>
  </si>
  <si>
    <t>…y brigadier Loriga : el pri mero de la toma y obstinada defensa del puente de Yaaci por la primera brigada de la cuarta división del cuarto exército ai mando del mariscal de campo D. Pedro de la Barcena; ei segundo de Jjss acciones y movimientos que ha tenido la división de su mando des de el 25 de Julio último hasta el 2 del presente, y estado en que manifiesta la pérdida que ha sufrido ; y el tercero del ataque que sostuvo con las tropas de s…</t>
  </si>
  <si>
    <t>…s de Asturias D. Nicolás Barrosa, que sirvió estas piezas contra los enemigos atrincherados en Monteverde, y contribuyó mucho á que desalo jasen aquel puesto. Ei mariscal de campo D. Pedro de la Barcena, que mandaba inmediata mente estas tropas, dispuso el ataque del expresado Monteverde, y los ene migos fueron’arrojados de aquel punto, como lo habian sido de los atrinche ramientos de Viriato, y perseguidos hasta mas allá del puebló de Uruña. L…</t>
  </si>
  <si>
    <t>…orfiada y gloriosa en seis años de constancia y esfuerzos por parte de la nación á»que pertenecen; pero son igualmente acreedores al agradecimien to públicoC el mariscal de. campo D. Pedro de la Barcena , que mandó las quatro brígadasvque1 pasaron‘Josvvados mas. inmediatos á Viriato, tanto por Ja exactitud con que dio cumplimientp á las instrucciones que llevaba , como por el orden militar con que estas ‘ fueron executadas: los comandantes de b…</t>
  </si>
  <si>
    <t>…del Barco y D. José Ma ría Espeleta, y de los coroneles D. José María Carrillo, D. Rafael Goycochea y D. Francisco Plasencia, baxo la mmediata dirección de los mariscales de campo D. Pedro de la Barcena y D. Juan Díaz Porlier. El objeto de las cuatro primeras columnas era el de apode rarse de los atrincheramientos enemigos en las inmediaciones y parte supeiior de Anlaye, mientras las otras tres tomasen los de la moa-</t>
  </si>
  <si>
    <t>…Astu rias D. Nicolás Barrosa que sirvió esta pieza , contra los enemigos atrin cherados en Monteverde , y. contribuyó mucho á que desalojasen aquei puesto. » El mariscal de campo D. Pedro de la.Barcena que mandaba in mediatamente á estas tropas, dispuso el ataque del expresado Monte verde, y los enemigos fueron arrojados .de aquel puesto, como do ha bían sido dejos atrincheramientos de Viriatu 3 y perseguidos hasta mas allá del pueblo de Urruñ…</t>
  </si>
  <si>
    <t>…cia de Guipúzcoa son los señores D. JoserAntonio Larruir.bide, fiscabque fue .de la audiencia de Zaragoza, y D. Santiago Aranguren, conde de Montarron en propiedad; y por suplente D. Pedro dé^Vengoa, arcediano de Náxera y canónigo,de, la,santa iglesia de Calahorra. * ; En el oficio del Sr: D.; Carlos España pasado á esta redacción , de orden del Sr gefe político, no venia copiado el siguiente artículo, que hemos juz gado, digno de publicarse, á…</t>
  </si>
  <si>
    <t>…a inversión del fruto de sus tareas en la forma si guiente : A D. Juan María de Sola, oficial del regimiento de dragones de Madrid, 200 camisas, 2®o pantalones y 27 chaquetas.__ A D. Pedro de la Llave, oficial de artillería, 200 camisas.__ A D. Domingo Madras, del Inmemorial del Rei, 800 botines y 800 pantalones.__Al comandante y á D. Josef Villanueva, del de Infiesto, 1© botines, 1® camisas y 1® pan talones.----A D. Francisco Ramón Cabañas, de…</t>
  </si>
  <si>
    <t>…que mas les acomodé, iguales ó desiguales, reducir qualesquiera número de fanegas de sus tier ras, sean de puño, sembradura ó de algún marco conocido, á fanegas de marco real: por D. Pedro de la Concepcioii Zorrilla. Se hallará en la librería dé Dávüa, callé dé .la^Carretas. * ________ _ EN LA IMPRENTA NACIONAL.</t>
  </si>
  <si>
    <t>Pedro, Casimiro Saenz de S.</t>
  </si>
  <si>
    <t>Casimiro Saenz de S. Pedro</t>
  </si>
  <si>
    <t>…ueda ente rarse de! rito y forma con que ha de rezar de Sta. Teresa de Jesús como patrona de las Españas, y asimismo las lecciones de segundo y tercer nocturno para su dia octavo. Don Casimiro Saenz de S. Pedro y compañía, vecino de la villa de la Guar dia, provincia de Alava , desea saber el paradero de D. Ignacio Sánchez de Tejada, secretario mayor que fue del viretnato de Sta. Fe de Bogotá, nuevo reino de Gra* nada, en la América. Espera de la persona que lo sepa…</t>
  </si>
  <si>
    <t>PedroSologaistoa</t>
  </si>
  <si>
    <t>221 una corta porclon de comestibles. Coloqué en seguida la compañía de granade ros, al mando de su capitán D. PedroSologaistoa, en Torrero, y el resto del regimiento en la Casablanca; y tanto este como aquella permanecieron en sus respectivos puestos hasta las tres de la tarde. El general Mina, cuya . fuerza consistía en dos regimientos de infantería y dos de caballería, habia sido a…</t>
  </si>
  <si>
    <t>Pedt</t>
  </si>
  <si>
    <t>…su mando en las inmediaciones de Olot, consecuente á las in.t mociones que le tenia dadícS, fué atacado ea la mañana del 4 del actual, por fuerzas superiores enemigas al mando del general Pedt, en la posición que se reconoce i derecha é izquierda del pueblo de S. Privat den Bas. El resaltado de esta acción gloriosa ha sido rechazar completamente al enemigo después de 7 horas d.l mas vivo fuego, á pesar de su su perioridad en todas armas. Nuestra pé…</t>
  </si>
  <si>
    <t>Pefiuelas, Luis Pcrez</t>
  </si>
  <si>
    <t>Luis Pcrez Pefiuelas</t>
  </si>
  <si>
    <t>…y 20 ijoSl rs. en moneda metá ica. Quien quisiere mejorarla acuda ante el referido señor juez, por la escribanía del-hombres del i." de cazadores á las ordenes del señor número de D. Luis Pcrez Pefiuelas. comandante Rancourt. Este oficial trató de sorprehender la partida; y en efecto lo consiguió en una casería á medio camino de Marujan. El destacamento la atacó con denüedo, y "en un momento fue derrotada enteramente esta qua- TE Al RO. drüla, de la que murie…</t>
  </si>
  <si>
    <t>Pefrr</t>
  </si>
  <si>
    <t>…llos en la de/Wcissig. Entre tanto el general Ber^tran,4ij pata conservar la comunicación ;con el; cuerpo destacado , hab,ia epyía^ do ó ; Koenigswerd con la división Jtaiiana,;aí general Pefrr, eiqual habiendollegado, allí por ía tarde,, no tomó l£$ buenas disposiciones que debía , pué$ no hizo reconocer los vecinos bosques,, y colopó mal sus piquetes. A las qpaq tro fue asaltado por una hurra,‘que desordenó algunos batallones , yLtPer4fpf dos piez…</t>
  </si>
  <si>
    <t>Peiet</t>
  </si>
  <si>
    <t>…ert, debía haberse unido á este expediente la carta-or Giunti i Appeliüs, Luis, de Bruin, Belleville , R. den que Soulier comunicó al prefecto ¿que para «f te de la Bouillerie, el barón Peiet de la Lo^ere. íin estaba pedida-al señor ministro secretario de Estado interino,, y que se recogería con la mayor Voto particular del conde Berenger. prontitud posible, se señaló para el dia siguiente á Después de haber examinado con detención los. las ti de…</t>
  </si>
  <si>
    <t>Peiiet</t>
  </si>
  <si>
    <t>…a, los miembros que asistieron á la sesión de muerte de S. M. el Emperador, y que se quedó ayer, congregados en la sala de la sección, y ade persuadido de su certeza. mas el señor barón Peiiet ,quc llegó ayer noche de 2.0 Que no opuso resistencia por su parte á la Compiegne, el señor presidente tomó y repartió á ocupación que hizo del edificio de la prefectura el cada uno de los miembros copias impresas de la comandante de la décima cohorte, ni á l…</t>
  </si>
  <si>
    <t>Peíit</t>
  </si>
  <si>
    <t>…iento, y actualmente-lo ha go del combate que ha sostenido el coronel D.‘Manuel Lluuder en S. Privat den Bas el 4 d;l corriente contra fuerzas superiores ene migas mandadas por el general Peíit. «Consecuente á las órdenes que yo le habla comunicado para operar en las inmediaciones de Olot, no pudo mirar con indiferen cia el coronel Llauder que la división enemiga que permanece en dicha villa pusiese en contribución impunemente todos los pueblos d~!…</t>
  </si>
  <si>
    <t>Peilew</t>
  </si>
  <si>
    <t>…aviso por dos físgalas . el Pikto y la Tribuna, de que habii salido la escuadra enemiga de Telón, com puesta de 18 navios, y que la escuadra de nuesuos aliados, á las órdenes del almirante Peilew , le iba á los alcances. Todos los ma rinos ingleses celebran mucho que haya salido al mar esta escuadra, y que se haya animado á surcar el Mediterráneo , para que Napo león tenga un día de pesar como los que ha padecido en la última campaña de Ru¿;ia.. Entre…</t>
  </si>
  <si>
    <t>Pelit-Pressigny</t>
  </si>
  <si>
    <t>…del mayor general Orourka cogió á los guardias 2 banderas, un cañón, iÍGO prisioneros , sin incluir heridos y enfermos, entre aquellos muchos oficiales de todas graduaciones, y el general Pelit-Pressigny. El con de Pía lovr mandaba en este encuentro su regimiento de cos&amp;cos. El partidario, coronel Sesslavin , participa haber tenido buen éxito eT ataque de Sabrés, en el cual hizo misioneros á un general, y 11 oficiales de diferentes graduaciones. También dice…</t>
  </si>
  <si>
    <t>Pelleic, Sir Eduardo</t>
  </si>
  <si>
    <t>Sir Eduardo Pelleic</t>
  </si>
  <si>
    <t>…la vela de Denia el 4 de este mes, y había ya hecho varias presas, dos de las cuales, es pañolas , he represado después. Tengo la honra &amp;c. zzG. Windham." Sexto y séptimo. El vÍce-almirante Sir Eduardo Pelleic ha dirigido á John Wil— son Croker dos oficios del capitán Uoste del navio de S. M» Bacante al contra-almirante Freemantie. «En el primero se anuncia la toma, delante de Otranto, de la cañonera francesa Alcino y de 2 cañones y 25 hombres de tripula ción , com…</t>
  </si>
  <si>
    <t>Pellew</t>
  </si>
  <si>
    <t>…te de Tolon, en la que ten-: departamento del Sena al Exento: Srl ministro drá el cargo de segundo comandante baxo las ór ' de Policía general, fecha el $0 de octubre de denes del almirante Pellew. Sabemos por las mis í,w' 181». . ■ j¡ ; • : , Vi, • •mas cartas que hacen mención de su llegada, que , ■*&lt;-,.. la esquadra francesa de aquel puerto es sumamente Excelentísimo Seóqr: formidable» mui numerosa, y que los buques de wMe veo precisado á rendirle 4…</t>
  </si>
  <si>
    <t>Pellew, Sír Eduardo</t>
  </si>
  <si>
    <t>Sír Eduardo Pellew</t>
  </si>
  <si>
    <t>…ENCIA DE LAS ESPAÑAS DEL MARTES 20 DE JULIO DE 1813. GRAN-BRETAÑA. Londres J(f de Junio, Ayer se recibió el siguiente oxido dirigido por el capitán de na vio Cárlos Napier al vice-almirante Sír Eduardo Pellew, y comu nicado por este al Almirantazgo. Fuer i o de Ponza (d bordo del ñamo Thames) ay de Febrero. “Con arreglo á las instrucciones de V. embarqué el ió del corrien te al teniente coronel Goffin y al segundo batallón del décimo re gimiento , y llegué el 23 e…</t>
  </si>
  <si>
    <t>Pelltb, Sir Eduardo</t>
  </si>
  <si>
    <t>Sir Eduardo Pelltb</t>
  </si>
  <si>
    <t>…rangera, será perse. guido con el mayor rigor como enemigo de nuestra patria. — cher GRAN-BRET AÑA. Londres 13 de Abril» Oficio del teniente general, lord William Bentinch al vice-almirante Sir Eduardo Pelltb y comandante en gefe de la escuadra inglesa del mediterráneo. Palermo 23 de Febrero. —,,Tengo la satisfacción de remitir á V. la relación de una empresa gloriosa executada en la costa de Cala bria , que honra en gran manera al brigadier Hall, comandante de la…</t>
  </si>
  <si>
    <t>Peltier</t>
  </si>
  <si>
    <t>…splegadas. „La pérdida del enemigo entre muertos y heridos en esta acción se regula en 6000 hoiñbres por la parte mas corta, y 2500 prisione ros , en cuyo numero se comprehende el general Peltier, de artille ría , y el coronel Morat, edecán del mariscal Davoust „Tambien ha perdido mucha gente el enemigo en el persegui miento de los rusos * y ha dexado ademas en poder de estos una bandera, 3 cañones y 1000 prisioneros. „A1 principio de la retirada fué…</t>
  </si>
  <si>
    <t>…y los de los mariscales Davousty Ney. - , i,La pérdida de los franceses entre muertos y heridos asciende Á 6000 hombres,, y hemos hecho 2500 prisioneros, entre los que se halla el general Peltier, de artillería , y el coronel Morat, gefe del estado mayor del mariscalDavoust. Nuestra pérdida en muertos y heridos no excede de 5Q0 hombres. Después dé la toma de Yiasma, nuestra vanguardia atravesó la ciudad, y por el camino de Smotensko persiguió al enemi…</t>
  </si>
  <si>
    <t>Peña, Francisco de Ja</t>
  </si>
  <si>
    <t>Francisco de Ja Peña</t>
  </si>
  <si>
    <t>…l ministro de !a Guerra, que se ,,Se me manda de parre de V- A. que me abs insiste en que me vaya á Ceuta, y que se ha nom tenga de conversar con ninguna persona fuera de brado al coronel D. Francisco de Ja Peña para .que las que pertenecen á mi fani ia, ó de las que están me acompañe en mi viage. destinadas para servirme. Ademas de esto se me V. A. no ha atendido los justos motivos en prohíbe que salga de la casa en que me hallo aloja que había yo fundado mi primera…</t>
  </si>
  <si>
    <t>Peña, Juan</t>
  </si>
  <si>
    <t>Juan Peña</t>
  </si>
  <si>
    <t>D. Antonio Victoria, cura párroco del castillo de Bayuela en esta pro vincia. D. Juan Peña, labrador de S. Bartolomé en la misma. ' Reus ii de agosto. La retirada del exército de Suchet á Villafranca, Viüanuevay sus inme diaciones , en donde ha hecho alto coa la mayor parte de él, nos obligó á desamparar esta última villa sin esperanzas de que la e…</t>
  </si>
  <si>
    <t>Peña, Tomas</t>
  </si>
  <si>
    <t>Tomas Peña</t>
  </si>
  <si>
    <t>…stituto segundo. ; D. Felipe Monasterio, substituto segundo. Barrio (te la puerta de Sigovia. Barrio de Pinto. D. Francisco Vives, alcalde. D. Ju an Icnacio Berriózaba! , alcalde. D. Tomas Peña , substituto primero. 13. ManuelSala y Piran, substituto primero. D.. Estéban Labios, substituto segundo. D. Ignacio Salgado, substituto segundo. , Barrio denlos Caños del. Peral y Santa Alaría. Barrió de Santa C ruz. D. Tomas Azardiiia, alcalde. D. Cristóbal…</t>
  </si>
  <si>
    <t>Peñalver, Genaro Tomas de</t>
  </si>
  <si>
    <t>Genaro Tomas de Peñalver</t>
  </si>
  <si>
    <t>…l próxi mo mes de agosto. Los facultativos que no esten comprometidos en otros partidos, y que quieran hacer pretensión á ella, dirigirán sus memoriales al alcalde consti tucional D. Genaro Tomas de Peñalver. El Párroco vindicado, ó sea consecuencias necesarias de la mudanza de los cu ras á sus antiguos curatos , que obtuvieron dei gobierno legítimo, con arregio á lo dispuesto por el soberano Congreso nacional en los decretos de 11 de agosto y 21 de setiembre de…</t>
  </si>
  <si>
    <t>…la mas posible bre vedad- Los facultativos qüe no esten comprometidos en otros partidos, y que quie ran hacer pretensión á ella, dirigirán sus memoriales al alcalde constitucional Don Genaro Tomas de Peñalver. ,, v Patronato de Sta. Teresa dé Jesús á favor de las Españas, acordado por las Cortes generales y extraordinarias el 27 de julio de 1812, impreso en Cádiz á presencia de las mismas Cortes, y reimpreso en esta corte por un devoto de la san ta madre. Se halla…</t>
  </si>
  <si>
    <t>Peñalver, Juan López de</t>
  </si>
  <si>
    <t>Juan López de Peñalver</t>
  </si>
  <si>
    <t>…etaña desde el reinado de Henrique vin hasta núes*!* tros dias. Se hallará en la librería de Perez, calle de las Carretas. Reflexiones sobre la variación del precio del trigo: por D. Juan López de Peñalver. Se hallará en la librería de Sánchez y Castillo. Los principales acontecimientos del dia 2 de mayo en Madrid, representados en quatro estampas de pliego de marca, dibuxadas y grabadas por los mejores pro* fesores de España. La primera manifiesta Ja plazuela…</t>
  </si>
  <si>
    <t>Peñalver, Justo</t>
  </si>
  <si>
    <t>Justo Peñalver</t>
  </si>
  <si>
    <t>…. Vicente de la Llave. Sr. D. Juan Gerónimo Chacón. Sr. D. Silvestre Trigueros. Sr. D. Juan Josef Montero. Sr. D. Nicanor García Santos. Sr. D. Victoriano Sánchez. Y por suplentes Sr. D. Justo Peñalver. Sr. D. Simeón Palomino. Guadalaxaraj 8 dejulio* La junta electoral de esta provincia, en cumplimiento de lo prevenido en la constitución política de Ja monarquía española, y posteriores reales ór denes comunicadas, ha executado la elección de diputados á Cor…</t>
  </si>
  <si>
    <t>Peñaranda, Tomas</t>
  </si>
  <si>
    <t>Tomas Peñaranda</t>
  </si>
  <si>
    <t>…se ■executó asi al anochecer. Me es de la mayor satisfacción hacer presente á V. S. la conductas y ^bi zarría del dicho batallón ligero de Navarra , mandado por su sargento ma yor D. Tomas Peñaranda , quien con sus oficiales daban el mayor»«exemplo de valor, maniobrando tan pronto en guerrilla (según su instituto) como en ■coluna á la bayoneta. El coronel Macdonaí, que llevaba la orden del genera} en gefe á ias tó ^patá atacar de firme él reducto princip…</t>
  </si>
  <si>
    <t>Penurias, Luis Pcrez</t>
  </si>
  <si>
    <t>Luis Pcrez Penurias</t>
  </si>
  <si>
    <t>…art, juez de primera instan Respuesta del señor presidente al señor ministro cia de. esta villa, y por 1» escribanía de! número.de ele lo Interior y señores son tejer os de Estado D. Luis Pcrez Penurias, que despaché por sus enfer medades D. Jacinto Gaona y Loeches. Lo que sé avisa comisionados para presentar la exposición del al público para que Jos que tuviesen algún derecho' i estado del imperio. los bienes del D. Francisco Manuel de la Herran acu dan en…</t>
  </si>
  <si>
    <t>Per, Juan</t>
  </si>
  <si>
    <t>Juan Per</t>
  </si>
  <si>
    <t>…............. Idem. i; Otro.......... D. DomingoX'ago........................... Idem. b ■Subteniente........ D. Ventura,Lorenzo....................... Idem. . Id. en comisión...^ D. Juan Per£z.. Idem;. Teniente..... D. Manuel Muñiz.í.. 2.0 de Asturias. Capiran................ D. Manuel Rio Mayor....... . Corona (voluntarios.) Teniente.............. D. Luis Leca................. ................. Idem. , V ’ :Qtro.................. I). Manuel Mart…</t>
  </si>
  <si>
    <t>Per-</t>
  </si>
  <si>
    <t>…ascenderá nuestra pérdida, y aun tememos no bido igualmente la orden de marchar. Los voltea se extienda La inundación sobre la ribera izquierda dores- canadeases, mandados por el capitán Per- deí Pó.</t>
  </si>
  <si>
    <t>Peral, Andrés del</t>
  </si>
  <si>
    <t>Andrés del Peral</t>
  </si>
  <si>
    <t>…D. F rancisco Oliva, substituto primero. D. Josef Martínez , substituto segundo. D- Siiverio Perez , alcalde. Barrios a. Guardas de K,otps. D. Ignacio fichar, substituto primero. D. Andrés del Peral, substituto segundo. D. Ventura Alcalde , alcalde. Barrio de Santa Isabel. I&gt;. Vicente Rodríguez , substiruto primero. D. Felipe Guelves, substituto segundo. D. Josef Domínguez, alcalde. D. Manuel de Cereceda , substituto primero. Barrio de Afligidos. D. Jose…</t>
  </si>
  <si>
    <t>Perales, Joaquin</t>
  </si>
  <si>
    <t>Joaquin Perales</t>
  </si>
  <si>
    <t>…rt á seis. Bell ver, presbítero. Leyéndose el boletin 29.“ en V-een, distrito de Para el de Benexama , vacanre por fallecimien Cleves, entre una concurrencia mui numerosa de to de D. Joaquin Perales, á D. Pedro Franco, vi los vecinos se levantó el maire*, y dixo con entu cario de Sueca. siasmo : ,, La pérdida de estos caballos es nada para Para el de S. Juan de Euova, vacante por pro »&gt; S. M., porque no pueden agorarse ios que hai ea moción de D. Mariano…</t>
  </si>
  <si>
    <t>Peralta, Francisco</t>
  </si>
  <si>
    <t>Francisco Peralta</t>
  </si>
  <si>
    <t>…mero. D. benito Trigo, substituto segundo. D. Agustin de la Calle, substituto segundoBarrio del Buen Suceso, QUARTEL de palacio. D. Casimiro Ipoly , alcalde. Barrio de S. Nicolás. D. Francisco Peralta, substituto primero. D. Mariano del Portillo, alcalde. D. Salvador Alarcon, substituto segundo. D. Vicente Puyol, substituto primero. D. Ventura López, substituto segundo. QUARTEL DE SAN MARTIN. Barrio del Sacramento. Barrio del Cdrnien Calzado. D. Ramón de S…</t>
  </si>
  <si>
    <t>Peralta, Hilario</t>
  </si>
  <si>
    <t>Hilario Peralta</t>
  </si>
  <si>
    <t>…propusiese las bases en que podría entrar en una capitulación honrosa: *0 dudé un momento en lo que debía hacer, y para el efecto pasó con segundo parlamento un ayudante de campo D. Hilario Peralta» llevan do consigo las proposiciones siguientes: í..^ Toda la guarnición quedará prisionera de guerra. II. tos señores oficiales , así como también el Sr. comandante , con servarán su. espada, equipa r-es y caballos si los tuviesen. III. Los sargentos, cabos…</t>
  </si>
  <si>
    <t>Peralta, Mariano</t>
  </si>
  <si>
    <t>Mariano Peralta</t>
  </si>
  <si>
    <t>98 el brigadier Ramírez dispersó tin cuerpo de 400 cabillos en su situa ción, y el coronel D. Mariano Peralta y el c&amp;piian de mi guardia D. Miguel Can zas pusieron eu fuga á cuantos se presentaron á mi izquierda. ,,Hasta aquí obró el valor y pericia, á que siguió el furor de la venganza: como torrentes entraron las divisiones enfurecidas en la despoblada ciudad, que…</t>
  </si>
  <si>
    <t>Perder, Juan Diaz</t>
  </si>
  <si>
    <t>Juan Diaz Perder</t>
  </si>
  <si>
    <t>…e la misma división. Cuarta divi ion en Tolosa y pueblos inmediatos, que manda el b ig dk r D. José María Espeleta, interinamente. Quin ta división, que manda el mariscal de campo D. Juan Diaz Perder: la primera brigada de esta división se halla distribuida en ks pt eblos de Ir un* y Guetaria, y la segunda bridada en el bloqueo de Santoña. Sexta división , que manda el brigadier D. Francisco Longa, en Brivlesca y pueblos inmediatos. Séptima división, que…</t>
  </si>
  <si>
    <t>Peredo</t>
  </si>
  <si>
    <t>…es, pero luego huyeron, volviendo poco después á presentar ba talla en numero de 3®, divididos en tres trozos, dirigiéndose uno contra los forreageadores , otro contra el teniente coronel Peredo, que con ,un destacamento y 2 piezas se hallaba en la hacienda, y el principal contra el grueso de la división.; pero todos tres cuerpos rebeldes huyeron bien escarmentados. Ei 15 amaneció todo el cír culo de los montes cubierto de chusma, cuya mayor parte qu…</t>
  </si>
  <si>
    <t>Pereira, Luis</t>
  </si>
  <si>
    <t>Luis Pereira</t>
  </si>
  <si>
    <t>…s, casa de la fonda del Angel, á 5 rs. Ensayo de los elementos de la ciencia del buen gobierno, dedicado al pueblo espino!, y presentado al augusto y supremo Congreso nacional por D. Luis Pereira de la Guardia , oficial segundo de la tesorería general de correos. Se hallará en la librería de Quiroga, calle de ¡as Carretas, junto á la plazuela del Aogel: un tomo en 4.0, á t8 rs. en rústica. Cartilla del ciudadano español, ó breve exposición de sus fuer…</t>
  </si>
  <si>
    <t>Pereti, Cristóbal</t>
  </si>
  <si>
    <t>Cristóbal Pereti</t>
  </si>
  <si>
    <t>…D Santos Ayerra, D. Tomas Ayerra, D Juan Esteban Alemán, D. León Mayo, D. Aniceto Unciti y D. Sebastian íso : á alféreces á D. Nicolás Sada, D. Lucas Munarriz, D. Francisco Ruiz , D. Cristóbal Pereti, D. Mariano Raqpedano, D. Mariano Amorós, D. Manuel Rodrigo, D. Gregorio Lagarda, D. José García, D. Antonio Ortíz, D. An gel Martínez, D. Antonio Blesa, D Fermín Fabiano, D. Pedro Garrea, D. Pablo Franca, D. Antonio Santos, D. Manuel Uría^ D. Bernardo Uriz,…</t>
  </si>
  <si>
    <t>Perex, Manuel Horberto</t>
  </si>
  <si>
    <t>Manuel Horberto Perex</t>
  </si>
  <si>
    <t>…ero de 1813 tunados serán amados entre sus semejantes; pero si en la apertura de la sala de alcaldes de casa á su pureza no reúnen la firmeza necesaria para con y corte Por el Dr. D. Manuel Horberto Perex servarla, no son verdaderamente virtuosos. Sus fuer de Camino } caballero de la Orden Real de Es zas no podrjan sostener una prueba difícil; y asi cq paña ¿juez de ¡as juntas supremas de justicia, rao no merece el honroso nombre de valiente el sol y president…</t>
  </si>
  <si>
    <t>Perez, Aniceto</t>
  </si>
  <si>
    <t>Aniceto Perez</t>
  </si>
  <si>
    <t>…sultado. Los recomiendo á todos como dignos defensores de ia patria, mas faltaría á la justicia si no particularizase al capitán de dragones de So ria D. Pedro Marc y á su alférez D. Aniceto Perez, como también á los capitanes de mi regimiento D. Pedro Sologaistoa, D. Josef de Lagandara y D. Atanasio Muñoz, y al teniente D. Mariano Tabuenca. Dios guarde &amp;c. Calahorra &amp;c. En el dia 2 del corriente la caballería aliada tuvo delante de Toro un choque con…</t>
  </si>
  <si>
    <t>Perez, Francisco</t>
  </si>
  <si>
    <t>Francisco Perez</t>
  </si>
  <si>
    <t>¿el centro, á cnyá cabeza se pusieron el teniente D. Tomas Pa checo, el subteniente graduado D. Francisco Perez, el sargento pri mero de patriotas Eduardo Ribera, el segundo vctersno Isidro Larrada, los segundos de milicias Francisco Labaríes y j can • O ntierrez, los cabos primeros veteranos Manuel Rodríguez, Joaquín Silva, José Eugenio de la Vega, y eí segundo Juan B…</t>
  </si>
  <si>
    <t>…l capitán £&gt;. García Revilla, que mandaba las tropas colocadas fuera del real, recomienda al subte niente D. Jaan Granados, á los cadetes D. Ventura de Mora y D. José Blasio, y al sargento Francisco Perez, y en general lo hace Mora de toda su tropa. (Se continuarán.) Zaragoza S&gt; de Agosto. La batalla de Vitoria y su resultado le llegó á Bonaparte estan do comiendo en Dresde con el rey de Saxonia: rasgó el parte, ar</t>
  </si>
  <si>
    <t>Perez, Josef</t>
  </si>
  <si>
    <t>Josef Perez</t>
  </si>
  <si>
    <t>…r y ganadero de la villa de Talavera de la Reina. ...... Lie. D. Simón de Codes, hacendado de la villa de Ocaña. D. AlfonsoPeñalver, presbítero, hacendado de la villa de Mora. Dr. D. Josef Perez de la Maza, párroco de Santiago de Talavera. . Dr. D. Manuel de Mora, hacendado, labrador de la Guardia. N D. Gregorio Sánchez de Rivera, labrador propietario de Gerindote. Y para suplentes d los señores D. Juan Josef Calderón de Ja Barca, hacendado de Orgaz*</t>
  </si>
  <si>
    <t>Perez, Julián</t>
  </si>
  <si>
    <t>Julián Perez</t>
  </si>
  <si>
    <t>…ncisco Falconi, I id. D. Francis co de Sagastaveitía„ id. D Francisco Valles, 2 id D. Francisco Ba llesteros, 1 id. D. Gregorio Fernandez* 1 id D. Julián García Mon_terroso, 1 id. D. Julián Perez, 2 id. D. Lorenzo de Arguiano, 1 id. D. Matías de Larreta, 3 id D. Manuel délos H¿ros, 2 id. D. Ma nuel déla Torre, 1 id. D. Manuel Garbea y Bulillo, 2 id. D. Ma nuel de Aramburu, í id. D. Miguel de Ezcurra, 1 id. D. Ramo* Martínez de Bartolomé, 1 id. D. Sant…</t>
  </si>
  <si>
    <t>Perez, Matías</t>
  </si>
  <si>
    <t>Matías Perez</t>
  </si>
  <si>
    <t>6$2 En tabaco. Libs. D. Francisco Palacios en diferentes cali dades...................... 654 D.Ju a 11 Montalvo. . BS j D. Francisco Anieva. 427 V Sa valor en ps. 667 6 8 D. Matías Perez. . . 1145 Total. ... 2314 -............................................. ■ ■»-.........................&gt; ' &gt; Con el fin de dar en la península un crecido aumento á este do nativo, y con ei de proporcionar á la casa de beneficencia de la Ha bana alguna labor q…</t>
  </si>
  <si>
    <t>Perez, Miguel</t>
  </si>
  <si>
    <t>Miguel Perez</t>
  </si>
  <si>
    <t>…e ha sabido de su paradero, pop mas di ligencias que por todas partes se han practicado; y si alguno supiese de dicho sugeto, se servirá comunicarlo en esta corte en la tienda de .D. Miguel Perez, calle déla Montera, núm. 13. Habiéndose extraviado de la casa comercio del difunto D* Manuel Galban Pu jidos , vecino de Rioseco, Jos libios de caxa, vaies, escrituras y otros instrumén tete que estaban á su favor, se suplica á los deudores de dicho señor no…</t>
  </si>
  <si>
    <t>Perez, Nicolás</t>
  </si>
  <si>
    <t>Nicolás Perez</t>
  </si>
  <si>
    <t>…ri mero.D. Celedonio López , substituto segundo. En el de la Cruz se «recularázzatko. la comedia titulada la Barrio del Rosario. Virtud consiste en medio, y pródigo y rico Avarien D. Nicolás Perez, alcalde. to; seguirá una escena de müsica qúe significará b D. Tosef Meneses, substituto primero. muerte 4* Semíramit por su hijo Arsaces; y se CunD. Josef Mana Tourdinier, substituto segundo. cluirá con ua divertido fin de fiesta. EN LA IMPRENTA REAL.</t>
  </si>
  <si>
    <t>Perez, Santiago</t>
  </si>
  <si>
    <t>Santiago Perez</t>
  </si>
  <si>
    <t>…a Nuñoz, abogado, vecino de Hoyo-quesero. D. Josef Agapito García, cura de Mesegar. D. Juan Manuel Bazan, vecino de Arévalo. D. Lorenzo Rodríguez, vecino de Viüaraayor. Suplentes. D. Santiago Perez, abogado, vecino de Can deleda. D. Josef Bautista Brochero, labrador, vecino de Avila. D. Bernardino Jaén, vecino de Navamorqíiende. Madrid i.° de setiembre. Por el último correo de la mala hemos sabido que los aliados se han apo derado ya de todo el casco de…</t>
  </si>
  <si>
    <t>Perez, Silvestre</t>
  </si>
  <si>
    <t>Silvestre Perez</t>
  </si>
  <si>
    <t>…ia de. ésta villa,-se cita, lumia y emplaza al marques de Almenara, Doña Josefa Tu fió, Dóiía Plácida Urquijo, D. Severino Riezu, D.- Francisco Amorós, D. Juan Bau tista Guítart y D. Silvestre Perez, fugados con el gobierno intruso, para que en el término de 20 citas, que por único y perentorio se les señala, comparezcan por &lt;sí, ó por procuradores con los correspondientes poderes, á mi juzgado, y por la escribanía mayor de rentas á cargo de D. Manuel de…</t>
  </si>
  <si>
    <t>…dedicado á conducir la corresponden cia de Inglaterra. Por providencia del Sr. D. Francisco de Assin, juez letrado de primera ins tancia en esta villa, se cita, llama y emplaza á D. Silvestre Perez, arquitecto que fue en esta villa, para que en.el preciso término de 30 dias perentorios, contados desde 19 del corriente, comparezca en el juzgado de S. S. por sí ó persona que le. represente á deducir lo que le convenga , y responder á la demanda puesta con…</t>
  </si>
  <si>
    <t>Perez, Tomas</t>
  </si>
  <si>
    <t>Tomas Perez</t>
  </si>
  <si>
    <t>…o primero. Barrio de Capuchinos de ¡a Paciencia. D. F rancisco Ortiz , substituto segundo. D. Vicente Zally, alcalde. Barrio de S. Isidro. D. Antonio Andatuce, substituto primero. D. Tomas Perez , alcalde. D. Manuel Pardo, substituto segundo. D. Pedro Brugada, substituto primero. Nuestros ministros de la Policía general, de la D. Lázaro Soto, substituto segundo. Justicia y de lo Interior quedan encargados de la execucion del presente decreto. = Firma…</t>
  </si>
  <si>
    <t>Periatowski</t>
  </si>
  <si>
    <t>…ra á emular con los rusos así en donativos patrióticos, como en el servicio personal. ,,Tengo entendido que el gobierno polaco, que se retiró de Var~ scvia llevando á su cabeza al príncipe Periatowski, pasó prime ramente á Petrikaiv , y después se encaminaron algunos con el prín cipe á Czentochaw, en donde se dice que se ha reunido alguna fuerza. También tengo noticias de que las tropas polacas del cnerpo de Regnier tomaron aquella dirección después de la…</t>
  </si>
  <si>
    <t>Perigord, Talleyrand</t>
  </si>
  <si>
    <t>Talleyrand Perigord</t>
  </si>
  <si>
    <t>…Bayreutk 7 de octubre. Ma_dr/d t coronel prusiano Blucher, que quedó prisionero de los franceses en anteras de Bohemia el 14 de setiembre, está para ser cangeado por el * coronel conde Talleyrand Perigord, á quien, hicieron prisionero los aliados el 19 del mismo mes en un ataque de algunos regimientos de caballería con tra la vanguardia del conde Tavenzien. GRAN BRETAÑA. Noticias de Londres hasta 10 de noviembre. El general austríaco Nugent ha pedido que se le…</t>
  </si>
  <si>
    <t>Perlica, Juan de</t>
  </si>
  <si>
    <t>Juan de Perlica</t>
  </si>
  <si>
    <t>…id. D. Miguel de Ezcurra, 1 id. D. Ramo* Martínez de Bartolomé, 1 id. D. Santiago Cachonfajro, 1 id. D. Tir so Estevanez, 1 id. D. Francisco Bosano , 2 id. D. José Gambini, 1 id. D. Juan de Perlica, 8 id. D. Dimaso de Arias, 6 id. D. Jacinto Xiraeno, 6 id. D. Manuel Ortiz de Villate, 4 id. D. José Rodolfo, 4 id. D. Antonio León, 4 id. D Paulino Domínguez, 3 id. D. Martin de Aramburu, 3 id. D. Francisco Vázquez de Usieda, 2 id. D. José Correa, 2 id. D. J…</t>
  </si>
  <si>
    <t>Pernaííjdo</t>
  </si>
  <si>
    <t>…conti nuar tina guerra ruinosa, exponiéndolo todo a la extremidad.contingc-nie de les armas, respecto de unos pueblos que son y serán.siem pre fieles á nuestro leguimo soberano el Sr. D. Pernaííjdo vii de Borbon. * »Quedo enterado,, y como tengo experiencia ce que no proce den de buena fe, que no ignr.ro individualmente la fuerza, armas y pertrechos de que pueden disponer, su situación y demás circuns tancias; no admitiré otra. capitulación ni condiuiop…</t>
  </si>
  <si>
    <t>Perremonde</t>
  </si>
  <si>
    <t>…acción ,y también al coronel Dubas, que fue herido leveme te. Según la relación del general Pino, el general Palombini mantuvo aqu dia la reputación que ha adquirido en España. El general Perremonde dio un brillante ataque al frente del regimi- • 3.0 de cazadores italianos. El general Nugent mandaba las tropas enem'</t>
  </si>
  <si>
    <t>Perrot</t>
  </si>
  <si>
    <t>…el dia formo s u tropa en tres colunas, y fue hácia él de siguiente llegó á Daroca. La guarnición de esta nodadamente : pasaron los soldados el barranco con ciudad, mandada por ei teniente Perrot, del regi agua hasta la cintura y por debaxo de un fuego vi miento 8i,°, habla op testo la mas vigorosa resis vísimo , y acometieron luego con tanto vigor, que tencia á todos los esfuerzos del enemigo, que ata arrollado y confundido elenernigo, inmediatamente…</t>
  </si>
  <si>
    <t>Perulan, José</t>
  </si>
  <si>
    <t>José Perulan</t>
  </si>
  <si>
    <t>…el Clemente, D. Ra món Marañon , D. José Albumes, D. José Luizaain , D. Francisca Ardaiz, D. José Díaz, D Antonio Abadía, D. Nicolás Soriano, D. Bernardo Moliner, D. Manuel Llera, D. José Perulan, D. Ray» mundo Marqués, D. José Gorriz, D. Dionisio Fonolitas, D. Can» dido Zunzarren * D. M:guel Quartero , D. Juan Urzaniqui, D. Ruerto Rajum, D. Manuel López, D. Agustín Munarriz, D. Juan Sliutista fnd'.iusti, D. Pedio López de Baylo, D. José García, D. An…</t>
  </si>
  <si>
    <t>Pescador, Pedro</t>
  </si>
  <si>
    <t>Pedro Pescador</t>
  </si>
  <si>
    <t>263 Bj.tr rio df lar CpanA diría. B ¡rrio de jesus Nazareno. D. Pedro Pescador, alcalde.. D. Benito Olmeda, alcaide. D. Frvnpi co Pando,, substituto primero. . D. Calixto Vi!! dva, substituto profiero. •D. Pablo,Marquiep, substituto segundo. ; D. Felipe Monasterio, substituto segundo. Barrio (te la puerta de Sigovia. Barrio de Pinto. D.…</t>
  </si>
  <si>
    <t>Petez, Pedro</t>
  </si>
  <si>
    <t>Pedro Petez</t>
  </si>
  <si>
    <t>…D. Francisco González, substituto primero. D. Ratael Guiri, substituto segundo. D. Josef Llorca , substituto segundo. Barrí) de Gu traías Españolas. Barrio de la Hu rta del Bayo. D. Pedro Petez, alcalde. D. Felipe Santintregui, alcalde. D. Pedro del Rio, substituto primero. D. Josef Manuel Aynz Gardazabal, substituto D. Manuel Alba, substituto segundo. hamo de tas Sal.primero. D. Agustín Mlchel, substituto segundo. D. Josef Fabregas, alcalde. Barrio…</t>
  </si>
  <si>
    <t>Petit</t>
  </si>
  <si>
    <t>…. = Segun da división. = Estado que manifiesta los muertos y heridos que ha habido en la acción del dia 4 del mes de la fecha , sobre el pueblo de S. Privat, contra la brigada del coronel Petit. En el regimiento de Tarragona un oficial y un soldado muertos, y 18 cabos y soldados heridos : en el de S. Fernando 2 sargento* y 4 cabos y soldados múertos, y un oficial , 2 tambores y 32 ca bos y soldados iíendos ; y en él dé Ausona 3 cabos y soldados muer…</t>
  </si>
  <si>
    <t>Pettit, Henrique</t>
  </si>
  <si>
    <t>Henrique Pettit</t>
  </si>
  <si>
    <t>…hibiendo las copias de los documen tos que se me habían comunicado, y pedí con la «,Habiendo el Rei dirigido á sus ministros las (1) Este ntensage se expidió el dís 15 de enero de lord Henrique Pettit, el lord vizconde Howick, lord 1807 con arreglo al dictamen de Jas personas siguien Grenvillc, lord Ellenboroug, el señor secretario YVindtes: el lord canciller, el lord presidente, el lord del hain, M. T. Grenville. sello privado, el conde Spcnccr, el conde…</t>
  </si>
  <si>
    <t>Peynado, José María</t>
  </si>
  <si>
    <t>José María Peynado</t>
  </si>
  <si>
    <t>…alopó, 15 ps.- Lemoa, 10 ps. Pansjachel, 15 ps. S. Bartolomé-, 6 ps. Chichicastenango, 103 ps. llotenango, 14 ps. y 2 rs. Sta. Cruz, 8 ps. Y S. José, 15 ps. Total, 627 ps. y 7 rs. D. José María Peynado, corregidor intendente de la provincia de S. Salvador en Goatemala, en carta de 17 de Agosto de 1812 da cuenta de que de resultas de la publicación dél soberano decreto de las Cortes de 21 de Enero del mismo año, expedido á favor de las castas y de la proclam…</t>
  </si>
  <si>
    <t>Peynado, José Moría</t>
  </si>
  <si>
    <t>José Moría Peynado</t>
  </si>
  <si>
    <t>…as , y sellando en compañía del ca bildo su religiosidad: con ei mismo juramento. En la ciudad de San Salvador, capital de aquel partido, se se ñaló para jurarla por su corregidor intendente D. José Moría Peynado en unión del ayuntamiento, el dia ¿14 de Octubre por ser cum pleaños de nuestro amado Rey Rern as©o : la pompa y magnifi cencia de esta publicación y juramento , demuestran la imperturba ble tranquilidad y fiel adhesión de aquellos habitantes. Se adornó un vi…</t>
  </si>
  <si>
    <t>Pfister</t>
  </si>
  <si>
    <t>…ncipe de Schwarzemberg llega has valiente capitán, al atacar uno de ellos, fue muerta el 7 de este mes. El cuerpo auxiliar austríaco estaba de vuelta el to de un balazo. El primer teniente Pfister tomó el i.® de diciembre en las cercanías de Pruszana. La “mando del destacamento, y trató de volver por Lohiczyn; pero también se encontró este puntoretaguardia, á las órdenes del mayor general barón Frelich, hizo prisioneros en Horodetska dos oficia ocupado…</t>
  </si>
  <si>
    <t>Pfuel</t>
  </si>
  <si>
    <t>…, después de la muerte del coronel Thui.íbr, como viese asios preparativos, y no estuviese en estado de hacer resistencia, propuso on3 capitulación, que se con cluyó entre él y el coronel Pfuel. La guarnición disminuida coa ía pérdida de 300 hombres entre muerto;, heridos y prisioneros salió con los honores de la guerra, con la condición de no servir centra los aliados en el término de un año : condición que seguramente se cumple, pues la mayor part…</t>
  </si>
  <si>
    <t>Phigner</t>
  </si>
  <si>
    <t>…deas de Yasvm , Lacof y Dolgomust, é inmediatamente se tomaron disposicio nes para atacarle con los tres cuerpos de partidas , mandados por el capitán Seslavin , coronel Davidow y capitán Phigner. El resul tado fi»é la total derrota del cuerpo de -Charpentier. Baraguay d’Hiiliers, habiendo oido, sin moverse, el cañoneo hacia la parte donde estaba la brigada de Augereau , solo cuido de hacer su retirada á Smolensko , y el cuerpo de Augereau de 3000 hom…</t>
  </si>
  <si>
    <t>Pi</t>
  </si>
  <si>
    <t>…or general, y el corones Astete con su división, se me incor poren, pues Jujuy, guarnecido con el batallón de Cotabambas, na da tiene que temer, después de sn gloriosa defensa. Ai brigadier Pi« coaga he prevenido que descanse en Jujuy, y que á su llegada se me incorporará toda la guarnición. „Faltaría á mis deberes si dexase de hacer presente á V. S. que toda ia oficialidad y tropa se ha portado con el valor y constancia que tanto los distingue : e…</t>
  </si>
  <si>
    <t>Piasencia, Francisco</t>
  </si>
  <si>
    <t>Francisco Piasencia</t>
  </si>
  <si>
    <t>…a para formar la reserva de las tropas que atacaban á Viriato, iba mandada por el maris cal dé campo D. Juan Diaz Porlier , gefe de toda la división , y por el de la misma brigada coronel D. Francisco Piasencia : parre de estas tropas hizo fuego sobre su derecha, y contribuyó á desalojar á los enemigos de los pa rapetos de la montaña, siguiendo después su marcha al puesto de Viriato, que era el que le estaba designado para su colocación. Faltaría á los deberes á que…</t>
  </si>
  <si>
    <t>*T 53 arrojo, puesto Ímpor\tntísuno, en cuya'pronta adquisición con-jsti j «n gran manera el éxito de las restantes operaciones; y los coroneles p, Rafael de Goicoschea , D. Francisco Piasencia y D. José Muría Carrillo Albornoz, que tuvieron el mérito de guiar á sus'tropas á lu victoria con tanta resolución como buen orden. «El gefe de estado mayor mariscal de campo D. Estanislao Sán chez Salvador y todos los oficiales de su cuerpo, se portaron en este dia con la distinción…</t>
  </si>
  <si>
    <t>Piatow</t>
  </si>
  <si>
    <t>% rojados los franceses de Viasma á la bayoneta, y perseguidos hasta Erenina por la caballería ligera al mando del general Piatow. En este ataque el regimiento de infantería de Pernoff, guiado por su co ronel el general Tchoghokoíf, y por el mayor general Paskvitch, formando la cabeza de la Golumna, entró en el pueblo acometiendo á tambor batiente y banderas desplegadas. „La pérdida del…</t>
  </si>
  <si>
    <t>…nte ha quemado en seguida; pero habiéndome llegado pontones de parte del almirante Tchichagoff', le estoy reparando, y pienso pasar inmediatamente el rio y obrar juntamente con el general Piatow. Ayer les tomamos á los ene migos un cañón de campaña y 1500 prisioneros : hoy nos hemos apo derado de !2 cañones, sin contar los muchos que ellos mismos han echado al rio, y de un número considerable de oficiales y soldados prisioneros, cuyo total ignoro tod…</t>
  </si>
  <si>
    <t>…no, ocupaba el camino que conduce á este pueblo con todos sus regimientos de cosacos, con los de los húsares de Oíviopoie , y los dragones de Shitomir y Arsamas Habiendo dexado el conde Piatow que pasase la primera columna enemiga man dó al conde Orlow Denizow que la acometiese rigorosamente , al mismo tiempo que él embestía impetuosamente á las otra-, rso cesan do de hacer fuego la artillería del coronel príncipe K md 'r.: hew. Después de e¿to el…</t>
  </si>
  <si>
    <t>Píatow</t>
  </si>
  <si>
    <t>' ' 279 de pasó en tres marchas ó Insterburg ; y que el general conde Píatow marcha delante del exército con sus regimientos. En el tercero comunica que todos los habitantes prusianos se muestran muy go zosos con la llegada de las tropas rusas. Ei teniente general barón Sachen informa, con f;cha de 2 de Ene ro , que ha perseguido hast…</t>
  </si>
  <si>
    <t>…de Uuskaw intentó mantenerse en la cabeza de un puente; pero habiendo sido también derrotado allí, emprendió su retirada en dos columnas , con dirección á Dsntzick y Stargard. El conde Piatow sigue persiguiéndole, junto con el cuerpo del teniente gene ral SchepelofF. Cerca de Marienberg hicimos mas de SCO prisioneros, y en Dushaw sobre 200 , tomando también un número considerable de fusiles. El enemigo dexó en los hospitales de Marienberg 40 ofi c…</t>
  </si>
  <si>
    <t>…manecen en las orillas del Elba, cerca de Boit*. zepJberg. Parte del exército de Tehichagoff está cerca de Thorn , y otra parte se emplea en el sitio de Dantzick á las órdenes del general Piatow. Un cuerpo del exército de Winzingerode se halla cerca de Custrin y Landsberg: otra división de él ocupa la parte nueva de Dresde ; y otro cuerpo ha pasado el Elba en Schadau, con objeto de envolver á Davousí. Ademas han llegado al Vístula cerca de 100000 ras…</t>
  </si>
  <si>
    <t>Piatów, Mitwei Iwanowitsch</t>
  </si>
  <si>
    <t>Mitwei Iwanowitsch Piatów</t>
  </si>
  <si>
    <t>…Erna, esa plata, ornamento en otro tiempo de ios templos, presa después de los feroces bandidos , y rescatada últimamente por los valientes cosacos del Don. Ei caudillo de estos, conde Mitwei Iwanowitsch Piatów, todos sus guerreros y yo deseamos, que de esta plata se hagan cuatro estatuas de los evangelistas para colocarlas en la iglesia de la Madre de Dios de Kasan en Peteisburgo. Los gastos necesarios para hacer las estatuas corren de nuestra cuenta, y luego á V.…</t>
  </si>
  <si>
    <t>Piccot</t>
  </si>
  <si>
    <t>…italir-nos que formaban parte de la guarni ción francesa de Pola y Rcvigno, escoltados por el Sr. Francisco Saberio Piccot, entraron esta tarae en Fiun;e. El espitan Sszarich y el Sr. Piccot pudieron juntar en un mo mento un corto número de tropa austríaca, y sorprehendieron, 900 hombres al pie del monte Verme, que aunque se bailaban reunido» y tenían tres piezes de artillería, á poco rato de fuego rincieron las armas. El servicio de Piccot y Laz…</t>
  </si>
  <si>
    <t>Piccot, Francisco Saberio</t>
  </si>
  <si>
    <t>Francisco Saberio Piccot</t>
  </si>
  <si>
    <t>…ha disfrutado cquí dei espectáculo mas lisenjero que podía esperarse: 600 pridoneres italir-nos que formaban parte de la guarni ción francesa de Pola y Rcvigno, escoltados por el Sr. Francisco Saberio Piccot, entraron esta tarae en Fiun;e. El espitan Sszarich y el Sr. Piccot pudieron juntar en un mo mento un corto número de tropa austríaca, y sorprehendieron, 900 hombres al pie del monte Verme, que aunque se bailaban reunido» y tenían tres piezes de artillería, á…</t>
  </si>
  <si>
    <t>Pichegríi</t>
  </si>
  <si>
    <t>…a de la república francesa; y seguramente no son los Soberanos armados contra la (1) F.I padre del general Moreau fue guillotinado quando este servia en Ho landa á las órdenes del general Pichegríi. Apenas recibió la noticia de este asesina to revolucionario, se decidió ¿ separarse del exército y de la Francia; pero el ge neral Pichegríi , que le amaba, y que sin duda había conocido en él el talento que algún dia llegaría á darle celebridad, le hizo pre…</t>
  </si>
  <si>
    <t>Picoaga</t>
  </si>
  <si>
    <t>…on el Real de Lima y 2 piezas, protegiese el convoy y mi retaguardia amenazada de la ca ballería enemiga , haciendo alto en un desfiladero de preciso paso, y yo con el distinguido brigadier Picoaga, batallón de Ccíabambas, 180 hombres de caballería y 8 piezas de artillería de á caballo, rae dirigí á tornar por asalto el elevado cerro de S. Sebastian y la fe mentida ciudad Mi posición era en un llano que dominaba la del enemigo : su artillería laxaba bie…</t>
  </si>
  <si>
    <t>…mando de Oruró y su carrera: el brigadier Ramírez, con fuerza respetable, va á Clt«yanta; y orga nizada aquella provincia, se reunirá conmigo en Charcas, para don de salgo con el brigadier Picoaga, real de Lima, caballería y artille ría queíraxe , demorándome algunos breves dias en el valle de Cli sa: consulto íu rapidez para apoyar á mi mayor general el distin guido Tristan, que ha quedado en guarda de las provincias de Potosí y Charcas , acampado en…</t>
  </si>
  <si>
    <t>Pictcm, Sir Tomas</t>
  </si>
  <si>
    <t>Sir Tomas Pictcm</t>
  </si>
  <si>
    <t>…niente general lord Dalhowsie que se apoderase de la cresta de la montaña que tenia á su frente, con cuya operación quedaría envuelta la derecha de la línea enemiga; y al teniente general Sir Tomas Pictcm le previne que atravesando las alturas que había ocupado la izquierda del enemigo, envolviese esta por el camino de Roncesvaites. Las disposiciones para atacar el frente de su posición estaban dadas, y las tro pas prontas para el efecto, luego que se observas…</t>
  </si>
  <si>
    <t>Picton</t>
  </si>
  <si>
    <t>…en expresa del Emperador de hallarse el 31 ea Vi toria, después de haber levantado el bloqueo de Pamplona; y en seguida volvió á atacar á Colé y Morillo, y les obligó á uña con el general Picton á retirarse á las alturas del pueblo ae Huarte á una legua de Pamplona. Mi lord Weliington marchó allá el 26, y el 27 , habiéndose escapado milagro samente por cinco minutos de caer en manos denlos enemigos, llegó á las diez de la mañana á aquellas alturas, y…</t>
  </si>
  <si>
    <t>…pasar á situarse en Zubiri; y en efecto*, dispuse marchase la segunda y cuarta brigada de infamería, á las ordenes del brigadier Clark, quien lo veriñeó inmediatamente. Ha lló al general Picton unido al general Colé en, Zubiri, y le comu nicó la orden que llevaba; pero este le insinuó iba á continuar su retirada, y que convenia que el dicho Clark la verificase cuanto an tes. En seguida recibí, por el general Picton, ís noticia de que ho siendo el te…</t>
  </si>
  <si>
    <t>Picton, Dalhowsie y Sir Tomas</t>
  </si>
  <si>
    <t>Dalhowsie y Sir Tomas Picton</t>
  </si>
  <si>
    <t>…en el ataque de la montaña del dia 30. ,, No debo omitir el mencionar los particulares servicios que han hecho durante estas operaciones los tenientes generales Sir Rolando Hill, lord Dalhowsie y Sir Tomas Picton ; ni tampoco puedo dexar de expresar que el teniente general conde de la Bisbal me ha prestado quantos auxilios ha po dido , y le ha permitido su principal atención, que era el bloqueo de Pam plona. Ya he manifestado qual fué la conducta de los regimientos de…</t>
  </si>
  <si>
    <t>Picton, Sir Tomas</t>
  </si>
  <si>
    <t>Sir Tomas Picton</t>
  </si>
  <si>
    <t>…r el llamado Tres Puentes, y casi tan luego como estas hubieron pasado, la co lumna del mando de Lord Dalhousie llegó á Mendoza; y la terce ra división, á las órdenes del teniente general Sir Tomas Picton, pasó el río por un puente mas arriba, seguido de la séptima división del siando de Lord Dalhousie. ,,Estas, cuatro divisiones, que formaban el centro del exército, es taban destinadas á atacar las alturas que ocupaba la derecha del cen tro dei enemigo, mient…</t>
  </si>
  <si>
    <t>Pidgley</t>
  </si>
  <si>
    <t>…hasta después de medio dia del 2 de este mes. Inmediatamente desembarqué 2 'piezas de campaña y las envié á Pereiló , á las órdenes del teniente Corbya, que tenia baxo su mando al teniente Pidgley, á les guardias marinas y artilleros. Colocáronse los cañones en una casa cerca de la torre, y al dia siguiente ai amanecer rompieron el fuego. nHabiéndose hecho dos brechas en la torre, se rindió el enemi-</t>
  </si>
  <si>
    <t>Pieire, La</t>
  </si>
  <si>
    <t>La Pieire</t>
  </si>
  <si>
    <t>…itantes. Cuando el general Chernicheff entró en Marierroercer el 12 de Enero,, apenas pudieron escapar de la-persecución de los cosacos eí virey de Italia y el mariscal Víctor. El general La Pieire 5 4 oficiales y 200 solda dos quedaron prisioneros , como también un correo que llevaba plie gos de NYpolcon al príncipe de Nenfchatel. £¡j el camino que con duce á Nurenberg, el teniente coronel Adrienof, persiguiendo al enemigo , encontró un escuadrón de Ba…</t>
  </si>
  <si>
    <t>Píeteu</t>
  </si>
  <si>
    <t>…del general Picton y Colé se hallaban ya en Kuartc; esto es, en 1 £13 tfiOSlClVIá^S se eneuentran á su frente, y que el en-:migo solo distaba na cuarto de legua de aquel punto. El general Píeteu, que habla recibido la- orden para contener ai enemigo unido conmigo, y hesta- la llegada de los re fuerzos anunciados , se dispuso á verificarlo, y yo con la infantería, que se hallaba dispuesta-para marchartomé posición á su izquier da. enviando les batallo…</t>
  </si>
  <si>
    <t>Pieton</t>
  </si>
  <si>
    <t>95* donde *e encotítraba el general Pieton. La tarde acabó con un fue go terrible de canon y bastante fusilería,, sin que los franceses hu biesen podido adelantar ni un pi£‘ de terreno. Por la noche;¿exaroa el campo los ingleses, y la tardanza del que debió traerme-fe! mentó que lo advertí me pase en…</t>
  </si>
  <si>
    <t>Pignatelli, Ramón de</t>
  </si>
  <si>
    <t>Ramón de Pignatelli</t>
  </si>
  <si>
    <t>…tinguen de las demas en tanto grado, ia hace aun mas apreciable el no poderse dudar que es una copia exactadel original, que de letra del autor estaba en la libre» ría del célebre D. Ramón de Pignatelli. En ella el inmortal Argensola da una idea sencilla.y clara de la antigua legislación del reino de Aragón, ofrece un bello mo delo del .decoro y prudencia que debía caracterizar I todos los historiadores, y saca dcjla obscuridad muchos sucesos interesantes de…</t>
  </si>
  <si>
    <t>Piloteo, Justo</t>
  </si>
  <si>
    <t>Justo Piloteo</t>
  </si>
  <si>
    <t>…as de la patria. El Pueblo desengañado. Respuesta al Clero vindicado, ó verdadera solución del problema^ acerca de si Jos eclesiásticos deben ser elegidos diputados en Cortes: por D. Justo Piloteo, cura párroco y doctor en sagrada teología. Se vende en las librerías de la viuda de Alonso, frente á S. Felipe el Real, y de Rodríguez, calle de Jas Carretas. Juicio históríco-canónico-político de la autoridad de las naciones en los bie nes eclesiásticos, ó…</t>
  </si>
  <si>
    <t>Pineyro, Juan</t>
  </si>
  <si>
    <t>Juan Pineyro</t>
  </si>
  <si>
    <t>…s les enseñaron con escarmiento á medir su sable con fuerzas duplas. Seria iüjisto si omitiese expresar ¿ V. S. los servicio* nunca bit n ponderados de los capitanes de infantería Don Juan Pineyro y D. Vicente Sánchez, quienes con sus 2 subalternos D. José Hencstrosa y D. Antonio B -raona y la tropa se cubrieron de gloria,, arrojando con sus bayonetas los caballos enemigos. Es pero que* V. S. se servirá elevar al conocimiento de S. E. el general en gefe los distinguidos se…</t>
  </si>
  <si>
    <t>Pinilla, Patricio Sanz</t>
  </si>
  <si>
    <t>Patricio Sanz Pinilla</t>
  </si>
  <si>
    <t>…Carrillo Lozano y Manrique, vecino de Atienza. 6.a Sr. D. Ventura de Zudiaur, vecino de Cifuentes. 7.0 Sr. D. Fernando García del Olmo, vecino de Alcolea del Pinar. Suplentes. i.° Sr. D. Patricio Sanz Pinilla, vecino de Alustante. 2.0 Sr. Lie. D. Pedro Josef Ibarrola, vecino de Mondejar. 3.0 Sr. Lie. D. Manuel Sabroso, vecino de Valdearenas. Madrid 26" de julio, Extracto del parte del coronel D. Juan Antonio Tabuenca al mariscal de campo D. Josef Joaquín Duran sob…</t>
  </si>
  <si>
    <t>Pino</t>
  </si>
  <si>
    <t>…Pino con la división Palombini de Adelsberg á Fiume, donde el enemigo había recibido un refuerzo de varios batallones, y según las noticias recibidas se esperaba un Archiduque. El general Pino encontró en la madrugada del dia 14 al enemigo en la posición de Lippa. El general Palombini dio sus dispo siciones para atacarle, y realizó completamente su empresa: el enemigo fue derrotado pór nuestras tropas en todos los puntos, y dexó 400 hombres en el c…</t>
  </si>
  <si>
    <t>Pinot</t>
  </si>
  <si>
    <t>…ién los polacos por Valladolid. Suplico á V. E. me comunique inmediata mente sus órdenes sobre el destino que he de dar á estas tropas, si ya no las tienen para pasar adelante. El Sr. Pinot se va á ver en la precisión de suspender sus trabajos si no se le da dinero. Entraron ayer 2000 francos, y al instante voy á dar orden de que se entre guen* He recibido aviso del ministro de una remesa de 250GO flan cos; pero el pagador no tiene la menor noti…</t>
  </si>
  <si>
    <t>Pintado, Josef López</t>
  </si>
  <si>
    <t>Josef López Pintado</t>
  </si>
  <si>
    <t>…eburgo, y que se había destinado para gundo. Dunaburgo , había entrado anteriormente en Dant- Barrio de S. Miguel y S. Justo. júck: .que las fortificaciones se hallan-en buen esta D. Josef López Pintado, alcalde. do: quedos almacenes estaban abundantemente pro D. f'btéban Pardo, substituto primero.' vistos de. efectos de- vestuario, de armamentos y D. Francisco de la Carrera , substituto segundo. de municiones de guerra: que una brigada de ca Barrio de Santo…</t>
  </si>
  <si>
    <t>Pinzón, Nicolás</t>
  </si>
  <si>
    <t>Nicolás Pinzón</t>
  </si>
  <si>
    <t>…nte coronel D. Luis del Aguila fué de 1246 hombres entre infantería y caballería con tres piezas de artillería, á srber: un obús de ? pulgadas y dos ca ñones de á 6 , mandados por D. Nicolás Pinzón. Tercera : su pérdida consistió en 7 soldados muertos , 4 de drngones de México , 2 id. de Puebla , y uno de patriotas de Orizava, y 25 soldados heridos, uno de Marina, 8 de la Coluna de granade ros , 13 del batallón de Asturias, y 3 de dragones de México , h…</t>
  </si>
  <si>
    <t>Piqueras, Josef</t>
  </si>
  <si>
    <t>Josef Piqueras</t>
  </si>
  <si>
    <t>…rero del corriente, se re quéatela, y en esta expedición hemos cogido, que matará el dia íó del presente mes en la audiencia del mado}' destruido mas de 400 sillas nuevas, dos pi- Sr. D. Josef Piqueras, del consejo de S. M., y juez de ias mui grandes llenas de balas con los moldes, 200 Íusi'es entre nuevos y viejos, muchas pistolas y tra primerana, y porinstanciaante eldeescribanoesta villa,delá lasnúmerodoce dede sula mañamisma bucos, uh saco grande de pie…</t>
  </si>
  <si>
    <t>Pirot</t>
  </si>
  <si>
    <t>…ado por el general Desnouettes,. y se componía de alguna caballería ligera francesa, de los huíanos, polacos de la guardia , y de una brigada de dragones ligeros á las órdenes de! general Pirot. Los generales Ivesseíski y Krntecks tenían también manco en .este cuerpo, cuya fuerza total era de 700 in fantes y S9 caballos, un escuadrón de mamelucos, y un destaca mento de tártaros de la guaroia , baxo el mando del coronel Murot. Dicen los prisioneros q…</t>
  </si>
  <si>
    <t>Pízárro, José</t>
  </si>
  <si>
    <t>José Pízárro</t>
  </si>
  <si>
    <t>92</t>
  </si>
  <si>
    <t>…circule. — Jojctquin de Mosquera y Figu croa. —- El íJuque del Infantado—Juan ViUavicewcio. — Ignacio Itodriguex de Rivas. Juan Perex VtllamiL—■ En Cádiz á 7 de Enero de 1813. — A D. José Pízárro.” ^ ■ ■ I I ■■ , !■■■■■ -imíií I ’ ■ i ’ |'? . " — ; í , CADIZ s EN LA IMPllfc'JVTA NACIONAL. f</t>
  </si>
  <si>
    <t>Pizarro, Ramón García de León y</t>
  </si>
  <si>
    <t>Ramón García de León y Pizarro</t>
  </si>
  <si>
    <t>…anos. Cádiz 19 de Mayo de 1813. = Tomas José González Carvajal. Por decreto de la anterior Regencia del reyno , firmado de la misma en 2 de Agosto de 1S12, se concedió al teniente general D. Ramón García de León y Pizarro en consideración á sus servi cios y méritos, la merced de título de Castilla para sí, sus hijos y sucesores ; y no habiéndose publicado esta gracia hasta aliora, ha resuelto la 3erual Regencia se anuncie en la gaceta d&lt;sl Gobierno, manifestando al mismo tiemp…</t>
  </si>
  <si>
    <t>PJatow</t>
  </si>
  <si>
    <t>…in participa también que el general Platow marchaba contra el cuerpo principal del enemigo Iricia Totilochinow; de donde resulta que este se halla cercado por tres partes; pues el general PJatow está á su retaguardia, el almirante Tchichagoff i vanguardia , y por el flanco,el conde Wittgenstein.: , h „Ayer ha llegado parte con la noticia de haber sido hecho pri sionero otro oficial general, de cuyo nombre no me acuerdo, y tam bién parece que se ha re…</t>
  </si>
  <si>
    <t>Pk, Pió</t>
  </si>
  <si>
    <t>Pió Pk</t>
  </si>
  <si>
    <t>…as persuasivo la precisión en que te hallaba de defen derse , ó perecer, logré entusiasmarlo áJa acción, á lo que contri buyó en no poca parte el patriótico celo del cura interino D. Pió Pk; en efecto, destiné por toda la costa partidas de observación que me avisasen los movimientos de los enemigos para cargarlos en .el preciso momento de su desembarco, que ya no dudaba por el horroroso fuego que excculaBan sus buques, para prepararlo con di rec…</t>
  </si>
  <si>
    <t>Pktow</t>
  </si>
  <si>
    <t>…ovisiones de Dmízick para un largo sitio. La conducía de las tropas rusas eu el Vístula ha sido muy buena, á cuyo proposito incluyo copia de las gracias que se han dado al general conde Pktow, oficiales y tropas de sn mando, en la orden general al exército (1). Ha continuado el frío intenso, y las marchas de todas las columnas han sido largas y penosas. — Cathcart/ Diano de las operaciones militares del exército ruso , que se cita en el oficio ant…</t>
  </si>
  <si>
    <t>Plana, Ramón Ignacio</t>
  </si>
  <si>
    <t>Ramón Ignacio Plana</t>
  </si>
  <si>
    <t>…es se ha ser vido la Regencia del reyno promover, á director subinspector al bri gadier y coronel del expresado cuerpo D Fernando de Gabriel; á coroneles á los tenientes coroneles D. Ramón Ignacio Plana, D. Jo sé Prieto Brigadier y D. Francisco Bustamante, graduado de coro nel; á tenientes coroneles á los sargentos mayores de brigada D, Ví sente Sánchez, D. Miguel Santillana y D Ignaeio Ordovas, gradua do de teniente coronel, D. Juan Bautista Pousich y D, Fe…</t>
  </si>
  <si>
    <t>Planat</t>
  </si>
  <si>
    <t>…ANAS. GRAN BRETAÑA. Noticiar de Londres hasta 7 de julio, París &amp;s&gt; de junio. La Emperatriz ha recibido con fecha 24 de junio desde Dresde las siguientes noticias del exércitO; El capitán Planat, oficial, del estado mayor, encargado de llevar la noticia del armisticio, ha llegado á Dantzick. Halló muchas dificultades para entrar en la plaza, porque el ge-, ñera! Rapp, gobernador de ella, cansado de los. muchos parlamentarios que el enemigo le enviaba…</t>
  </si>
  <si>
    <t>Plar-ow</t>
  </si>
  <si>
    <t>…ecen' en las ori llas del Elba', cerca de Bqitzenberg» ■ Parte del exército dé Tchichagoff está cerca de Thorn, y otra parte se emplearen él sitio de. Dantzick , á las órdenes del general Plar-ow., ¡ M: Un cuerpo del exército de Winzingerode .se halla cerca, de Custrm y Xandsberg: otra división de é\ ocupa la parte nueva de presdej.y otro cuetr J&amp;&gt;‘ pasado el Elba en Schadau^ con objeto de envolver á Davoust. ; - &gt; (3) El gobierno ha tenido á bien red…</t>
  </si>
  <si>
    <t>Plasencía, Francisco</t>
  </si>
  <si>
    <t>Francisco Plasencía</t>
  </si>
  <si>
    <t>…a para formar la reserva de las tropas que atacaban á Viriatu iba mandada por el maris cal de cam po D. J uan Diez Porlie r , gefe de toda Ja división, y por el déla misma brigada coronel D. Francisco Plasencía; parte de estas tropas hizo fuego sobre su derecha, y contribuyó á desalojar á los enemi gos de los parapetos de la montaña, siguiendo después su marcha deí puesto de Viriatu, que era el que le estaba designado para su colo cación. «Faltarla á los deberes á q…</t>
  </si>
  <si>
    <t>Plasencia, Obispo de</t>
  </si>
  <si>
    <t>Obispo de Plasencia</t>
  </si>
  <si>
    <t>…o. En la junta elector?! de provincia celebrada en esta ciudad en el día de fioi han salido electos diputados por esta provincia para las cortes generales extraordinarias El limo. Sr. Obispo de Plasencia. Sr. D. Vicente de la Llave. Sr. D. Juan Gerónimo Chacón. Sr. D. Silvestre Trigueros. Sr. D. Juan Josef Montero. Sr. D. Nicanor García Santos. Sr. D. Victoriano Sánchez. Y por suplentes Sr. D. Justo Peñalver. Sr. D. Simeón Palomino. Guadalaxaraj 8 dejulio* La…</t>
  </si>
  <si>
    <t>Plat'vw</t>
  </si>
  <si>
    <t>…de participar respetuosamente á V. M. que los mariscales Víctor y Oudinot se retiraban de mi frente hácia Borisow : en consecuencia partí de Tschtuga y me puse á perseguirlos. El general Plat'vw se guía al exércitó grande enemigo mientras el almirante Tchichagrff debía recibir al enemigo en Borisow , pues el proyecto era cercarle or tres lados. Según esto, mandé á mi vanguardia, á las órdenes S«1 rnuyor general W!as:ow , que persiguiese al enemigo. E…</t>
  </si>
  <si>
    <t>Platero</t>
  </si>
  <si>
    <t>Idem l.° de Marzo. Extracto del diario de las operaciones militares de los exordios rusos. El general Platero refi ere que los prusianos reciben á nuestras trepas cordialmente, suministrándoles gustosamente víveres y forrage para los caballos, de cuyos suministros se les dan recibos. En pago de su buena conducta se observa ía mas rigorosa disciplina y subordinación ,…</t>
  </si>
  <si>
    <t>Platnw</t>
  </si>
  <si>
    <t>…que se acerca á Wilna ; con todo para asegurarme de la dirección que toma, he mandado ai cuerpo del con de Oschahrosky que maniobre h;:.cía Slonim. ,.Acabo de recibir un parle del conde Platnw con una bandera polaca , que tengo la honra de enviar á V. M. I Segundo parte de1 general Kut&amp;sow, dirigido á S. M. I. el 12 de Diciembrc. ,,Después de una corta re rsteocia, el enemigo se vio obligado ayer a abandonar la ciudad de Wilna, de que tomaron inmed…</t>
  </si>
  <si>
    <t>Plato</t>
  </si>
  <si>
    <t>…ompuesto de 14 batallones de infantería, al guna caballería y dos compañías de artillería, á las ordenes del muyor^general Ermaloff, marcha para Orsha con el objeto de reilnzar al conde Plato w.</t>
  </si>
  <si>
    <t>Platovr</t>
  </si>
  <si>
    <t>…cosí su cuerpo El mariscal principe Kutusow Stnoler.sko, queriendo aproximarse al exército del almirante Tchichüg íFhi mudado su cuartel general á Kosino. l)icitmbre 5. E general conde Platovr comunica , e! dia l.°, ha berse reunido á la vanguardia del almirante Tchichagoff, y que esta ba en Chotínisschí E mismo din cogió al enemigo un cañón y 1000 prisioneros. Los t finíales franceses prisioneros confirman la noticia de que el de. Noviembre fueron…</t>
  </si>
  <si>
    <t>Platow</t>
  </si>
  <si>
    <t>…r la izquierda y llegó á Mala-Jaroslaff: estableció su cuartel general á 2 verstas al sarde esta ciudad, que había sido quemada, y destacó un cuerpo considerable á las órdenes del general Platow á Medina, sobre su izquierda, donde tomó 11 piezas de artillería, y dexó el campo cu bierto de muertos. „La obstinación del combate para conservar á Mara-Jaroslaff y otras circunstancias, confirmaron al mariscal en la opinión de que el objeto del enemigo era…</t>
  </si>
  <si>
    <t>…iembre {1). ,,Mdord : tengo la honra de" informar á V. E. que Bona parte huyó del distrito de Moscow, tomando el camino de Sraolensko por donde había venido. . c ? ' Los generales conde Platow y conde Orloff Denizoff han pica do constantemente sil retaguardia y flancos z. el primero atacó, y gado &gt; una posición defendida -con infantería y artillería, cogiendo dos banderas , 22 piezas de artillería y los prisioneros que pudo salvar.; El conde Orloíf…</t>
  </si>
  <si>
    <t>…del mariscal Kutusow á S. M. I., desde Bwhsvo, cerca da Viasma, á 5 de Noviembre de 1812. „Tengo la honra de comunicar á V MI., que después, de mi oficio de l.c del corriente, el general Platow hizo algunos movimien tos , y de ellos resultó que el ayudante del general conde Orloff Denizotf atacase en diferentes puntos, cerca de Viasma, al resto de los regimientos enemigos que habián sido vencidos, y se hallaban todavía en las inmediaciones de dicha…</t>
  </si>
  <si>
    <t>…anas se presentaron suplican do lo mismo, y añadiendo que no podrían lograr honra mayor que vestir el uniforme ruso. — Kutusow.” Aldea de Mantrow 8 de Noviembre de 1812. Parte del conde Platow al general en gefe principe Kutusow. „Tengo la mayor satisfacción en congratular á V. E. por la se ñalada vic-oría que liemos logrado contra el enemigo. Después del parte que remití ayer á V. E., marché', según sus instrucciones, por la derecha del camino rea…</t>
  </si>
  <si>
    <t>…o excede de 500 hombres entre muerios y herLos. í iérc’to se halla actualmente en Krasnoy , y la vanguardia en Dovbr¿wüa. desde donde seguiremos ios movimientos del ene migo. ,vEl general Platow me inf r na por la carta adjunta» que el ene migo dexó en su retaguardia, á 17 indias de Smolenslvo, 112 pie zas.--- KutUSuW.'* ( i) Carta del general Platow al general en ge fe Kutusow, su fecha 17 de Noviembre, „E1 capitán Parkin, que llegó con las raciona…</t>
  </si>
  <si>
    <t>…o de 7G0 hombres que man daba el mayor Aberjeu : parte de ellos fueron muertos, y el resto prisionero, componiendo un total de 370 soldados , 18 oficiales y un cirujano. .Él mayor general Platow participa con fecha de 9 de Noviem bre, que habiendo perseguido al cuerpo de Beauharnois, le alcan zó en el rio Bone cerca del territorio de Yandsoff; y á pesar de la posición ventajosa del enemigo , le acometió , y sin contar los muer tos y heridos , le cogi…</t>
  </si>
  <si>
    <t>74 biendo cogido el 93 de Noviembre 800 prisioneros y muchos car ruajes. — Ei general Platow marchaba contra el grueso del exército enemigo, quien estaba cercado por tres partes, á saber : á reta guardia por el general Platow, en la vanguardia por Tchitchagoff, y en el flanco por Wittgenstein. El 27 de Noriembre el general conde Wittgenstein derrotó…</t>
  </si>
  <si>
    <t>…otro recurso que el de atravesar por Krasnoi para tomar el camino de M*. hilow ; pero ántes de hacer este movimiento quería reforzarse con el resto del exército de Beauharnois. El general Platow cortó este exército* obligando á sus dos di* visiones á retirarse por diferentes caminos aunque después se re* unieron estas; y habiendo tomado el camino de Doghouchtsehina* retrocedieron repentinamente * tal vez con designio de reunirse á Bonaparte ántes de…</t>
  </si>
  <si>
    <t>Platów</t>
  </si>
  <si>
    <t>…e el 21 habían abandone do aquel pueblo las tropas restantes, dex.au,* •do 26 cañones y los hospitales, en que había mas de 50 oficiales franceses heridos. í - ¿&lt; , : ,,E1 general conde Platów tiene orden de perseguir ahenemigo en el camino de. Kochanoff. „Un destacamento compuesto de 14 batallones de infantería, al guna caballería y dos compañías de artillería, á las ordenes del muyor^general Ermaloff, marcha para Orsha con el objeto de reilnzar a…</t>
  </si>
  <si>
    <t>…, Borisoff, huyendo dej^ conde Wittgenstein , quien ios persigue, habiendo hecho el dia 23b 800 prisioneros y cogido muchos carros. „El conde Wittgenstein participa también que el general Platow marchaba contra el cuerpo principal del enemigo Iricia Totilochinow; de donde resulta que este se halla cercado por tres partes; pues el general PJatow está á su retaguardia, el almirante Tchichagoff i vanguardia , y por el flanco,el conde Wittgenstein.: , h…</t>
  </si>
  <si>
    <t>…travesía que conduce al cami no real de Wiína, era la intención del conde Wittgenstein perseguir al enemigo luego que .recibiese pontones ó pudiese restablecerse el puente. ,,'El general Platow estaba ya en la milla derecha y probablemen te en Berisoff. „Parece que el cuartel general del almirante TchítchagoíF no es taba á grande distancia; pero no ha llegado noticia de la distribu ción y movimientos de este cuerpo desde la acción ocurrida con el co…</t>
  </si>
  <si>
    <t>…zy recibí aviso de que Na poleón iba á pasar el Berezina, y que el cuerpo de Victor forma ba su retaguardia. Por tanto , me puse en marcha para atacarla mientras pasaba, y pedí #1 general Platow se dirigiese á toda priesa á Borisow, lo cual executó. Marchó por el camino de Toletschin , y después de haber llegado yo con todo mi cuerpo á Borisow el vie jo, cortó la retaguardia del enemigo, que se componía de la mitad del cuerpo de Victor, y le atacó ay…</t>
  </si>
  <si>
    <t>…y de poner á sus pies todos los trofeos ganados en ella. Nuestra pérdida no es considerable. Hoy voy atacar á Napoleón en la ciudad de Stu» dintzi. £1 almirante Tehischagoff y el conde Platow atacarán dé ]a otra parte del Berezina.” ESPAÑA* t ,• '•&lt; ■ : 1 t Lima 18 de Julio de 1812. i '■ Partes dirigidos al general Goyeneche que cita en su ejido , de 6 de Junio 9 al Sr. vire# (1). DEL CORONEL DON JUAN DE IMAZ. Núm. l.# „E1 exército de rebeldes coc…</t>
  </si>
  <si>
    <t>…un general, y 11 oficiales de diferentes graduaciones. También dice que se en camina k Wdna para alcanzar al enemigo en su marcha, y atacarle al frente de sus columnas. El general conde Platow comunica, el 5, haber arrojado de Mollodetscliíio al enemigo, y dice ademas , que persiguiéndole, le ha cogido 6 cañones y 500 hombros; que cicerone Keyrasoff, desta cado por él con un gran cuerpo de caballería , había atacado la ca ballería de las guardias q…</t>
  </si>
  <si>
    <t>…rotado al enemi go y héehole muchos prisioneros en su marcha, se adelantó hasta Younbourg en el Niemen, y de allí á Tilsit, cuya plaza ocupó su vanguardia el 23 del corriente. „EI conde Platow halló en Kowno una parte considerable de los restos del exército enemigo, compuesta, según entiendo, de cons criptos y convalecientes detenidos en esta plaza y en Wilaa. Estos cuerpos hicieron bastante resistencia; pero habiendo pasado el rio los cosacos por…</t>
  </si>
  <si>
    <t>153 í* vanguardia se encaminó á Colvary y Wilcoviteh, para reunirse con el general Platow en Gumbinnen. „E1 general Tormasow con la columna que había mandado el feid-mariscal en persona, se movió hacia Grodno; y V. E observa rá que el conde Ogeroffsky con su destacamento tomé posesión de aquella plaza, en la que había entrado el coronel Davidow en…</t>
  </si>
  <si>
    <t>…a del 15 que el general austría co Moore estaba el 14 con su destacamento en Rou mhüny, y sien do observado por los cosacos , continuaba su marcha liúda Grodno, Id. 17. El general conde Platow da cuenta el l5 de que pro siguiendo en la persecución del enemigo muy de cerca, llegó el 14 de este mes á Kowno á las 10 de la mañana ; pero el enemigo, re unido á las tropas del pueblo que estaba cerca lo de atrincheramien tos con reductos en la3 alturas, s…</t>
  </si>
  <si>
    <t>…bre otros 2; y ademas se le ha cogido un gran número de prisioneros, los que van llegando ince santemente. Et cuartel general del exército estaba en Mawenitza el dia 3. El general conde Platow pañi cipa, el dia l.°, que persiguiendo al enemigo le ha cogido un cañón, y hecho prisioneros varios oficia les y 300 hombres. El ayudante general conde Oscharoífaky estaba el dia 2 con su cuerpo en Logoiski. El general de infantería ha llegado hoy coa su van…</t>
  </si>
  <si>
    <t>160</t>
  </si>
  <si>
    <t>…ndole atacado en la noche, le hizo prisioneros 2 oficiales y 30 soldados, y ademas cogió 200 fusiles nuevos. S. M. I. llegó en este día á Wilna sin novedad en su salud. Id. 23. El general Platow participa el 21, que después de su par te relativo á la toma de KWno. había descubierto varios almacenes y 170 barriles de aguardiente; que en una de las iglesias se hablan encontrado 3 -000 fusiles nuevos con sus bayonetas ; y que otros tan tos habían .‘ ido…</t>
  </si>
  <si>
    <t>…o. Paite del general Kutusow, dirigido á S. M. 1. desde JYihm el 14 de Diciembre. ,, Cu and o nuestras tropas se apoderaron de Wilna, el enemigo desfiló por las calles mientras el conde Platow , con el objeto de cortarles la retirada á Kowno, ocupaba el camino que conduce á este pueblo con todos sus regimientos de cosacos, con los de los húsares de Oíviopoie , y los dragones de Shitomir y Arsamas Habiendo dexado el conde Piatow que pasase la primer…</t>
  </si>
  <si>
    <t>…que las tropas austríacas continúan su retirada, habiéndose di- 1 vidido en tres columnas con dirección ¿ Varsovia; y que éi se halla con su destacamento en Menshenin. Éi general conde Platow continua su marcha á Insteiburgo con les regimientos de los cosacos de! Don. El almirante TciiichtfgofF ha remitido tres partes de 1.® de Ene ro. En el primero dice, que destacó de la vanguardia ¿1 mayor ge neral Lanakoy con ios regimientos de húsares Alejand…</t>
  </si>
  <si>
    <t>…me dice con fecha de 14 del corriente que el enemigo fuá ar rojado mas allá del rio Nogat, y que las tropas de V. M. I. se han apoderado de Elbinga, Marienberg y Marienwerder. El conde Platow persigue al enemigo por el camino que conduce de Marienbsrg á Dantzick, al mismo tiempo que el teniente general Schepéioff, ha biendo pasado el Nogat por cerca de Sommerau , le acosa por aque lla parte. El enemigo ha abandonado 7 piezas de artillería en el ca…</t>
  </si>
  <si>
    <t>345 Oliva; poro fueron rechazados con pérdida. E\ conde Platow envió grandes partidas de caballería kácia el Oder. El cuerpo del mayoT general Ilawaisky tomé posición de Lauen» burgo , donde halló un pequeño almacén. Dia 3. El cuartel'general del emperador y del general en gefe •e trasladó ayer á Radzesms. Un cuerpo de c…</t>
  </si>
  <si>
    <t>…eciso , el exército combinado del Saale. El general Taumzien debe ser auxiliado por el alistamiento general y por algunos cortos destacamentos. Hemos recibido la noticia de que el general Platow estaba en Pegan ccn sus cosacos; el general Kleist y Wittgenstein con la vanguardia del exército giande de Bo hemia se aproximaba á Aitenberg, y que nuestras comunicaciones estaban perfectamente establecidas por la retaguardia del exército francés. Las notici…</t>
  </si>
  <si>
    <t>Platow, Wittgenstein y</t>
  </si>
  <si>
    <t>Wittgenstein y Platow</t>
  </si>
  <si>
    <t>…sible estorbárse lo , mayormente siendo allí tan estrecho que la infantería pasó á ca ballo. „El 27 y 28 oímos un cañoneo, primeramente por la derecha y luego por la izquierda. El conde Wittgenstein y Platow se acerca ron , y establecimos comunicaciones. El 28 ataqué al enemigo por el frente al mismo tiempo que el conde Wittgenstein se hallaba ya em peñado con las tropas que por la otra parte defendían el paso del rio. Por algunos prisioneros supimos que el mismo…</t>
  </si>
  <si>
    <t>Plaza, Francisco Xavier de</t>
  </si>
  <si>
    <t>Francisco Xavier de Plaza</t>
  </si>
  <si>
    <t>…= Firmado = YO QUARTEL DE AFLIGIDOS. EL REI. = Por S. M., el ministro secretario de Barrio de Legdnitos. Estados Firmado = Mariano Luis de Urquijo.” D. Alfonso Martínez , alcalde. D. Francisco Xavier de Plaza , substituto pri mero.D. Celedonio López , substituto segundo. En el de la Cruz se «recularázzatko. la comedia titulada la Barrio del Rosario. Virtud consiste en medio, y pródigo y rico Avarien D. Nicolás Perez, alcalde. to; seguirá una escena de müsica qúe s…</t>
  </si>
  <si>
    <t>Plicque</t>
  </si>
  <si>
    <t>2.6o coronel Plicque habla salido de Tortosa con el 16* húsares al mando de! capitán del 1Í7.0 Bergeron,' de línea, dos cañones, y algunos caballos. Habién habiéndose apoderado á viva fuerza de dos posicio dose reunido éu eí Peraltó con un destacamento nes, él'general Habert'dió…</t>
  </si>
  <si>
    <t>Plore, Alexandco</t>
  </si>
  <si>
    <t>Alexandco Plore</t>
  </si>
  <si>
    <t>…orden al señor brigadier Aymerich de atacar la montaña por la derecha; lo-que.-verifico .mui d mi satisfacción: ei regimiento de infantería de Ordenes Militares,-. aL mando de su coronel D. Alexandco Plore, sostenido por eí del General,-ai de su co mandante D. Fermín Mendialdua, fueron los encargados del ataque, y lo executaron con una resolución digna de todo elogio, aunque á costa de no poca pérdida, especialmente el primero: el enemigo fue arrojado de toda l…</t>
  </si>
  <si>
    <t>Plowes, Mateo</t>
  </si>
  <si>
    <t>Mateo Plowes</t>
  </si>
  <si>
    <t>…El capitán comandante D. Benito Espinosa con un cuerpo de tropas de Sonora, reforzado con dos destacamentos del apostadero de S. Blas y Tepic, á cargo aquel del alférez de fragata-D. Mateo Plowes, y este al del capitán D. Juan Maldonano, atacó en la madrugada de este dia la gavilla de Cecilio González» que de resulta de sus anteriores derrotas se había fugado á la sierra fixándose en el rancho de los Encinos» distante 6 leguas del pueblo de Acatlan. Q…</t>
  </si>
  <si>
    <t>Pñ-rt, Camilo</t>
  </si>
  <si>
    <t>Camilo Pñ-rt</t>
  </si>
  <si>
    <t>…o obstante el valor y buenas disposiciones que los animan. Las compañías del se gundo y séptimo que avanzaron centra el ene-migo, se distinguirron sobr manera, así como el soldado D. Camilo Pñ-rt, que shve de distinguido en la de granaderos de mi mando, el cual hizo 4 prisio neros. Todo lo que traslado al conocimiento de V- S. para su satisfaccion. = Dios guarde á V. S. muchos años. Sí nm Ci;ia 11 de Agos to de 1813.3-Tedro Antonio Barrena. = Sr. D. F…</t>
  </si>
  <si>
    <t>Po</t>
  </si>
  <si>
    <t>…o bkbaro. Al rayar ei dia todos los parques, bagages, artil’ería, caballería, la guardia y dos t reeras partes del exército habían pasado el desfila dero. El duque de Tarénto y el príncipe Po iató a ski quedaron en cargados de guardar los arrabaes y defend ríos ei tiempo que bas ta a a pener en salvo á los que m¿rebaben, debiendo ellos practi car Inego el peso del desfiladero hácia las ir. A as 6 ce la mañana, el magistrado de Leipsick envió una d…</t>
  </si>
  <si>
    <t>PoBiatoWsfey</t>
  </si>
  <si>
    <t>…n ; for mando'qua-tfo gruesas colunas dirjgtda$4 ios quátro- ^untós prifiulpHes do ataque;. »Vo.» t i-.t v .• ‘m. ... :::oq rr&lt; *u •!:.&gt; Se envió al duq^ue de'Reggio á sostener al príncipe PoBiatoWsfey ^ y al</t>
  </si>
  <si>
    <t>Poíceh</t>
  </si>
  <si>
    <t>…cional del crédito público con arreglo á las bases aprobadas en las anteriores sesiones: el qual fue aprobado con algunas mui cortas modificaciones, hechas por la mhma comisión. ' Sr. Poíceh que las fincas rústicas y urbanas que se destinan para el pago de la deuda nacional paguen la contribución directa, como si fueran de par ticulares.—1A la comisión. artículos de oficio. Continuación de los detalles de la rendición de la ¡plaza de S. Sebastian…</t>
  </si>
  <si>
    <t>Poínsot</t>
  </si>
  <si>
    <t>…uno de ellos que los partidarias prusianos ( 2) le co gieron entre Bareuth y Augsburgo 200 hombres, 300 caballos, 7 piezas de artillería y varios carros: igualmente condesa que el general Poínsot á su regreso de Brunswick cayó prisionero con 200 caballos; concluyendo con decir que Oudinot fue acometido por el general Bulow con 18© prusianos en Hoyerswerda. (1) Lis dos siguientes observaciones darán á conocer nuestro modo de pensar respecto á este armi…</t>
  </si>
  <si>
    <t>Poirel</t>
  </si>
  <si>
    <t>…0, comandante de esta villa, destacó el 16 de diciembre por la no Excelentísimo Señor: che, con igual número de hombres sin mochilas, al „ El general Mermet, comandante de la caba capitán Poirel para que lo sorprehendiese; y este ofi llería del exército, me ha dirigido un parte del ge cial siguió con tanta puntualidad sus instrucciones, neral Boyer, cuyo contenido tengo la satisfacción que á las dos ds la mañana cayó sobre esta gente, de comunicar á…</t>
  </si>
  <si>
    <t>Pol, Francisco Xavier Losada y</t>
  </si>
  <si>
    <t>Francisco Xavier Losada y Pol</t>
  </si>
  <si>
    <t>4i6 Plana mayor que asistió día.batalla. Mariscal de campo comandante general del centro D. Francisco Xavier Losada y Pol, iherido.; Brigadier comandante general interino de la quarta división D. Federi co Castañoo^&amp;eridov ; - . Brigadier; segundo gefe del estado mayor del exército D. Antonio Ro$elló,Jiendo. .,1 '■ Coronel gefe de estado mayor del centro D. Luis Laviña, herido.…</t>
  </si>
  <si>
    <t>Polccki</t>
  </si>
  <si>
    <t>…pesar dé esto Bonaparte ha tenido tiempo para conferenciar al gunas horas en Wilna con el duque de Bassano , examinar las forti ficaciones de Praga en Yarsovia, tratar allí con el conde Polccki, y con el conde Gara y ei rey de Saxonia en Dresde. En conclusión Bonaparte se ha arruinado en esta campaña, y se Irada destituido de recursos con que reparar tan grandes pérdidas. Llegó, pues, el momento oportuno de hacerla paz ; no con él, sino con tedas la…</t>
  </si>
  <si>
    <t>Pollranceschi</t>
  </si>
  <si>
    <t>…, conde Scopoli, conde Tarracvitallones repartidos en l*s plazas del reino, se reunie cini, de Adda, Colle, $ant’ermo, conde Cossoni, sen pira formar un cuerpo de tropas que debía conde Pollranceschi, conde Luini, Pcdrazzini, con marchará i* Gallitzja, yqué hará parte de un con- sejeros legislativos. Peüavícim, pre ¡dente ; Óoprani'deraWj jt^ércljiO austríaco, que ha dé haber de ob- si, Fagnani, Barbó, Valdrighi, Cmnpaguoni , RisfrV^idoa »n¡a$ fronteras d…</t>
  </si>
  <si>
    <t>Poma, Antonio</t>
  </si>
  <si>
    <t>Antonio Poma</t>
  </si>
  <si>
    <t>…ju! ¡an Burccnilla, substituto segundo. Barrio de S. Andrés. D. Tuan Antonio Medina, alcalde. CUARTEL DE MARAVILLAS. D. F vancisco Mata, substituto primero. Barríc de S. Basilio. D. Antonio Poma redo, substituto segundo. D. Francisco P.uiíio, alcalde. Barrio d’ tas Vistillas. D. Ansí res Ortiz , su'vriiuto primero. D. Pedro Lu is Nápolt, alcalde. D. Santiago de la Peña, substituto segundo. D. Migue! Oquendo,substituto primero. Barrio de la Buena-Dich…</t>
  </si>
  <si>
    <t>Ponce, Constantino</t>
  </si>
  <si>
    <t>Constantino Ponce</t>
  </si>
  <si>
    <t>…quisitoriales que en tiempo de Felipe n experi mentaron el arzobispo de Toledo y el doctor Lgi— Artículo comunicado. dio, la muerte del doctor Cazalia, la cuestión de tormento del obispo Constantino Ponce, y el trá gico lindel príncipe D. Cario:? IITERATORA. Para que se juzgue con acierto del estado de opresión de los ingenios españoles al empezar el reiHistoria de la literatura española, escrita en nado de Felipe m, oigamos á Cipriano de Valera alemán por Air…</t>
  </si>
  <si>
    <t>Ponce, Rafael</t>
  </si>
  <si>
    <t>Rafael Ponce</t>
  </si>
  <si>
    <t>…ítulo de coronel y un envoltorio de papeles con noti cias falsas para engañar á los incautos. Elogia la conducta del tenien te Orta, del sargento Manuel Rodríguez; á los patriotas D. Rafael Ponce, D. José María Escalona, D. Juan May obre, D. Juan Sán chez , D. José Romero, ©.Antonio Gomqjf y í&gt;, Fernando Azcoitia»( Se continuarán.) Logroño de Julio. Nuestro exército forma una línea impenetrable desde Irun á Ja ca. Mil caballos ingleses que había en es…</t>
  </si>
  <si>
    <t>Ponga, Juan del Valle</t>
  </si>
  <si>
    <t>Juan del Valle Ponga</t>
  </si>
  <si>
    <t>…uii To nas Senoseain , 100. D. Jom B ufhta Garate, 100. D. Angd Alfar*, 103. D. Antonio Tarancc, 100. D. Fernando Mazo, 100. O. J &gt;aqnlu M^ría Ferror, 100. D Ignacio Sobrado, 100. D. Juan del Valle Ponga, 100. D. J ose Correa, 100. D. Juan Bautista Sarraoa, 103. D. S ¡bidíaa Ugardza, 100. D. Manuel Vállate, 100. D. Juan Gil , 100. D Lo renzo Machiianda, 100. I). Miguel Arneta,50. D. Martin y D. J.ian Bautiza Estevecorena, 59. D. Ran&amp;on del Valle, 50. D. Rara…</t>
  </si>
  <si>
    <t>Poniarowslcy</t>
  </si>
  <si>
    <t>…no observa bona, nuevo ernbaxador del Emperador de los fran mas que un poco de caballería ligera enemiga. ceses , tuvo su primera audiencia, en la que pre El general Frimont y el príncipe Poniarowslcy sentó sus cartas credenciales. ocupaban siempre la misina posición sobre el Filica. Los dos embaxadores pasaron en seguida á ha Stettin, Custriii y Glogau estaban en el mismo cer la visita de estilo, uno de despedida y otro de estado. El enemigo parece que pr…</t>
  </si>
  <si>
    <t>Poniatbwsky</t>
  </si>
  <si>
    <t>…edio diá principió á perseguirle, y le desalojamos de su posición. El gen'eráLO'rnáñjó dió! brillantes ataques, con la división de caballería de lá gúardiary lav ligera polaca del príncipe Poniatbwsky. El ene migo fue-rechazado^nf"gran desorden á la Bohemia, haciendo sU retirada don tanta vdtícidád, que ápenas 'pudimos hacerle algunos prisioneros j eiitr¿ lbs que se halla el general Blüéher, hijo del general en gefe prusiano, del misino nombre, que mandaba…</t>
  </si>
  <si>
    <t>PóniatovVSky</t>
  </si>
  <si>
    <t>Gazeta de Madrid bajo el Gobierno de la Regencia n.º 75 (extraordinaria)</t>
  </si>
  <si>
    <t>712</t>
  </si>
  <si>
    <t>…bávaros y wktembúrguesé&amp;nEn situación tan apurada los franceses vola ron el puente qüe tenían sobré el Saalé, y dexáron ¡tres divisiones enteras en po1 der - de los aliados. El ' general PóniatovVSky se ahogó’; LaUriston y • Regnier %iuhVrbh|-Latoúr-Maubóürg''pe!rdió Un nkistó dfevüna bala* dé/cañ©n. * * Esta batallav ha producido ia reconquista’dé: toda la' Alemania hasta* el ' Rhin. Sé igñora ía^érdicfa^ efectíva' dedlos exércitos bélígérañtes ¡ la qúe…</t>
  </si>
  <si>
    <t>Poníatow'</t>
  </si>
  <si>
    <t>…ga lan en 85000 hombres. Los rusos apenas tienen en las orillas del Elba 50000 hombres, pero su artillería es numerosa. La mayor parte dei exército polaco ha sido licenciado, y el príncipe Poníatow' ki se halla en Cracovia con 8000 hombres en la mas completa inacción. Extracto de una carta de Berlín de 3 del corriente. Según noticias auténticas, un cuerpo de 36000 rusos con su competente artillería se halla en la Prusia oriental, y otro de 90000 se está…</t>
  </si>
  <si>
    <t>Poniatowíki</t>
  </si>
  <si>
    <t>…ho en saber que la mayor parte del exército había evacuado á Leipsick, y que solo quedaba en aquella ciudad usa tuerte retaguardia. Ata o pues vivamente al du que de Taren to y ai príncipe Poniatowíki, los cuales le rechazaron muchas veces ínt.rin efectuaban su retirada de los arrabales; pc-ró los saxones que quedaban en ¿a ciudad emprzaron á hacer fueco so bre nuestras tropas desde Jas murallas; lo que obligó á precipitar nuestra retirada causando algen d…</t>
  </si>
  <si>
    <t>Poniatowky</t>
  </si>
  <si>
    <t>…o en Neustadt. Habiendo el enemigo rehusado asi la batalla , el Emperador volvió el 24 á Dresde para tomar una posición en tas alturas de Weissig. El octavo cuerpo, mandado por el príncipe Poniatowky, ha vuelto á pasar -á la orilla izquierda. El conde Lobau ocupa aun á Grieshuheí con el primer cuerpo. El mariscal St. Cyr ocupa á Pirna y la posición de Dohna. El duque de Bellune se mantiene en la posición de Freiberg. El duque de Ragusa, con el sexto cuerp…</t>
  </si>
  <si>
    <t>Poniatowski</t>
  </si>
  <si>
    <t>…formar campamen tos e$ las ^ive.r-sas posiciones de Golaberg, Loewenburgo, Buntzlau, Leignitz, &lt;S-proíeau y Logan &amp;c. Se espera para el to de junio en Zettau al cuer po polaco del príncipe Poniatowski , que atravesó la Bohemia. París /7 AL Ta Ejtopéfátrí# .'Reina. -regente recibió la siguiente noticia de la situación de los exéreitos en el dia 7. *E1 .quarte.l general de S. M. ,s.e hallaba en. Buntzlau., Todos los cuerpos de exército estaban en marcha para…</t>
  </si>
  <si>
    <t>…M. la Emperatriz Reina y Regente ha recibido del exército, con fe cha de 2i del corriente, el siguiente parre. Ha llegado á Zittau (en la Lusaci^) el octavo cuerpo, mandado por el príncipe Poniatowski, habiendo atravesado la Uohemia. Este cuerpo consta de 18© hombres de infantería y 6© de caballeril. Se han dado todas las ór denes necesarias para completar su equipage, y darle quanto necesite. - S. M. salió el lo para rima y Koenigstein. •- El presidente K…</t>
  </si>
  <si>
    <t>…ARTES 17 DE AGOSTO DE 1813 BAXO EL GOBIERNO DE LA REGENCIA DE LAS ESPANTAS. GRAN BRETAÑA. Londres t% de julio. Diala 20 de mayo. Las tropas del ducado de Varsovia, mandadas por el príncipe Poniatowski, han empezado á marchar este mes para la Bohemia» atravesando la Gaiitzia. Van en cinco colunas: la última pasó por aqui el 19 de este. En su travesía de la Gaiitzia han observado la mas exacta disciplina» de modo que no ha habido siquiera una queja de su con…</t>
  </si>
  <si>
    <t>Poñiatowski</t>
  </si>
  <si>
    <t>…uí ó en los baños de Bohemia, han recibido orden de salir hoi ó mañana para el ejército. Tam bién se ha mandado reunir á sus cuerpos á los oficiales que pertenecen al exércitb de! príncipe Poñiatowski, y que aun están en Bohemia. Está mili próxima5 lá apertura del congreso. Esperamós mui en breve al conde Nesel-J rodel El Emperador de Austria vino aqui. ayer de Brandéis, adonde volvió * pbr la tarde después de haber dado algunas audiencias.</t>
  </si>
  <si>
    <t>Poniatowski, Josef</t>
  </si>
  <si>
    <t>Josef Poniatowski</t>
  </si>
  <si>
    <t>…e nuestras fronteras. imperiosamente. ¡A las armas ciudadanos! La patria os llama: se trata por nuestra parte de lo que nos Del es mas caro; de nuestra patria que se nos quiere El príncipe Josef Poniatowski, nuestro gene quitar, de nuestra existencia presente , de la suerte ral en gefe y ministro de Guerra, que se ha distin de nuestra posteridad. Hoi es quando ese valor que guido en la última campaña, se halla aquí hace os es tan natural debe ser el baluarte de…</t>
  </si>
  <si>
    <t>…os ante tras esperanzas, y asi como antiguamente la patria pasados, nombra general en gefe del cuerpo militar en circunstancias mui críticas, confió sin remor sus de la nobleza ai príncipe Josef Poniatowski, minis destinos a los ciudadanos experimentados por su ze- tro de Guerra del ducado de Varsovia, general lo y por su valor; asi fiamos también á su patrio comandante de la fuerza armada de Polonia íkc. en tismo, á su denuedo y á sus talentos la defensa de tes…</t>
  </si>
  <si>
    <t>…ados y £ , y la diferenciachtre los entremos pues buenos soldados. tos de 29. grados y L I . .. ", ■,_/ Dt'l 2 0. En este intervalo el viento inas constante ha si S. M. ha dado al príncipe Josef Poniatowski, do el noroeste, qwe ha reinado 41 dias; el norte ha ministro de Guerra, y general en gefe del exército corridó 12 dias , el sur 10, el oeste 9, el nordeste del ducado , las mas amplias facultades para el ar 8, el este 4, el sudoeste 3 , y el sudeste 2. reglo…</t>
  </si>
  <si>
    <t>Poniatowsky</t>
  </si>
  <si>
    <t>…n un anuncio mui im praban en Conneticut á qualquier precio que fuese. portante sobre el estado militar del ducado de VarSe han reparado estas perdidas; se foménta la re sovia. El príncipe Poniatowsky dirige todo este de producción , y pronto tendremos excelentes lanas partamento en calidad de ministro de la Guerra y para ocupar nuestras fábricas de paños. de general en gefe del exército polaco. El estado En quanto á la guerra actual estamos sin cuida* may…</t>
  </si>
  <si>
    <t>…atria, el honor nacional, la obligación y nuestros ju ramentos lo prescriben imperiosamente. A las armas ciudadanos, la patria os llama &amp;c. &amp;c.” En esta proclama se anuncia que el príncipe Poniatowsky será el comandante general de las fuerzas polacas, y que para su segundo está nombrado el príncipe Sanguzko. Hace 8 dias que se halla aquí el príncipe P ornatowsky arreglan do el modo de completar nuestro exército. Los regimientos que com ponían el quinto cue…</t>
  </si>
  <si>
    <t>…titeí-VaIence y St. Germain. De infantería: ios condes Laborde, Loison,Boaiíet„ Molitor, Friant y Legrand. * - Los polacos, reducidos á 15® hombres, están enPirna ^mandados pop el príncipe Poniatowsky, y la caballería por el general Domhrowskjr. ; - Berlín 14 de agosto. Gas i todas las tropas suecas están en nuestras cer*c canias. CzernichefF permanecerá probablemente,junto á Dormí tz, y. o«&lt;y* cuerpo de caballería pasará el Elba por las inmediaciones de T…</t>
  </si>
  <si>
    <t>…: el conde Labor de. — El conde Loison. — El conde Bonnet. — El conde Molitor. — El conde Friant. — El conde Legrand. Los polacos, reducidos á 15$, están en Pirna, mandados por el príncipe Poniatowsky, y la caballería por el general Dombrousky.. ESPAÑA. Vinar o z 16 de Setiembre. El 13 por la noche atacó Sucliet con 20® hombres á la tercera' división de este exército y al de los aliados que estaban en Villafranca; estos con dicha división se replegaron á l…</t>
  </si>
  <si>
    <t>…dor ha conferido el mando de las guardias nuevas ai duque de Régelo. El duque de Castiglione ha ido con su cuerpo de exército á tomar una posición en las embocaduras del Saale. El príncipe Poniatowsky ha marchado con su cuerpo de excrcito sobre Penig. . El general conde Bertrand atacó el 26 al -exército enemigo de Berlín, que cubría el puente echado en Wartemburg, le forzó, hizo algunos pri sioneros,-y fue avanzando hasta el principio del puente. El enemig…</t>
  </si>
  <si>
    <t>…us comunicaciones es«* pero á pie quieto al enemigó. ¿ A las nueve de la mañana se supo que marchaba sobre toda la línea. A las iq se había ya trabado el fuego de artillería. , El príncipe Poniatowsky y el general Leso! defendían él puente de Connewitz. E| Rei de Nápoles con ei segundo cuerpo estaba en Probstheydej y el duque de Tarento en Holzhausen. ' 1 Todos los esfuerzos del enemigo durante el dia contra QonneWitz y* Probstheyde se; frustraron, El duqu…</t>
  </si>
  <si>
    <t>…los fuentes están cortados.,,.1. Estos desgraciados se dispersaron, y procura ron salvarse. El duque de Tarento pasó el rio á nado: el conde Lauriston, menos dichoso, se ahogó; el príncipe Poniatowsky, montado en un caballo fogoso, se arrojó al agua y no ha vuelto á parecer. El Emperador no supo este desastre sino quando ya no era tiempo de remediarle: ningún remedio hubiera tampoco sido posible aplicar. El coronel Montfort y el cabo de za padores han sido…</t>
  </si>
  <si>
    <t>…do bellamente y hecho mucho daño al enemigo. Perdió 300 hombres de infantería, y se situó sobre el Saale. El enemigo estaba baxo las órdenes de los generales Platow y Thieíman. El príncipe Poniatowsky marchó el dia 1 sobre AItenbourg por Nossan, rWaldhem y Coldits; arrolló al enemigo; le hizo mas de 400 prisioneros, y le arrojó á la Bohemia. El 27 ei principe de Mcskow se apoderó de Dessau, cuya ciudad ocu paba una división sueca, á la que obligo á situars…</t>
  </si>
  <si>
    <t>…grande batalla. El resultado de nuestros diversos movimientos en estos seis dias ha sido 5® prisioneros, muchas piezas de artillería, y haber ocasionado mucho daño aí,enemigo. El príncipe Poniatowsky se ha cubierto de gloria.</t>
  </si>
  <si>
    <t>…j el enemi go fue rechazado constantemente, y cubrió las.avenidas con sus cadáveres. El conde Laurhton con 'el quinto cuerpo defendía la aldea de la izquierda (Liberwolkowitz); el príncipe Poniatowsky con sus valientes polacos de fendía la de la derecha (Dalitz), ,y el duque de Bellune sostenía la de Wa chau, , Al medio dia se había rechazado el sexto ataque del enemigo: éramos dueños de tres aldeas, y Íiabíaniós'hecho 1% prisioneros. Casi al mismo momento…</t>
  </si>
  <si>
    <t>…Al amanecer habían pasada ya el desfiladero todos los parques, los ba gages, la artillería, la caballería, la guardia y dos terceras partes del exército. El duque de Tarento y el príncipe Poniatowsky qnedaron encargados de guardar los arrabales y defenderlos el tiempo necesario para que las tro pas desfilasen , debiendo hacer ellos lo mismo á las once de la mañana. Ei magistrado de Leipsick envió á las seis de la mañana una diputación al príncipe de Schwa…</t>
  </si>
  <si>
    <t>…ronteras de Saxonia 6 de octubre. Nos aseguran que el cuerpo de partidarios de Thielman habla cogido un g ran despojo entre Leipsick y Weir mar, y entre otras cosas la baxilla del príncipe Poniatowsky; pero que fue yuelta á tomar por la caballería ligera del general Lefebre Desnouettes. • « L Rastadí 8 de id. El dia 3 eí general ruso CzernicheíF, que había pene trado hasta Cassel al frente de. partidarios, abandono precipitadamente aquella ciudad viendo qu…</t>
  </si>
  <si>
    <t>…ones, bávaros y wittemburgir-sts. En situación tan apurada los franceses volaron ei puente que tenían sebre el Sa&amp;le, y dexaron tres divisiones enteras en poder de Ies aliados. El general Poniatowsky se ahogo; Lauriston y Regnier murieron; LatourMaubourg perdió un musió de una bala de cañón. ARTICULO DE OFICIO. El general en gefe del segundo exército ha dirigido al señor se cretario del despacho de la Guerra el paite siguirnte : »Ixcmo. Sr. : El dia 22 de…</t>
  </si>
  <si>
    <t>…re ios prisioneros .eran el Rei y familia real de Sa xonia; ios mariscales Marmont y Macdonald; los generales Regnier, Souham, Lauriston, Dombrouskí, Vailary, Bruñe y otros to. El-príncipe Poniatowsky ahogado; el general Grenier muerto; el mariscal Ney herido; el mariscal Augereau (según dicen los prisioneros) muerto. En los primeros hai 300 oficiales de estado maybr. Se han cogido 2oo: cañones y 800 carros de municiones. Se calcula que Napoleón ha Salvado…</t>
  </si>
  <si>
    <t>Poniatowsky, Josef</t>
  </si>
  <si>
    <t>Josef Poniatowsky</t>
  </si>
  <si>
    <t>…rove to extraordinario han correspondido á lo que reque choso á los cazadores de perroá marinos en el cír ría esta providencia. culo polar antartico, pues han cogido mas de 80® El príncipe Josef Poniatowsky ha sido nombra en dos meses. do generalísimo (regimentarías). Tiene de teniente Del 3. al príncipe Eustaquio Sanguszko, descendiente d« Un huracán que se ha sufrido en la noche del los Jagellons, y que se ha distinguido en tres guer miércoles al jueves ha hec…</t>
  </si>
  <si>
    <t>Ponsomby</t>
  </si>
  <si>
    <t>…o que manda el rey José, puse en movi miento hácia Tudela la división ligera , la tercera , la cuarta y la séptima con las brigadas-de cabañería del mando del coronel Grant, y del general Ponsomby ; y la quinta y sexta con la caballería de la casa Reai y la brigada del brigadier Durban desde Salvatierra y Vitoria hácia Loproño, con el hn de poder cortar al general Clatsse!. »E1 hizo varias marchas extraordinariamente forzadas perseguido por ei general…</t>
  </si>
  <si>
    <t>…que manda el Reí Josef, puse en mo vimiento hacia Tíldela la división ligera, la tercera, la quarta y la séptima, con las brigadas de caballería del mando del coronel Grant y del general Ponsomby ; y la quinta y sexta, con la caballería de la casa Real y la brigada del brigadier Durban, desde Salvatierra y Vitoria hacia Logroño, con el fin de poder cortar al general. Clausel. „Él hizo varias marchas extraordinariamente forzadas, perseguido por el gene…</t>
  </si>
  <si>
    <t>Ponsonbv</t>
  </si>
  <si>
    <t>…mando del marúcal de campo Carlos , barón de Altéis; y de las brigadas de caballería de los marisca'es de campo' V ictor, barón de Alten , Fané y Long; la del honorable brigadier general Ponsonbv , y la de húsares ingleses al cargo del coronel Grant, con el fin de reconocer la posición y fuerza .que tenia el enemigo cerca de la expresada ciudad, y obligarle á que Se decidiese á aban donar el castillo á su suerte, ó á protegerle con todas sus tropas. =…</t>
  </si>
  <si>
    <t>Pooiatowsky</t>
  </si>
  <si>
    <t>…ble formar idea del desorden del enemico durante sn fuga. Bcnap?arte mismo tuvo gran diñcti'tad en huir de la ciudad, á esusa cíe hdlar las calles obstruidas por lo- fugitivos. El príncipe Pooiatowsky y el mariscal M.cJomdd , no pediendo escapar de otra suerte, dieron ce.espuelas .á ¿us caballos y se. arro jaron al rio Pleisse para pasarlo 3 nado; pero per lo pantanoso de íus Grillas no pudo pasar Ponistew¿ky, y murió abogado á. vista, de íu ayudante ce or…</t>
  </si>
  <si>
    <t>Popham</t>
  </si>
  <si>
    <t>…actual mente al sistema de bloqueo sobre el papel, no po El Zéfiro, que viene de Santander, ha traído dremos sostener ya nuestros derechos. ¡ Fatalidad la pliegos al gobierno del almirante Popham. Se dice nuestra si sucede asi! supuesto que no hai ninguno que el general Catfarelli, que ha reemplazado á de nuestros derechos que no hayamos abandonado Marmont en el mando del ejército de Portugal, en uiv tiempo ó en otro. „ El pabellón defiende la ha toma…</t>
  </si>
  <si>
    <t>Popiel</t>
  </si>
  <si>
    <t>…asa del educación , ó por el consejo general de sanidad , sí departamento de Bromberg, que habia organi fueren médicos. zado. 2. 'J Que sepan leer y escribir el polaco, el fran El señor Popiel, nuncio del distrito de Sendocés y el aleman. mirzi. El señor Glinka, antiguo confederado de 3.0 Que se obliguen á enviar sus hijos á las es Bar; el señor Orsetti, rico hacendado en Lithuacuelas nacionales lúego que hayan llegado á la edad nia; el señor Niemi…</t>
  </si>
  <si>
    <t>Porlier</t>
  </si>
  <si>
    <t>…artes del teniente coronel D. Luis del Aguila. Primero. ^Habiendo salido por orden de V. S á tomar el mando de la vanguardia el 16 del que rige , conferencié aquella mañana con el brigadier Porlier en Amozoque, y quedamos conformes en marchar unidos , pues por mas exactas que fuesen nuestras combinaciones</t>
  </si>
  <si>
    <t>…á ps&amp;sr de quedar so lo en la llanura stacó el frente d®l enemigo, y le tomé los cañones. Este perdió cerca de 600 hombres ademas de muchas armas quedes to^a^os. ,?EI caballo del brigadier Porlier recibió un balazo en el cuello durante la tedén. ,,1510? guarde á V. S. muchos años. Perote 21 de Octubre de 1S12. — Luis del Agidla.” Segundó. ,,Escribí á Y. S. desde Nopalucan mi reunión al señor brigadier Porlier, quien comunicó también á V. S. por carta c…</t>
  </si>
  <si>
    <t>…endimos nuestra marcha, y peco dw« pues de haber pasado del santuario Chispa, me avisaron de reta, guardia que el enemigo se acercaba en tres columnas. Ea este memanto supliqué al brigadier Porlier se entregase del mando, que admitió al instante, dándocie sus instrucciones. Conforme á ellas, subió el convoy, compuso de cerca de 1800-malas, 9 coches y 5 literas á una loma suave que estaba sobre el cami&amp;o. Su frente quedó cubierto por milpas de maíz, y to…</t>
  </si>
  <si>
    <t>Porlier, Antonio Aniceto</t>
  </si>
  <si>
    <t>Antonio Aniceto Porlier</t>
  </si>
  <si>
    <t>…, ó et Hipó El dia 8 de este mes falleció en esta capital á crita; se bailará el bolero, y se dará fin con un sámete. los 90 años, 9 meses y 21 dias de edad el Excmo. A las siete. Sr. D. Antonio Aniceto Porlier, marques de Baxa- En ¿I de la Cruz sé éxecutáfá la comedia titulada el mar, caballero gran banda de la Orden Real de Católico Re caredo, con tonadilla y sainete, interme España, y consejero de estado. Sirvió al Rei y á la diado cdn fcl boleto. Sé cobrará 'de…</t>
  </si>
  <si>
    <t>Porlier, Juan Díaz</t>
  </si>
  <si>
    <t>Juan Díaz Porlier</t>
  </si>
  <si>
    <t>…onductor de los pliegos del comandante de la Rioja me dice que el 27 de Marzo pasó por León , abandonado por los enemigos el dia anterior, y que habia entrado en aquella ciudad el brigadier D. Juan Díaz Porlier con la división de su mando.” CADIZ: IMPRENTA NACIüNAL; 1813.</t>
  </si>
  <si>
    <t>4*4 quinta dmsio'n ,’á cuya cabeza iba el ccmándante general dé esta el Orrgadfer D. Juan Díaz Porlier, y por el segundo batallón de marina , que habla pasado á protegerla desde la altura de Porto, persiguiéndoles hasta la falda de la colina. Decpues ya de un rato de suspensión se decidieron á dar la última ten tativa contra la izquierda de la indicada posició…</t>
  </si>
  <si>
    <t>…Mar cial ; pero fueron rechazados en este punto con igual volor que .en el primero por la primera brigada de la quinta división, á cuya cabeza iba el comandante general de esta el brigadier D. Juan Díaz Porlier,</t>
  </si>
  <si>
    <t>Porlier, Juan Diaz</t>
  </si>
  <si>
    <t>Juan Diaz Porlier</t>
  </si>
  <si>
    <t>…rla con mas acierto. La primera brigada de la quinta división, que fue destinada para formar la reserva de las tropas que atacaban á Viriato, iba mandada por el maris cal dé campo D. Juan Diaz Porlier , gefe de toda la división , y por el de la misma brigada coronel D. Francisco Piasencia : parre de estas tropas hizo fuego sobre su derecha, y contribuyó á desalojar á los enemigos de los pa rapetos de la montaña, siguiendo después su marcha al puesto de Vir…</t>
  </si>
  <si>
    <t>…a Espeleta, y de los coroneles D. José María Carrillo, D. Rafael Goycochea y D. Francisco Plasencia, baxo la mmediata dirección de los mariscales de campo D. Pedro de la Barcena y D. Juan Díaz Porlier. El objeto de las cuatro primeras columnas era el de apode rarse de los atrincheramientos enemigos en las inmediaciones y parte supeiior de Anlaye, mientras las otras tres tomasen los de la moa-</t>
  </si>
  <si>
    <t>…la misma división. Quarta división en Tolosa y pueblos inmediatos, que manda el brigadier Do» Josef María Espeleta interinamente. Quinta división, qué manda el maris cal de campo D. Juan Díaz Porlier, la primera brigada de esta división se halla distribuida en los pueblos de Irun y Guetaria, y la segunda brigada en el bloqueo de Santoña. Sexta división , que. manda el brigadier D. Fran cisco Longa, en Briviesca y pueblos inmediatos. Séptima división, que…</t>
  </si>
  <si>
    <t>Porras</t>
  </si>
  <si>
    <t>…a provincia de Maracaybo. Las fuerzas del coronel Correa consistían solo en 350 hombres, y los pueblos sometidos habían jurado fidelidad, y reconocido las Cortes y la Regencia. El gobernador Porras pedia á S. A. para el gefe, oficialidad, tro pa , indios y paisanage, que concurrieron á aquella distinguida ac ción, las gracias y recompensas proporcionadas, deteniéndose muy particularmente en el elogio del mérito militar y político del coman dante Correa.…</t>
  </si>
  <si>
    <t>Porras, Pedro Ruiz de</t>
  </si>
  <si>
    <t>Pedro Ruiz de Porras</t>
  </si>
  <si>
    <t>…recibieron el oficio comenzaron á emigrar, y es probable que ¿ estas horas se halle el pueblo desierto, y por lo mismo entre gado ai saquee y sil incendio. ARTICULO DE OFICIO. El brigadier D. Pedro Ruiz de Porras, gobernador de la ciudad y provincia de Ifaracaybo , dirigió en 30 de Junio último por ia se cretaría del Despacho de la Guerra copia del parte que le daba des de S. José de Cucuta (jurisdicción del reyno de Santa Fe) el coro nel D. Ramón Correa su cabo subal…</t>
  </si>
  <si>
    <t>Portero, Pascuala</t>
  </si>
  <si>
    <t>Pascuala Portero</t>
  </si>
  <si>
    <t>…del señor D. Francisco Asstn , juez letrado de primera instancia en esta villa, se llama y emplaza á los que tengan derecho á los bienes deD. Pedro Díaz de Ron , marido que fue de Doña Pascuala Portero, y vecino dé esta Corte, que fa lleció abintcstato en el lugar de la Puebla Nueva en 11 de junio de elte año , pa? ra que dentro dé nueve dias, en que se incluyen tres términos, y el último percuto* rio, que deberán contarse desde 19 del corriente , Comparezc…</t>
  </si>
  <si>
    <t>Portillo, Manuel Antonio del</t>
  </si>
  <si>
    <t>Manuel Antonio del Portillo</t>
  </si>
  <si>
    <t>m drall, 2 id. D. Faustino del Campo, 2 id. D. Juan Llano y Cam pos, i id. D. Manuel Antonio del Portillo, 6 id. D. Santiago Rodrí guez, 2 id. D. Francisco Medina, 1 id. D. Martin de Almerza, 5 id. D. José de Aristnendi, 10 id. D. Gerónimo de Urriza, L id. D. To mas Gallegos, 6 id. IL Agustín Caldas, 1 id. D. Blas Camino, 1 id. D. Domingo Urquijo, 1 id. D. Franci…</t>
  </si>
  <si>
    <t>Portillo, Mariano</t>
  </si>
  <si>
    <t>Mariano Portillo</t>
  </si>
  <si>
    <t>…la gaceta de Ber lín , y produxeroa el mayor entusiasmo. ESPAÑA. Mixteo jo de Febrero. Continúa el extracto de los partes de Nueva-España. 67. El teniente de dragones de S. Cárlos D. Mariano Portillo, con 20 hombres de su regimiento y 14 patriotas de Ixtlahuaea, salió el 5 de Setiembre de Atlacomulco á, reconocer los enemigos, que en número de 200 de caballería, mandados por los cabecillas Ca ñas, Alcántara y Anaya, infestaban aquel país. Animado Portillo…</t>
  </si>
  <si>
    <t>Portillo, Mariano del</t>
  </si>
  <si>
    <t>Mariano del Portillo</t>
  </si>
  <si>
    <t>…D. Agustin de la Calle, substituto segundoBarrio del Buen Suceso, QUARTEL de palacio. D. Casimiro Ipoly , alcalde. Barrio de S. Nicolás. D. Francisco Peralta, substituto primero. D. Mariano del Portillo, alcalde. D. Salvador Alarcon, substituto segundo. D. Vicente Puyol, substituto primero. D. Ventura López, substituto segundo. QUARTEL DE SAN MARTIN. Barrio del Sacramento. Barrio del Cdrnien Calzado. D. Ramón de Segcvia, a'calde. D. J aime Bouhde, alcalde. D…</t>
  </si>
  <si>
    <t>Portillo, Méiiano</t>
  </si>
  <si>
    <t>Méiiano Portillo</t>
  </si>
  <si>
    <t>…r y constancia que tanto los distingue : el dia de la acción lo mostraron á mi lado en los momentos mas apurados, el capitán de zapadores teniente coronel D. Francisco Noriega, su teniente D. Méiiano Portillo , y eu alférez D. Francisco del Corral : el capitán D. Jacobo Rodrí guez, e! teniente de la guerrilla de Aibancsy D. José Mariano Sil va , oficial el mas vigilante, activo é intrépido; sn segundo D. Car los Samborainy D. Casimiro Figueroa, que fué voluntario…</t>
  </si>
  <si>
    <t>Posada, Antonio</t>
  </si>
  <si>
    <t>Antonio Posada</t>
  </si>
  <si>
    <t>…erando las órdenes def Lord. ' La Junta provincial de censura, compuesta de los señores D. Ramón Ca brera presidente y D. -Eugenio de ia Peña , vice-presidente; IX Antonio Si les, D. Antonio Posada y £&gt;. 3ernabé García , propietarios; de D. Eugenio de Arrieta, í&gt;. Benito Gil y Di Josef Moor de Fuentes, suplentes; des pués de prestado el juramento prescrito en el artículo 374 de*la Constitución en manos del señor gefe político superior de esta provincia…</t>
  </si>
  <si>
    <t>Posada, Manuel Narganes de</t>
  </si>
  <si>
    <t>Manuel Narganes de Posada</t>
  </si>
  <si>
    <t>…de Cotadilla, marques de Branciforte, D, Manuel de Acuña, marques de Escalona, á virtud de posesión que nulamente le dio el go bierno intruso, D. Jorge Reí, D. Juan Antonio Melón, D. Manuel Narganes de Posada y 0. Juan Antonio Zamácola, fugados con el gobierno intruso, para que en d término de ¿o días, contados desde 20 del presente mes, que por único y pe rentorio se les séllala, comparezcan por sí ó por procuradores con los correspon dientes poderes, al juzgado…</t>
  </si>
  <si>
    <t>Potocki</t>
  </si>
  <si>
    <t>…horas en esta ciu Francia» no» á sus armas es a las que yo temo; de dad sin ser conocido. Dos horas ame? de satir man ellas debemos temer qnalquier golpe funesto » au dó llamar al conde Potocki y ál ministro de Ha mentando nuestro peligro por nuestra conducta con cienda del gran ducado¿ y conversó con ellos lar ia América. ¡ Pensad en lajtspaña! ¡ pensad que por go rato. interes de la España debeis evitar la guerra contra . El 14 á Ja una de la noch…</t>
  </si>
  <si>
    <t>Pouget</t>
  </si>
  <si>
    <t>…segui mos cerca de 20 millas por el camino de Smolensko, en cuya fuga tomó la dirección de Falkovitsh y Sioeno. En esta ocasión hicimoá prisioneros al ex-gobernador de Witepsk, al general Pouget, al co ronel Chauvard, á 10 oficiales , 7 gendarmas y 300 soldados : toma mos dos piezas de artillería con todas sus municiones y caballos, y encontramos los almacenes abastecidos de víveres, forrages y póivora. Fue extremado el contento que manifestaron los…</t>
  </si>
  <si>
    <t>Poweíi</t>
  </si>
  <si>
    <t>…ado de resis tir el ataque continuó sin embargo su marcha pare situarse detras de la ciudad á tiempo que un destacamento del cuerpo del teniente coro nel Williams, dirigido por el capitán Poweíi, asistente del cuartelnisestre-general, atravesó por la ciudad, y se abrió paso por un puente de tablas hasta el campamento enemigo, que quedó inmedia tamente en nuestro poder, como también las baterías, al mismo tiem po que algunos soldados de artillería ata…</t>
  </si>
  <si>
    <t>Power</t>
  </si>
  <si>
    <t>…arón de Alten. ,;Las tropas marcharon en escalones por regimientos en dos líneas y algunas veces en tres; y las tropas portuguesas de la tercera y quarta, divisiones del mando del brigadier Power y del coronel Hubbs di rigieron la marcha con una firmeza y bizarría incapaz de superarse. „La brigada del mariscal de campo el honorable Carlas Colville,</t>
  </si>
  <si>
    <t>…n de Alten. ,,Las tropas marcharon en escalones por regimientos en dos líneas, y al gunas veces en tres; y las tropas portuguesas de la tercera y quarta divisio nes, del mando del brigadier Power y del coronel Hubbs, dirigieron la mar cha con una íirmeza y bizarría incapaz de superarse. ,, La brigada del mariscal de campo el honorable Carlos Colvllle , de la tercera división , fue vigorosamente atacada en su marcha por una fuerza bien formada y mui su…</t>
  </si>
  <si>
    <t>…También recomienda altamente al espitan Llbesay, que suce dió en el mando del 47 de infantería por muerte del mayor Kelly* y lo conservó hasta ser herido, recayendo el mando en el teniente Power, que cumplió hábilmeme con sü1 deber; y al espitan Fi-minton , que sucedió en el mando del 59 de infantería por muerte del capitán Scott, y lo mantuto hasta ser herido, recayendo entonces</t>
  </si>
  <si>
    <t>…nte coronel Hankins, de la brigada del mariscal de campo Inghy, en el ataque délas alturas de San Pe en la tarde del io. Labrigada portuguesa de la tercera división, del mando del general Power, se distinguid igualmente en el ataque de la izquierda del centro del enemigo, y la brigada del mariscal de campo Anson en el ataque de Sarre y centro de las alturas. „ Aunque la parte mas brillante de estas operaciones no cupo en suerte á los tenientes gener…</t>
  </si>
  <si>
    <t>Pozo, Ana del</t>
  </si>
  <si>
    <t>Ana del Pozo</t>
  </si>
  <si>
    <t>…v En 3o,de noviembre de 1808 se extravió un piño comode unos seis años en tonces, que se llama Cayetano Ycdol, hijo, según dice, de D. Juan, natural de la ciudad dé'Granada , y de Doña Ana del Pozo, de la de Málaga. Su padre ser via eníóncps de sargento primero dé granaderos del regimiento de la Corona: el asistente que tenia su madre sé llamaba N. Madero. Y no habiendo tenido noticias He :sbs padres desde lá retirada dé Somosierra efectuada en dicho di…</t>
  </si>
  <si>
    <t>Pozo, José del</t>
  </si>
  <si>
    <t>José del Pozo</t>
  </si>
  <si>
    <t>…spañoles.*0 En el cuerpo de ingenieros de los exércitos nacionales de la di visión de ultramar, se ha servido la Regencia del reyno promover á brigadier y director subinspector al coronel D. José del Pozo y jarqui; á coronel al teniente coronel D. Juan Camargo.; á teniente coronel al sargento mayor de brigada D. Juan Manuel de la Cruz; y á este empleo al capitán D. Manuel de Hita. Por providencia del tribunal del consulado de esta plaza de 27 del corriente, se…</t>
  </si>
  <si>
    <t>Pozo, Manuel Caballero del</t>
  </si>
  <si>
    <t>Manuel Caballero del Pozo</t>
  </si>
  <si>
    <t>…e l s respectivas columnas de eti que y demas que les'fueron confiadas, como igualmente Jos oficiales em pleados á mis inmediat: s órdenes los tenientes D. Joaquín de Vel -.sco, y D. Manuel Caballero del Pozo, y los subtenientes D. Roque Jacin to Valle y D. Antonio Muñoz de Hervy.s que constantemente me acompañan, y en est^.s ocasiones exercén funciones de aquellos, en quanto son emple-dos pan? el mejor desempeño del servicio. «Pira el debido conocimiento de V. E.…</t>
  </si>
  <si>
    <t>Pozo, Manuel del</t>
  </si>
  <si>
    <t>Manuel del Pozo</t>
  </si>
  <si>
    <t>…ue ocupaban en bastante número, lo hizo con un sin» guiar denuedo, y recibió un balazo de consecuencia en esta empresa. Llenaron su deber á completa satisfacción mia los capitanes D. Manuel del Pozo y D. Josef Cacho, el teniente D. Tomas Domínguez, y el alférez D. Manuel Jacome , mis ayudantes de campo , desempeñando con valor eo-: nocido quantos encargos:puse en su cuidado: también se hallaron á mi in—' mediación durante toda la batalla el teniente D. Joaquín de Velasco…</t>
  </si>
  <si>
    <t>Pra, Juan Moscoso de</t>
  </si>
  <si>
    <t>Juan Moscoso de Pra</t>
  </si>
  <si>
    <t>…y Pedro Crespo, teniente de cura en la anexa de un desracameoto de gastadores para apagar el fuego, Ribas. lo que se consiguió á costa de demoler una ala del Para el de Lardero á D. Juan Moscoso de Pra edificio: al paso se hicieron algunos prisioneros. A do, cura ecónomo del mismo pueblo. las 10 se presentó en Villatrias la cabeza de la van Para el de Azofca á D- Nicolás Caro, ecóno guardia francesa, y á las it la reconocimos al en mo de la parroquial de Te…</t>
  </si>
  <si>
    <t>Prado, Gregorio Alonso de</t>
  </si>
  <si>
    <t>Gregorio Alonso de Prado</t>
  </si>
  <si>
    <t>…a iglesia de Valla- ventajosa, la extensión de su territorio, la variedad, ddid el *G de diciembre del año de 1812 el de sus producciones, el carácter, genio, industria licenciado D. Gregorio Alonso de Prado, prior y aplicación de sus naturales, con todos estos bie de dicha santa iglesia. nes digo., ¿para qué quiere la guerra? Su política, Los ministros del altar son los maestros de la $p gran política, su única política es la paz; con la moral pública, y aquello…</t>
  </si>
  <si>
    <t>Prados, Felipe</t>
  </si>
  <si>
    <t>Felipe Prados</t>
  </si>
  <si>
    <t>…Camac, que puse á las .órdenes del señor general Latorre, han desempeñado con la mayor actividad y acierto quanto se ha puesto á su cuidado. « Mi secretario de campaña el teniente coronel D. Felipe Prados, mi ayudante de campo el teniente coronel D. Joaquín Montufar, los capitanes D. Leonardo Bonet y D. Domingo Manso , y el teniente D. José Ramón Ferradas, han llenado plenamente mis deseos. «El comandante general de ingenieros mariscal de campo D. Ma nuel Zapp…</t>
  </si>
  <si>
    <t>…ac , que piiíe á las órdenes del señor general Latorre , han desempeñado con la mayor actividad y acierto quanto se ha puesto i su cuidado. ,, Mí secretario de campaña el teniente coronel D. Felipe Prados, mi ayudante de-campo el teniente coronel D. Joaquín Montufár, los capitanes D. Leonardo Bónet y I&gt;. Domingo Manso; y el teniente D. Josef Ramón Ferradas han llenado‘plenamente mis deseos. ,,'El comandante general de ingenieros mariscal de campo D. Manuel Zap…</t>
  </si>
  <si>
    <t>Praevost, Jorge</t>
  </si>
  <si>
    <t>Jorge Praevost</t>
  </si>
  <si>
    <t>…A. Londres' 4 de Diciembre. * En gaceta extraordinaria de esta capital «se-han publicado los ob elos siguientes sobre las ocurrencias con los americanos, remitidos por el teniente general Jorge Praevost al conde Bathursí. ,,Milord : Tengo la satisfacción de comunicar á Y. S. que las fuerzas de S. M. , auxiliadas por las milicias y los indios, apos tados en la frontera de Niagara , han rechazado completamente la segunda invasión del enemigo en la provincia dé…</t>
  </si>
  <si>
    <t>Prat, Félix</t>
  </si>
  <si>
    <t>Félix Prat</t>
  </si>
  <si>
    <t>…mandante general de artillería D. Agus tín García Carrasquedo , el coronel mayor general de la misma arma D. Matias Ferraz, y el brigadier subinspector de infantería del exér cito D. Félix Prat, han asistido á mi inmediación en todas estas ope raciones. «Para que V. E. pueda enterarse m-jor del mérito contraído por cada uno tengo el honor de incluirle adjunto Jos partes que me lian dado los señores comandantes generales de lasVlivisiones, y por mí m…</t>
  </si>
  <si>
    <t>el brigadier subinspector de infantería del exército D. Félix Prat, han asis tido ;á mi inmediación en todas estas operaciones. ,.Para que V. E. pueda enterarse-mejor del mérito contraido por cada uno tengo'el honor denncluirle adjunto los partes que,me han dado los se^ ñores cowendantes generales de las divisiones, y por fi…</t>
  </si>
  <si>
    <t>Prelat</t>
  </si>
  <si>
    <t>…entar á la sociedad de fomento un fusil Mr. Pauly ha obtenido una patente de inven para pólvora de muríate oxigenado, que hizo el ción, y habiendo principiado á fabricar estas nue señor Prelat por un modelo traído de Inglaterra. vas armas en compañía del señor Prelat, me han Esta nueva especie de fusiles excitó la atención de rogado ambos que las presente á la sociedad, como varios armeros distinguidos, y ocasionó los que por el mas seguro medio de…</t>
  </si>
  <si>
    <t>Preston</t>
  </si>
  <si>
    <t>…al S. del lago Ontario); des pués de una pequeña oposición se retiraron los ingleses á Angra de las Quarenta millas, distante como unas 35 .del fuerte Jorge, y al día siguiente el coronel Preston entró sin resistencia en el fuerte Erie con un pequeño.cuer po^ de tropas. Los ingleses habían inutilizado ó retirado á este punto y á tor da su línea en el rio todos los efectos y fondos públicos-, excepto una pequeña porción de harina , que cayó en nuestro…</t>
  </si>
  <si>
    <t>Prevost</t>
  </si>
  <si>
    <t>…o Al señor .Gaumette, sargento mayor, no cul Viailevielhe, Juan Henriqtie Carón, Pedro Garios pado de complicidad, unánimemente; Limoign, a3’iid.uues subtenientes; Juan Josef JaAl señor Prevost, teniente , no culpado de com lien y Juan Bautista Caumette, sargentos maj’ores. plicidad , unánimemente; 2.0 Por la suficiente mavoría- de tres votos con ar Al señor Lebis, teniente, no culpado de com reglo á la lei del 13 bruinario, año v, al señor pilad, d…</t>
  </si>
  <si>
    <t>Pri, Manuel</t>
  </si>
  <si>
    <t>Manuel Pri</t>
  </si>
  <si>
    <t>…a Iharbia, id. pnr'S , §S. D. Juan M-io.uel Campo blanca, id. por 8,96. D. Mateo Gona z, id. por 8, 96, O. Rain .ai Qrtiz , id. por 8,96 D. Francisco Nnñez G tgo , id. p ,r 8, 96. D. Manuel Pri mo,.id. p#r 8, 96. D. Juan José Rabio, id. por 4, 48. D Jaan Bau tista Visa», id. por 4,48. O. J.: ss Ganó, id. por 4, 48 D. Francis co' Pende, id. por 4,48. I). José Saadago Aguirre, id. por 10, 129. D B as Ignacio de Tellexia, id. par 10, 120. D. Ignacio S…</t>
  </si>
  <si>
    <t>Priest, S.</t>
  </si>
  <si>
    <t>S. Priest</t>
  </si>
  <si>
    <t>…ró detras de Bischofswerd y Stolpen. Estaba á una jornada de Dresae, permaneciendo en comunicación inmediata con su flanco derecho por la parte de Pirna.^ El dia 14 se adelantó el general S. Priest. Su caballería entró en Drebinitz, donde hizo prisioneros algunos centenares de hombres con un gefe de batallón. El enemigo se halla cada vez mas estrechado en su posición de Dresde, donde , según dicen los desertores y prisioneros., se experimenta cada dia m…</t>
  </si>
  <si>
    <t>Prín, Tomas</t>
  </si>
  <si>
    <t>Tomas Prín</t>
  </si>
  <si>
    <t>…pocos;pero forre vmd. de venir nuestra salvación. ¿Qué hemos adelantado &lt;en cobre $ü corazón (2). con ellas ? Acabarnos de arruinar, dexar sin recur ,¿Ese ífiismo señor Barban^ ó D. Tomas Prín sos las provincias, hacer retrogradar el espíritu pú cipe , rárgento del regimiento de caballería de blico, desorganizar ios exércitos, cubrir de luto y aquel'Hombre, fue el inventor de la infame marca, vergüenza centenares de familias, cuyo crimen era -que c…</t>
  </si>
  <si>
    <t>Príncipe, Tomas</t>
  </si>
  <si>
    <t>Tomas Príncipe</t>
  </si>
  <si>
    <t>…on ánimo de kytereeptarles el puente de S. Martin; mas lo escabroso del terreno y emba razoso del viñedo me impidió poderlo realizar. A este üempo acaba ba de llegar igualmente el comandante D. Tomas Príncipe, quien se reunió al momento con su caballería á la mía por la izquierda ¿el Duero, para contener un refuerzo de 360 caballos y 500 inferes que venían de Pe-ñafie!. Hallándose mi tropa de una y otra arma ya de masiado cansada , emprendí mi retirada para la vil…</t>
  </si>
  <si>
    <t>Pringle</t>
  </si>
  <si>
    <t>…nstan cia me obligó á retirarme ayer de aquel terreno; la conducta de los oficiales y de la trepa, tanto inglesa como portuguesa, fué tal que mereció toda mi aprobación. «El mayor general Pringle con la brigada del mayor general Walker, á las órdenes del teniente coronel Fitzgerald del regimiento núm. 6o de infantería, sostenida por el 34 ingles y 34 portugués, se opuso con el mayor denuedo á la subida del enemigo á la cum bre del monte en la izquierd…</t>
  </si>
  <si>
    <t>…ado á retirarse hasta que la séptima división estuviese en entera cooperación con él. w En este tiempo fué herido el teniente general, y el mando de la división recayó en el mayor general Pringle , el cual con su pro pia brigada, mandada por ei coronel O-Collaghan, renovó el atas que por nuestro lado, mientras que la séptima división los perseguía por el otro, y ambas divisiones ganaron la altura casi al mismo tiempo, y el enemigo se retiró después su…</t>
  </si>
  <si>
    <t>Pringley</t>
  </si>
  <si>
    <t>…de Ciudad-Rodrigo.” P. D. „He omitido informar á V.E. en el cuerpo dee^tá relación, que las tropas del pfcerto dé'Maya perdieron^qtiátró cañones portugueses el dia 25 de julio. El general Pringley que mandaba Ruando*iíe'*erítpez6 eí ataque,0 dispuso que se retiraren hacia Maya, y íquánd'o iíe^p el 'teniente general" Stwart mandó qué vólvieséñ, y se retirasen per el camino de la montaña á Elizondo: ínterin lo verificaban, el enemigo se apoderó del puert…</t>
  </si>
  <si>
    <t>Prior</t>
  </si>
  <si>
    <t>…i ya en marcha. ene están expuestos los habitantes de nuestras fron Extracto de tota carta del quartel-maestre delteras occidentales con motivo de la entrega del es rrgimi nto del coronel Prior , fecha en la bahíatrecho. Ya hemos anunciado la nóticia de la ma de Sa/tet d 2 a de setiembre.tanza de la guarnición de Chicago. „El fuerte Chicago, situado sobre el Illinois, Ayer ha habido en estas aguas un combate en l,a sido evacuado el T* del mes anteri…</t>
  </si>
  <si>
    <t>Prisco</t>
  </si>
  <si>
    <t>…al graciado un artillero, á quien mató el cañón mismo gunos meses, pondríamos ya menos atención en la que estaba cargando. defensa de nuestras costas, y que podría por lo mis - £1 teniente Prisco ha dado muestras de talento, mo sorprehender con ventajas á alguno de los nu de esfuerzo y de intrepidez: los legionarios y la merosos convoyes que mantienen en un estado de fuerza armada de la aduana le ayudaron con valor. grande actividad la navegación de u…</t>
  </si>
  <si>
    <t>Procter</t>
  </si>
  <si>
    <t>…bado por la tar^r de se hacían preparativos para retirarlo todo de Newark, á cuyo fin había barcos prontos á la oriila oriental del rio: allí reinaba una gran consterna ción___ El coronel Procter con alguna trop^inglesa se había reunido al ge neral Vicente, y estaba el sábado á 20 millas de distancia del fuerte Jor ge.__ Nuestra esquadra se halla en el puerto de Sacket, esperando la habi litación de la fragata nueva.—El general Dearborn, que se halla…</t>
  </si>
  <si>
    <t>Prudencio</t>
  </si>
  <si>
    <t>…ella nombrado heredero, por parte de uno de sus coherederos se ha pedido y mandado anunciarlo asi, á fin de que dentro de 30 dias, contados desde 23 de este mes, comparezca dicho D. Prudencio, la persona que tenga ínteres en sus bienes, ó la que sepa de su paradero, ante el Sr. Dr. D. Francisco Assin, juez letrado de primer^ instancia de esta capital,-y escribanía del número de D. Cris tóbal de Vicuña, mereciendo á qualquiera persona que sepa de s…</t>
  </si>
  <si>
    <t>Prusia, Augusto de</t>
  </si>
  <si>
    <t>Augusto de Prusia</t>
  </si>
  <si>
    <t>….. */l^Í£ndo, cesado ;en la redaccipn del.diario popular*; , yaJiaq IÍegado aqui0lqs billones de, infaníe^ía prusiana y Ips regimien-, tos cíe húsares de Mecklemburgo-Strelitz. Él príncipe Augusto de Prusia, ha reyistado.los.atrincheramientos, que se- han establecido en "las inmediaciones dePostdam., . \ 5 Del 18. Todavía trabajamos{ con la mayor actividad én lasfortjficaciqne^de nuestra ciudad a la orilla izquierda del Elba;‘El campo de Piro» ¿st4. cercadq de,n…</t>
  </si>
  <si>
    <t>…tein en tres coi ,*moas por la derecha del Grossen Garden; el genend Kdeist en columna de ataque por los jardines y dos por la izquierda. La columna de la iz quierda la mandaba el príncipe Augusto de Prusia : tres divisiones de austríacos por la izquierda de la ciudad , al mando del conde Colloredo y del príncipe Mauricio Lichtenstein , te reunieron á los prusianos ? estos formaban el centro del ataque. Un horrendo caño neo principió el ataqúe: como las baterías…</t>
  </si>
  <si>
    <t>Prusia, Carta del Rei de</t>
  </si>
  <si>
    <t>Carta del Rei de Prusia</t>
  </si>
  <si>
    <t>547 Francia; y ciertamente no me engañé, porque po A. NUM. IV. co há vino i ini casa el canciller de .Estado barón Carta del Rei de Prusia á su ministro residentede Hardenberg , y me ha dicho las siguientes pala en Parts.bras-. ,, El Rei está firmemente decidido á no sepa»&gt; rar su causa de la de la Francia, y mantenerse 14 de mayo de 18 rt. «leal y plenamente adherido al Emperador. Mu- La bondad…</t>
  </si>
  <si>
    <t>Prusia, Henrique de</t>
  </si>
  <si>
    <t>Henrique de Prusia</t>
  </si>
  <si>
    <t>…derle gran maes 10 del presente edicto, para ser nombrados por tre de ia orden real de S. Juan á nuestra amado os caballeros, les daremos una instrucción soore hermano S. A. R. el príncipe Henrique de Prusia, los deberes que les impone la recepción de tas de que ha sido coadjutor del dicho gran maestre hasta coraciones de la orden de S. Juan. la supresión de la gran encomienda de Brande in- 16. Nuestra órden real de S. Jnan desempe burgo. ñará fas funciones, y go…</t>
  </si>
  <si>
    <t>Psdilla, Juen José</t>
  </si>
  <si>
    <t>Juen José Psdilla</t>
  </si>
  <si>
    <t>…e destruido con pérdida de 80 hombres entre muertos, heridos, entre estos el cabecilla que se lugo, y va rios prisioneros, tomándoles mas de 70 c bailes. 3Ó. En la misma fecha, el capitán D. Juen José Psdilla con una partida de tropas de Sonora , reunidas á las de otra de Nueva-Viz caya al cargo del capitán D. Gregorio Blanco, atacó en lis cercanías del Real de Cópala un grueso pelotón de enemigos, dando muerteá 9 de ellos, y dispersando el retío-por los cerros..</t>
  </si>
  <si>
    <t>Psraz, Julián</t>
  </si>
  <si>
    <t>Julián Psraz</t>
  </si>
  <si>
    <t>…uiroz , 50. D. Antonio Bbras, 50. D Francisco Nnaez, 50. D. Manuel Odrinsola, 50 D. Fulg í c o Z avala, 50. D. Vicente Aborta, 50. D. Francisco Sagasti, 50. D. Pedro Larrañ ga, 25 D. Julián Psraz, 25 O. José Osorio, 25. D. Miguel Jáaregui, 25. D Juan Mella, 95 O. Alonso Ronero, 25. 13 Domingo Ufqu’jo. 25 1). José Oétolasa, 25. D. Fran cisco Muían Rodrí guez , 25. D Manuel Julián G rájales, 20. D. D «mingo Car dan , 20. í). Juan Matías (ribarren, 20. D…</t>
  </si>
  <si>
    <t>Pt</t>
  </si>
  <si>
    <t>…animado á surcar el Mediterráneo , para que Napo león tenga un día de pesar como los que ha padecido en la última campaña de Ru¿;ia.. Entre los buques de guerra,de 3a escuadra del almirante Pt fiew se cuentan el liibernia, el Caltdama yla Ciudad de París de 120 cañones.. Jaén 31 de Marzo. Se ha publicado en ei tercer exército la siguiente orden del día: Un destacamento de la, vanguardia del ex rcito, mandado por el gefe de estado mayor de la caball…</t>
  </si>
  <si>
    <t>…clase de tenientes generales; y de la caballería formó tres divisiones , dos de dragones k las órdenes de los generales Tilli, Tieylleard, y la otra de caballería ligera á las del general Pt di o Soult; y habiéndose dotado e3te exército con gran número de piezas de artillería, mucha parte de ella se le habia ya incorporado. WE1 exército aliado se hallaba situado, como tengo dicho á V. E., en las gargantas de las montañas. La brigada de infantería…</t>
  </si>
  <si>
    <t>Ptatow</t>
  </si>
  <si>
    <t>…Kuiusow que hablan, llegado á mi noticia hasta el 9 de este mes, desde cuya época no se ha recibido parte alguno de acontecimientos ulteriores, relativos al cuerpo mandado por el general Ptatow. El mariscal liabia calculado llegar á Krasnoy el 14 del corriente; pero aunque se acercó á pocas millas de esta ciudad , no he oido que estableciese allí su cuartel general el dia 16. En su ultimo oficio, de fecha mas moderna, anuncia ia in tención de remiti…</t>
  </si>
  <si>
    <t>Puente</t>
  </si>
  <si>
    <t>…s que mi gefe de esta do mayor dirige al del todo del exército una relación circunstanciada de esta acción, que rogaré á V. E. se publique. ,,Debo igualmente recomendar á V. E. al capitán Puente, oficiales y tropa dé sú compañía, y hacer elogios del capitán Dubourdieu, al servicio de S. M. Británica, de su oficialidad y tropa. El sargento mayor del quarto esquadron de artillería á caballo D. Juan Loriga, no contento con llenar sus deberes tan bizarra…</t>
  </si>
  <si>
    <t>…que mi gefe de estado mayor dirige ai del todo del exército una relación circuns tanciada de esta acción, que rogaré á V. E. se publique.* » Debo igualmente recomendar á V. E- al capitán Puente, ofi ciales y tropa de su compañía , y hacer elogios del capitán Dubourdieual servicio de S. M. B., de su oficialidad y tropa. El sargen to mayor del cuarto escuadrón de artillería á caballo D. Juan Lo riga , no contento con llenar sus deberes, tan bizarramen…</t>
  </si>
  <si>
    <t>Puente, Benito</t>
  </si>
  <si>
    <t>Benito Puente</t>
  </si>
  <si>
    <t>…ndo á fin de que se diese parte de los soldados que se hallasen ocultos, espeeíficaEdo al gobernador D. Domingo Cle mente Sierra , al comandante de la partida llamada de Marquinez D. Benito Puente, á D. Francisco Valiejo y D. Bernardo Encovar: para su responsabilidad prendieron en rehenes 4 regidores, D. San tiago Gallego, D. Cayetano Ramos, D. Joaquín Encara y D. Ga« bino Montes : 6 capitnlares , chantre , lectora!, doctoral, 'arcediano de Cea, D. Lui…</t>
  </si>
  <si>
    <t>Puente, Manuel</t>
  </si>
  <si>
    <t>Manuel Puente</t>
  </si>
  <si>
    <t>…ba de las qualidades sobresalientes que honran á la marina espa ñola. = Luis Laviña.” ' í La junta patriótica dé señoras de Cádiz ha entregado al capitán del cuer po de artillería D. Manuel Puente un vestuario completó para el tercer ésqüadron de artillería de á caballo, que se halla en el exército de reserva. No es esta la primera vez que presentamos estos rasgos de patriotismo como un modelo de ía-conducta que debérián observar, no solo las señoras d…</t>
  </si>
  <si>
    <t>Puente, Pablo</t>
  </si>
  <si>
    <t>Pablo Puente</t>
  </si>
  <si>
    <t>…é que era indispensable el cañonearlos vivamente para arrojarlos de él: para este efecto hice venir la primera compañía del quarto esquadron de artillería á caballo, del mando dei capitán D. Pablo Puente, y solicité del señor general comandante de las tropas inglesas en Oyarzun me enviase una compañía de la misma arma; lo que verificó inmediatamen te, siendo esta 1a del mando del capitán Dubourdieu.</t>
  </si>
  <si>
    <t>…que era indispensable el caño nearlos vivamente para arrojarlos de él: para este efecto hice venir la primera compañía del cuarto escuadrón de artillería á caballo ■del mando del capitán D. Pablo Puente, y solicité del Sr. general comandante de las tropas inglesas en Oyarzun me enviase una com pañía de la misma arma , lo que verificó inmediatamente, siendo esta la del mando del capitán Dubourdieu. wLas baterías se establecieron ¿ 6 hice situar las tropas en…</t>
  </si>
  <si>
    <t>Pujadas, Juan Capistrano</t>
  </si>
  <si>
    <t>Juan Capistrano Pujadas</t>
  </si>
  <si>
    <t>…D? Juan Francisco Martínez,, arcediano de I&gt;aropa* (natura! de Zaragoza. 5.0 D. Tadeo Segundo Gómez, ministro del supremo tribunal de Jus ticia, natural de Teniei. • - vr, .• 6.° D. Juan Capistrano Pujadas, vecino de Calatayud. 7.0 D. Gerónimo Castillon , maestre-escuelas de Huesca , natural de Ponzano , partido de Barbastro. 8.° D. Manuel Abella /oficial de 4a secretaría de Estado , natural de Za ragoza. 9.0 D. Nicolás Fá 'Miel, abogado ‘ del colegió ’de 'Madr…</t>
  </si>
  <si>
    <t>Pularea, Juan</t>
  </si>
  <si>
    <t>Juan Pularea</t>
  </si>
  <si>
    <t>…Dios guarde a V. S. muchos años. Gíjm 29 de Marzo de 1813. — jVictoriano García. — Sr. comandante general del principado.” Taktrrubias 31 de Marxo. Con fecha del 6 ha remitido al coronel D. Juan Pularea (el Mé dico) el teniente Gordo, comandante de ia partida de observación en Alia, un parte eri que le da cuenta de haberse dirigido con 30 soldados desde el Puerto de S. Vicente á Campillo, en cuyo pue blo supo haber 450 infantes franceses, dispuestos á incend…</t>
  </si>
  <si>
    <t>Pumacahua</t>
  </si>
  <si>
    <t>…ciones que sostiene la nación ; y enterada la Regencia del reyno de este acto de generosidad y patriotismo, como también de los servicios y adhesión á la justa causa del refe rido brigadier Pumacahua, se ha servido resolver que se le den las mas expresivas gracias, y que se inserte en la gaceta del Gobierno para noticia del público y satisfacción del interesado. Por providencia del tribunal del consulado de comercio de 28 do Abril úlíimoxen los autos de c…</t>
  </si>
  <si>
    <t>Pumacalma, Mateo García</t>
  </si>
  <si>
    <t>Mateo García Pumacalma</t>
  </si>
  <si>
    <t>…iso. De orden de S. A. lo comunico á V. S. para su inteligencia y cumplimiento. Dios guarde á Y. S. muchos años. Cá diz 8 de Mayo de 1813. El brigadier de los exércitos nacionales D. Mateo García Pumacalma ha ofrecido de denativo los sueldos que le corresponden per cibir como presidente interino de la audiencia del Cuzco y coman dante militar do aquel distrito , con la precisa calidad de que su importe se ha de trasladar á esta península para qne se invierta en…</t>
  </si>
  <si>
    <t>Puñet, José</t>
  </si>
  <si>
    <t>José Puñet</t>
  </si>
  <si>
    <t>…na baxa pro cedente de prisioneros ni extraviad-s. Id. segunda. El oficia!' niiiertó de Tarragona es D. J iciato Arjó, subteniente : el herido de S. Ferfisndó lo es el subteniente D. José Puñet, y ti del regimiento dé Aúsóna lo es el teniente E&gt; Jur#n In fera. = Josí Masahés, ayudante segundo.= Es copia. = CabaHes, CADIZ : IMPRENTA NACIONAL ; 1813.</t>
  </si>
  <si>
    <t>Pusterlá, Manuel María</t>
  </si>
  <si>
    <t>Manuel María Pusterlá</t>
  </si>
  <si>
    <t>…. • Primera división, al mando del mariscal de campo príncipe de Angtona: consta dé los-regimientos Carmona, Ciudad-Real, Irlanda, Cataluña y Ronda. Segunda división, al mando del brigadier D. Manuel María Pusterlá: se compone de los regimientos primero de Valencia, tercero de Guardias Es-* pariólas primero de Walonas, Navarra, Guadix, España y Zamora. Tércera división, al mando del mariscal de campoJD. Juan de la Cruz Murgeon: consta de los regimientos Reí, Cádiz, Cast…</t>
  </si>
  <si>
    <t>Putbos</t>
  </si>
  <si>
    <t>…te) emprendió el 6 del corriente su ♦¡age á Trachenberg baxo el título de conde de Upland. S. A. R. llevaba en sp comitiva al feld 'mariscal conde Steáinck, ai teniente gobernador príncipe Putbos, al canciller de la corte barón Wetterstedt, al chambelán del gabinete conde Brahe , al teniente coronel Camps, y á los barones Stiercona &gt; Essen Scc. £1 general barón Adlercreutz ha tomado el mando en ge fe del exército sueco durante la ausencia del Príncipe…</t>
  </si>
  <si>
    <t>Putowy</t>
  </si>
  <si>
    <t>…esia, á 30 de agosto, en que participa á S. M. prusiana que.acometió nuevamente al enemigo en una po sición detrás del río Bober, y le batió completamente, luciendo prisioneros al general Putowy la mayor parte del estado mayor de Macdonaid, y que igualmente cogió dos águilas y 22 cánones. Desde el dia 26 basta el 29 el cuerpo del general Blucher ha hecho prisioneros y tomado too piezas de artillería. A la salida del oficial portador de los pliegos de…</t>
  </si>
  <si>
    <t>Putrlitz</t>
  </si>
  <si>
    <t>…BIERNO DE LA REGENCIA DE LAS ESP ANAS. GRAN BRETAÑA. Noticias de Londres hasta 1$ de octubre. BOLETIN DECIMOSEXTO DEL PRINCIPE REAL. Qiiartel general de Zerbst 20 de setiembre. El general Putrlitz, encara gado de observar á Magdeburg, está apostado eo Mocherns, y ha enviado varios destacamentos de caballería á la orilla izquierda del Elba. Dos compañías del regimiento de Josef Napoleón de 164 hombres, con su gefe de batallón y dos oficiales mas, se han…</t>
  </si>
  <si>
    <t>Puttlitz</t>
  </si>
  <si>
    <t>12 5 í de Wittemberg, cuyo sitio comenzará inmediatamente. La guarnición de esta plaza ha sido ieforzada. Cuartel general de Xerbst 20 de Setiembre de 1813. El general Puttlitz, encargado de observar á Magdeburgo, está apostado en Mockern: ha enviado varios destacamentos de ctballería á la izquierda del Elba. Dos compañías del regimiento José Napoleón, de 164 hombres con su geíe de batallón y otros 2 oficiales, se pesaren á nuestras…</t>
  </si>
  <si>
    <t>Puttow</t>
  </si>
  <si>
    <t>…, mas de 50 cañones y 400 carros. La mitad de la guardia de Ney ha sido pasada á cuchillo____El general Blucher batió completamente al enemigo junto al Bober: cogió prisioneros al general Puttow y á la mayor parte del estado mayor de Macdonald , le tomó dos águilas y 22 cañones. — Finalmente, por las noticias recibidas de Altona en Londres se sabe que Bonaparte en persona había sido derrotado el 10 con pérdida de 60® hombres: que Dres de se hallaba e…</t>
  </si>
  <si>
    <t>…esde Holstein en la Silesia, en que participa á S. M. P. que acometió' de nuevo el ene migo en una posición detras del rio Bober y le batió completamen te , haciendo prisionero al general Puttow y la mayor parte del es tado mayor de Macdonald; tomó ademas 2 guias y 22 piezas. Des de el dia 26 hasta el 29, el cuerpo del general Blucher ha hecho 15© prisioneros, y ha tomado 100 piezas de artillería. A la partida del oficial portador de los oficios del…</t>
  </si>
  <si>
    <t>Puyol, Vicente</t>
  </si>
  <si>
    <t>Vicente Puyol</t>
  </si>
  <si>
    <t>…de palacio. D. Casimiro Ipoly , alcalde. Barrio de S. Nicolás. D. Francisco Peralta, substituto primero. D. Mariano del Portillo, alcalde. D. Salvador Alarcon, substituto segundo. D. Vicente Puyol, substituto primero. D. Ventura López, substituto segundo. QUARTEL DE SAN MARTIN. Barrio del Sacramento. Barrio del Cdrnien Calzado. D. Ramón de Segcvia, a'calde. D. J aime Bouhde, alcalde. D. Francisco JCavier Correa , substituto primero. D. Benito Rodríguez…</t>
  </si>
  <si>
    <t>Pvevot</t>
  </si>
  <si>
    <t>…o su legio de la compañía de las Indias orientales se le -salvación, el que ininedutauieute fue abrazado por habla ^concedí do para1 siempre, con tai que no fuese ;su compañero el señor Pvevot y por el vista de la perjudicial á la coronado Inglaterra, y en esta aten misma aduana Mevcier. Estos hombres generosos ción descaria saber si hai quien sostenga que la ha empeñaron á alnuuos marineros de la isla á que les causado algún perjuicio. Opinaba sin…</t>
  </si>
  <si>
    <t>Pyrm</t>
  </si>
  <si>
    <t>…mismo mes aun no habia muerto de peste ningún individuo de los habitantes ingleses ni de las tropas por la pre caución que habian tomado de no comunicarse con los inficionados. El doctor Pyrm, que hace tiempo estuvo empleado en el estado mayor de Malta en calidad de médico, y que anteriormente se habia distinguido en extirpar de Gibraltar una enfermedad de igual naturaleza, fue consultado por espacio de algunos dias por el ministro de Guerra y de…</t>
  </si>
  <si>
    <t>Q-Dónoju, Juan</t>
  </si>
  <si>
    <t>Juan Q-Dónoju</t>
  </si>
  <si>
    <t>…se impri ma , publique y circule. = X. de Borbon , cardenal: de Scalaarzo bispo de Toledo, presidente. .= Pedro de Agae. zs. Gabriel Ciscar, s En Cádiz á 23 de Agosto de 1813. = A D. Juan Q-Dónoju. Concluyen los partes que se empezaron á insertar en la gaceta del y de este mes. Quinto. «Excmo. Sr.: El j*0 de este al, amanecer fui avisado de la reti nada del exércko enemigo, que V. E. batió ten glcrioíamente so bre Pamplona, y creyendo conveniente dexar…</t>
  </si>
  <si>
    <t>Qailiara</t>
  </si>
  <si>
    <t>…aron en frente de Peplar Isíand, de donde ho yo el enemigo, y destruyo un as-illero y 2 6 3 barcos grandes. El ca pitán Dishwood , del Sn p, apreso al León, corsario de Boloña. Ei capitán Qailiara, del Crescent, ba apresado ai corsario america no el Elbíidge Gerry. Ei teniente Morgan, de ’a Bárbara, ha apre sado ai corsario dinamarqués, y un buque que había él apre ado. El vizconde Castiereaga, principal secretario de estado ce S. M. en el departamento…</t>
  </si>
  <si>
    <t>Qbregoso, Manuel</t>
  </si>
  <si>
    <t>Manuel Qbregoso</t>
  </si>
  <si>
    <t>…ores, de la columna de la izquierda, que fué gravemente herido, y los •ficis! es de estaco mayor los tenientes soroneies 15. Jscrbo Escaño* D. José María Paniagua, y los capitanes D. Manuel Qbregoso y D. José Renden. » El 8 en la mañana V. E. reconoció por sí mismo la montaña de Larrun, y vista la imposibilidad de desalojar á viva fuerza ai enemi go de su eima se sirvió disponer hiciera un movimiento general con; todo mi exército &gt; que quedó situado en la misma montaña p…</t>
  </si>
  <si>
    <t>…ores de la coluna de ia izquierda, que fue gravemente herido; y lo,s ofi ciales de estado mayor los tenientes coroneles D. Jacobo Escario, D. Josef María Paniagua, y los capitanes D. Manuel Qbregoso y D. Josef Rendoq. ,,E1 8 en¡ la mañana V. E. reconoció por sí mismo Ja montaña de Larr run, y vista la imposibilidad de desalojar á viva fuerza ai enemigo de su ci ma, se sirvió disponer hiciera un movimiento general con todo mi ejército, :que quedó ¡ situado, en la misma mon…</t>
  </si>
  <si>
    <t>Qibbs-----Los</t>
  </si>
  <si>
    <t>…onfederación del Rhin._«. Se embarcan; para la península nuevos refuerzos.__ De be salir de. Harwich para Stralsund&gt; una expedición compuesta de tropas ¡a* .glosas mandadas por el general Qibbs-----Los ingleses tomaron la pequeña isla de Augusta; y han apresado en el puerto de Cavalacia. un xabeque fran cés y 20 embarcaciones. Él príncipe Bernadotte , con quien no se entiende el armisticio, .marchó sobre Hamburgo: sus fuerzas consisten actualmente en 445© h…</t>
  </si>
  <si>
    <t>Qirardmurip</t>
  </si>
  <si>
    <t>…su «confianza. ' c ! í (O -El telégrafo portugués de 25 del pasado dice que en el séptimo boletín del exército del Príncipe Bernadotte se refiere, entre otras muchas cosas, que el general Qirardmurip el día 27 de agosto: que el resto dél exército de Oudinot, j}u#,debia entrar ,en Bcrlin el día 23 , sc retiró.al Elba; y que el general Biucher Jiabia salido de. jauer, y marchaba, sobre cl enemigo.</t>
  </si>
  <si>
    <t>Qnartero</t>
  </si>
  <si>
    <t>…habia recibido un parte, que se leyó ; resultando de él no ofrecer por ahora cuidado la lesión: recomendó al Congreso el interes que reclama este des agradable acontecimiento. El señor Qnartero pidió no se omitiera medio para asegurar la inviolabilidad de los representantes del pueblo español , y evitar que se repitan escándalos de esta especie. En consecuencia se nombró una comisión especial, compuesta de los señores Castañedo, Mendiola , Ledesma,…</t>
  </si>
  <si>
    <t>Qnevedo, Juan Vázquez</t>
  </si>
  <si>
    <t>Juan Vázquez Qnevedo</t>
  </si>
  <si>
    <t>…s capitanes D. José María Freyre y barón Quistorp, se conduxeron con la mayor bizarría. A la propia hora, la de León y primera de fusileros de este cuerpo, que mandaba su teniente coronel D. Juan Vázquez Qnevedo, con el batallón ingles num. 5^7, fueron cargadas en su posición de Vet earlos, y obligadas á replegarse sobre la ermita de Ivañeta, desde donde fueron á reforzar al teniente general Coll, que se batía hácia el camino de los A Idudes. Interin una suspensión d…</t>
  </si>
  <si>
    <t>Qñez, Josef</t>
  </si>
  <si>
    <t>Josef Qñez</t>
  </si>
  <si>
    <t>…o en Guadalaxara: quaderno primero. Se hallará en la librería de Ranz, calle de la Cruz ; en Alcalá en casa de D. Francis co de Vea Murguía, del comercio ; en Guadalaxara en la de D. Josef Qñez de l* Torre, del comercio, frente á la carnicería. Cada quaderno sé vende á tres rs., j se publicarán dosen^cada mes. Toda la obra constará de 28 quadernos , como lo expresa el del número i.° que anunciamos. El Eusebio , novela escrita por D. Pedro Montengon,…</t>
  </si>
  <si>
    <t>Qordo, León</t>
  </si>
  <si>
    <t>León Qordo</t>
  </si>
  <si>
    <t>…o batallón de zapadores , D. Martin Santoíirniaj ca dete de la referida academia, D. Julián Martínez, sargento primero de zapadores , IX Manuel 'Gallardo;, i). Calixto Rodrigues y D. León Qordo , distinguidos de la expresada academia , á este la sabteneiicia de bandera; y para reemplazar la vacante que resulta de subté*' mente en ei tercer batallón por ei ascenso de D. Juan Escolar, ftá: nombrado S. A. á D. José Lori, sargento primero del citado qui…</t>
  </si>
  <si>
    <t>Qraham, Tomas</t>
  </si>
  <si>
    <t>Tomas Qraham</t>
  </si>
  <si>
    <t>…or los señores el coronel Delancey, diputado cuartel-maestre-gene ral, el coronel Dicksoa, comandante da la artillería, y el teniente coronel Bouverie por parte del señor teniente general Tomas Qraham ; los cuales, de-pues de haber cangeado sus poderes, han con venido en lo siguiente: Art. I. Las tropas imperiales y reates francesas que forman la guarnición del castillo de la Mota de S. Seb isiian.seCentregarán prisioneras de guerra á las tropas de S. M. B…</t>
  </si>
  <si>
    <t>Qrdoñez</t>
  </si>
  <si>
    <t>…cir de regreso el no minado Grd:.ñ-„z , en cuyo caso te proporcionaría con mas pronti tud la vu l.a de este y el socorro que se necesita; pero si e to no fuere dable, aguardara el señor Qrdoñez en Querétaro Ja vu ha de V. S. de Guanaxua.o para traer las platas y emprender su regreso.wDexo al arbitrio y discernimiento dé V. S. el per ido que ¿egun su situación conduzca á llenar con mas celeridad el objeto de esta expedición ; é interesándose en ella…</t>
  </si>
  <si>
    <t>QroD, Antonio</t>
  </si>
  <si>
    <t>Antonio QroD</t>
  </si>
  <si>
    <t>…Tule sana, XX Luis Gaitdiaga , 1). Simón Perez, D. Silvestre‘Ezcurra, D. Gregorio Durana y D. Antonio VAliivielso : á capitanesde fusileras á D. Francisco Naval, D. Fermín Esandí, D. Antonio QroD. Joaquín í duate,-D. Vicente Soravilla, IX José ítútria, IX Pedro Mayó , U. Ambrosio Seguin , D. R ímon Artica, IX Agus-* ílu Góngora , D -Félix Miranda ,' D. FideL Boira , D. Ramón Elorrio, Jó. Joaquín Ferrér, D. Sebastian Ansa, I). Sebastian Goñi, D Fausto-…</t>
  </si>
  <si>
    <t>Qswald</t>
  </si>
  <si>
    <t>…neral Oswald de nó pasar ae S. Martin; y fue causa de que sufrieran alguna pérdida inevitable. No tengo necesidad de asegurar a’V. E. que en esta como en otras oca siones el mayor general Qswald conduxo perfectamente el servicio, y estoi también obligado á los mayores generales Hay y Bradford por su buena conducta en los ataques que se les confiaron. Sin dexar de hacer justicia á los oficiales que se distinguieron con brillantez en conducir su tropa,…</t>
  </si>
  <si>
    <t>Qtievedo, Mariano</t>
  </si>
  <si>
    <t>Mariano Qtievedo</t>
  </si>
  <si>
    <t>…ue con un trozo de 54 hombres de caballería les hiciese una llamada falsa sobre la misma garita, desde donde se mandaron también avanzar al molino de las Monjas 25 infantes con el teniente D. Mariano Qtievedo, previniendo igualmente á la plaza, donde había dexado de reserva el escuadrón de cazadores de la pa tria, que me mandasen 50 hombres con el teniente del mismo cuer po D. José Gómez. -El capitán Beares hizo en efecto su llamada, ,que surtió .todo el efecto qu…</t>
  </si>
  <si>
    <t>Qtíey</t>
  </si>
  <si>
    <t>…ncias, ni se reúnan las ordinarias hasta el regreso del Sr. D. Fernando vn: el Congreso por unanimidad de votos acordó rio haber lugar á semejante deliberación. Con este motivo el Sr. Qtíey propuso que no se dé cuenta de ninguna exposición de particula res ó corporaciones en que se pida la prolongación de estas Cortes mas allá del término prefixado; y esta propuesta quedó aprobada (1). (O Conceptuamos no pue.de graduarse como un rasgo de adulaci…</t>
  </si>
  <si>
    <t>Quadrado, Catalina</t>
  </si>
  <si>
    <t>Catalina Quadrado</t>
  </si>
  <si>
    <t>…omisión de observar sus operaciones, y dar parte al legítimo gobierno español; se han servido resolver, conformándose con lo propuesto por la Regencia del reino : i.° Se concede á Doña Catalina Quadrado, madre de este virtuoso y desgraciado español, la pensión vitalicia de 500 ducados de vellón anuales por cuenta del erario publico desde el dia 8 de enero de 18 n » que fue el siguiente al del fallecimiento de su hijo. 2.°Eii honor de este se colocará en la i…</t>
  </si>
  <si>
    <t>Quadrigron</t>
  </si>
  <si>
    <t>…espe voca , ni ninguna restricción mental, y sin que al culadores, han descubierto un nuevo ramo de co efecto me sea válida ninguna dispensa por' el Papa mercio. Se asegura que el almirante Quadrigron, ó por qualquiera otra autoridad» renunciando el que manda el navio el Blacke, ha declarado que que yo sea ó pueda ser absueito delante de Dios ó baria pagará los pueblos de la costa las municiones de los hombres de esta declaración ni de alguna que él gastas…</t>
  </si>
  <si>
    <t>Quadrigton</t>
  </si>
  <si>
    <t>…muger desgraciada, que termome'trica , la variación que experimenta un vo- ha sido partida en dos pedazos por otra bala. El • lumen dado de aire atmosférico baxo una presión señor almirante Quadrigton debe querer mui mal á también dada , pasándolo de una temperatura á las mugeres catalanas: dos perecieron en Calcilla, otra, y hallar una fórmula que exactamente repre y hoi mismo hace ur¡ año que cañoneando á Masente todas estas variaciones.” taró mataron nu…</t>
  </si>
  <si>
    <t>Quartero</t>
  </si>
  <si>
    <t>…despacho de Marina dio cuenta de que la Re gencia había encargado el de Estado, durante la indisposición del Sr. O-Dónoju , que lo estaba interinamente, ¿ D. Fernando La-Serna. El Sr. Quartero, anunciando que diría verdades amargas para algunos</t>
  </si>
  <si>
    <t>Queros</t>
  </si>
  <si>
    <t>…teniente coronel Willians , con dos compañías de granade ros del primer regimiento y tres del cuarto de cazadores pertenecien tes á la brisada del general Pack. ,,La conducía del teniente Queros y del alférez Vasconcelos del quarto de cazadores, se distinguió en esta ocasión. Este ultimo per dió un ojo por una bata de fusil. « [Lía altura fue ocupada inmediatamente por la brigada del ma yor general Bradford , sostenida por los tres batallones de la g…</t>
  </si>
  <si>
    <t>…te niente coronel Willians, con dos compañías de granaderos del primer regi miento y tres del quarto de cazadores pertenecientes á la brigada del gene ral Pack. ,, La conducta del teniente Queros y del alférez Vasconcelos , delquar— to dé cazadores, se distinguió en esta ocasión. Este último perdió un ojo por una bala de fusil. ,,Esta altura fue ocupada inmediatamente por la brigada del mayor ge neral Bradfcrd , sostenida por los tres batallones de la…</t>
  </si>
  <si>
    <t>Quevedo, Juan Manuel</t>
  </si>
  <si>
    <t>Juan Manuel Quevedo</t>
  </si>
  <si>
    <t>…el "regimiento segundo de Sevilla : el capitán ele cazadores. D. Josef García Orczco , ) los subtenientes D. Juan Marc y D. Vicente Alcina, del segundo de Cataluña; el subteniente D. Juan Manuel Quevedo ,-del bata llón del General, y el subteniente de granaderos* de Ordenes Dv Teodoro Martínez. Campo de Larrun 8 de octubre de i8i3.=V.° B.° = Pedro Agustín Gi’ron, comandante en gefe.=El brigadiérjfefe del estado mayorv'= Miguel DesI roaissieres, = Es copia. '…</t>
  </si>
  <si>
    <t>Quijcote</t>
  </si>
  <si>
    <t>…os: el profesor que quiera pretender dirigirá su memorial al ayuntamiento constitucional, quien la ha de pro veer el dia 29 del presente mes de setiembre. Napoleón, ó el verdadero D. Quijcote de la Europa. Los subscriptores de esta -obra acudirán á la librería de ■Ferer a recoger el tercer tomo, y á1 pagar el impor te del quarto, que ya está en prensa; y con igual ó mayor brevedad se publicarán los siguientes. En la misma librería.y cin la de Minu…</t>
  </si>
  <si>
    <t>Quilti, María Teresa</t>
  </si>
  <si>
    <t>María Teresa Quilti</t>
  </si>
  <si>
    <t>…del corriente, en autos número 67 dei año pasado de 1812 , concurso de acreedores á la testamentaría de D. Jacobo Gough. se ha mandado entregar todas las existencias de la misa á Doña María Teresa Quilti, viuda del susodicho, para que se reintegre en la parte posible de sus créditos privilegiados, baxo lianza de acreedor de mejor derecho, ordenando se cite y emplace á todo el que se estime tenerlo, para que en el término de un año se presente á formalizarlo c…</t>
  </si>
  <si>
    <t>Quin, Manuel</t>
  </si>
  <si>
    <t>Manuel Quin</t>
  </si>
  <si>
    <t>…erendo obispo de Arequipa D. Pedro Chaves de la Ro sa, á D. Josef Miguel Ramírez y á D. Martin de Navas por el ramo ecle siástico; y por el secular á los señores D. Miguel Moreno, D. Manuel Quin tana, D. Felipe Bauzá, D. Manuel de Llano, D. Eugenio Tapia y D. Vi cente Sancho. Los suplentes son D. Pablo Lallave por lo eclesiástico , y Don Josef Revollo y D. Juan Acevedo por lo secular. El Mercurio Lusitano de 7 del corriente inserta una carta, cuyo co…</t>
  </si>
  <si>
    <t>Quindall</t>
  </si>
  <si>
    <t>…2 nuestros lectores, y por asegurarnos dicho sugeto que es fidedigna. Vianat en Portugal , 2Gde setiembre. Mi estimado amigo: ayer pasó el convoi ingles para Oporto: en él iba el Sr. Quindall, negociante de aque lla ciudad, y escribió á este cónsul lo siguiente: ,,Salí de Port'smouth el sábado pasado 18 del corriente----- La carta que incluyo por un propio á todo andar y coste, mándela vmd. á mi socio D le go Butter: en ella le doi la noticia de l…</t>
  </si>
  <si>
    <t>Quinñete, Molúy</t>
  </si>
  <si>
    <t>Molúy Quinñete</t>
  </si>
  <si>
    <t>14® quier, Pommereult, Lavalette, Portal, Corvetto» .... 6,m Un informe del señor Renouit, médico ins conde Molúy Quinñete, Bégouen, d Uautetive, pector de las cárceles de estado, con fecha d^l 23. Corsini, «1 duque de Dalberg. 7.0 Una declaración del señor Bouhin, gefe ae división en el departamento del Sena, con fecha del 28 de noviembre’último. SOMBRO XI. Se repartió un exémpl…</t>
  </si>
  <si>
    <t>Quiñones, Francisco Perez de</t>
  </si>
  <si>
    <t>Francisco Perez de Quiñones</t>
  </si>
  <si>
    <t>…ento del tribunal de la inquisición de Granada en cerrar y tabicar un confesonario sin noticia ni intervención d® la jurisdicción eclesiástica, al que precede la representación de D. Francisco Perez de Quiñones, y la carta del Excmo. Sr. D- Gaspar Melchor de Jovellanos: un quaderno en 4.* rústica. Se hallarán en la librería de la viuda deQuiroga, calle de las Carretas, casa rúm. &lt;?. EN LA IMPRENTA NACIONAL.</t>
  </si>
  <si>
    <t>Quinta, Manuel</t>
  </si>
  <si>
    <t>Manuel Quinta</t>
  </si>
  <si>
    <t>…ara vocrdes de ella , por el ramo eclesiástijo al R. obispo de Arequipa D. Pedro Chaves de la Rosa, D. José Miguel Ramírez y D. Martin de Navas: por el secular á D. Miguel Moreno, D. Manuel Quinta na, D. Felipe Bauza, D. Manuel de Llano, D. Eugenio Tapia y D. Vicente »Sancho ; y para suplentes á D. Pablo Lailave por lo eclesiástico, y D. José Revollo y D. Juan Aeevedo por lo secular. —■ Lo tendrá entendido la Regencia del reyno para su cumplimiento, y…</t>
  </si>
  <si>
    <t>Quinta-, Joaquín Saez</t>
  </si>
  <si>
    <t>Joaquín Saez Quinta-</t>
  </si>
  <si>
    <t>…era. juez de primera instancia, refrendada de D. Jacinto Para el de Alcaali, vacante por fallecimiento Gaona y Locches, escribano del número, en virtud de de D. Tosef Aragonés , á D. Joaquín Saez Quinta- superior habilitación, te han mandado sacar á pública nilla, presbítero. subasta por término de 20 dias, contados desde el ai Para el de Genoves , vacante por muerte de del corriente, unas casas sitas en la calle de las Hileras, número 12, manzana 390, que ti…</t>
  </si>
  <si>
    <t>Quintaiio, Sergio</t>
  </si>
  <si>
    <t>Sergio Quintaiio</t>
  </si>
  <si>
    <t>…ata , por una vez , 200. D. Juan G-.rc a de Ponte, id., 100. D. Mariano Vázquez de la Riva, id., 100. I). Manuel Vázquez de la Riva, id., 100. D. Manuel Luciano Ló pez, id.,, 100. D. Sergio Quintaiio^ id., 1Ó0..D. Francisco Noya,id., 625. D.. Manuel de Labirrera. id., 12. Son 79385 ps. fs. Lima y Diciembre 6 de 1811. — Firmado—Manuel de ligarte * Es copia del original. — Juan Miguel de Sostra. Excitado el consulado de Goatemala por su presidente á qne con…</t>
  </si>
  <si>
    <t>Quintana</t>
  </si>
  <si>
    <t>…osa en tres "ictós titulada el Médico su cede : es sin duda.alguno de sus admiradores que puesto; se bailarán boleras, y sé concluirá con un nue le ha robado el estilo , porque el señor Quintana no vo drama de música titulado Pieaa de pieza». Se co es miembro de las cortes, aunque tiene el empleo brará de subida.- A. las cinco. EN LA IMPRENTA REAL.</t>
  </si>
  <si>
    <t>Quintana, D Domingo Benito</t>
  </si>
  <si>
    <t>D Domingo Benito Quintana</t>
  </si>
  <si>
    <t>…se adelante en la causa hasta su pronta conclusión para noticia del Gobiei no.=:Dios guar de á. V. S. muchos años. =: Aíadrid 28 de noviembre de 1813. = Joaquín García Domenech. = Sr. D Domingo Benito Quintana. El señor juez de primera instancia D. Domingo Benito Quintana ha con testado al señor gefe político lo siguiente, que se inserta de orden de S. S, ,,A esta hora, que son las diez y quarto de la mañana, acabo de reci bir el oficio de V. S., juntamente con las…</t>
  </si>
  <si>
    <t>Quintana, Domingo Benito</t>
  </si>
  <si>
    <t>Domingo Benito Quintana</t>
  </si>
  <si>
    <t>…nal de Scala, arzobispo de Toledo, presidente, rs Pedro de Agar. =:Gabriel Ciscar. = En la real Isla de León á 24 de octubre de 1813. = A D. Josef de Limonta.” Por providencia del Sr. D. Domingo Benito Quintana, juez interino de primea ra instancia de e ta villa, refrendada del escribano de provincia D. Manuel López de Rivas, se cita y emplaza 4 todas las personas que por qualquier título ó con cepto crean poder tener algún crédito ó derecho á los bienes quedados po…</t>
  </si>
  <si>
    <t>…l Gobiei no.=:Dios guar de á. V. S. muchos años. =: Aíadrid 28 de noviembre de 1813. = Joaquín García Domenech. = Sr. D Domingo Benito Quintana. El señor juez de primera instancia D. Domingo Benito Quintana ha con testado al señor gefe político lo siguiente, que se inserta de orden de S. S, ,,A esta hora, que son las diez y quarto de la mañana, acabo de reci bir el oficio de V. S., juntamente con las diligencias practicadas por el se ñor regidor D. Pedro Uriarte…</t>
  </si>
  <si>
    <t>…n el lugar de Caraba nchel de arriba de esta jurisdicción y su calle de la Cruz verde, señalada con el nóm. 14, tasada en la cantidad de 24675) rs. va. en metálico, lleuda ante el Sr. D. Domingo Benito Quintana, juez de primera instancia, y escribanía de provincia de D. Miguel Jo sef García de la Madrid , en e! término de 30 dias, contados desde 1$ del corrien te, que se admitirán las que sé hicieren, siendo arregladas. ~ ES J.A IMPRENTA NACIONAL.</t>
  </si>
  <si>
    <t>…el cumplimiento de esta obligación , á pesar de los repetidos avisos, de la pena de 20 duca dos, y de recogimiento de los impresos, impuesta á los infractores pOr pro videncia del Sr. D. Domingo Benito Quintana, juez interino de primera instancia , y publicada en el diario de Madrid de 17 de agosto del mismo año, se recuerda nuevamente, quedando dicho señor fiscal con especial en cargo de velar en que se lleve á efecto dicho decreto y previdencia judicial, reclamand…</t>
  </si>
  <si>
    <t>…vn. en metálico, que se vende judicialmente para hacer pago á cierto acreedor cen sualista, á la que está hecha postura en 16&amp; de dicha especie de moneda metálica, acuda an-te el Sr. D. Domingo Benito Quintana, juez de primera instancia, y es cribanía de provincia de D. Miguel $osef García de la Madrid , que se admitirán las que hicieren, siendo arregladas; previniendo qué para su remate eñ el mejor postor está señalado el dia 10 de enero del año próximo venidero á…</t>
  </si>
  <si>
    <t>Quintana, Josef María de</t>
  </si>
  <si>
    <t>Josef María de Quintana</t>
  </si>
  <si>
    <t>…arnición, dando á cada uno dos napoleones de cinco francos. El general de aquel puerto remitió un impreso del quinto boletín al coronel co mandante del segundo batallón de Vizcaya D. Josef María de Quintana, quien dirigió á dicho general un detalle de la última derrota del mariscal Soult. Dos batallones de Vizcaya y tres de Cantabria, cuya fuerza toral es de 4® hombres, forman el bloqueo de Santoña y Laredo; pero aunque el valor y entusiasmo de estas tropas séa…</t>
  </si>
  <si>
    <t>Quintana, Manuel</t>
  </si>
  <si>
    <t>Manuel Quintana</t>
  </si>
  <si>
    <t>…o Cano Manuel. Nota. A consecuencia del anterior decreto celebro la junta su primera sesión, y en ella quedaron nombrados, presidente el R. obis po de Arequipa: vice-presidente el Sr. D. Manuel Quintana: secre tario en propiedad el Sr. D. Francisco Martínez de la Rosa; y se cretario interino, por ausencia del propietario, el Sr. D. Martin Ugalde. CADIZ; IMPRENTA NACIONAL; 1813.</t>
  </si>
  <si>
    <t>Quintanar, Luis</t>
  </si>
  <si>
    <t>Luis Quintanar</t>
  </si>
  <si>
    <t>…cursión de Ciénega de Mata. 48. En 18 de ídem, el coronel O. Pedro Celestino Negrete, co mandante general de la primera división, da parte de que el 18 del propio mes, el teniente coronel D. Luis Quintanar, gefe de la Acor dada de México, á quien había destacado con una subdivisión com petente de infantería y caballería, salió de la hacienda Guaracha á castigar la insolencia de 600 bandidos, que acaudillados por Na varro , Aguilar, el Chino, Valdivia y los de l…</t>
  </si>
  <si>
    <t>Quinuno</t>
  </si>
  <si>
    <t>…e los periódicos de Cddfr. todo ciudadano ante la leí y en todos sus actos: ,, A segó rase que habiendo pasado por Córdoba Presencié con escándalo que-cu la parroquia del e1 señor diputado Quinuno, y divulgados*? la voz Sagrario una .porción de ciudadanos honrados se rcde ser el señorQuintana, sugeto bien conocido por tir.nen de la votación general para el nombramien su patriotismo y literatura, se alborotaron Us gen to de los eiectotes que han de esco…</t>
  </si>
  <si>
    <t>Quiros, Andrés Sánchez</t>
  </si>
  <si>
    <t>Andrés Sánchez Quiros</t>
  </si>
  <si>
    <t>…amburu, 3 id. D. Francisco Vázquez de Usieda, 2 id. D. José Correa, 2 id. D. Juan Bautista Zaracondegui, 2 id. D. Francisco Antonio Goitesolo, 2 id. D. Miguel Fernando Ruiz, 2 id. D. Andrés Sánchez Quiros, 2 id. D. Francisco de Paula Calvo, 2 id. D. Pedro Juan de Olasagarri, 2 id. D. Juan Ignaoio de Mndizabal, 2 id. D. Manuel Garrido, 2 id. D. Esteban Cardona, 2 id. D. Nicolás Cameruaga, 2 id. D. Francisco Fernandez Ziesa, 1 id. D. Manuel Barreda, 1 id. D. Alo…</t>
  </si>
  <si>
    <t>Quistorp</t>
  </si>
  <si>
    <t>…oyle, Union y Legión* que defendían el punto, y las compañías de cazadores de los dos últimos, que solo se hallaban allí reunidas, al mando de sus capitanes D. José María Freyre y barón Quistorp, se conduxeron con la mayor bizarría. A la propia hora, la de León y primera de fusileros de este cuerpo, que mandaba su teniente coronel D. Juan Vázquez Qnevedo, con el batallón ingles num. 5^7, fueron cargadas en su posición de Vet earlos, y obligadas á rep…</t>
  </si>
  <si>
    <t>Quitos, Josef</t>
  </si>
  <si>
    <t>Josef Quitos</t>
  </si>
  <si>
    <t>…con que los regimientos de Galicia y Madrid se conduxeron durante toda la batalla, y con especialidad las compañías de cazadores y compañía del primer bata llón, á las órdenes del capitán D. Josef Quitos y teniente D. Francisco Pe-</t>
  </si>
  <si>
    <t>Quitos, Ramón González</t>
  </si>
  <si>
    <t>Ramón González Quitos</t>
  </si>
  <si>
    <t>…,&gt; Sánchez, substituto primero. D. Joaquín Giardoni , substituto segundo. Barrio de las Trinitarias. Barrio a l Hospicio. D. Martin Enseña , alcalde. D. Bernardo Delgado, alcalde. D. Ramón González Quitos, substitut&lt;Jprimero. D. Luis González, sub ¡ñuto primero. D. Pedro Malo, substituto segundo. D. Lorenzo Riega, suhsrituto segundo. B ‘-rm de ?'rs Baronesas. B ir rio de S 1' •cfonso. L&gt;. Juan Sainz de Tejada, alcalde. D Minie! Iisarratru'rre , alcalde. J). Pe…</t>
  </si>
  <si>
    <t>Quixano, Alexandro</t>
  </si>
  <si>
    <t>Alexandro Quixano</t>
  </si>
  <si>
    <t>…órdín;.s con pronti tud y tino, y se hallaron en el paso dei puente, al siempre intrépi do teniente de Frontera D. José María Novoa, y al valieme alfé rez de la compañía de Ponce D. Alexandro Quixano, que con el agua á la cintura pasaron por el vado ó vereda del rio, coa inry pocos soldados de sus respectivos cuerpos, despreciando el fuego con que sostenían aqud punto; á los virtuosos serenos y valientes cape llanes Fr. Francisco de S. Juan Bautista, carm…</t>
  </si>
  <si>
    <t>Quixcte</t>
  </si>
  <si>
    <t>…e Trasvina, calle de Postas, á seis rs. En la misma ;se hallará el Diccionario de. farmacia del mis mo, autor. , ... Los subscriptores á la obra intitulada Napoleón ó él verdadero D. Quixcte de la Europa acudirán á.la librería de Perez, calle de las Carretas , á recoger el pri mer- tomo, y * pagar el importe del segundo, que ya está en prensa, y con la mis ma brevedad se publicarán los siguientes. En la misma librería y en la de Minutria, calle d…</t>
  </si>
  <si>
    <t>Quixote</t>
  </si>
  <si>
    <t>…erez, calle de Jas Carretas, con otras poesías sueltas que acompañarán del traductor en un quaderno en 8.° á 5 rs. Los subscriptores á la obra intitulada Napoleón, ó el \rerdadero D. Quixote de la Europa, acudirán á la librería de Perez, calle de las Carretas, á recoger el 2.0 tomo, y pagar el importe del 3.0, que ya está en prensa. En la misma librería, y en . la de Minutria, calle de Toledo, se hallará también de venta á seis rs.; y se dará á l…</t>
  </si>
  <si>
    <t>Qujxote</t>
  </si>
  <si>
    <t>…de ¡venta ep la libraría de Barco ¿ carrera de San Gerónimo, a 6 quartos cada número, que constará de un pliego, y por subscrip ción á 5 rs. mensuales. r' Napoleón, ó el verdadero D. Qujxote de la Europa. Lo$ subscriptores de esta oBfa'ácúdirán á'Ia librería dé PerezKá recoger IBs' Tomos 4.0 y y pagar el 6.°, que está ya* en "prensa; y córr igual'bré vedad se publicarán los siguientes. En la nrisma librería y en la de'-MInutrbi, calle-de Toledo,…</t>
  </si>
  <si>
    <t>R, M. A.</t>
  </si>
  <si>
    <t>M. A. R</t>
  </si>
  <si>
    <t>…es Hazos, reíicre lo que oyó en el de Apolo al desgraciado jo Los Remedios de amor de P. Ovidio Nason, pues ven Patricio Cortes , que quando se di ponía á po tos en castellano por D. M. A. R. „La versión caste ner en juicio á sus tutores supo se fraguaba por llana del Arte amatorio de Ovidio pedia de necesidad ellas una conspiración para aniquilarlo. Apagóla con la de los Remedio» de amor, que debiendo mirarse co gran trabajo, llamando luego á los…</t>
  </si>
  <si>
    <t>R, S. A.</t>
  </si>
  <si>
    <t>S. A. R</t>
  </si>
  <si>
    <t>…ualidad, quando la princesa me enviaba caballero, v dirigía su rumbo hacia la parte del á llamar. Hacia el raes de julio de 1802 reparé que mar. Yo sabía que entonces el navio del capitán S. A. R. se habia puesto mui gorda, y que adelga Manby estaba en las Dunas. La noche precedente zó notablemente á fines del mismo año. Comuni no se me dio orden para preparar el desayuno tan qué esta observación á madama Sanders, y me di temprano. El caballero con qui…</t>
  </si>
  <si>
    <t>R, Tadeo</t>
  </si>
  <si>
    <t>Tadeo R</t>
  </si>
  <si>
    <t>…térmi no de 15 días , contados, desde la fecha de dicho auto , comparezcan por sí ó sus apoderados á deducir sus acciones ante los referidos señores jueces de primera ins. tancia D. Tadeo R.icp en la ciudad de Murcia, ó ante el Sr. D. Francisco dé Assin en .esta corte, y por las escribanías citadas; en inteligencia de que'pasado dicho término/les parará el perjuicio que haya lugar. ; ? Por muerte de D. Ramón de Olaeta, coronel que fue del regimie…</t>
  </si>
  <si>
    <t>Ra</t>
  </si>
  <si>
    <t>…rcero, D. Ignacio Lasa, I), Tomas Faudiño, 1). Gregorio .Eche» garay, D. A n Ionio Arzola, D. Jacinto O na , D José Vinegra, D. Santos Besga , D. Joaquín Ruiz, D. Ma uel Clemente, D. Ra món Marañon , D. José Albumes, D. José Luizaain , D. Francisca Ardaiz, D. José Díaz, D Antonio Abadía, D. Nicolás Soriano, D. Bernardo Moliner, D. Manuel Llera, D. José Perulan, D. Ray» mundo Marqués, D. José Gorriz, D. Dionisio Fonolitas, D. Can» dido Zunzar…</t>
  </si>
  <si>
    <t>…nido, y sin que de su conducta respondan dos miembros respetables del parlamento. (Conciso.) Calatr.yud «j de junio. El presidente y junta superior^de. este reino han recibido del coronel Don Ra man Gayan el parte siguiente Excmo. Sr.: siguiendo el plan que me propuse, y manifestaba i V. E. en mi anterior, antes de d,ar fuego á la mina, que con mucho trabajo con seguí se hiciera en ei convento de S. Juan inmediato á este fuerte, y que también ocupaba…</t>
  </si>
  <si>
    <t>…, capitanes los dos primeros , y tenientes los segundos del propio cuerpo; D. Andrés González, teniente del de Oviedo; Don Manuel Suarez Campa , capitán de la compañía de obreros; D. Ra món Lozano, D. Juan Ruvi, D. José Oronoz , capitanes, D. Felipe Ruvalcab3, teniente, y D. Leonardo Cotera, subteniente del prime ro cántabro, y D. Joaquín Díaz, capitán de tiradores de Cantabria. Los heridos son: D. Antonio Bausivi, subteniente del de Toledo;…</t>
  </si>
  <si>
    <t>…espondientes á sú acreditado ícuérpo dé: artillería nacional se hicieron dignos de'aumentar el aprecio con que* mira la nación sus servicios. El brigadier-comandante de ingenieros D. Ra moa López y los oficiales de su cuerpo sirvieron tari honrosamente como acos tumbran sus funciones respectivas, y la tropa de zapadores trabajó-con una actividad increíble á la cabeza de- las colunas en facilitar los pasos y demoler los parapetos enemigos....…</t>
  </si>
  <si>
    <t>…endado de‘D. Bruno ítfa" iíuél de VeWa , escribano de la misma, y -por auto de cumplimiento del Sr. Don Francisco Assin, juez .letrado de primera instancia en esta corte, por ante D. Ra&gt;</t>
  </si>
  <si>
    <t>Rábago, José Vicente de</t>
  </si>
  <si>
    <t>José Vicente de Rábago</t>
  </si>
  <si>
    <t>…hendido varios cabecillas, dado muerte á mu chos, y herido á innumerables de la chusma. 49. En la misma fecha, el capitán graduado de teniente coronel de dragones de Nueva-Galiciá D. José Vicente de Rábago, destacó de Tecpatitlan, donde se halla de comandante de un cuerpo volan te, una partida contra la gavilla de Rafael Carvajal y Valentín Her nández, que interceptaba el camino de aquel pueblo al de Xaiostotillan; fueron sorprehendidos dichos cabecillas con 6…</t>
  </si>
  <si>
    <t>Rabio, Juan José</t>
  </si>
  <si>
    <t>Juan José Rabio</t>
  </si>
  <si>
    <t>…n M-io.uel Campo blanca, id. por 8,96. D. Mateo Gona z, id. por 8, 96, O. Rain .ai Qrtiz , id. por 8,96 D. Francisco Nnñez G tgo , id. p ,r 8, 96. D. Manuel Pri mo,.id. p#r 8, 96. D. Juan José Rabio, id. por 4, 48. D Jaan Bau tista Visa», id. por 4,48. O. J.: ss Ganó, id. por 4, 48 D. Francis co' Pende, id. por 4,48. I). José Saadago Aguirre, id. por 10, 129. D B as Ignacio de Tellexia, id. par 10, 120. D. Ignacio S obrado, id. por 25,303. I), José Anton…</t>
  </si>
  <si>
    <t>Radi</t>
  </si>
  <si>
    <t>…de setiembre. Se han recibido Tos si guientes partes del exército que obra en las. - fronteras de Italia. Por lo que hace á la -expedición de Istria' ha recibido, el teniente feld-mariscal Radi▼ojevich partes de haber conseguido. el. general Ñugent apoderarse dé los puntos fuertes de Pola, Capo de Istria y Monte Maggiore, donde eñtre ©tras cosas halló considerable porción de artillería y municiones , á saber: 46 piezas de á 30,4 de 1.2 f 249 barrile…</t>
  </si>
  <si>
    <t>Radiénovr</t>
  </si>
  <si>
    <t>…orriente por adición á su anterior parte relativo á la toma de Konigs berg , que el enemigo fué arrojado de aquella ciudad por los é regi mientos de cosacos; á saber, el del mayor general Radiénovr ; el del teniente coronel Tschemoaubovv ; el de Loschischilia; y el del ma« jror Selhvanow, todos al mando del coronel Riediger. Estos obser vando los movimientos del enemigo , á pe9ar de la obscuridad de la noche, se aprovecharon con ventaja de todas las dis…</t>
  </si>
  <si>
    <t>Radiojevich</t>
  </si>
  <si>
    <t>…jas sobre el enemigo* y son tan grandes que nos hallamos duelos deRachstadt, Lienz, Viílach y Caristad, y'que el día 26 del corriente estaba para entrar en Fiume la vanguardia del general Radiojevich. En Vülach tomó el general Frimont 20 piezas de artillería. El enemigo tenía su posi ción en Tarvis y Laybach. - Concluye la relación mencionada con que el día 28 el batallón de la frontera francesa de Szluiner se vino deserrado á nuestro campo con todos sus…</t>
  </si>
  <si>
    <t>Radivojevich</t>
  </si>
  <si>
    <t>…etiembre. Se hfíi recibido las tenientes noticias del exército de operaciones en la frontera de Italia. Por lo qa^ toca á la expedición á xa Istria, ha recibí ¿o ti teniente fe Id mariscal Radivojevich avisos de h¿ber el general Nug nt conseguido apoderarse -ds los purtos fuertes de Pela, Cspo de Istria y Monte Mayor, en donde entre cti^s cosas feeil ó conJdevable porción de artillería y inaniciones ; á saber, 46 pícese de 30, 4 ce n y 2 49 bamba de polvo/*…</t>
  </si>
  <si>
    <t>Radziminsky</t>
  </si>
  <si>
    <t>…se con este capital tochow, al frente de la nobleza de este departa á ocupaciones útiles, menos al comercio ni á la con mento. fección de bebidas, no Empleando en sus tareas si El señor Radziminsky: hizo en calidad de gene no personas de su religión, ó que quieran empren ral la guerra de 1790. Su actividad y su patriotis der un comercio por mayor , o dedicarse á las cien mo le dieron mucha consideración. cias. En este último caso estarán obligados á pre…</t>
  </si>
  <si>
    <t>Rafa-e</t>
  </si>
  <si>
    <t>…s, decentemente vestidos-,-presentándose con ay re marcial, la hi cieron mas interesante. En el dia i.° se examinaron los individuos de la ciase de ordenanzas que está á cargo del teniente D. Rafa-e! Sánchez ; en el dia 2 los de aritmética&gt; su profesor D. Jorge Gisbert;. en el 3 los de táctica de infantería , ba-xo la dirección del re siente D. Luis Perez de Ira ; en el 4 les de geometría, su profesor 3). Francisco Martínez de la Escalera ; en el 5 por l…</t>
  </si>
  <si>
    <t>Rafael</t>
  </si>
  <si>
    <t>…en sucinta relacipn, y que fuese bastante para acreditar los fundadores, dias en que se erigieron y con' qué facultades; y fecho, volviese á providencia. En efecto, hecho saber al D. Rafael exhibió varías fun daciones y agregaciones; y déla primera resulta que á les 2ó de Mayo de 15 73, ante Andrés Sánchez de Espejo, escribano que fué de este número, Juan García Villalon, hijo de Alonso, otorgó su testamento, por el cual fundó mayorazgo con dife…</t>
  </si>
  <si>
    <t>…rlo sido á 10 últimct de la ~ccion 'no pudie!'ol1 retirar.s~y quedaron en elcamp3 .de batAlla; entre h'l$ 'pritneros tengo el sentin:j:;n,:.o de contar á los va.lientes capitanes :D. Rafael 'Larrtlda ,de gran,lderos d~ Ultonia, 'y al de gr~naderos,del segundo de'Bad,;:,joz D., José Monroy: á los bizarros teniente.l1 .. FlIUlcitco R()x~,.y á lo' subttnL:ntes ,1). Joa'qriin Gala :Y D.José Tap:a ,estetílttmodel regimiesto·infantería d.e Aipujarras,…</t>
  </si>
  <si>
    <t>RaglowiJi</t>
  </si>
  <si>
    <t>…uesa una relación circuns completas. tanciada de este ataque , que esta princesa no de En Bamberg hai 63 bávaros á las órdenes del seará de enviar á S. M. I. y R. La guardia de ho general RaglowiJi, nor ha tomado sus quarteles de descanso en Delortz. WURTEMBERG. Bie-tta i.° de abril. Heilbronn x.° cié abril. El general de brigada Osten ha tomado el man El Reí llegó aqui esta mañana de Freudenthal, do de los departamentos de las Bocas del YYeser. y fue ¿…</t>
  </si>
  <si>
    <t>Raime</t>
  </si>
  <si>
    <t>…de caballería ligera de Vincent, y el teniente corone* Maitiui, del estado mayor, se han distinguido extraordinariamente. GRAN-BRETAÑA. Londres 14 de Octubre. El navio Nigers, sa capitán Raime;, dio la vela desde Portsmouth para l¿s costas del norte de España con 150© libias esterli nas en' efectivo para ei pago de las tropas inglesas. En la Westfulia hay mucho descontento , y los últimos papeles de París dicen que se ha dado una orden repentina pa…</t>
  </si>
  <si>
    <t>Rajum, Ruerto</t>
  </si>
  <si>
    <t>Ruerto Rajum</t>
  </si>
  <si>
    <t>…Bernardo Moliner, D. Manuel Llera, D. José Perulan, D. Ray» mundo Marqués, D. José Gorriz, D. Dionisio Fonolitas, D. Can» dido Zunzarren * D. M:guel Quartero , D. Juan Urzaniqui, D. Ruerto Rajum, D. Manuel López, D. Agustín Munarriz, D. Juan Sliutista fnd'.iusti, D. Pedio López de Baylo, D. José García, D. Andrés Diaz y D. Félix Quitarte. Igualmente se ha servido S. A. promover en el regimiento de caballeril ligera húsares de Navarra de la misma divi…</t>
  </si>
  <si>
    <t>Ramírez</t>
  </si>
  <si>
    <t>…S. Sebastian, y su caballerea las entradas déla ciudad, con un ay re guerrero y ofensivo. „ftíandé hacer alto para reunir el crecido bagage, caxa militar y parque : dispuse que el brigadier Ramírez con el Real de Lima y 2 piezas, protegiese el convoy y mi retaguardia amenazada de la ca ballería enemiga , haciendo alto en un desfiladero de preciso paso, y yo con el distinguido brigadier Picoaga, batallón de Ccíabambas, 180 hombres de caballería y 8 pieza…</t>
  </si>
  <si>
    <t>98 el brigadier Ramírez dispersó tin cuerpo de 400 cabillos en su situa ción, y el coronel D. Mariano Peralta y el c&amp;piian de mi guardia D. Miguel Can zas pusieron eu fuga á cuantos se presentaron á mi izquierda. ,,Hasta aquí obró el valor y pericia, á que siguió el furor de la veng…</t>
  </si>
  <si>
    <t>Ramírez, José Miguel</t>
  </si>
  <si>
    <t>José Miguel Ramírez</t>
  </si>
  <si>
    <t>…arreg o á lo que dispone el decreto de 10 del corriente, han venido en nombrar para vocrdes de ella , por el ramo eclesiástijo al R. obispo de Arequipa D. Pedro Chaves de la Rosa, D. José Miguel Ramírez y D. Martin de Navas: por el secular á D. Miguel Moreno, D. Manuel Quinta na, D. Felipe Bauza, D. Manuel de Llano, D. Eugenio Tapia y D. Vicente »Sancho ; y para suplentes á D. Pablo Lailave por lo eclesiástico, y D. José Revollo y D. Juan Aeevedo por lo secular. —■ Lo tendrá ent…</t>
  </si>
  <si>
    <t>Ramírez, Josef Miguel</t>
  </si>
  <si>
    <t>Josef Miguel Ramírez</t>
  </si>
  <si>
    <t>…r el suelo las águilas francesas. El gobierno ha formado la junta suprema de Censura, y elegido para vocales de ella al reverendo obispo de Arequipa D. Pedro Chaves de la Ro sa, á D. Josef Miguel Ramírez y á D. Martin de Navas por el ramo ecle siástico; y por el secular á los señores D. Miguel Moreno, D. Manuel Quin tana, D. Felipe Bauzá, D. Manuel de Llano, D. Eugenio Tapia y D. Vi cente Sancho. Los suplentes son D. Pablo Lallave por lo eclesiástico , y Don…</t>
  </si>
  <si>
    <t>Ramirez, Ramón</t>
  </si>
  <si>
    <t>Ramón Ramirez</t>
  </si>
  <si>
    <t>…0 ^cr^° de Tejada. 4. 2998 1372 4299) /?u 1697 5296 &gt; A D. Gregorio Contreras. 3127 5588 } 2440 5789 2619 8997 A D. Francisco Carrasco, 3007 9080 3191 246 411 494 555 , O 801 y A. D. Ramón Ramirez, 4643 ■4873 134683 135109 30 1 Sres. Die hermanos, de Alicante. 2 '4874 A D. José Esteve, de Valencia. 5 6157 138764 ^ 3 4 D. José Saielles, de Valencia. ¿ 138714 S 5691 7229 ¿ 4 A D. José Baquer, de Valencia. * 6053 8263 £ 49 de 600 pesos. De 150. « f 177143…</t>
  </si>
  <si>
    <t>Ramo</t>
  </si>
  <si>
    <t>…d. D. Matías de Larreta, 3 id D. Manuel délos H¿ros, 2 id. D. Ma nuel déla Torre, 1 id. D. Manuel Garbea y Bulillo, 2 id. D. Ma nuel de Aramburu, í id. D. Miguel de Ezcurra, 1 id. D. Ramo* Martínez de Bartolomé, 1 id. D. Santiago Cachonfajro, 1 id. D. Tir so Estevanez, 1 id. D. Francisco Bosano , 2 id. D. José Gambini, 1 id. D. Juan de Perlica, 8 id. D. Dimaso de Arias, 6 id. D. Jacinto Xiraeno, 6 id. D. Manuel Ortiz de Villate, 4 id. D. José…</t>
  </si>
  <si>
    <t>Ramón</t>
  </si>
  <si>
    <t>116</t>
  </si>
  <si>
    <t>…aun los de los españoles que están á su servicio. En consecuencia de esta orden general salieron de Bel* chite para Zaragoza 50 gendarmes españoles de caballería, mandados por el sargento Ramón, y determinados en el camino á abandonar las banderas francesas, mataron al sargento y á un hermano, porque se opusieron á su proyecto; y pasando el Ebro por Vetilla se dirigieron á Navarra para reunirse al bizarro caudillo Mina. Se han formado muchos batallo…</t>
  </si>
  <si>
    <t>…na tuviese algún crédito de esta clase se presente hasta el dia ,20 del .próximo noviembre con los documentos jus-. tífica? i vos en Madrid al marques de Villatoya, ó en Córdoba a D. Ramón deHoces y D. ‘Salvador Órcloue^ ; piles pasado dicho término'sin haberlo realizado, darán' á los bienes dél indicado Tobar el destinó Subsidiario que les dexa ordenado,' y qüe es cíe mut utgéñtc riéce$fdád. ' • ‘ ;&gt; El Conservador de la dentadura y de los niñ…</t>
  </si>
  <si>
    <t>…' mui acreedores á tas 'qzd él gobierno galera-dispensarles. ‘ : ^ „ Las eértYpañías' de cazadores Se pórtarón bizarramente,dándoles exemoficiales y ;y sú comandante accidental el coronel D. Ramón ~tiL**$* dirigid con1 et mayor&gt;tino"y;pericia, por to que té recomiendo doopOr</t>
  </si>
  <si>
    <t>Ramos, Cayetano</t>
  </si>
  <si>
    <t>Cayetano Ramos</t>
  </si>
  <si>
    <t>…de la partida llamada de Marquinez D. Benito Puente, á D. Francisco Valiejo y D. Bernardo Encovar: para su responsabilidad prendieron en rehenes 4 regidores, D. San tiago Gallego, D. Cayetano Ramos, D. Joaquín Encara y D. Ga« bino Montes : 6 capitnlares , chantre , lectora!, doctoral, 'arcediano de Cea, D. Luis Otpzo y D. Gabriel Alonso; 3 hacendados D. Ani ceto Cavero , D. Ruperto Cea y D. Benito Merino, y 2 cemerciantes Puclits y Coi tés: pidieron rac…</t>
  </si>
  <si>
    <t>Ramos, Henríque</t>
  </si>
  <si>
    <t>Henríque Ramos</t>
  </si>
  <si>
    <t>…i cencia# Se hallará en la droguería de O. Santiago Aramburu, calle-Imperial: su precio 2 rs. Elementos ó primeros conocimientos de la enseñanza y disciplina de la infan tería por D. Henríque Ramos, primer teniente en el regimiento de (guardias Es pañolas: contiene los puntos mas importantes sobre está materia: un tomo en 8.° mayor, á ocho rs. en pergamino y 10 en pasta. Se hallara en la librería de Bailo, cal le de las Carretas. EN LA IMPRENTA NACIONAL…</t>
  </si>
  <si>
    <t>Ramsais</t>
  </si>
  <si>
    <t>…mucear con los ti radores enemigos para dar tiempo ¿ que llegase á su destino el cuerpo es pañol/ „ Empezó un ataque general entre las 6 y 7 de la tarde. Dos cañones del mando del capitán Ramsais, y dos de á 9 del del capitán Daboardieis, basto la escolta de las tropas del capitán Childere del 16.0 de dragones lige ros, y de las avanzadas de los batallones ligeros del coronel Hacketts, fue ron traídos rápidamente por la calzada, é hicieron fuego contr…</t>
  </si>
  <si>
    <t>Ran</t>
  </si>
  <si>
    <t>…arraoa, 103. D. S ¡bidíaa Ugardza, 100. D. Manuel Vállate, 100. D. Juan Gil , 100. D Lo renzo Machiianda, 100. I). Miguel Arneta,50. D. Martin y D. J.ian Bautiza Estevecorena, 59. D. Ran&amp;on del Valle, 50. D. Rara el Ló pez, 50. D. Félix Balegi, 59. D. Juan Francisco M -toado, 50. D. Manuel G.j»m&lt; z Zuazo, 50. D. To-ms Jurado, 50. O Sebastian Corrínarefc,50. D. Antonio León, 50. D. Juan y D. M g-id Viña, 50. D Andrés Sánchez Quiroz , 50. D. An…</t>
  </si>
  <si>
    <t>Rancourt</t>
  </si>
  <si>
    <t>…metá ica. Quien quisiere mejorarla acuda ante el referido señor juez, por la escribanía del-hombres del i." de cazadores á las ordenes del señor número de D. Luis Pcrez Pefiuelas. comandante Rancourt. Este oficial trató de sorprehender la partida; y en efecto lo consiguió en una casería á medio camino de Marujan. El destacamento la atacó con denüedo, y "en un momento fue derrotada enteramente esta qua- TE Al RO. drüla, de la que murieron algunos, y muchos…</t>
  </si>
  <si>
    <t>Rapp</t>
  </si>
  <si>
    <t>…a inexpugnable; guarhan tenido frecuentes conferencias. necenla 30© hombres, mandados por buenos gene-En fin el lunes 25 á las siete de la noche S. M. rales, y el gobernador es el general Rapp, solda v el Santo Padre, reunidos en el gran salón de la do intrépido y esforzado; hai dentro de la plaza Íiabítacion que ocupa S. S., firmaron un concorda gran número de oficiales de ingenieros y de artille to , que allana todas las dificultades que había pe…</t>
  </si>
  <si>
    <t>…yudante de campo de Estados-Unidos, estas mismas circunstancias hacen S. M. el Emperador v Rei, gobernador general de mas necesario este derecho con respecto á dichos Dantzick , = conde Rapp.” buques. Pero si á la posesión en que están los Es tados-Unidos de acoger los marineros ingleses se * GRAN BRETAÑA. añade el derecho que se han arrogado de quitar la jurisdicción al Soberano legítimo, y transferirla á Londres aj de enero. sí mismos, dando á…</t>
  </si>
  <si>
    <t>…de la tarde que las ñas y de las í.nd‘as. ........ re.muirás de caballos se efectúan conmucha acti O!do el informe de nuestros ministros de Poli vidad : que el cuerpo qué manda el general Rapp cía general, de la Justicia y. de lo Interior, en Dantzick es de 30®-hombres, si.rcotnprelieii- Hemos decretado y decretamos lo siguiente: der en este número ¡as tropas de artillería, de in ,, Nombramos- alcaides de barrio de esta Capital genieros y de marina…</t>
  </si>
  <si>
    <t>…el rada que Beauharnois es masó propósito que aquel pura u-ci admiidsp'aéion en grtnde. Esta orden misma prueba qué" Üani-ih o se, h ila en estado de defensa, y ‘que el tono de su gobernador Rapp no es ti de un general que está la‘ frente de 30000 hombres en u -a fortale za de pn ner ó\dm, sino el de 'un militar vade,:Je, que en k.s cir cunstancias pre.st.nfes, en apee se ve abafi tonada , se hada resuelto á ■ defxd-r á todo trance la plaza confía la…</t>
  </si>
  <si>
    <t>…r parte estropeados. Van llegando estos miserables de di-t y de noclie : mariscales , generales , oficiales y soldados sin formación , en carros ó á pie. Entre estos ha entrado el general Rapp con las narices y un pie helados. Desde el 21 de Diciembre hasta principio: del corriste hemos visto entrar aquí 255 generales, 699 co roneles , 4440 capitanes y tenientes, 26950 cabos y soldados, y 6000</t>
  </si>
  <si>
    <t>…abién donde permanecerá algunos dias para activar ja dose acercado los rusos á Dantzick y empezado á formación de los nuevos regimientos de caballería construir obras de sitio, el general Rapp, gober que se están organizando. nador de la plaza, ha hecho una salida el 7 de este mes con 15© hombres, y que ha tomado al ene GRAN BRETAÑ A. migo un fuerte reducto, en que tenia colocadas seis Londres o de febrero. piezas de grueso calibre. Después de una…</t>
  </si>
  <si>
    <t>…sobre las que dan tos si Stettin, con una guarnición de 9© hombres, guientes por menores los últimos papeles públicos. mandada por el general Grandéau, quien tiene á Dantzick. El general Rapp, teniendo baxo sus sus órdenes al general de brigada Dufresse y al de órdenes á ios generales de división Hcudelet y ingenieros Chamberlhac. Grandjean, al general de caballería Cavaignac, al Cusiría, guarnecida con 3©'hombres, y man general Campredon, comanda…</t>
  </si>
  <si>
    <t>…varias veces bombas y granadas al campamento enemigo, y aun á su quartel general, lo que ha dado motivo á que algunos digan que el enemigo se hallaba sitiado por la guarnición. El general Rapp había formado un bata llón de guardia de infantería compuesto de hombres cansados ó helados que se habían acogidoá la plaza. Esta tiene víveres para un año: los militares habían calculado que no podría'resistir tres meses con las trincheras abiertas, supo nie…</t>
  </si>
  <si>
    <t>…s quatro dias que precedieron ai aviso del armisticio, los rusos los tuvieron en una continua alarma ; y muchos oficiales opinaban que no podria sufrirse la fatiga 15 dias mas. El gobernador Rapp ha hecho los mayores c‘fuerzos para sostener sú espíritu con una variedad de noticias unas vece4' de prontos socorros, y otras de paz al fin del armisticio. Él y todós sus oficiales traen el uniforme de huíanos para lisonjear á 'los polacos (O &lt; Habrá un espa…</t>
  </si>
  <si>
    <t>…ada dia. Los 4 últimos dias que precedieron al armisticio estaba la guarnición muy teme rosa, y muchos oficiales eran de opinión que no podrían sufrir la fatiga mas de if dias. Eí gobernador Rapp procuraba animarlos con noticias lisonjeras de socorros, de paz, y en fin de armisticio. El y todos los oficiales visten el uniforme de huíanos para agradar i los polacos, que forman la mayor parte de la guarnición. El dia dotes de saberse el armisticio hizo…</t>
  </si>
  <si>
    <t>…to, y de Daatzick el 28. Esta última plaza se hallaba estrechada por 50© aliados á las órdenes del duque de Wirtemberg, y su guarnición constaba en aquel tiempo de 11© hombres. El general Rapp ha he cho varías salidas, en que lia sido siempre rechazado con pérdida. gran-bretaNa. Londres jo de Setiembre. Escriben de Saarmunde con fecha de 29 de Agosto lo siguiente: Por noticias de oficio recibidas anoche sabemos que antes de ayer c~gió el teniente g…</t>
  </si>
  <si>
    <t>1184</t>
  </si>
  <si>
    <t>…os, al pie de la Ohla, con grande pérdida por su parte, los que fueron arrasados; y en la noche siguiente íe tomó también un bosque, de no menos importancia cerca de Langefuhr. El general Rapp, no,reflexio nando que es muy impropio debilitar el comandante «de una plaza su: guarnición en ataquen distante:-, tomó la resolución extraordinaria de atacar el dia 29 al cuerpo sitiador con toda su guarnición, que ha-bia reforzado considerablemente , armand…</t>
  </si>
  <si>
    <t>…el 22; Segub las últimas gazetas de Berlín en el propio dia hubo en Dantzick una acción mui viva, en que los rusos y prusianos se apoderaron'de una paite* del arra bal , aunque el general Rapp volvió á tomarlo por la tarde. Parece que ha habido sucesos importantes entre el exérci to del Prínetpé dé Éckimilh (Da voust ) y las tropas rusas y suecas. Milán 2$ de noviembre. El enemigc hizo un desembarco en el baxo Po, junto á Volano, á las órdenes dei…</t>
  </si>
  <si>
    <t>Raqpedano, Mariano</t>
  </si>
  <si>
    <t>Mariano Raqpedano</t>
  </si>
  <si>
    <t>…omas Ayerra, D Juan Esteban Alemán, D. León Mayo, D. Aniceto Unciti y D. Sebastian íso : á alféreces á D. Nicolás Sada, D. Lucas Munarriz, D. Francisco Ruiz , D. Cristóbal Pereti, D. Mariano Raqpedano, D. Mariano Amorós, D. Manuel Rodrigo, D. Gregorio Lagarda, D. José García, D. Antonio Ortíz, D. An gel Martínez, D. Antonio Blesa, D Fermín Fabiano, D. Pedro Garrea, D. Pablo Franca, D. Antonio Santos, D. Manuel Uría^ D. Bernardo Uriz, D. Geferino Galindo y…</t>
  </si>
  <si>
    <t>Rara</t>
  </si>
  <si>
    <t>…Ugardza, 100. D. Manuel Vállate, 100. D. Juan Gil , 100. D Lo renzo Machiianda, 100. I). Miguel Arneta,50. D. Martin y D. J.ian Bautiza Estevecorena, 59. D. Ran&amp;on del Valle, 50. D. Rara el Ló pez, 50. D. Félix Balegi, 59. D. Juan Francisco M -toado, 50. D. Manuel G.j»m&lt; z Zuazo, 50. D. To-ms Jurado, 50. O Sebastian Corrínarefc,50. D. Antonio León, 50. D. Juan y D. M g-id Viña, 50. D Andrés Sánchez Quiroz , 50. D. Antonio Bbras, 50. D Francis…</t>
  </si>
  <si>
    <t>Rarrut-.l, Juan Antonio</t>
  </si>
  <si>
    <t>Juan Antonio Rarrut-.l</t>
  </si>
  <si>
    <t>…obstinada defensa, á la compañía de cazadores de Ciudad Real, que lo guarnecía: reunida est.4 a las de granaderos y cazadores de Cantabria, que destacó en su auxilio el br gadier Don Juan Antonio Rarrut-.l, comandante gene al de aquel distrito, diri gidas por el ayudante segundo de estado mayor D. José Antonio Pació; y estimuladas por este y por sus dignos oficíales se decidieron á atacar al enemigo á la bayoneta, y en menos de 8 minutos, des preciando el horro…</t>
  </si>
  <si>
    <t>Rasiopchin</t>
  </si>
  <si>
    <t>…acomoda ; son inclinadas á la guer ra , y en los tiempos de paz, la quietud parece que los oprime, los fatiga y aniquila. En. ua diario de Berlin se halla la siguiente noticia del conde Rasiopchin , que salvó á la Rusia, y á quien Napoleon hace mas honor de lo que cree , insultándole con el nombre de M^rat, y con «rtros improperios. El conde Rasíopchin es originario de una casa antigua de Ru sia. Su padre es un anciano de Si años de edad, que vive reti…</t>
  </si>
  <si>
    <t>Rateau</t>
  </si>
  <si>
    <t>…e Ai ceñor Carón, ayudante subteniente, no cul imprima; y que se tiren a© exemplarcs en for pable de complicidad, unánimemente ; ma de carreles, para que se íixen donde parezca Al señor Rateau, cabo de esquadra, culpable conveniente. de complicidad con el ex-general Malet, unánime Encargo al señor juez relator que leyese la pre mente ; sente sentencia á los condenados y á los absuelto.-, Al señor Boccheiampe, prisionero de estado, y que la hiciese…</t>
  </si>
  <si>
    <t>Rathurst</t>
  </si>
  <si>
    <t>…ió el vizconde Castlereagh para su secretaría, adonde habia convocado un consejo de gabinete, que duró hasta las quatro. Acabado el consejo estuvieron S. A. S. y los diputados con lord Rathurst y lord MelviHe en el almirantazgo, y se' dieron las órdenes para la marcha de S. A. S. á Holanda. Ayer por la noche se dio orden para que 2® hombres de guardias acom pañasen á S. S. como guardia de honor. Se sabe que en el consejo se de terminó auxiliar á S.…</t>
  </si>
  <si>
    <t>Ray</t>
  </si>
  <si>
    <t>…a món Marañon , D. José Albumes, D. José Luizaain , D. Francisca Ardaiz, D. José Díaz, D Antonio Abadía, D. Nicolás Soriano, D. Bernardo Moliner, D. Manuel Llera, D. José Perulan, D. Ray» mundo Marqués, D. José Gorriz, D. Dionisio Fonolitas, D. Can» dido Zunzarren * D. M:guel Quartero , D. Juan Urzaniqui, D. Ruerto Rajum, D. Manuel López, D. Agustín Munarriz, D. Juan Sliutista fnd'.iusti, D. Pedio López de Baylo, D. José García, D. Andrés Dia…</t>
  </si>
  <si>
    <t>Raya, Juaa</t>
  </si>
  <si>
    <t>Juaa Raya</t>
  </si>
  <si>
    <t>…e dias, en que se incluyen tres términos, y el último percuto* rio, que deberán contarse desde 19 del corriente , Comparezcan anteve! mismo se¿ ñor por ia escribanía del número de D. Juaa Raya, donde está radicado dicho abintestato, á usar de las acciones quedes competan *, apercibidos que pasados, sin {ñas citación ni emplazamiento, se dará curso al referido juicio, y les parará el perjuicio que haya lugar. Respuesta que da. un verdadero amante de…</t>
  </si>
  <si>
    <t>Rcinoso, Domingo</t>
  </si>
  <si>
    <t>Domingo Rcinoso</t>
  </si>
  <si>
    <t>…Arias Gonzalo de Mendoza, substituto se D. Francisco Blanco, alcalde. gundo. D- Tomas Ximenez, substituto primero. Barrio de las Mercenarias. D. Carlos A riña, substituto segundo. D. Domingo Rcinoso, alcalde. Barrio de la Loma.ire. D. Josef Aronso , substituto primero. D. Francisco Gorvea , alcalde. D. Miguel de Moya, substituto segundo. D. Ramón del Casal, substituto primero. Barrio de Capuchinos de ¡a Paciencia. D. F rancisco Ortiz , substituto segundo…</t>
  </si>
  <si>
    <t>Re</t>
  </si>
  <si>
    <t>…la expresada ciudad, y obligarle á que Se decidiese á aban donar el castillo á su suerte, ó á protegerle con todas sus tropas. = Halle al enemigo, mandado, según entiendo, por el general Re vi le,, en considerable fuerza en posición sobre las aburas situadas á la iz quierda de Hormaza, con su dereci.-a á la .parre superior de dicho</t>
  </si>
  <si>
    <t>Rebinson</t>
  </si>
  <si>
    <t>…quierda, tomó el pueblo de Gornarra menor. ,,Luego que tuvimos posesión de las alturas, el lugar de Gomara ra mayor fué asaltado y tomado por la brigada de la quinta divi sión del brigadier Rebinson, que se adelantó en columnas de bata llón , ayudado de dos cañones del mayor Lauson, sin tirar un tiro, baxo un terrible fuego de artillería y fusil: el enemigo experimentó mucha pérdida, y se le tomaron tres cañones.. . „E1 teniente .general procedió entonce…</t>
  </si>
  <si>
    <t>Rebollo, Ignacio García</t>
  </si>
  <si>
    <t>Ignacio García Rebollo</t>
  </si>
  <si>
    <t>…mouth, donde hay transportes preparados. ESPAÑA. México 10 de Febrero, Continúan los extractos de los partes de Istiev a—España, 66, El brigadier y comandante de ía octava brigada D. Ignacio García Rebollo ha remitido tres partes desde Querécar©: ei primero, de D. Basilio de Echave, capitán de patriotas, fecho en la hacien da de la Barranca á 19 de Julio, en que da cuenta de haber scrprehendido con 24 hombres una gavilla de rebeldes, el día 17, céreipal Juan Jo…</t>
  </si>
  <si>
    <t>…e son las 11 á esta ciudad de Celaya con toda felicidad , donde me lie encontrado un ofichl comisionado det Sri Iturvide con ios adjuntos pliegos que remito ¿ V. E. , oficiando al Sr. D. Ignacio García Rebollo para que á la ma yor brevedad y con toda seguridad los dirija á V. E. Por oficio del Sr. Iturvide de 20 del corriente quedo impuesto se</t>
  </si>
  <si>
    <t>Rebollo, Ignarío García</t>
  </si>
  <si>
    <t>Ignarío García Rebollo</t>
  </si>
  <si>
    <t>…no desgranado. Dios guarde á V. E. muchos años. Celaya 21 de Abr¡l de 1813.* Excmo. Sr. = Cristóbal Oráoñaz. = Exento. Sr. D. Félix María Ca— He ja. Con efecto, el señor brigad'er D. Ignarío García Rebollo ha re mitido á esta superioridad el pliego del teniente coronel Iturvide coa el siguiente, oficio: Excmo. Sr.: En mi carta del t8 del que rige tuve la satisfac ción de anticipar á V. E. la plausible noticia de la victoria que con siguieren las valerosas tropa…</t>
  </si>
  <si>
    <t>Reboto, Marcelo Sánchez</t>
  </si>
  <si>
    <t>Marcelo Sánchez Reboto</t>
  </si>
  <si>
    <t>…Medicina interina, que comprehende toda Cas tilla Nueva y Vieja, nombrando por sus jueces examinadores subdelegados interinos de ella á los doctores D. Bartolomé Piñeira y Siles, D. Marcelo Sánchez Reboto y D. Ramón Gcmez, en sus ausencias y enfermedades á D. Hilario Torres, y D. Ramón López Mateos; debiendo presidir el prime ro los exámenes como el.mas antiguo médico de la real familia, y el. texce-r ro de secretario vocal, actuar y certificar los actos de la subdelegacion. H…</t>
  </si>
  <si>
    <t>Rebrovich</t>
  </si>
  <si>
    <t>reñida acción de qnatro horas el enemigo se vió; obligado á retirarse. El regi miento de Radetsky se- distinguid particularmente___ No obstante que él general Rebrovich derroto y disperso al enemigo el dia 16, habiendo este recibido considerables refuerzos de Kralnbúrg- y Lo i bel, "intento renovar al dia siguiente el ataque sobre la posición de aquel general en S, Marein; per® fue rechazado con pérdida en toaos Los puntos p…</t>
  </si>
  <si>
    <t>…cañones y 2 obiises. Después de una ac ción reñida de 4 horas fué obligado el enemigo á retirarse. Distin guióse particularmente el regimiento de Radetsky.*— No obstante haber el general Rebrovich derrotado y dispersado al enemigo el 16, con todo, habiendo recibido este considerables refuerzos de Krainburg y Loibel, intentó al dia siguiente renovar el ataque sobre la posición de aquel geaeral ea S. Martin; pero fue también rechazado con pérdida en todo…</t>
  </si>
  <si>
    <t>Rebrovkh, Von</t>
  </si>
  <si>
    <t>Von Rebrovkh</t>
  </si>
  <si>
    <t>…ontiene las si guientes noticias; El 21 de setiembre se recibieron en Viena las siguientes ^particularidades de los sucesos del Austria inferior.—^.Habiendo sostenido el dia 14 el general Von Rebrovkh una acción en Weichseiburg;fue ©blP yadoipor fuerzas «superiores á ^retirarse 4 la pOsk^ion de Baremberg frente1 dé Treffen; pero con los considerables refuerzos-que refcibhá el dfe; ló-afacó- cé.. W«kliseibuirgá^as tfopj5 déigeaeriibLeéiiy oontalimpetu, que…</t>
  </si>
  <si>
    <t>Recaredo, Católico</t>
  </si>
  <si>
    <t>Católico Recaredo</t>
  </si>
  <si>
    <t>…e Saxonia V\eimar, teniente TEATRO. coronel de la guardia del Rei de Saxonia; el conde En el de la Cruz se ejecutará la comedia titulada el de Ed'mg , chambelán de S M. saxona; el conde Católico Recaredo , con tonadilla y sainete , interme de Beust, cambelau de S. M. saxona; el conde de diado con el bolero. S* cobrará de subida. A La cinco. EN LA IMTRENTA REAL.</t>
  </si>
  <si>
    <t>Rech</t>
  </si>
  <si>
    <t>…met? fueron los señores ae La-Serna, Pelegrin y Ántillon, adhiriéndose al de la Regencia ^ cuyas razones amplificó el señor Antillon extensamente, ya rebatiendo los argumentos del señor Rech, ya demostrando hasta la evi dencia los riesgos de semejante medida, que sentía en su corazón no po der, aprobar ahora; pues no dudaba que en el ilustrado pueblo de Madrid encontrarían las nuevas instituciones un firme apoyo, que poderosamente influiría para…</t>
  </si>
  <si>
    <t>Reche</t>
  </si>
  <si>
    <t>…general Whittingham en Alcoy si fuere seriamente atacado; mientras que de este modo viene á ser una empresa muy aventurada para el ene migo cualquiera ataque que intente contra el general Reche, que cubre el camino real que paB&amp; por Elda. „E1 general Flioj0on un cuerpo compuesto de 4 batallones y 300 caballos, ocupa á Yecla, y comunica con el general Roche. nEn consecuencia de esta concentración del éxército aliado el /•</t>
  </si>
  <si>
    <t>Reconozco</t>
  </si>
  <si>
    <t>…el senado de 11 del corriente. gobierno provisional be. firmado igualmente por Os era pues mui fácil conocer que el senado, Malet ? que no habia dado su pretendido decreto de cons D. Reconozco en efecto la carta, que es la mis titución hasta el 22 de octubre, en virtud de la ma que se me dexó. El senado-consulto lo leyó el falsa noticia de la muerte del Emperador, uo po comisario, y en el estado en que me hallaba no es- día haber expedido un decret…</t>
  </si>
  <si>
    <t>Regante</t>
  </si>
  <si>
    <t>m CAMARA DE EOS COMUNES. Sesión étl mismo din 18. Formadla Cámara en junta de Hacienda, el presidente de ella Mr. Lushington leyó el referido mensage del príncipe Regante. „El canciller del Ecliiquier manifestó que persuadido de la jus ticia y utilidad de la propuesta, no creería necesario hablar en fa vor de ella, á no haber anunciado su oposición algunos individuos de la Cámara. Táchase como inoportuno, añadió, el tiempo de…</t>
  </si>
  <si>
    <t>Regente</t>
  </si>
  <si>
    <t>…eo obligado á aguardarla primera ocasión para remitirlos á V. S., y espero poder enviar al mismo tiempo la bandera tomada á los americanos, para ponerla á los pies do S* A. R*. el príncipe Regente. „El capitán Fulton, mi ayudante, tendrá la honra de entregar este pliego. El mismo podrá dar á Y. S. noticias de Desehe sobre elestado de las provincias canarienses de S. M. ¡i . .,,Ocho compañías de las levantadas en Glengary están en mar cha para reforzar…</t>
  </si>
  <si>
    <t>Id. de Julio. ■«AMARA DE IOS LORES. Sesión del dia 22. Habiéndose presentado en dicha Cámara S. A. R. el príncipe Regente, pronunci» el siguiente discurso: Milores y señares: ?»Al prorogar el parlamento no puedo menos de renovar mi pro fundo sentimiento por la continuadarindisposicion de S. M. y* El celo que habéis manifestado por el bien público en estas se siones , exige mi co…</t>
  </si>
  <si>
    <t>Regente, Príncipe</t>
  </si>
  <si>
    <t>Príncipe Regente</t>
  </si>
  <si>
    <t>…to hermano. que aparece sobre sus rostros al ver. que .V- A. tu 4.0 „Que, mediante el tierno y santo amor tea ¿ la regencia del reino..... ¿Y podía imaginarse que á V. A. tiene el señor Príncipe Regente, con V. A. que algunos lo atribuyesen á disimulado de siga de su prudencia que revoque ó explique las ci signio dé parecer anticipadamente lo que no es to tadas órdenes, si las hubiere; y para mayor segu davía? ; ó que habría otros que, olvidándose ellos de r…</t>
  </si>
  <si>
    <t>…cia del reino ha recibido la desagradable noticia de haber fallen cido en Rio-Janeiro el 16 de mayo próximo pasado la Serenísima Señora In fanta Doña María Ana, tia de S. A. R. el Señor Príncipe Regente de Por tugal. Con tan infausto motivo ha tenido á bien mandar S. A. que la corte se vista de luto por dos semanas,,una riguroso y otra de alivio, desde hoi. ( G azeta de la Regencia.) t Madrid 6 de octubre. Después de haberse celebrado todas las juntas preparatorias…</t>
  </si>
  <si>
    <t>Regenteysusrriinutrbs</t>
  </si>
  <si>
    <t>…to que ella desea, y á dedicarme á procurarla su prosperidad y dicha. &gt; . E¡ coronel Fagel os ¡i¡formará¡ del efecto que ha producido aquí la cón* docta dé la Holanda, y de que el príncipe Regenteysusrriinutrbs han lomado las medidas, necesarias para, ayu dataos con. tpdoi, Jdsmedios &gt;de&gt; que |&gt;uí dep'dispQaer, ,. y! en. breve experimentarán Jos efectos. Espero seguir $ Mr, Fagel dentro de¿ pocos dias, porque .experimento nna-viva impaciencia de volver á ver mis com…</t>
  </si>
  <si>
    <t>Regmer</t>
  </si>
  <si>
    <t>…er día de marcha á las tropas que componen el exército de observación. guna señora. Los oficiales superiores dan los mayores elogios Una de nuestras gazetas anuncia que el almi al general Regmer por el modo con que maniobro, rante TsdüttschagofF, que hacia mucho, tiempo que y por la posición que tomo en la función que se había pedido su retiro á causa del mal estado de su d¡ó cerca de aqui. Este general no perdió mas que salud, ha sido reemplazado po…</t>
  </si>
  <si>
    <t>Regméx</t>
  </si>
  <si>
    <t>…da, y se le obligó á~ repasar á la orilla izquierda del Muida ;tuvo algunos encuentros, en que le'hicimos prisioneros y cogimos al gunos centenares^ de earros.de bagages. . • ! El general Regméx $é dirigió á Witféiñberg , pasó el'Rlba , marchó som bre Roslau , dio pífente dé Dessau , y én' seguida, marchando sobre Aken, se apoderó .de él.\ El; gerreraLBertrand se dirigió á los puentes de Wartenbourg, y se poíesio.nó de e|los. ,Ef príncipe de Moskow s…</t>
  </si>
  <si>
    <t>Regnaud</t>
  </si>
  <si>
    <t>Gaceta de Madrid n.º 76</t>
  </si>
  <si>
    <t>…discurso de. S. A. S. ¡os señores con sobre todo , toda interrupción en la acción dei go sejeros de Estado presentaron un proyecto de se bierno. nado-consulto orgánico,y el señor conde Regnaud ,,Se ha proveído á esto llamando á la regen de Saint-Jean-d’Angell expuso los motivos de él. cia, si tuvieren 2 1 años cumplirlos, á los principes franceses por el orden hereditario; y en su defecto* Motivos del senado-consulta sobre la regencia á los príncip…</t>
  </si>
  <si>
    <t>…á la tribuna, y leyese un informe di\ T? __rígido ai tempe radar Habiendo recibido nuevamente el príncipe archi-cancilier Es órdenes de la Emperatriz, mande).en nombre de S. M. al conde Regnaud, uno de ios oradores del consejo de Estado , que presentase al senado un proyecto de senado-consulto,■.ctespues.de: haber explicado los motivos de él. . . El proyecto., tiene pór-.objeto una leva de 280G) hombres, de los quales 1200 deben ser de las clases de…</t>
  </si>
  <si>
    <t>Regnicr</t>
  </si>
  <si>
    <t>…mar scgiihda vez nuestra álá Izquierda, oyó el canoa cha, y en ella la retaguardia del séptimo cuerpo ,'á de la vanguardia austríaca hacia la1 parte de Jezalas órdenes del general conde Regnicr, sufrió ún belin. Esta fue la señal de. un ataque general del ataque tan vivo, que tuvo que hacer alto mientras séptimo cuerpo en la' posición dé'VVolkowysk. que el cuerpo austríaco continuaba la suya. En esto Quatro compañías de wurtzbúrgueses f ochó de lo*…</t>
  </si>
  <si>
    <t>…mbre el segundo batallón ha sido mui bien recibida; y el profesor Walker, wurtzburgues, que forma parte del cuerpo man de Giesen, está imprimiendo una nueva traducción dado por el general Regnicr, recibió Ja orden de del teatro de Aristófanes, de quien ya se habian tomar por asalto el lugar de Woíkowiska , en don traducido muchas comedias por Mr. Wolff, da de tenia el enemigo 2co hombres. A nuestras tro Bcrlin. pas las sostenía el quarto batallón del…</t>
  </si>
  <si>
    <t>Regnier</t>
  </si>
  <si>
    <t>…á Slonim; pero el teniente general Sacken, habiendo atacado á Regnier en dos dias consecutivos, le obligo á retirarse é incorporarse con el prín cipe 8cín*artzenberg. El teniente general Regnier lia tenido de pér dida 1C00 prisioneros y una bandera. . ,.Ahcra mismo me avisan que el enemigo se retira por mi fren te, y que ha perdido un cañón mas y algunos bagages. Voy á per seguirle — Tchiehagrjf” Con fecha de 26 del corriente se ha publicado por la s…</t>
  </si>
  <si>
    <t>…en , antes de los La contradicción quasi oficial que ha sufrido un combates que sostuvo contra el principe de Sch wartartículo del diario, en que se anunciaba la emba zemberg y el general Regnier, se componía de ncada de un comisario del gobierno al famoso Mes- 7235 hombres de caballería y de 17658 de infan mer, ha excitado gran ruido en las concurrencias tería. donde brillan nuestras damas sentimentales, pon derando los prodigios del magnetismo anima…</t>
  </si>
  <si>
    <t>…o de staque ulterior. n Luego que se supo que el exército del almi „EI enemigoasé1’rehizo, y volvió i maniobrar rante Tschítschakoff continuaba su marcha hacia contra nosotros. El general Regnier había avisado Slonim y Níeswicz se resolvió que» unidos los cuer al príncipe Schwartzemberg para que lo* apoyase, pos austríaco y saxon, pasasen el Narewa,loque se atacando con una paite de sus tropas ia ala derecha cxecutó el 5 y 6 de noviembre por Natswlcj…</t>
  </si>
  <si>
    <t>J4a del teniente general Sacken con el cuerpo del general Regnier, que fórmala retaguardia del príncipe Sehwartzenberg, las tropas aus tríacas que habían avanzado hácia Sloüim, se volvieron á ísabeüna para reforzar al general Regnier. Este movimiento otVgó al reí.lente general Sacken á retirarse á Seherenccft', á fio de ir…</t>
  </si>
  <si>
    <t>…é Thorn, Modlin, Surock, Praga y Zamóse están en buen estado y bien provistas. El feld-mariscal príncipe de Schwartzeuberg ha establecido su cuartel general en Bialystok, y el del general Regnier se halla en Breszc. GRAN-BRETAÑA. Z cnárts 26 de Enero de 1813. En un periódico de esta capital vienen insertas las siguientes re flexiones sobre los felices resultados que deben esperarse de la der rota de los franceses en Rusia. Lisonjeándose Bonaparte de p…</t>
  </si>
  <si>
    <t>Régnier</t>
  </si>
  <si>
    <t>…Enero, en cuya fecha se hallaba el cuartel general en. Tillen burgo , con di rección á Yarsovia. Los austríacos habían aban dona do ya á Smadovo , Novogrodeck y Ostrolenka. —■ El general Régnier se había re plegado á Posen , y Davoust salió de esta ciudad para Stetíin. Ei rey de Dinamarca ha mandado recoger las patentes de corso expedidas contra este reyno , prohibiendo al mismo tiempo que los corsarios franceses conduzcan presas á los puertos de sus…</t>
  </si>
  <si>
    <t>…perándose que ei exército ruso se mueva el SO, con direc ción al Vístula según las apariencias , parece probable que el cuerpo austríaco continué su marcha , y pase aquel rio. „E1 general Regnier estaba ei 19 en ÜkiviiefF al E. de Vsrsovia. ,,Hallándose' en Poseen el cuartel general délos franceses, es probable que Regnier haya marchado por el Vístula abaxo con aquella dirección i, pasando por detrás de la retaguardia de los aus tríacos ; pero aua en…</t>
  </si>
  <si>
    <t>…tistas y menestrales................................ 15&gt;5*7* do al general ruso Sacken, que está á su frente, el Ciudadanos no comprehendidos en las que avance por ningún lado. El general Regnier clases anteriores..................................... 34»6-í°* tiene su quarfel general en Varsovia, el general Jóvenes inclusos en la conscricion del Durutte en Szulusk, llegando sus puestos avanza Landwehr................................................ 20…</t>
  </si>
  <si>
    <t>Regníer</t>
  </si>
  <si>
    <t>…a pimienta. Hemos puente, y trabajan con la mayor actividad en for •-tenido que pagar el rescate de un navio america tificarla. no á este aspirante nuevo de la soberanía de los El general Regníer después de haber executado «on tanta valentía como prudencia su retirada des mares. - -</t>
  </si>
  <si>
    <t>…el día 8 cipe Clemente, que tanto se ha distinguido en el de enero último, huyó luego que supo que su plan combate de Kallsch. estaba descubierto; pero se le ha arrestado en el El general Regnier lia pasado hoi revista á dos común de Frauenzimmern, y conducido desde allí hermosos regimientos de coraceros de la brigada de ¿ Jas cárceles de Stuttgardt. * Liebenau, y ha manifestado lo satisfecho que que daba del buen estado £ instrucción de estas tropas.…</t>
  </si>
  <si>
    <t>…y sus coroneles hacen de ellos los mayores elogios. En este cb.or que de 1^'caballéría el general Bfuyérej oficial del mayor mérito, perdió una pierna por una bala de cañón.__ El general Regnier con un cuerpo de tropas saxonas ganó Jas.'alturas mas allá de Reickembach, y persiguió al , enemigo hasta la aldea .de ilotendorf. Nos cogió la noche á una legua de Gorlitz, en cuya ciudad «se débia haber&gt;doriri»do, de todos modos, aunqué el dtaftfeáe ¡mucho…</t>
  </si>
  <si>
    <t>…ras escaramuzas.’* Segundo. Quartelgeneral de Wurtzen 20 de mayo. „Milord: en la noche del 17 al 18 el enemigo destacó sobre nuestra derecha un cuerpo de su exérci to al mando del general Regnier con dirección á Luckau y Lubben. ,, Habiéndose sabido al mismo tiempo que el general Lauriston marcha ría el 19 con 9® hombres á reforzar las tropas mencionadas, los generales Barclay de Tolly y York pasaron con un grueso cuerpo á interceptar y aco meter á aq…</t>
  </si>
  <si>
    <t>…ión por ha ber tenido grandísimas pérdidas en lo material de él, y la disminu ción de una tercera parte en su numero. &gt; Los cuerpos del duque de Reggio, del general Bertrand y del general Regnier han logrado el 5 señaladas ventajas. ESPAÑA. Sangüesa 31 de Agosto. Partes del mariscal de campo T&gt;. Francisco Espoz y Idina, diri gidos al Exento. Sr. duque de Ciudad-Rodrigo. Primero. «Exorno. Sr.: Siguiendo las instrucciones de V. E. traté de con tinuar el…</t>
  </si>
  <si>
    <t>…. El general Orourck aL frente de su caballería hizo mas de 1® prisioneros, y tomó algunas, piezas de artillería. Las tropas ligeras están con tinuamente haciendo prisioneros.. El general Regnier se mantuvo:.mucho tiempo expuesto al fuego de nuestros tiradores como un hombre que desea ba la muerte. Hasta ahorg. podemos calcular la pérdida del enemigo en 16® tombres, mas de 50 cañones y 400 carros: por lo que hace á muertos y he ridos debe ser inmensa.…</t>
  </si>
  <si>
    <t>…El general Orourck, al frente de su ca ballería , hrto mas de 1® prisioneros, y tomó algunas piezis de ar tillería. Las tropas ligeras están continusmente cogiendo pasioneros. El general Regnier se mantuvo mucho tiempo expuesto al fuego de nuestros tiradores, como un desesperado que deseaba morir. Se pue -</t>
  </si>
  <si>
    <t>…dé la infantería. Habiendo sido reforzado el eüeiñigo rápida mente, el quarto cuerpo se vio también Á las manos con él. Llegó ipor fin el séptimo, á quien Se esperaba; y mandé ai general Regnier que cargasé con Vigor sobre la derecha del-enemigo, mientras qué el general Morand repetía ti ataque. Esta carga general fue mui feliz, y el enemigo perdió mucho ter san arriesgado no podía hacerse sin una masa de fuerzas mui considerable. Los irán? ceses pub…</t>
  </si>
  <si>
    <t>…a manifestado por la pérdida del príncipe Poniatowsky, del conde Lauríston, y de todos los valientes que han perecido de resultas de este funesto acaecimiento. No hai noticias del general Regnier: se ignora si es muerto ó prisionero. Fácilmente se figurará el profundo dolor del Emperador que ve , por un ol vido de sus prudentes disposiciones, desaparecer los resultados de tantas fa tigas y trabajos. Ei 19 el Emperador durmió en Markranstaedt: el duque…</t>
  </si>
  <si>
    <t>y wurtcmhutguesas. El corso ha perdido al general Regnier y otros qr*tro¿ Están prisioneros Macdonald y Souhatn. Estaba para dexar á Leipsick el portador de estos pliegos quando liego la noticia de haberse cogido en la re tirada 3 5© prisioneros. ,,Et 16 consiguió otra victoria el general Blucher, perdiendo el enemi…</t>
  </si>
  <si>
    <t>Regniertrayendp</t>
  </si>
  <si>
    <t>…, debe, recibir numerosos re mas importantes. fuerzos , parte de los quáles están ya en movimien Efectivamente llegó aquí ayer un correo despa to. (Gazeta de Berlín.) chado por el general Regniertrayendp al general Dutaillis, comandante de Varsovia, ia noticia de BA VIERA. que el '17 de este mes se habia presentado de impro “ Augsburgo 3 de diciembre.viso el príncipe de Schwartzembergcon gran.parte del cuerpo auxiliar cerca de Izabelin, y que había Ayer salie…</t>
  </si>
  <si>
    <t>Regnler</t>
  </si>
  <si>
    <t>…INGO 2 DE MAYO DE 1813. SAXONIA. La guardia nacional de segunda dase, puesta en actividad de servicio, asciende á 21600 hombres. Tires de 10 de marzo. El señor general de división conde Regnler ha GRAN DUCADO DE FRANCFORT. llegado á 'esta ciudad con todo su estado mayor. Francfort 16 de marzo.Ha entrado también una parte del séptimo cuerpo con un tren de artillería mui numeroso. Estas tro El señor barón de Gemvningen, enviado extra pas se han aquart…</t>
  </si>
  <si>
    <t>Reguier</t>
  </si>
  <si>
    <t>…Fessajt, teniente, culpable de compli art. Lxxxvni. «Hai atentado luego que un cidad con el.ex-general Malet, unánimemente ; « acto se lia cometido ó principiado para llevar á Al señor Reguier , teniente , culpable de com « efecto qualquicra de estos crímenes, aun quando plicidad con el ex-general Malet, unánimemente; « no se hayan consumado.” Ai señor Julien, sargento mayor, no culpado La comisión militar absolvió y dio por libres de complicidad ,…</t>
  </si>
  <si>
    <t>Rei</t>
  </si>
  <si>
    <t>…los detalles. Una carta que ha recibido eí señor intendente de esta provincia, fecha en Burgos á 12 del corriente, dice que los prisioneros sanos ascien den á l 100 hombres con su general Rei; y que los heridos son 400----- Otra carta de Pasages de 10 de este mes asegura que va á estrecharse ahora fuer temente el sitio de Pamplona; y que continúa fortificándose la línea del Pi rineo, en donde se establecen muchas baterías, con las que no es fácil…</t>
  </si>
  <si>
    <t>Rei, Francisco del</t>
  </si>
  <si>
    <t>Francisco del Rei</t>
  </si>
  <si>
    <t>646</t>
  </si>
  <si>
    <t>…el castillo de Morella; y el Excmo. Sr¿ general en gefe, que se halla bien instruido tanto de la buena dirección y sobresa lientes disposiciones que durante el sitio ha tomado el coronel D. Francisco del Rei, ayudante primero del estado mayor de los ejércitos nacionales, co mo del acierto y tino de la artillería empleada en él, á que se debe su pronta destrucción; Ies da las gracias, y hará presente al Supremo gobierno de la dación el mérito que han contraído, co…</t>
  </si>
  <si>
    <t>Rei, Joaquín</t>
  </si>
  <si>
    <t>Joaquín Rei</t>
  </si>
  <si>
    <t>…mayor rigor, negándole hasta los auxilios del santo oficio de la inquisición, D. Josef Angla- espirituales, y nuevamente sin motivo se le había sell, alcalde mayor de lárrega , y D. Joaquín Rei, trasladado á un calabozo subterráneo. La comisión juez de la universidad de Cervera. Esto ha cau- de justicia, en vista de esta reclamación y de lo .sado no poca extrañeza en el público.” (Redactor ■ que añadía Vallejo acerca del nombramiento de general núme…</t>
  </si>
  <si>
    <t>Reí, Jorge</t>
  </si>
  <si>
    <t>Jorge Reí</t>
  </si>
  <si>
    <t>…isco Xa vier Negrete, titulado duque de Cotadilla, marques de Branciforte, D, Manuel de Acuña, marques de Escalona, á virtud de posesión que nulamente le dio el go bierno intruso, D. Jorge Reí, D. Juan Antonio Melón, D. Manuel Narganes de Posada y 0. Juan Antonio Zamácola, fugados con el gobierno intruso, para que en d término de ¿o días, contados desde 20 del presente mes, que por único y pe rentorio se les séllala, comparezcan por sí ó por procur…</t>
  </si>
  <si>
    <t>Reilie</t>
  </si>
  <si>
    <t>…guardia real, y salieron para Rioseco unos 80 para conducir al general Boye*, á fin de que dé sus descargos al intruso sobre las tropelías que ha co metido en tierra de Campos. El general Reilie tiene aquí su cuartel general. Se dice , de resultas de les correos del 26 , que queda suprimido el exército de Portugal; que pasarán á Francia 4 de sus divisiones, y quedarán 2 reunidas al exército del centro. También se dice que las tropas de León caminan h…</t>
  </si>
  <si>
    <t>Reille</t>
  </si>
  <si>
    <t>…este grande imperio, que aplicado falsamente, oca Copia de una carta escrita al Exento. Sr. minis sionaría su inmediato aniquilamiento en esta región. tro de Guerra por el general conde Reille, co La cuestión del monopolio comercial era .también mandante del exército de Portugal. de grande importancia, respecto á que se extendía Valladolid 9 de marzo de 1813.no solamente á las relaciones mercantiles con (a misma ludia y las posesiones nuevamente ad…</t>
  </si>
  <si>
    <t>Reina, Josef María de</t>
  </si>
  <si>
    <t>Josef María de Reina</t>
  </si>
  <si>
    <t>…nta María de Cubo i.a de julio de 1813.= El conde del Abisbal. = Sr. D. Luis WimpfFen. = Es co pia. = WimpfFen. = Es copia." Capitulación del fuerte de Santa Engracia de Pancorvo. Don Josef María de Reina, teniente coronel del cuerpo de artillería na cional, mayor de brigada de su arma en el exército de Andalucía, y ayu dante de campo del Excmo. Sr. conde del Abisbal, capitán general de los reinos de Sevilla y Córdoba, y general en gefe del exército de reserva…</t>
  </si>
  <si>
    <t>…amenazándole con un asalto, convino en capitular ; y no contribuyó poco al logro de este feliz resultado el tino é inteligencia con que el teniente coronel, y mi ayudante de campo D. Josef María de Reina, que comisioné para parlamentar con dicho gefe, supo inclinarle á este partido, que nos ha sido mucho mas ventajoso. „En el término de 24 horas se habia construido una batería para seis pie zas en la altura de la loma de la cimera, cuya construcción, dirigida…</t>
  </si>
  <si>
    <t>Reinhard</t>
  </si>
  <si>
    <t>…consideración como poner á la frente de su gobier señor burgomaestreT5urkarJt, de Badén, actual no aquellos individuos del misino cuerpo, que por landamann, entreclara et mando al señor Reinhard, su ciencia, práctica de negocios y carácter pacífico nuestro burgomaestrenombrada» landamann para y moderado pudieran atraer hacia sí el respeto el año de 1813 ¿ yjqué tuvo ei mismo honor el de del gobierno, qoalquiera que fuese la alternativa en 1807. Este…</t>
  </si>
  <si>
    <t>Relaciones, He</t>
  </si>
  <si>
    <t>He Relaciones</t>
  </si>
  <si>
    <t>…irma J o = el'mariscal duque Concluye la sesión del 10 de enero de 18 /j. de Tárenlo, Macdonald.” '■&gt;' • ' NUMERO I. : ' NUMERO ni. Cofia He .14 carta del conde He Saint-Marsan al ministro He Relaciones exteriores. Carta del general Yorck al mariscal duque de Tárenlo. ..Berlín i.° de enero de 18 tj. „Excmo. Sr. : ha .llegado un . edecán del señor duque de Tarento, Tacrroggen jo de diciembre de j8ia. ^Ex enviado por el señor principe de Neufchatel. Me ha cele…</t>
  </si>
  <si>
    <t>Remenf</t>
  </si>
  <si>
    <t>…no. Solo se ha salvado una pequeña parte; de suerte que no ié si podremos per manecer aquí mas de 15 dias. ,,La batalla que se. dió á SO leguas de aquí ha sido muy san grienta, El general Remenf ha muerto de resultas de sus heridas: todos nuestros generales de dividen han sido heridos, el general Cempsue en la espalda , el general Morand én la mexdla , el gene ral Dessaix en el brazo, el general Isiaut y su hijo en el muslo: también el mariscal fúé h…</t>
  </si>
  <si>
    <t>Renden, José</t>
  </si>
  <si>
    <t>José Renden</t>
  </si>
  <si>
    <t>1T47 por lo que lo recomiendo muy particularmente» y ha contraído un mérito singular en estos dos dias. „ También r ¿comiendo al gTe de e'tado mayor el capitán D. José Renden por su actividad y lo bien que desempeñó las funciones de su empleo ; al teniente coronel ingles Camak , al servicio de- España, que estuvo á mis órdenes por disposición deí señor general en gefe, por el buen deseo'que me manifestó de ser empleado en el mayor…</t>
  </si>
  <si>
    <t>Renjifb, Juan Manuel</t>
  </si>
  <si>
    <t>Juan Manuel Renjifb</t>
  </si>
  <si>
    <t>…para el nombramiento de diputados para las próximas Cortes ordinarias, y de los individuos que han de componer la diputación provincial, han sido electos Para diputados de Cortes. D. Juan Manuel Renjifb, cura de Casavieja. D. Eusebio Sánchez de Ocaña , vecino del Barco de Avila. Suplente. D. Juan Agustín Sanz, vecino de Arévalo* Para la diputación provincial. D. Miguel Benito Cantero y Grande , provisor y canon igo de esta santa iglesia. D. Juan Sánchez Berm…</t>
  </si>
  <si>
    <t>Renny</t>
  </si>
  <si>
    <t>…a de su puntería, y por la osadía de su ataque,, causando mucha pérdida al enemigo. ; Rl general barón Winzingetode elogia mucho el zelo y taleptos; del gefe de su estado mayor el general Renny: el Príncipe Real ha notadq con gran satisfacción su porte en varias.- ocasiones, y con particularidad en. la ultima batalla-.. El exército sueco» recordó con orgullo que uno -de sus mejores caudillos el feld-mariscal conde Jorstensón haJbia ya hecho célebres…</t>
  </si>
  <si>
    <t>…cansa isas perdida si enemigo por lo a ertado de sus tiros, y por la osadía de su ataque. Ei general barón Winzlngerode elogia mucho el celo y talentos del gefe de su estaco mayor general Renny : el Príncipe real ha notado so conducta con macha satisfacción en varias oca¿iones, y especialmente en la última batalla. El exéreito sueco se acordó con orgullo que uno de sus mejores cabos, el fcld-maríscsl conde de Yorsteasom, había ya hecho fa mosos los…</t>
  </si>
  <si>
    <t>Renouit</t>
  </si>
  <si>
    <t>14® quier, Pommereult, Lavalette, Portal, Corvetto» .... 6,m Un informe del señor Renouit, médico ins conde Molúy Quinñete, Bégouen, d Uautetive, pector de las cárceles de estado, con fecha d^l 23. Corsini, «1 duque de Dalberg. 7.0 Una declaración del señor Bouhin, gefe ae división en el departamento del Sena, con fecha del 28 de noviembre’último.…</t>
  </si>
  <si>
    <t>Renovales</t>
  </si>
  <si>
    <t>…onales, que no hayan remitido aun á las mu horas, la caballería se arrojó rápidamente sobre Ca- nicipalidades el inventario que prescribe el artícu ravajales, é hizo prisionero al general Renovales, lo 3.0 de nuestro decreto de 3 de marzo de este mui conocido en todas las provincias de Vizcaya, año, deberán entregarlo en el, preciso término d¿ de Asturias y de Galicia, al coronel D. Manuel ocho dias después de comunicado el presente de Domingnez, que se…</t>
  </si>
  <si>
    <t>Renovales, O. Tomas</t>
  </si>
  <si>
    <t>O. Tomas Renovales</t>
  </si>
  <si>
    <t>…dicho coronel Manso, y mandando hacer alto á la infantería en dicha altura, se dirigió él mismo con la ca ballería en alcance de los enemigoshaciendo que 20 lanceros al mando del teniente O. Tomas Renovales se adelantasen á Cerezal, y que el capitán D. Félix Vicente con 30 caballos pasase por Vi llar de los Pisones , ínterin él en persona ccn el retío del escuadrón se dirigía por cima de la aldea de Lauseros , con el objeto de cor* farles la retirada. Los enemig…</t>
  </si>
  <si>
    <t>Rensselaer, Van</t>
  </si>
  <si>
    <t>Van Rensselaer</t>
  </si>
  <si>
    <t>…i— y ganaron, odiqhas obra? y..la batería deljénemigo. ..eos. (alíarning'eckroníclñ). &gt; ’—3- En-ócasion1'de juntarse el parlamento el mas De este ataqüé salió gravemente herido el coronel Van Rensselaer, por lo que fue preciso trasladarle ministerial de nuestros periódicos, el Cotirrier puá la otra parte del rio. El general Brock y .su ede ., biiea un artículo que contiene a!gunas noticia* cán , y el coronel Macdonald, del exércitó ingles, curiosas sobre‘el…</t>
  </si>
  <si>
    <t>Rensselktr, Van</t>
  </si>
  <si>
    <t>Van Rensselktr</t>
  </si>
  <si>
    <t>…quequeno nose dignos americano, sentimientos experimente de un ; • podrá desear una paz destructora de su ínteres prin esten cangeados. cipal, ó contraria á su honor. _ . El mayor general Van Rensselktr hizo dimisión La elección electoral se verificó en la Pensilva- del mando de las tropas que de tienden las fronte 'nia el viernes próximo pasado. Sus resoltas son del ras occidentales» y ha sido nombr.id?&gt;¡$uee'íor suyo 'mejor auspicio para la importante caus…</t>
  </si>
  <si>
    <t>Repean, Evan</t>
  </si>
  <si>
    <t>Evan Repean</t>
  </si>
  <si>
    <t>…si im^ „Todo batallón de infantería y todo regimien posible que el Indostan np sea el teatro de una to de caballería, sé aumentará con un regimiento de guerra civil. cazadores. El caballero Evan Repean, nuevo gobernador „Los destacamentos de cazadores se compon de Bombay, llegó á su gobierno á mediados de . drán de voluntarios que se vestirán y montarán pór agosto en la fragata inglesa la Volare. su cuenta. Podrán dexar el servicio quando les aco mode , con…</t>
  </si>
  <si>
    <t>Repnin</t>
  </si>
  <si>
    <t>…cdonald había oficiado al conde Wittgenstein con el fin de trataT de una ca pitulación, noticioso sin duda de que se hallaba completamente cer cado. El conde Wittgenstein envió al príncipe Repnin á tratar con el mariscal. Igualmente se recibieron noticias el lunes pasado de ha ber capitulado la guarnición de Memcl; y el feld-mariscal conde</t>
  </si>
  <si>
    <t>…do han que lado aquí mil infante* rusos á las órdenes del general Diebitsch , habiendo atravesado por la ciudad de 7 á 8000 de caballería. Beauharnois se ha retirado á Leipsic. El príncipe Repnin, que mandaba los rusos,* entregó el mando á las 4 de La tarde ai'genera! KutusoW jhijo del feld-mariscal. Los generales rusos asistieron al teatro , donde fueron recibidos con grandes aplausos.” Una división de tropas rusas al mando del general Bekendorif, se…</t>
  </si>
  <si>
    <t>Represa, Isidoro Alaiz y</t>
  </si>
  <si>
    <t>Isidoro Alaiz y Represa</t>
  </si>
  <si>
    <t>…de la Peraleda de Garvín, párroco de Piedra-escrita. Dr. D. Victoriano Gómez de la Fuente, presbítero, de Colmenar de Oreja. ^ &lt;?* Para la diputación provincial d los señores ;Dr. D. Isidoro Alaiz y Represa, canónigo doctoral de esta santa iglesia primada. D. Joaqujn Sobrinos, hacendado, labrador y ganadero de la villa de Talavera de la Reina. ...... Lie. D. Simón de Codes, hacendado de la villa de Ocaña. D. AlfonsoPeñalver, presbítero, hacendado de la villa de…</t>
  </si>
  <si>
    <t>Represa, Juan</t>
  </si>
  <si>
    <t>Juan Represa</t>
  </si>
  <si>
    <t>…bstituto segundo. hamo de tas Sal.primero. D. Agustín Mlchel, substituto segundo. D. Josef Fabregas, alcalde. Barrio de S. Cayetano. D. Manuel Lucio Gutiérrez, substituto primero. D. Juan Represa , alcalde. D. Agustín Pascual, substituto segundo. D. Diego de Villa, substituto primero. Barrio de S. Pascual. D. Bartolomé Cano de Molina, substituto se D. Angel Sahagun, alcalde. D. Vicente Esper, substituto primero.gundo. Barrio de las Niñas de la Paz. D.…</t>
  </si>
  <si>
    <t>Repujo</t>
  </si>
  <si>
    <t>…2gr ^¿ . : j : ■ ' ‘ . .A7.ÍU’ ' / ESPAÑA. . rAvtvnoN 'i\&gt;. f-í tX'íjm.’X Zaragoza ao de diciembre^ ■ Extracto de papeles franceses hasta $ delcorrUnte. Francfort de noviembre* El;príncipe Repujo gobierna militarmente la Saxonia, y acaba de imponer una contribución extraordinaria de gyerra de do$ millones de rixdalers. Los saxónes de edad: de ítLá 45 áños han sido llamados á las armas. La Reina de Baviera llegó á Carlsruhe el 22; Segub las últimas gaz…</t>
  </si>
  <si>
    <t>Rernadotte</t>
  </si>
  <si>
    <t>…o del exército combinado del Norte en Alemania al mando d. l príncipe Bernadutte. En el cuarto boletín publicado en Postdam 221 de Agosto se indican las posiciones del exércúo del príncipe Rernadotte desde</t>
  </si>
  <si>
    <t>Resuelto, Antón</t>
  </si>
  <si>
    <t>Antón Resuelto</t>
  </si>
  <si>
    <t>…ndola de puño como de todo quanto dependa de mi , y que no sea mió. el mas diestro: yo, señor mió, perdónenme todos; Madrid i.° de enero de i8i3.=Ánton Resuelto. XO Se equívoca el Sr. Antón Resuelto en quanlo í cia, que podía traer fatales consecuencias para la socie la aplicación de Jos bienes á las ánimas dei purgatorio; dad, Solon quise obligar á los buenos ciudadanos á de en lo demas se conoce que es hombre que ha leído; el clararse desde luego por e…</t>
  </si>
  <si>
    <t>Retana, Francisco</t>
  </si>
  <si>
    <t>Francisco Retana</t>
  </si>
  <si>
    <t>…itud de la patria. Concluyen las promociones hechas por la Regencia del rey no en la di visión que manda el mariscal de campo D. Francisco Éspox y Mina. A tenientes de fusileros á D. Francisco Retana, D. Agustín Men* dioroz, D. Juan Francisco Guelbenzu , D. Joaquín Diez, D. Do mingo Zaídna, D. José Buesa, D. Antonio Gastón, D. Tomas Otochoreua , D. Antonio Alvarez , D. Manuel Sesé , D Martin Martínez, D. Antonio Laso y D. José Moriones: á subtenientes de…</t>
  </si>
  <si>
    <t>Retes, Manuel de</t>
  </si>
  <si>
    <t>Manuel de Retes</t>
  </si>
  <si>
    <t>…pe rentorio se les séllala, comparezcan por sí ó por procuradores con los correspon dientes poderes, al juzgado de'dicho señor juez y por la escribanía mayor de ren tas á cargo de D. Manuel de Retes, é deducir sus acciones en las causas que contra los mismos están pendientes, y sigue la parte de la hacienda pública, sobre que se les declare por adictos y partidarios de los enemigos, é incursos en las penas á que se han hecho acreedores: que si asi lo hic…</t>
  </si>
  <si>
    <t>…s, que por único y perentorio se les señala, comparezcan por &lt;sí, ó por procuradores con los correspondientes poderes, á mi juzgado, y por la escribanía mayor de rentas á cargo de D. Manuel de Retes, á deducir sus accio nes en las causas que contra ios mismos están pendientes , y sigue la parte de la hacienda pública, sobre que se les declare por adictos y partidarios de los enemi gos, é incur*os en las penas í que se han hecho acreedores: que si asi lo…</t>
  </si>
  <si>
    <t>Retira, Francisco</t>
  </si>
  <si>
    <t>Francisco Retira</t>
  </si>
  <si>
    <t>…armas en pabellón: esta es tropa que ha llegado nueva mente , pues no es de la que se ha visto hasta ahora. Nuestra caño nera ocupó su puesto. Berga 2 de Abril de 1813. Parte del brigadier D. Francisco Retira al Sr. general en gefe del primer exérctto. „Excmo. Sr.: En cumplimiento de lo que ofrecí á V. E. en el parte dado desde Campsedon de la sorpresa hecha en Francia en la plaza de Prast de Molió (I), remito ahora el parte -circunstanciada que me ha dado el coro…</t>
  </si>
  <si>
    <t>Retis, Pedro</t>
  </si>
  <si>
    <t>Pedro Retis</t>
  </si>
  <si>
    <t>…os. Los rebeldes asesinaron á una muger, y fué la única pérdida que sufrió en gente el pueblo. 70. El brigadier D. Torcuato Truxillo escribió desde Valladolid el 27 de Setiembre á D. Pedro Retis, administrador de correos de Qaerétaro, y entre otras cosas le decía: «hoy hace ocho dias batió el activo D. Pedro Celestino Negrete á Verdusco, pretendido vocal de la ridicula junta, y otros cabecillas que se encontraban con macha gente, en las eminencias de…</t>
  </si>
  <si>
    <t>Reubes-G.umt</t>
  </si>
  <si>
    <t>…dará inmediatamente que no se aprehenda indivi para dexareu Inglaterra, con la calidad de agente duo alguno que esté á bordo de las embarcaciones de los prisioneros de guerra, al.señor Reubes-G.umt americanas. Ademas de esto consentirá el gobierno Bascley, y os suplico que le facilitéis los medios ne brii anico que se ajuste un arreglo definitivo quanto cesarios para desempeñar sus funciones. antes sea posible de todos los puntos pendientes, y „Tengo el…</t>
  </si>
  <si>
    <t>Reus</t>
  </si>
  <si>
    <t>…ón ?derlo£ exércitos. franceses en su retirada. Ademas de esto el general Wredej marchaba con 60© hombres áErfurt, segundo punto dé re tirada deí exé,rato francés, mientras que el príncipe Reus, cuyo cuerpo dé observación está ahora libre, puede con 40$ hombres y la leva del Tiro! -marchar igualmente á la Suiza, á la Alsacia o al Brema, y acaso llegar has ta l&amp;iiaq. , J)el rO. ■■ &gt;r¡: I ?.‘.ú ~r t ' . . So sabe ptorcoaducto del mayor crédito que la…</t>
  </si>
  <si>
    <t>Reuss</t>
  </si>
  <si>
    <t>…en estos dos dias 30 cañones copiios, y otros 5© pdsi-mtr^s. Según les ú timos ¡aformes, el genere! Biucher continuaba persi guiendo al enemigo con !a e¿ayor celeridad. Ei general príncipe Reuss, qne d.xe ser de los prisioneros cogi dos en la brillante acción de ayer , ha muerto de tus huidas. ——</t>
  </si>
  <si>
    <t>Reuss, Von</t>
  </si>
  <si>
    <t>Von Reuss</t>
  </si>
  <si>
    <t>…e caballería el conde de Klenau. Un tercer exército protege aí Austria sobre el Ems , y tiene su punto de reunión en Wels sobre el rio de Trauen: está mandado por el Feld-mariscal príncipe Von Reuss.__:El quarto exér cito está en Steyermark á las ordenes del general Hiiler, que tiene su quar tel general en Pittau; y en Presburgo se junta un exército de reserva. El general Duca está ya nombrado para acompañar á S. M. Aunque todos los exércitos están ya re…</t>
  </si>
  <si>
    <t>Revna, José María de</t>
  </si>
  <si>
    <t>José María de Revna</t>
  </si>
  <si>
    <t>…a María de Cuvo ié de Julio de 1813. = El conde dei Abismal. 2= Sr. Don Luis Wimpfien, = Es copia. = Witnpjfen. = Es copia.” Capitulación del fuerte de Santa Engracia de Pancorvo. D. José María de Revna, teniente coronel del cuerpo de artille ría. nacional, mayor de brigada de su arma en el exército de Anda lucía, y ayudante éer carneo del Excine. Sr. conde del Abisfeai, ca-</t>
  </si>
  <si>
    <t>Revollo, José</t>
  </si>
  <si>
    <t>José Revollo</t>
  </si>
  <si>
    <t>…ar á D. Miguel Moreno, D. Manuel Quinta na, D. Felipe Bauza, D. Manuel de Llano, D. Eugenio Tapia y D. Vicente »Sancho ; y para suplentes á D. Pablo Lailave por lo eclesiástico, y D. José Revollo y D. Juan Aeevedo por lo secular. —■ Lo tendrá entendido la Regencia del reyno para su cumplimiento, y lo hará imprimir, publicar y circular. = Florencio Castillo, pre sidente. = José Domingo Rus , diputado secretario. = Manuel Cro~ yanes, diputado secretarlo.nDado en Cádiz á…</t>
  </si>
  <si>
    <t>Revollo, Josef</t>
  </si>
  <si>
    <t>Josef Revollo</t>
  </si>
  <si>
    <t>…ñores D. Miguel Moreno, D. Manuel Quin tana, D. Felipe Bauzá, D. Manuel de Llano, D. Eugenio Tapia y D. Vi cente Sancho. Los suplentes son D. Pablo Lallave por lo eclesiástico , y Don Josef Revollo y D. Juan Acevedo por lo secular. El Mercurio Lusitano de 7 del corriente inserta una carta, cuyo conte nido, sacado de un periódico ingles , es digno de atención, ya por la nove dad de algunos particulares que nosotros ignorábamos , ya porque da mar gen á grandes y profundas…</t>
  </si>
  <si>
    <t>Rey, Francisco del</t>
  </si>
  <si>
    <t>Francisco del Rey</t>
  </si>
  <si>
    <t>…tillo de Mordía; y el Excmo. Sr. general en gefe, que se híl!a bien instruido tanto de la buena dirección y sobresalientes disposición:s que durante el sitio ha tomado el coro nel D. Francisco del Rey, ayudante primero d;l estado mayor de los cxércítüS nacionaks , como del acierto y tino de la artillería empleada eri él, y á la que se debe su pronta destrucción ; les da las gra cias , y hará préseme al supremo gobkrno de la nación el mérito que han contraí…</t>
  </si>
  <si>
    <t>Rey, Manuel</t>
  </si>
  <si>
    <t>Manuel Rey</t>
  </si>
  <si>
    <t>…e una parte por el ayunante comandante el caba llero de Songeon, gefe de estado mayor de las tropas francesas exis tentes en dicho castillo, encargado con plenos poderes del señor general Manuel Rey , comandante en ge£3 de las referidas tropas; y por los señores el coronel Delancey, diputado cuartel-maestre-gene ral, el coronel Dicksoa, comandante da la artillería, y el teniente coronel Bouverie por parte del señor teniente general Tomas Qraham ; los cua…</t>
  </si>
  <si>
    <t>…na’ parte por el ayudante comáridante el caballero dédSengeon, gefé dé estado ma) or de las tropas francesas existentes en dicho ©astillo , en cargado con'plencs poderes del señor general Manuel Rey, comandante en •gefe de' las referidas ttopas;' y pondos señores el coronel Delancéy ^diputa do qyárteí-maestrepeneral, el coronel Dickson , comandante'de da artillería, y el teñiente coronel BenVerie 'por parte def señor teniente general Tomas Graham; los qu…</t>
  </si>
  <si>
    <t>Reyes</t>
  </si>
  <si>
    <t>…orque llevaban el mismo vestuario que los patriotas, lo que fue muy ventajoso , pues se hirieron entre sí con los machetes. El resultado fue dexar tendidos dentro del pae-. blo al teniente Reyes y 9 compañeros, muchos heridos, y de gra vedad los cabecillas Quixada y Luna , 3 caballos muertos , 23 que les cogieron , 2 muías y 5 machetes: Moreno tuvo un extraviado. (Se continuarán*) Zaragoza 16 de Julio. Partes del mariscal de campo I). Francisco Espez…</t>
  </si>
  <si>
    <t>Reylle</t>
  </si>
  <si>
    <t>…os efectos y 1000 prisioneros de los convalecientes de VaUaoioiid y Falencia. También ha entrado de la parte de Bribiesca un corto destacamento de caballería con un correo para el general Reylle : han cogido un espía del cura Merino, según se dice , cuya suerte está por decidir. Dia 28. Ha salido el convoy que entró ayer para Vitoria, y el correo escoltado por 400 infantes para Valladolid. San Pedro de las Cuevas 6 de Marzo. Los 1500 hombres que habi…</t>
  </si>
  <si>
    <t>Reylos</t>
  </si>
  <si>
    <t>…o estos jóvenes juran incorporarse á las falan servación á las órdenes del príncipe de Eckmülh; ges de los valientes; y ya están en el número de el príncipe de Schwartzemberg y el general Reylos soldados que ha ofrecido este departamento, á nier se hallan delante de Varsovia; el quinto cuer quienes inmediatamente se van á dar los hermosos po se está reorganizando en esta misma ciudad, y caballos que se apresuran á ofrecer los principales d duque de T…</t>
  </si>
  <si>
    <t>Reyma, José María</t>
  </si>
  <si>
    <t>José María Reyma</t>
  </si>
  <si>
    <t>…los cuerpos de infantería y caballería que compusieron ia división sitiadora•; camo también el mérito que contraxeron mis ayudantes de campo les tenientes coroneles D. José Ruiz,, D. José María Reyma , D. "Víctor Viñadez y el teniente D. Benito Diaz , y mi secretario de campaña el sargento mayor D. José Seríate y Salazap, los quales llevaban mis órdenes repetidas veces bastados pies de los muros enemigos, sufrien do con desprecio muy respetable fuego: ei…</t>
  </si>
  <si>
    <t>Reynief</t>
  </si>
  <si>
    <t>…g, el qual permane En la Moldavia se denuncian los bienes que ce quieto en su posición de Pultusk. El cuerpo sapertenecen á los vasallos rusos, y se secuestran de xon que manda el general Reynief está en Oku-, orden de la Puerta. Los víveres que las tropas ru njew. Estos düs ha tenido una ligera escaramuza sas habían dexade? -en los almacenes de la Moldavia con los rusos, Quandó vernos quárro regimientos da se han vendido por cuenta del tesoro turco.…</t>
  </si>
  <si>
    <t>Reynier</t>
  </si>
  <si>
    <t>…ipe de Schwarrzemberg sotros que mientras corra en nuestras venas una sola ha establecido su quartel general en Riatystock; el gota de sangre polaca, aun no hemos hecho por la del general Reynier está en Brzesc. Esta posición patria todo Lo que le debemos. Acaecimientos im del exército austríaco y del séptimo cuerpo ha obli previstos , efectos de la guerra actual , nos piden gado á los restos del exército del general Sachen á este sacrificio. El pelig…</t>
  </si>
  <si>
    <t>298</t>
  </si>
  <si>
    <t>…obra para Según noticias positivas que hemos recibido del contener á los rusos, y escarmentarlos en qualquier cuerpo de exército saxo.n, mandado por el general ulterior tentativa. conde Reynier, sabemos que después de la retirada El ducado de Varsovia tendrá dentro de po del exército grande á la orilla izquierda del Nie cos dias 25G huíanos bien equipados y bien mon men , el general Reynier dexó su posición de Brzesk, tados, y 60G hombres de infante…</t>
  </si>
  <si>
    <t>…Schwartzemberg permanece de gados y los salarios de los ministros inferiores de lante de esta ciudad en su posición de Puhusk. El justicia; y el Emperador ha mandado al gran juez general Reynier tiene acantonado su cuerpo de que medite él medio mas oportuno para dismi exército en las orillas del Bug; y ha rechazado cons nuirlas. tantemente quantas tentativas ha hecho la vanguar Todavía es mas notable la reducción del núme dia del exército ruso. ro de…</t>
  </si>
  <si>
    <t>Reynolds</t>
  </si>
  <si>
    <t>…el Príncipe de Gales; de acaba de pasarse para entregarla í un parlamen que la corona es un depósito para el bien del tario ingles, que ha venido á pedirlo. El cadáver pueblo. del almirante Reynolds, que pereció en la misma Ei mismo Burdett echó después este otro toast: tormenta, no ha parecido. A nuestras sinceras felicitaciones por la libertad del hábil abogado de la reforma parlamentaria, del zeAUSTRIA. . loso enemigo del sistema del azote. Este brind…</t>
  </si>
  <si>
    <t>Reynoso, Manuel</t>
  </si>
  <si>
    <t>Manuel Reynoso</t>
  </si>
  <si>
    <t>…er por mi derecha la caballería enemiga, que pretendía cortar municiones, artillería y bagages , y adelantando al go mi posición para mejorar de terreno, mandé por la izquierda al teniente D. Manuel Reynoso con SO hombres, y yo me dirigí coa el resto por el centro : todo se exeeuté con tasto entusiasmo y ardor, que en menos de una hora obligamos á los enemigos a huir vergan* zos&amp;mente, dexando en el campo 3 cañones ue escaño con sus cure ñas ,*7 fusiles, 2 bande…</t>
  </si>
  <si>
    <t>Reyuier</t>
  </si>
  <si>
    <t>…íaco á las ,, Pe'V. M. &amp;c. := Ftrmado=el canciller guar del. príncipe Schwartzemberg ? y del cuerpo de da-sellos, duque de Lotjí ; &lt;?1 presídeme de las se exércíto saxon i las del general Reyuier. El cuer siones del consejó de Estado, cpndv Jenaroli ; el po de excrcito d§í duque de Taranto y las tropas gran chambelán, duque de Litt.a'; el gran escudero, ¡ se le han iqcprpojjúio ocupan todavía las ori- conde Captara el gran juez ministro de la Jus &lt;jei…</t>
  </si>
  <si>
    <t>Ri, José</t>
  </si>
  <si>
    <t>José Ri</t>
  </si>
  <si>
    <t>…, 1 id. D. Mateo Anta, Lid D. M;guel de Arto i a, 1 id. D. Fulgencio Antonio Zabala, 1 id. D. Francisco Antonio - Quiros, 1 id. D. Miguel Aljovin, 1 id. D. Ignacio González, 1 id. D. José Ri bera, 1 id.. D. Francisco Gavidia, 1 id. D. Juan Bautista y D. Mi guel de la V ña, 1 id.- DJ usé Aibarado, 1 id. D. Melchor í&amp;chaustegnl, 1 id. D. Francisco Montes, I id. D. Sebastian Compare!, 1 id. D. A i tordo D: ñho, 1 i i. D. Francisco Ambrosi, 1 id¿ La…</t>
  </si>
  <si>
    <t>Rico, José</t>
  </si>
  <si>
    <t>José Rico</t>
  </si>
  <si>
    <t>…ínez, subtenientes de granaderos; D. José Heros, ídem de cazado res ; D. Esteban Islaíoyo, D. José Tejada, D¿ José Caña y D. Francisco Vargas, subteniente del segundo de Asturias; D. José Rico , capitán; y D. Juan de Oüoqui, teniente del de Gaadalaxara; D* Juan Loarte, coronel; D. Antonio Villegas y D. Antonio Martínez, tenientes ; Don Luis Alcalá, subteniente dei de la Constitución; D. Mariano Castell, teniente coronel; D, José Rio-mayor, capitán;…</t>
  </si>
  <si>
    <t>Rico, Macario</t>
  </si>
  <si>
    <t>Macario Rico</t>
  </si>
  <si>
    <t>…e los que huyeron por los otros rumbos pereció gran parte con el fuego de la infantería. 30. Ei dia 30 de Mayo, hallándose en Coquio el teniente gra duado de dragones de Quéretaro D. Macario Rico, destacado del segundo cuerpo volante , fué atacado por una: reunión rebelde de bastante número, acaudillado por el infame Jesús Barajas. En el mo mento disputo Rico la tropa ae su manco, y salió á batir 3a cana lla, que tuvo la insolencia de acercarse hasta…</t>
  </si>
  <si>
    <t>Riediger</t>
  </si>
  <si>
    <t>…s é regi mientos de cosacos; á saber, el del mayor general Radiénovr ; el del teniente coronel Tschemoaubovv ; el de Loschischilia; y el del ma« jror Selhvanow, todos al mando del coronel Riediger. Estos obser vando los movimientos del enemigo , á pe9ar de la obscuridad de la noche, se aprovecharon con ventaja de todas las disposiciones que tomaba aquel pará su retirada. El 4 del corriente á la3 2 de la mañana, el coronel Riediger con los cosacos refer…</t>
  </si>
  <si>
    <t>Riega, Lorenzo</t>
  </si>
  <si>
    <t>Lorenzo Riega</t>
  </si>
  <si>
    <t>…io. D. Martin Enseña , alcalde. D. Bernardo Delgado, alcalde. D. Ramón González Quitos, substitut&lt;Jprimero. D. Luis González, sub ¡ñuto primero. D. Pedro Malo, substituto segundo. D. Lorenzo Riega, suhsrituto segundo. B ‘-rm de ?'rs Baronesas. B ir rio de S 1' •cfonso. L&gt;. Juan Sainz de Tejada, alcalde. D Minie! Iisarratru'rre , alcalde. J). Pedro V arge.s, substituto primero. D. Petra Viña, substituto primero. D. Mariano Velando, substituto segnudo. .…</t>
  </si>
  <si>
    <t>Riesco, Miguel</t>
  </si>
  <si>
    <t>Miguel Riesco</t>
  </si>
  <si>
    <t>…ctos, para presidente el Sr. D. José Antonio Sombicla, diputado por Valencia; para vice presidente el Sr. D. José Antonio Navarrete, diputado por el Perú, y para secretario el 5r. D. Miguel Riesco, diputado por Chile. El Sr. duque de Ciudad-Rodrigo ha dirigido al Sr. secretario del despacho dé la Guerra el oficio siguiente 1 .** Excmo. Sr.: El exéreito pasó el Carrion el 7 del corriente , y habiéndose retirado el enemigo á la izquierda del Pisuérga, ad…</t>
  </si>
  <si>
    <t>Riezu, Severino</t>
  </si>
  <si>
    <t>Severino Riezu</t>
  </si>
  <si>
    <t>…or providencia del Sr. D. Francisco de Assin, juez de primera instancia de. ésta villa,-se cita, lumia y emplaza al marques de Almenara, Doña Josefa Tu fió, Dóiía Plácida Urquijo, D. Severino Riezu, D.- Francisco Amorós, D. Juan Bau tista Guítart y D. Silvestre Perez, fugados con el gobierno intruso, para que en el término de 20 citas, que por único y perentorio se les señala, comparezcan por &lt;sí, ó por procuradores con los correspondientes poderes, á m…</t>
  </si>
  <si>
    <t>Rignaud</t>
  </si>
  <si>
    <t>…powitsky, que man teniéndose sobre el flanco del enemigo cuando este se retiraba, le tomó 500 prisioneros. La vanguardia del general barón de V inzingerode persiguió el cuerpo del general Rignaud , y otros destaca mentos enemigos en su marcha á Wesel y Dusseldorf?. El dia 5 las tropas rusas ©coparon la ciudad de Muaster, haciéndole al enemigo en su retirada de este punto 6oo prisioneros. El general Tetíenborn con las tropas de su mando coatuvo la divi…</t>
  </si>
  <si>
    <t>Rignon</t>
  </si>
  <si>
    <t>130</t>
  </si>
  <si>
    <t>…mansa, y se preparan algunas expediciones contra Herrera , Aguilar y Cervera , pero nada contra el principado de Asturias. Herrera del jDttque 94 de Exero* lia columna volante del general Rignon se retiró del Horcajo, en donde ha pesrmaiiecido 5 dias; y ya nos amenaza otra procedente del Pue ute del Arzobispo. Al Campillo han llegado 400 infantes con al gunos caballos pidiendo 95GQ0Q reales, y 4b0Q00 á Yelvis, sin que*</t>
  </si>
  <si>
    <t>Rigual, Josef</t>
  </si>
  <si>
    <t>Josef Rigual</t>
  </si>
  <si>
    <t>…s entierros, los siete salmos penitenciales, con la letanía de.los santos, y las oracipnes de la iglesia contra las tempestades, según el breviario y ritual romano: traducidos por D. Josef Rigual, presbítero. Se har Harán''en el despacho de la imprenta nacional á 5 rs. en papel y 7 en pasta. En la villa de Pezuela de las Torres, provincia de Madrid, distante tres leguas de Alcalá, se hallan vacantes las plazas de médico, cirujano y maestro de primer r…</t>
  </si>
  <si>
    <t>Rimbaa, Juan</t>
  </si>
  <si>
    <t>Juan Rimbaa</t>
  </si>
  <si>
    <t>…ia el acreditado valor con que se porté en las tropas de la derecha el capitán dé cazadores dé S. Fernando D. Narciso Iglesias, su ayudante de campo, é igualmente el que manifestó D. Juan Rimbaa, ca piran de granaderos del mismo regimiento, defendiendo la posición av nzada con su compañía y los caradores de Tarragona y SL Fernando.1 •• : • » Todo lo qué tengo él • héhor de * ponerJ en noticia de V. E., á fin de que se sirva elevarlo al.conocimiento d…</t>
  </si>
  <si>
    <t>Rio, Andrés del</t>
  </si>
  <si>
    <t>Andrés del Rio</t>
  </si>
  <si>
    <t>…encias extrajudicial y amigablemente; con apercibimiento de que pasa do dicho término sin h.ib rio ejecutado, les parará el perjuicio que haya lugar. Se desea saber el paradero de D. Andrés del Rio ó de su hijo D. Valentín, benefi ciado, para comunicarle varios intereses que Je corresponden, poniendo las señas calle deí Arenal, esquina á la de las Fuentes, quarto principal, núm. 9, en casa de Domingo Duque. Hermán de Unna: rasgo historial de Alemania, t…</t>
  </si>
  <si>
    <t>Rio, Juan del</t>
  </si>
  <si>
    <t>Juan del Rio</t>
  </si>
  <si>
    <t>…l de voluntarios de Asturias; D. José María Ocampo, subteniente del de Santiago; D. Pedro Oloris, sargento mayor ; D. Francisco Lapedreza , D. José Salama , Don -Gerónimo Londoño, D. Juan del Rio y D. Francisco Mediaviila, tenientes; D. Francisco Solimi, D. Marcelo Ortiz y D. Francisco Salvador , subtenientes del primero cántabro; D. Silvestre Hidalgo, teniente coronel; D. Bernardo Alvarez, D. José Tai la y D. Manuel Mendez, capitanes; D. Vicente Noriega,D. Francisco Xavier Al…</t>
  </si>
  <si>
    <t>…e yoluntarios de Asturias; D. Josef María Ocampo, subteniente del de San? tiago; D. Pedro Oloris , sargento mayor; D* Francisco Lapedra?a * TXtJosef Salama , D. Gerónimo Londoño;, D. Juan del Rio y D. Francisco: Median villa, tenientes; D. Francisco Solimi, D. Marcelo. Ortiz y D.. Francisco Salvador, subtenientes del primero Cántabro; D. Silvestre Hidalgo, tenien te coronel; D. Bernardo Alvarez, D. Josef Talla y D. Manuel Mendez, capitanes; D. Vicente Noriega, D. Fr…</t>
  </si>
  <si>
    <t>Rio, Manuel del</t>
  </si>
  <si>
    <t>Manuel del Rio</t>
  </si>
  <si>
    <t>…quitándoles 2 patriotas de Teo-caltiche que llevaban prisionero^, 2 fusiles y algunos caballos. 7. Tamazula 8 de Abril de 1812. El capitán D. Miguel de ía Mora, de la división del coronel D. Manuel del Rio, rechazó vigo rosamente á 400 bandidos acaudillados por Francisco Chaves, que se atrevieron á atacarle en su campo de Sta. Rosa, matándoles 1 r de ellos, hiriendo muchos mas , y obligando al resto á huir preci pitadamente. Noticioso de que otra partida de igu…</t>
  </si>
  <si>
    <t>…vez á los cerros. 23. Mientras que los referidos comandantes , teniente coronel D. Manuel Arango y capitán Cuellar perseguían y dispersaban el grueso de la mencionada gavilla, el coronel D. Manuel del Rio, di rigiéndose á la hacienda de S. Diego, avistó 100 rebeldes al mando de Miguel del Rio, que ya se habia separado del viejo Macias y Cár denas , y aunque se pusieron luego en precipitada fuga se les toma ron 80 caballos de remonta, y se pilló á los cabecilla…</t>
  </si>
  <si>
    <t>Río, Manuel del</t>
  </si>
  <si>
    <t>Manuel del Río</t>
  </si>
  <si>
    <t>…aron inmediatamente. ESPAÑA. México 14 de Noviembre de 1812. Continúan los extractos de los partes de Nueva-España. 2 í . Santa Rosa, jurisdicción de Tamazula, Mayo 14 de 1812, Ti coronel D. Manuel del Río, el teniente coronel D. Manuel Aran do y el capitán D. Aíagin Galli, con sus respectivas divisiones , batie ron en la cañada de Sta. Rosa la gavilla de 2© rebeldes de á cabalio y crecido número de infantes, que al abrigo de 5 cañones de b.roní j , y apostados…</t>
  </si>
  <si>
    <t>Rio, Pedro del</t>
  </si>
  <si>
    <t>Pedro del Rio</t>
  </si>
  <si>
    <t>…i, substituto segundo. D. Josef Llorca , substituto segundo. Barrí) de Gu traías Españolas. Barrio de la Hu rta del Bayo. D. Pedro Petez, alcalde. D. Felipe Santintregui, alcalde. D. Pedro del Rio, substituto primero. D. Josef Manuel Aynz Gardazabal, substituto D. Manuel Alba, substituto segundo. hamo de tas Sal.primero. D. Agustín Mlchel, substituto segundo. D. Josef Fabregas, alcalde. Barrio de S. Cayetano. D. Manuel Lucio Gutiérrez, substituto prime…</t>
  </si>
  <si>
    <t>Rio, Ramón del</t>
  </si>
  <si>
    <t>Ramón del Rio</t>
  </si>
  <si>
    <t>…o, con un sargento y algunos soldados. «Los oficiales heridos son ei capitán del regimiento de Guadalaxara "D. Francisco Carnario, el teniente D. Francisco Vaidés y el subteniente D. Ramón del Rio del propio cuerpo. Los tenientes del segundo de Asturias D. Pedro Cobian y D. Benigno Hernández, y el subteniente del de la Constitución D. Próspero Gaiina.</t>
  </si>
  <si>
    <t>Rio-mayor, Josef</t>
  </si>
  <si>
    <t>Josef Rio-mayor</t>
  </si>
  <si>
    <t>…Guadalaxara; D. Juan Loarte* coronel; D. Antonio Villegas y D. Antonio Martínez, tenientes; D. Luis •Alcalá, subteniente del de la Constitución; Mariano Castell, teniente coronel; D. Josef Rio-mayor, capitán ;D. Nicolás Collar, D. Manuel Rajnon Castell, D. Josef María Hernández y IX Josef de Puga» tenientes; IX Ventura Nogueyra y IX Laureano Triarte,, subtenientes del de volunta rios de Ja Corona; D. Andrés Parga, ayudante; D. Ramón Suero Díaz, y D. Fran…</t>
  </si>
  <si>
    <t>Riohardeau</t>
  </si>
  <si>
    <t>…de marzo. sus acciones á nuestros mayores, mas bien que por Ha arribado á la rada de S. Nazario la goleta la vana preocupación de los vencedores del mundo. americana la Chesapeak, capitán Riohardeau, pro ; Por qué entre tanto número de sabios que han cedente de Baltimore, desde dunde ha llegado en escrito de nuestra historia y sus primeros tiempos 26 dias. Trae un rico cargamento de azúcar, caté no ha habido uno que la haya encontrado propia y otros géne…</t>
  </si>
  <si>
    <t>Ripert</t>
  </si>
  <si>
    <t>…este á efectos que produxo en la capital. Las mesas de ios pique de verse envuelto por 600 hombres de caba jaeces se cubrieron de delaciones: llenáronse las llería. Por fortuna el capitán Ripert de los húsares cárceles de Víctimas: mucho» se vieron presos por de la guardia salía á la sazón del Casar con otros que hubo quien dixese que tenían mala opinión en 60 hombres , y al verlo las tropas enemigas se dis ti barrio. De aquí el sistema lucrativo de…</t>
  </si>
  <si>
    <t>Riquelsne, Joaquín</t>
  </si>
  <si>
    <t>Joaquín Riquelsne</t>
  </si>
  <si>
    <t>…, gefes y ceciales de los cuerpos facultativos y del’exército, y un numeroso concurso de todas clases. Se dio principio á ellos coa un discurso que ley© el profesor de matemáticas D. Joaquín Riquelsne , ea que se hacia ver la utilidad de los ramos que allí se ense ñan , y como estos sirven de base á conocimientos mas sublimes deí arte militar , sin los cuales no se puede tocar el grado de perfección necesaria para aspirar á los primeros cargos de la milici…</t>
  </si>
  <si>
    <t>Risco, Jacinto</t>
  </si>
  <si>
    <t>Jacinto Risco</t>
  </si>
  <si>
    <t>…z D, Pe dro Antonio, y el de la caballería de Tinta ; el valiente y activo Doa Julián Campana ; «^comandante y segundó de lasguemlla* dei Real de Lima, teniente D. Juan Vizcarra ; D. Jacinto Risco; y el capi tán de la de Paroro D. Cristóbal Martines; y su alférez D. Alexo Gomsz han llevado el peso de guardias avanzadas diariamente, y su serenidad y valor han proporcionado una marcha cómoda ai exér cito ; á todos los recomiendo á V. S. muy particularmen…</t>
  </si>
  <si>
    <t>Ritz</t>
  </si>
  <si>
    <t>…les de las potencias hacer estos rusos, estos hombres á medio .civilizar amigas en un banquete espléndido, dispuesto en la contra la unión de 110 millones de los europeos casa del caballero Ritz, cónsul general de Dina roas cultos, cuyos esfuerzos dirige el mayor capitán marca, que estaba vistosamente iluminada. Se brin de la tierra ? dó á la salud dél Reí de Dinamarca por el señor La Rusia decanta sus extraordinarios alistaConde Chaban, cuyo brindis…</t>
  </si>
  <si>
    <t>Rivácoa, Manuel de</t>
  </si>
  <si>
    <t>Manuel de Rivácoa</t>
  </si>
  <si>
    <t>…yuntamiento-interino formado en esta-capital el dia\29 del mes pa sado cesó* en sus. funciones, el martes, de la semana próxima; pero antes dé disolverse el regidor constitucional D. Manuel de Rivácoa dirigió á los indi viduos cesantes el siguiente discurso :¡ Señores: nos hémos reunido un número competente de regidores, y de consiguiente se ha instalado el ayuntamiento constitucional para-trabajar por ,sí sólo. V/ SS. han' abandonado las comodidades de su…</t>
  </si>
  <si>
    <t>Rivas, Manuel López de</t>
  </si>
  <si>
    <t>Manuel López de Rivas</t>
  </si>
  <si>
    <t>…re de 1813. = A D. Josef de Limonta.” Por providencia del Sr. D. Domingo Benito Quintana, juez interino de primea ra instancia de e ta villa, refrendada del escribano de provincia D. Manuel López de Rivas, se cita y emplaza 4 todas las personas que por qualquier título ó con cepto crean poder tener algún crédito ó derecho á los bienes quedados por fa llecimiento de Josef Mendoza, vecino que fue del lugar de Vallecas', de esta ju risdicción, para tjue en el tér…</t>
  </si>
  <si>
    <t>Rivera, Gregorio Sánchez de</t>
  </si>
  <si>
    <t>Gregorio Sánchez de Rivera</t>
  </si>
  <si>
    <t>…oPeñalver, presbítero, hacendado de la villa de Mora. Dr. D. Josef Perez de la Maza, párroco de Santiago de Talavera. . Dr. D. Manuel de Mora, hacendado, labrador de la Guardia. N D. Gregorio Sánchez de Rivera, labrador propietario de Gerindote. Y para suplentes d los señores D. Juan Josef Calderón de Ja Barca, hacendado de Orgaz*</t>
  </si>
  <si>
    <t>Rivero, Joset</t>
  </si>
  <si>
    <t>Joset Rivero</t>
  </si>
  <si>
    <t>…rancheo Sanz Ruiz, substituto segundo. D. Pedro Sepúlvcda, alcalde. Barrio de fas Niñas de L&lt;ganes. D. Manuel Valerio de ta Garata, substituto pri D. loscf Costa , alcalde. mero. D. Joset Rivero, substituto primero. D. Manuel Navarro, substituto segundo. D. ju! ¡an Burccnilla, substituto segundo. Barrio de S. Andrés. D. Tuan Antonio Medina, alcalde. CUARTEL DE MARAVILLAS. D. F vancisco Mata, substituto primero. Barríc de S. Basilio. D. Antonio Poma r…</t>
  </si>
  <si>
    <t>Rives, Lorenzo</t>
  </si>
  <si>
    <t>Lorenzo Rives</t>
  </si>
  <si>
    <t>…upa lo extern: r de la plaza á diez le Barrio de Santa Cruz. ' guas en contorno; y que hai fondos en el tesoro D. Claudiu Boutelou, alcalde. : para pagar el sueldo durante un año. D. Lorenzo Rives, substituto primero. - ” Las noticias deThorn eran igualmente satisfac D. Gregorio- Martínez-de-Mollinedó1» substituto torias. Las comunicaciones de esta ciudad con el segundo. cuartel general estaban libres. La plaza estaba bien Barrio de Santiago. armada..L…</t>
  </si>
  <si>
    <t>Rleist</t>
  </si>
  <si>
    <t>…rio de Suecia , para cuyo recibi miento se hacen preparativos en Luneburgo. Estas noticias las , ha dado el ministerio de la Guerra , por boletín^ ~ í Se creía en Hamburgo que el. general Rleist se, habla apoderado de Wit temberg ; pero no-se sabia si por capitulación:ó pór asalto. Toaos los avisos que se i han recibido, dé la Erusía están de acuerdo en que hasta el 14 los exércitos.del eonde de Wittgemtein y , del general Blucher avanzaban rápidamen…</t>
  </si>
  <si>
    <t>Ro</t>
  </si>
  <si>
    <t>…ro. equipados; Utrech 20 soldados de á caballo; Aix- Para el de Arañuel, vacante por ascenso de la-Chapellc 20; Colonia 40; Borcete cinco. D. Mateo Monzó al curato de Espadilla, á D. Ro La ciudad de Amiens ofrece á S Al. 30 solda que Todoli, seminarista , presbítero. dos de caballería, armados y equipados; la ciudad Para el de Benirredrá, vacante por promoción de Angers 4; ; el cantón de Metz quatro; la ciu de D. Antonio Agramuntell al curato d…</t>
  </si>
  <si>
    <t>Ro, Antonio</t>
  </si>
  <si>
    <t>Antonio Ro</t>
  </si>
  <si>
    <t>…avier Losada y Pol, iherido.; Brigadier comandante general interino de la quarta división D. Federi co Castañoo^&amp;eridov ; - . Brigadier; segundo gefe del estado mayor del exército D. Antonio Ro$elló,Jiendo. .,1 '■ Coronel gefe de estado mayor del centro D. Luis Laviña, herido. . Brigadier gefe;del estado mayor del exército Di. Estanislao Sánchez Sal vador, dos caballos muertos. i. ; Subteniente jy; ayudante suyo D. Josef'García, herido. . Segundo ay…</t>
  </si>
  <si>
    <t>Ro, Bonifacio</t>
  </si>
  <si>
    <t>Bonifacio Ro</t>
  </si>
  <si>
    <t>…tanes á D. Gabriel Sequeira y D. Alfonso Hernández Ea el de Navarra á ayudante á D. Juan Antonio Pardo; á tenientes á D. Francisco Lo zano y D. Pedro Fernandez, y á subtenientes á D. Bonifacio Ro dríguez , D. José Sánchez y D. Manuel de los Santos. En el de Ir landa á capitán ¿ D. Miguel Miangolarna; á ayudante á D. José Alba; á teniente á D. José Benet, y á subteniente á D. Felipe Negrete. En el cuerpo de ingenieros de los exércitos nacionales, en la…</t>
  </si>
  <si>
    <t>Ro, Lorenzo Calvo de</t>
  </si>
  <si>
    <t>Lorenzo Calvo de Ro</t>
  </si>
  <si>
    <t>…czz Banderilla de fuego al filósofo rancio sobre el tribunal de la inquisición &amp;c.: un quaderno en 8,°, á 6 quartos. =: Apología de los palos dados en la ciudad de Cádiz al Excmo. Sr. D. Lorenzo Calvo de Ro zas (miembro que fue de Ja Junta central) por el teniente coronel D. Joaquín de Osma: publícalo, en obsequio de las armas y las letras, el licenciado Palomeque, con notas del doctor Encina*, este papel es una mui fina y graciosísima crítica de varios personag…</t>
  </si>
  <si>
    <t>Ro, Sir</t>
  </si>
  <si>
    <t>Sir Ro</t>
  </si>
  <si>
    <t>…a, se vio obligado á abandonar esta posición durante la noche, y retirarse dentro de Francia. = En todas estas acciones se condu jeron las tropas señaladamente bien, y el teniente general Sir Ro lando Hill quedó muy satisfecho de la conducta de los generales Stewart y conde de Amarante. = Desde que últimamente escribí á V. E. he recibido una carta de 30 de Junio anterior del teniente general lord Guillermo Bentinck. Según otros avisos, el duque dei P…</t>
  </si>
  <si>
    <t>…ciales y tropa«La relación mi ma hará ver á V. E. los finid dos motivos que tengo para estar satisfefcho de la conducta del m*riscal Sir Guillermo Beresford , y de la del teniente general Sir Ro asdo Hill-, que d’rigeron los ataques centra el cintro y derecha del</t>
  </si>
  <si>
    <t>Robert</t>
  </si>
  <si>
    <t>…casión de batir al enemigoi y asi aprovecháronla que 5e les proporcionó en «1 dia 19 del presente. Mas de 4© infantes con quatro piezas de artillería y 100 caballos, al man do del general Robert, salen de la plaza de Torrosa con objeto de batir ¿ Ja tercera división, que defendía la orilla izquierda del Ebro&gt; sosteniendo el pa so de este rio al frente de Amposta; y ya casi seguro el enemigo de hacerse dueño de la artillería, carros, equipages y gran…</t>
  </si>
  <si>
    <t>…het quando aban donó aquella plaza. La guarnición de Tortosa está mui descontenta al considerar tan inme diato un sitio riguroso, y que por una equivocación &lt;5 una temeridad de su gobernador Robert ha quedado reducida á menos de uña mitad. En el dia 26 del corriente dio principio el ilustre ayuntamiento de esta ciudad al juicio público de purificaciones en el salón de sus sesiones. El con curso fue numeroso. La circunspección y el orden que distinguen á…</t>
  </si>
  <si>
    <t>…luego Juego. Madrid 2_9 de octubre. Quartel general de Ulldecona a o de octubre. Según las noticias que suministran los pasados de la plaza de Tortosa,su guarnición, al mando del barón Robert, consta de seis batallones, que son eí 3.0 y 5.0 infantería ligera, el n.°, 2o.0, 114.° y 1*7.° de línea, en cuya fuerza total discordan todos, no obstante que ninguno la hace pasar de 4 á 5® hombres, inclusos de 800 á 1© que se hallan enfermos en los tres ho…</t>
  </si>
  <si>
    <t>Roberto, Cirios</t>
  </si>
  <si>
    <t>Cirios Roberto</t>
  </si>
  <si>
    <t>…S. Esteban &amp;c. &amp;c., mi ai tro de estado y de las conferencias, y de los negocios extrsngeros de S. M. I. R. y Apostólica : y de psrte de S. M. el emperador de to as las Rusias el Sr. Cirios Roberto, conde de Nesselrode, c:,ncil;er priado, secretario de'estado, gen til hombre , y caballero de la orden de S. Vaídemiro &amp;c.: los cuales, habiendo ca.-geado sus plenos p deres, y ha 1 ídolos en buena y de bida forma, se han convenido en ios artículos siguient…</t>
  </si>
  <si>
    <t>Robertson</t>
  </si>
  <si>
    <t>…ticipa en oficio de 1-6 de Febrero último- al contra-almirante Freemantie la toma de las islas Augusta y Curzola, en el Adriático, por un destacamento de tropas á las, órdenes del coronel Robertson, sostenidas por los mari neros y soldados de marina del Apolo : al mismo tiempo comunica el apresamiento del corsario Esperanza y de 4 chalupas cañoneras. El dia que se rindió Curzola se apresaron también en el estrecho 7 barcos destinados para Ragusa y Catar…</t>
  </si>
  <si>
    <t>Robinscrn</t>
  </si>
  <si>
    <t>875 .calculars&lt;; en 1500 hombres en los dos días. Entre, los heridos se cuenta y lo está gravemente ei valiente general Robinscrn, que tanta gloria adquirid en este dia; v ( • * ■ ; -■ A las nueve de ía noche del mismo se presentó en los puestos avanzados &lt;de la .quarta división un'oficial aleman del regimiento de Nassau, que esta ba en la reserva enemiga, participando hallarse á las in…</t>
  </si>
  <si>
    <t>Robinsoa</t>
  </si>
  <si>
    <t>…ue la heroica perseverancia de las tropa# fué al fin coronada con la victoria. »La columna de ataque se componía de la segunda b igsd'? de ja quinta división, mandada por el mayor general Robinsoa, con el Inmediato apoyo de los destacamentos siguientes; 150 volunraios de la división ligera, mandados por el teniente corone! Hunt del 52 de infantería libera; 400 de la primera división , consistiendo en 200 de las brigadas de guardias á las órdenes del te…</t>
  </si>
  <si>
    <t>Robinson</t>
  </si>
  <si>
    <t>…a distinguido también el teniente Campbed; pero sobre todo se hizo digna de admiración la conducta dei teniente liante, estimu lando con su exemplo á los marineros y soldados. „E1 coronel Robinson dirigió el desembarco con suma actividad. Se han distinguido también los oficialas Mnallo , Imbcrt, Patella y T rapan i, á quienes se servirá V. E. recomendar á S. A. R. Nues tra pérdida ha sido muy corta en comparación de la del enemigo, pues consiste solo e…</t>
  </si>
  <si>
    <t>…a izquierda, tomó el pueblo de Gomarra menor. ,,Luego que tuvimos posesión dejas alturas, el lugar de Gomarra ma yor fue asaltado y tomado por la brigada de la quinta división del brigadier Robinson, que se adelantó en colunas de batallón, ayudado de dos cañones del mayor Lauson, sin tirar un tiro , baxo un terrible fuego de artillería y fusil: el enemigo experimentó mucha pérdida, y se le tomaron tres cañones. ,, El teniente general procedió entonces á…</t>
  </si>
  <si>
    <t>…ucta altamente meritoria del capitán, James Stewart del tercer batallón de Reales escoceses, ayu dante de campo del mayor general Hay, como también al ayudan te de campo del mayor general Robinson, al capitán Wood del 4.0 de infantería , y á los capitanes Williamson y Jones de este regimien to, el primero de los cuales fue gravemente herido mandando el 4.?» y siguiendo con ia mayor bizarría en los momentos de menos espe ranza ; habiéndose quedado en su…</t>
  </si>
  <si>
    <t>…divisiones ligera y quarta. Debe decirse en honor y gloria del v$Ior ingles, y de su superioridad sobre los enemigos, que una brigada inglesa de la?quinta división, mandada por el general Robinson, sostuvo durante hora y media, y sin perder una pulgada de terreno, el ata que de las dos divisiones enemigas, dando lugar con su heroica resistencia á ia llegada d? otros cuerpos, que atacaron inir? atamente al enemigo, y lo ^arrojaron hasta el campó refriri…</t>
  </si>
  <si>
    <t>Robles, José Coronado de</t>
  </si>
  <si>
    <t>José Coronado de Robles</t>
  </si>
  <si>
    <t>…omaron 30 y tantos caballos. 18. ■ TIalienando Mayo 11 de Los patriotas de Colorian V* otros pueblos inmediatos, reunidos á la compañía de la frontera, y a las órdenes del capítan D. José Coronado de Robles, atacaron en eL baxío de los Tocoletes, cerca de Tlaltenango, a 400 bandidos món-"* tados , que reforzaban á 1200 de á pie, acaudillados por Antonio Salcedo, Tornas Gómez y otros , mataron 45° e-h°s &gt; hirieron á muchos, cogieron 60 prisioneros, y les tomaron…</t>
  </si>
  <si>
    <t>Roch</t>
  </si>
  <si>
    <t>…ia, que cesará muy pronto. Se ase gura que Suchet se ha restituido á Francia con 500 caballos ; pero esta noticia no tiene toda la exactitud necesaria á pesar de varias cartas. El general Roch queda encargado del sitio de Sagunto, contra cuyo fuerte ha empezado ya á obrar la artillería. El comandante de la división valenciana Fr. Asenslo Nebot ha reducido los enemigos de Morella á solo el castillo, cuja rendi ción esperamos muy pronto ; al paso que…</t>
  </si>
  <si>
    <t>…s armas respectivamente cun y lien n con los deberes de su ins tituto, habiendo maniobrada con mucha felicidad y acierto la artillería de la división mallorquína y parte de la del general Roch , que fue la únicas que de esta arma se halló en la acción, por r.o haber pasado aun el rio á. Causa de acabar de llegar á su margen izquierda la noche anterior-</t>
  </si>
  <si>
    <t>Roche</t>
  </si>
  <si>
    <t>…ente contra el general Reche, que cubre el camino real que paB&amp; por Elda. „E1 general Flioj0on un cuerpo compuesto de 4 batallones y 300 caballos, ocupa á Yecla, y comunica con el general Roche. nEn consecuencia de esta concentración del éxército aliado el /•</t>
  </si>
  <si>
    <t>…tes incendiarios, se facilitó la llegada de nuestras tropas, que acometieron la altura con la mayor resolu ción. Sin embargo , el enemigo no la abandonó hasta que murió el coronel comandante Roche, y quedaron también muertos ó prisio • ñeros la mayor parte de los oficiales ; de suerte que la altura estaba (hablando sin exageración) cubierta de cadáveres. Entre tanto la di visión de la fiotilla enemiga rompió un fuego terrible de cañón con tra las bater…</t>
  </si>
  <si>
    <t>…rección á Palencia. Alicante 77 de Junio. El enemigo ha abandonado precipitadamente el puerto de AIbayda después de haber sido derrotado completamente por las.tro pas que manda el general Roche. También ha evacuado á Onteniente. El cuartel general de nuestro.exército está ya en Xátiva. ARTÍCULO DE OFICIO. La Regencia del rey no se ha servido expedir los decretos siguiente x: Primero. D. Fernando vii, por la gracia de Dios y por la Constitueicn</t>
  </si>
  <si>
    <t>…curso. (Conciso.) Alicante jj de junio. El enemigo ha abandonado precipitadamente el puerto de Albaida, des pués de habar sido derrotado completamente por las tropas que manda el -general Roche. También lia evacuado á Orneme nte. El quartel general de nuestro exército está ya en Xátiva. Del 2 j. ■■ En Valencia se están derribando los edificios mas magníficos, al paso que son continuamente asesinados en la horca muchos de nuestros conciu dadanos. Pro…</t>
  </si>
  <si>
    <t>…nes de Denia y Xátiva se igualan á las demas del ter reno libre, á pesar de las bárbaras exacciones y saqueos que han sufrido. La ciudad de Gandía ha ofrecido para la división del general Roche 20® reales y 24® raciones de pan, etapa y vino, ofreciendo continuar á pesar de su situación en estos auxilios. Madrid 8 de julio. Articulo separado correspondiente al tratado inserto en la gazeta ante rior entre la draii Bretaña y el Rei de Suecia. S. M. el…</t>
  </si>
  <si>
    <t>Roche, Felipe</t>
  </si>
  <si>
    <t>Felipe Roche</t>
  </si>
  <si>
    <t>…comarcanos han hecho un saqueo mui horroroso, y á'mas se han llevado la mayor parte de los mozos. Esperamos hmi en bre ve la evacuación de la esclavizada Valencia. V „ JPel /a. El general D. Felipe Roche acaba de avisarme de oficio, con fecha de 9, estar eu posesión con las tropas de su mando en los puntos puerto de Albaida y Onteniente, que/hasta ahora han sido ocupados por los enemigos, los que llevan dirección á S. Felipe. Se participa ai público para su s…</t>
  </si>
  <si>
    <t>…pañado del príncipe de Anglona y írn .lúcido acompañamiento. En seguida pasó á Concentayna á reconocer esta posición y puntos avanzados qúe cubre la división del mariscal de campo D. Felipe Roche, á la cual ha pasan do revista éti medio de un crecido número de estos vecinos, habien do quedado sumamente complacido dé vér el estado de brillantez, discipTihá y ayfe militar de estas tropas españolas, compuestas de la escogida juventud de la provincia, las…</t>
  </si>
  <si>
    <t>Alicante 16 de junto. £1 11 del corriente , á las siete y media de la mañana, entró en la ciu dad de X átiva la valerosa división de vanguardia, al mando del mariscal de campo D. Felipe Roche, en medio de las aclamaciones de aquel reconocido pueblo, que testigo del arrojo y- la bizarría de las tropas de aquella división, admiraba abspues de un año y medio de esclavitud á sus libertadores. El enemigo fue perseguido sin perder momento hasta Alclra y…</t>
  </si>
  <si>
    <t>Rodas, José</t>
  </si>
  <si>
    <t>José Rodas</t>
  </si>
  <si>
    <t>…486 450599 476073 &gt; 8. . !442995 453036 486351 y ' 486352 488926 &gt; 4 vales í 426549 453156 459647 &gt; ™ dinero f 493455 £ Tesorero mayoi. ' 449524 461920 486144 1449709 485529 !^~ ^ D. José Rodas. 12. . . 460921 745 461299 754 513 221 de 300 pesos. De 600 pti de Setiembre de 1808. 2303 5789 15494^ 2345 7803 134683 2440 8997 135109 f 20. . .&lt; 2619 9080 136332 ¡)&gt;D. Matías Bayo. 3007 12153 137713 3191 677 138714 138764 141415 J 5680 7554 12793 5747 7555…</t>
  </si>
  <si>
    <t>…. 2244 2998 5691 2281 3228 6053 2403 3299 7229 W 884 8263 4 vales i 3761 6116 8340 &gt; Tesorero mayor. dinero.j 12246 1 • m * 6004 A dicho. {: 1312 3127 5296] 7. . ► 1697 4299 5588!*D. José Rodas. 6157 93 de 600 pesos. De 300 ps. de Setiembre de 1808. f 19360 33662 54030'') 22910 36223 55856 23748 408*7 56616 &lt;¡ 25391 44474 56621 )&gt;D. Juan Dges, 28856 45183 56624 31065 50798 62474 &gt; 31510 52883 70537J</t>
  </si>
  <si>
    <t>Rodas, Josef</t>
  </si>
  <si>
    <t>Josef Rodas</t>
  </si>
  <si>
    <t>…Vidal, substituto segundo. D. Pedro Cancio, a!calde. Barrio del Ave María. D. Andrés Aros, sub-tituto primero. D. Antonio Arnesto, alcalde. D. Santos Antolin , substituto stgundo. D. Josef Rodas, substituto primero. Barrio de S. Marcos. D. Ventura González , substituto iegundo. D. Francisco Tellez, alcalde. Barrio de la Trinidad. D. Sebastian de Echestia, substituto primero. D. Santiago Ubon , substituto segundo. D. Carlos Avanciny, alcalde. D. Juan…</t>
  </si>
  <si>
    <t>Rodolfo, José</t>
  </si>
  <si>
    <t>José Rodolfo</t>
  </si>
  <si>
    <t>…Estevanez, 1 id. D. Francisco Bosano , 2 id. D. José Gambini, 1 id. D. Juan de Perlica, 8 id. D. Dimaso de Arias, 6 id. D. Jacinto Xiraeno, 6 id. D. Manuel Ortiz de Villate, 4 id. D. José Rodolfo, 4 id. D. Antonio León, 4 id. D Paulino Domínguez, 3 id. D. Martin de Aramburu, 3 id. D. Francisco Vázquez de Usieda, 2 id. D. José Correa, 2 id. D. Juan Bautista Zaracondegui, 2 id. D. Francisco Antonio Goitesolo, 2 id. D. Miguel Fernando Ruiz, 2 id. D. Andr…</t>
  </si>
  <si>
    <t>Rodri</t>
  </si>
  <si>
    <t>…á la Pru sia, con la condición de que se demoliesen las fortificaciones de esta última plaza. PORTUGAL. Lisboa 14 de octubre. Carta escrita por el Emperador de Rusia Alexandro al caballero Rodri go Navarro de Andrade, actual encargado de Negocios de S. A. R. el Príncipe Regente cerca de S. M. el Rey de Cerdeña, Señor caballero Navarro de Andrade: Siéndome bien conocido quanto os habéis desvelado en el progreso de las calentura de Berthier se presenta…</t>
  </si>
  <si>
    <t>Rodrí, Jacobo</t>
  </si>
  <si>
    <t>Jacobo Rodrí</t>
  </si>
  <si>
    <t>…á mi lado en los momentos mas apurados, el capitán de zapadores teniente coronel D. Francisco Noriega, su teniente D. Méiiano Portillo , y eu alférez D. Francisco del Corral : el capitán D. Jacobo Rodrí guez, e! teniente de la guerrilla de Aibancsy D. José Mariano Sil va , oficial el mas vigilante, activo é intrépido; sn segundo D. Car los Samborainy D. Casimiro Figueroa, que fué voluntario á la descubieita desde el principio de la acción. Mis ayudantes el c…</t>
  </si>
  <si>
    <t>Rodrí, Santiago</t>
  </si>
  <si>
    <t>Santiago Rodrí</t>
  </si>
  <si>
    <t>m drall, 2 id. D. Faustino del Campo, 2 id. D. Juan Llano y Cam pos, i id. D. Manuel Antonio del Portillo, 6 id. D. Santiago Rodrí guez, 2 id. D. Francisco Medina, 1 id. D. Martin de Almerza, 5 id. D. José de Aristnendi, 10 id. D. Gerónimo de Urriza, L id. D. To mas Gallegos, 6 id. IL Agustín Caldas, 1 id. D. Blas Camino, 1 id. D. Domingo Urquijo, 1 id. D. Francisco Falconi, I id. D. Fra…</t>
  </si>
  <si>
    <t>Rodrigo, Manuel</t>
  </si>
  <si>
    <t>Manuel Rodrigo</t>
  </si>
  <si>
    <t>…ón Mayo, D. Aniceto Unciti y D. Sebastian íso : á alféreces á D. Nicolás Sada, D. Lucas Munarriz, D. Francisco Ruiz , D. Cristóbal Pereti, D. Mariano Raqpedano, D. Mariano Amorós, D. Manuel Rodrigo, D. Gregorio Lagarda, D. José García, D. Antonio Ortíz, D. An gel Martínez, D. Antonio Blesa, D Fermín Fabiano, D. Pedro Garrea, D. Pablo Franca, D. Antonio Santos, D. Manuel Uría^ D. Bernardo Uriz, D. Geferino Galindo y D. Seraíin Ockoa. CADIZ ; EN LA IMPREN…</t>
  </si>
  <si>
    <t>…te ; pero el comandante del cuarto escuadrón de caballería que estaba en la opuesta, y ha bía avanzado hasta el arrabal de Zaragoza, me hizo saber que ha biendo mandado al alférez D. Manuel Rodrigo con una partida de húsares á la carretera de Jaca con el fin de incomodar ai enemigo, y cortarle la comunicación entre esta plaza y la de Zaragoza, se le presentaron de improviso en la venta de Violada 33 gendsrmas de las plazas de Zuera y Ayerbe , á quien pr…</t>
  </si>
  <si>
    <t>…guarniciones de Zuera, Gurrea, Anzanigo, Ayerbe, Huesca, Pina y Bujaraloz, ademas de la de Caspe en la derecha, después de que Páris dexó á Zaragoza. »E1 mismo dia 10 , el alférez D. Manuel Rodrigo se batió en Villanueva de Galligo contra 34 gendarmes que escoltaban el gefe de escuadrón Antoine, edecán y cuñado de Sñchet, con igual nú mero de caballos, aprisionando 30 gendarmes, y al mismo edecán, que lo tengo prisionero. »£n cumplimiento de mi obligaci…</t>
  </si>
  <si>
    <t>Rodrigue, Francisco</t>
  </si>
  <si>
    <t>Francisco Rodrigue</t>
  </si>
  <si>
    <t>…tes generales y extraordinarias en la sesión de 24 del corriente á la renovación de su presidente, vice-presidente y uno de sus secretarios ; salieron electos , para presidente él Sr. D. Francisco Rodrigue* del Caleilo , diputado por Asturias; para vice-presidente el Sr. D. Francisco Salazar, diputado por Li ma ; y para secretario el Sr. D. Manuel Gojanes Balboa, diputado por León. Ial Regencia del reyno se ha servido expedir el decreto que sigue: D. Fernando v…</t>
  </si>
  <si>
    <t>Rodrigues, AguAin</t>
  </si>
  <si>
    <t>AguAin Rodrigues</t>
  </si>
  <si>
    <t>…por 10,120. Don Juan Mores , id. por 10, |20. D Manuel Ibañez, id. par 10, 120. D Domingo Dertiaco., id. por 8,90 D. Cosme Ximenea, id. por 8, 95. D. José Híílme, id. por 8 , 90. D. AguAin Rodrigues, id. por 8, 90. D. Manuel Caandia, id. por 8, 96. 1). Jo ;é Corrales, id. por 8, 9.5. D. Maaus’- Domínguez, ii. por 0,72. 1). Miguel Rodríguez, id. por 25; 300. D. Juan Bautista Garata , por una vez , 200. D. Juan G-.rc a de Ponte, id., 100. D. Mariano Vázque…</t>
  </si>
  <si>
    <t>Rodríguez, Andrés</t>
  </si>
  <si>
    <t>Andrés Rodríguez</t>
  </si>
  <si>
    <t>…Pousich y D, Felipe de Arco Agüero, este graduado de teniente coronel; á sargentos maya res de brigada á los capitanes D. Domingo de la Iglesia, D Juan Oromi, D. Antonio Ibarrola, D. Andrés Rodríguez, D Félix de Toda, D. Juan Pablo Sebastian, graduado de teniente coronel, Don Francisco Huarte y D. Andrés Arango; á capitanes á los tenientes D. Francisco Barreigua, D. Domingo Luis del Valle, D Vicente de la Encina, D. Francisco Preysler y Moreno, D José Seg…</t>
  </si>
  <si>
    <t>Rodríguez, Antonio</t>
  </si>
  <si>
    <t>Antonio Rodríguez</t>
  </si>
  <si>
    <t>…va conscripción de 280® hombres.—Varios cuerpos deL exército aliado han pasado el Elba. EL diaj 24 del mes próximo pasado entro en la bahía de Cádiz el bergan tín español Bolo, M. D. Antonio Rodríguez, procedente de Veracri.z , con 58 dias dé navegación, cargado de vainiH%i purga, grana , cacao , azúcar, palo, 1-6305 3 pesos fuertes en plata del cuño mexicano, 9798- idem en mo neda provincial , seis barras de plata quintada con 802 marcos, y cinco caxones…</t>
  </si>
  <si>
    <t>Rodríguez, Benito</t>
  </si>
  <si>
    <t>Benito Rodríguez</t>
  </si>
  <si>
    <t>…UARTEL DE SAN MARTIN. Barrio del Sacramento. Barrio del Cdrnien Calzado. D. Ramón de Segcvia, a'calde. D. J aime Bouhde, alcalde. D. Francisco JCavier Correa , substituto primero. D. Benito Rodríguez,, substituto primero. D. ManueL Casado, substituto segundo. D. Manuel de Castro, substituto segundo. Barrio de Doña María de Aragón. Barrio de las Descalzas Re ates. D. Josef Cañedo, alcalde. D. Fr..neÍsco de 1 ruegas, alcalde. D. Félix Bener, substituto prim…</t>
  </si>
  <si>
    <t>Rodríguez, Esteban</t>
  </si>
  <si>
    <t>Esteban Rodríguez</t>
  </si>
  <si>
    <t>…José Pumarejo, tenientes del Regimiento de Marina; D. Geferino Arau/o, subteniente del de Benaveate; Don Félix Carrera, coronel, y D. Alberto Gutiérrez , teniente del de Rivero ; D. Esteban Rodríguez y D. Alberto Rodríguez , capitanes, D. Manuel Taboada , D. Juan Hevia y D.-Francisco Lema , sub tenientes del de Oviedo ; D. José María Novoa , sargento mayor; D. Francisco Xavier Toral, espitan de cazadoresí/Q.Bedro Zuluaga, capitán; D. Francisco Moreno y D. Pedro Bonet, tenientes…</t>
  </si>
  <si>
    <t>Rodríguez, Juan Manuel</t>
  </si>
  <si>
    <t>Juan Manuel Rodríguez</t>
  </si>
  <si>
    <t>…zo 21 prisioneros á la gavilla de rebeldes que allí había, les tomó 54 caballos y mulas , y 350 cabezas de ganado menor. — Reunido ya con ios 28 hombres de caballería del mando de D. Juan Manuel Rodríguez, el 24 se puso en marcha todo el destacamento hacia la Mesa Chata. Es tando en la Mesa se vieron 8 rebeldes á caballo en un cerro inme diato, los que fueron muertos por una partida mandada por el sub-</t>
  </si>
  <si>
    <t>…n, y el 29 salieron para Codor nices, en cuya tránsito la guardia avanzada mató ó rebeldes que huían , y apresó u , tomándoles una escopeta, u u machete y; varios cuchill &gt;s. - El teniente D. Juan Manuel Rodríguez, destinado á los Sabinos con 15 hombres, hizo 3 pihionsros, y el alférez Martínez 4, y quemó el puerto de Arroyo Seco, compuesto de 112 xacales. (ó&gt; continuarán.) ■ * Puerto-Cabello 24 de-Junio. : .El general'Monte ver de llegó á Caracas el 10 del corriente,…</t>
  </si>
  <si>
    <t>Rodríguez, Lorenzo</t>
  </si>
  <si>
    <t>Lorenzo Rodríguez</t>
  </si>
  <si>
    <t>372 , D. Melchor García Nuñoz, abogado, vecino de Hoyo-quesero. D. Josef Agapito García, cura de Mesegar. D. Juan Manuel Bazan, vecino de Arévalo. D. Lorenzo Rodríguez, vecino de Viüaraayor. Suplentes. D. Santiago Perez, abogado, vecino de Can deleda. D. Josef Bautista Brochero, labrador, vecino de Avila. D. Bernardino Jaén, vecino de Navamorqíiende. Madrid i.° de setiembre. Por el último correo de la mala hemos sabido que…</t>
  </si>
  <si>
    <t>Rodríguez, Manuel</t>
  </si>
  <si>
    <t>Manuel Rodríguez</t>
  </si>
  <si>
    <t>…r fa dere cha al. teniente de S. Luis D.. Plácido Noriega ccn un destacamento de dragones ,, con orden de atacar ál momento, y el mismo Perdo con el teniente de dragones de México D. Manuel Rodríguez, salió con 35 dragones á atacar por la izquierda: acometió inmediata mente á los rebeldes,. los puso en desordenada fuga, y los persi guió por espacio de dos leguas , quedando todo el terreno sem brado de muertos y de déspotos.—Habiendo vuelto Pardo con su tr…</t>
  </si>
  <si>
    <t>…l relox, solideo y el cuello del cura, su título de coronel y un envoltorio de papeles con noti cias falsas para engañar á los incautos. Elogia la conducta del tenien te Orta, del sargento Manuel Rodríguez; á los patriotas D. Rafael Ponce, D. José María Escalona, D. Juan May obre, D. Juan Sán chez , D. José Romero, ©.Antonio Gomqjf y í&gt;, Fernando Azcoitia»( Se continuarán.) Logroño de Julio. Nuestro exército forma una línea impenetrable desde Irun á Ja ca. Mil…</t>
  </si>
  <si>
    <t>Rodríguez, Miguel</t>
  </si>
  <si>
    <t>Miguel Rodríguez</t>
  </si>
  <si>
    <t>…inclusos los empleados en la junta y representantes' do las provincias, que quedarán indultados de la pena de vida, excepto ID. Nicolás de la Peña, Dr.-D. Prudencio Balcones, Dr. D. Miguel Rodríguez, D. Ra.mon Chriboga, Mateos Bayon, de nación francés, D. Joaquín Mancheno, el cura de S. Roque D. José Correa y e! provisor Caycedo; á quienes se perseguirá para que irremisiblemente peguen sus atroces delitos, Segunda. Que en el. término de 24 horas deberán…</t>
  </si>
  <si>
    <t>Rodríguez, Pedro</t>
  </si>
  <si>
    <t>Pedro Rodríguez</t>
  </si>
  <si>
    <t>…s dispuse que la compañía de cazadores de mi regimiento, al mando de su capitán D. Ramón Araoz, protegida de las dos compañías de caballería dra gones de Soria , á las órdenes del capitán D. Pedro Rodríguez, avanzasen hácia el enemigo, y se apresurasen á ocupar él puente; mas quañdo el ene migo observó esta operación, y vio mi regimiento formado én coluna sobre ei canal, se retiró háeia Zaragoza sufriendo alguna pérdida, que le ocasiona ron los lanceros de la co…</t>
  </si>
  <si>
    <t>Rodríguez, Santiago</t>
  </si>
  <si>
    <t>Santiago Rodríguez</t>
  </si>
  <si>
    <t>…po D. Manuel de Viílasta, 100. D José Irigoyim, o'doi honorario, 100. D. Valentín Sorzano, i 00. D. Miguel Femando Rui®, 100. D. Lorenzo Tajonar, 100. 13. Faustino del Campo, 100. D. Santiago Rodríguez, 100. I). J uan Antonio Ariaiburu*, 100. D. Cristóbal Aznilcueta, 100. D. Martin Gubasola, 100. D. Ramón Azcarato, 100. D. Joaquín Lostra, 100. D Juii To nas Senoseain , 100. D. Jom B ufhta Garate, 100. D. Angd Alfar*, 103. D. Antonio Tarancc, 100. D. Fernand…</t>
  </si>
  <si>
    <t>Rodríguez-, Bernardo</t>
  </si>
  <si>
    <t>Bernardo Rodríguez-</t>
  </si>
  <si>
    <t>…TEL DB ATAPTES. _ Barrio delaplasuela del Gato. U. Agustín de Estebe, alcalde. r Barrio del Am«r de Dios. D. Domingo Labraría, substituto primero. D. Pedro de las Muelas, alcalde. D. Bernardo Rodríguez-, substituto segundo. D. Manuel Martínez, substituto primero. Barrio de las Niñas de Monttrri. D. Francisco Monteagudo, substituto segundo. D. Agustín Tavira, alcaide. D. Alfonso Luceño, substituto primero. Barrio de la pinza de S. Juan. D. Ramón Lancha alcald…</t>
  </si>
  <si>
    <t>Roías, Di Antonio López de</t>
  </si>
  <si>
    <t>Di Antonio López de Roías</t>
  </si>
  <si>
    <t>…se prendieron los rehenes para asegurar ía contribución , como lo tenia prevenido. 0 Durante el tiempo que permanecimos en la villa se destinó la segunda compañía, al mando de su capitán Di Antonio López de Roías, para opo nerse á los enemigos que estaban reunidos, y haciendo un vivo fuego baxo la protección del castillo, que duró dos horas y media, en cuyo tiempo no paró tampoco el de artillería de este. La pérdida del enemigo ha sido de mucha consideración: entre lo…</t>
  </si>
  <si>
    <t>Rojo</t>
  </si>
  <si>
    <t>…e protegerles aun mas, hice que marchasen á las órdenes del; teniente general Colé, el 30, dos brigadas de la cuarta división al convento de S. Antonio, una “d¿ las cuales era del general Rojo, que después pasó ei mis mo día á la sierra de Aya, y la otra lo verificó en la mañana del 31, quedando la, novena brigada portuguesa sobre las alturas que hay 'entre el convento, Vera, y Lesaca. «La brigada de La séptima división ,del mando del mariscal d£ c…</t>
  </si>
  <si>
    <t>Rojoque</t>
  </si>
  <si>
    <t>…-protegerles aun nías: hice que mzrcHasen á las órdene? 4el teniente general Colé1 el 30 dos briga das de ia quarta división al-convento de S. Antonio,. una de:las quales era’ dél general Rojoque después- pasó el mismo-diáá la- sierra de Ay a,? y la; otra;lo verificó en la.mañana.del31 y quedandóda-noyena. brigada1 portugue-Sa sóbre las alturas:que Kai entre el convento y \tera:;y Lesaca. &gt; „ La brigada de lia-séptima di visión r del tnandódél marisca…</t>
  </si>
  <si>
    <t>RolandoHill, Sir</t>
  </si>
  <si>
    <t>Sir RolandoHill</t>
  </si>
  <si>
    <t>…ha de nuestros almacenes y repuestos.- No me es posible elo giar demasiadamente: la conducta de todos los generales,, oficiales y soldados del exército.en esta acción. El teniente general Sir RolandoHill elogia altamente la conducta del general. Morillo, y la de las tro pas españolas de su mando; la del teniente general el honorable. Guilíelmo Heibart, la del conde de Amarante, quien mandó las divisioiies de infantería puestas baxo su dirección; También recom…</t>
  </si>
  <si>
    <t>Rolle</t>
  </si>
  <si>
    <t>…gente un discurso de gracias actos, porque no serán admitidas al concurso las que tn los términos que ha indicado, y lo apoyó el solo consten de quatro ó de tres. El premio es una lord Rolle. Los pares que han hablado en es "a se medalla de oro de 1320 francos ó 320 ducados. sión han sido el marques de Wellesley, los condes «La ópera seria debe estar toda en verso y cu de Liverpool y de Rathurst, lord Grenville y el dos ó tres actos, con tal que…</t>
  </si>
  <si>
    <t>…ción dé.Ja villa de.Ex3*. tra un caso de ,$sta .especie. Debe recordar a ter á favor, de;lo$: católicos.-:-en-su.vista ha. separar-, la cámara que no se formó causa a Mr. John do. lord Rolle que Ja petición'fcomeniadá firma de ni-'.á madama Dougiát por haber difamado el ca muchas personas;.que »b¡*bian. Armado antes otra' en. rácter de la princesa ; y piensa el orador qu« la,misma;yilja,en;,spoijdo contrario.. ' los confidentes del Príncipe Regen…</t>
  </si>
  <si>
    <t>Román, Cirilo S.</t>
  </si>
  <si>
    <t>Cirilo S. Román</t>
  </si>
  <si>
    <t>…ra rezar el oficio divino, y celebrar el santo Sacrificio de la tnha en las iglesias del arzobispado, como asimismo el correspondiente á las iglesias de esta corte, compuestos por D. Cirilo S. Román, presbítero, capellán de coro de la iglesia catedral de Toledo. Se hallarán ambos en el despacho de la compañía de impresores y libreros, calle de Preciados, casa que fue del conde de Mora, 322 quartos cada uno en 8.° rústica; y en Toledo, en el callejón del…</t>
  </si>
  <si>
    <t>Romanzow</t>
  </si>
  <si>
    <t>…Berlín, donde su padre fué á verle en 1778 ó 1779 : ha bla muy bien el francés y el aleman ; pero su padre no habla mas que el ruso. El enviado de Rusia en la corte de B rfm « el conde Romanzow , hermano del ministro de negocios extraña ros ^ eraíntimo amigo del joven Rastopchín , á quien apreciaba infinito por su talento. Durante el reynado de Paulo I.° adelantó este rápidamente en la carrera militar, fué agraciado con la gran orden de Rusia, y hec…</t>
  </si>
  <si>
    <t>Romay, Ramón</t>
  </si>
  <si>
    <t>Ramón Romay</t>
  </si>
  <si>
    <t>…xpresado regimiento D. Francisco Saavedra, que entonces lo mandaba. Este gefe, auxiliado de varios señores oficiales de su cuerpo, y posteriormente el coronel del mismo regimiento D. Ramón Romay, á fuerza de la actividad y zelo por él servi cio que distingue á los in^g^iuos de la armada nacional, han logrado armar un bergantín y una goleta, que han recibido los hombres, para siempre me morables, de Vitoria y Bailen, y io lanchas cañoneras:.y obuseras…</t>
  </si>
  <si>
    <t>Romeouf</t>
  </si>
  <si>
    <t>…campo y edecanes de teresados, y que estaba persuadido de que lo mis S. M., han sido nombrados tenientes generales: el mo dirian todos los directores; solo sí deseaba la ayudante comandante Romeouf ha sido nombrado explicación libre y espontánea del congreso de los mariscal de campo y edecán de S. M.: el gefe de interesados. El honrado miembro que acababa de esquadron príncipe de Cariatt, oficial de ordenan manifestar su opinión (Mr. Hume) decía que la…</t>
  </si>
  <si>
    <t>Romeral, Josef Ramón</t>
  </si>
  <si>
    <t>Josef Ramón Romeral</t>
  </si>
  <si>
    <t>…uer, hacendado. Lie. D. Benito Saenz González, de Toledo, abogado de los tribunales nacionales. D. Luis Luxan y Monroi, de Arenas, hacendado. " Y para suplentes d los señores Lie. D. Josef Ramón Romeral, de la Peraleda de Garvín, párroco de Piedra-escrita. Dr. D. Victoriano Gómez de la Fuente, presbítero, de Colmenar de Oreja. ^ &lt;?* Para la diputación provincial d los señores ;Dr. D. Isidoro Alaiz y Represa, canónigo doctoral de esta santa iglesia primada. D…</t>
  </si>
  <si>
    <t>Romero, Claudio</t>
  </si>
  <si>
    <t>Claudio Romero</t>
  </si>
  <si>
    <t>…con el número 149507: todos de la creación de 1.® de Setiembre de 1809, endosados en Cádiz el 12 de Julio de 1813 Por Antonio Paredes á favor de D. Felipe Sola y Busquet, valor de D. Claudio Romero : quien sepa su paradero podrá avi ar en Cádiz á dicho Romero, y en ViUanueva á D. Francisco Fon tañe Has. CADIZ : IMPRENTA NACIONAL 1 1813.</t>
  </si>
  <si>
    <t>Romero, José</t>
  </si>
  <si>
    <t>José Romero</t>
  </si>
  <si>
    <t>…á los incautos. Elogia la conducta del tenien te Orta, del sargento Manuel Rodríguez; á los patriotas D. Rafael Ponce, D. José María Escalona, D. Juan May obre, D. Juan Sán chez , D. José Romero, ©.Antonio Gomqjf y í&gt;, Fernando Azcoitia»( Se continuarán.) Logroño de Julio. Nuestro exército forma una línea impenetrable desde Irun á Ja ca. Mil caballos ingleses que había en esta ciudad salieron el dia 28 con dirección á Pamplona. Dicen que se pasó de e…</t>
  </si>
  <si>
    <t>Romero, Vicente</t>
  </si>
  <si>
    <t>Vicente Romero</t>
  </si>
  <si>
    <t>…„ natural de Madrid, que salió para Srgiienza en el mes de noviembre dfe 181 2, se servirá dar noticia de su paradero en la librería de Minutna, calle de Toledo, ó en la lonja de D. Vicente Romero, portales de Provincia. 1 Se halla vacante la pfa2a de médico de la v;lla de la Bañeza: $ü dotación es la de do o-ducados-anuale s,-cobrados-de 4os efectos de propíos, y -tiene entablada 1» solicitud de aumento de sueldo hasta 800 ducados. Se admiten memorial…</t>
  </si>
  <si>
    <t>Rooke</t>
  </si>
  <si>
    <t>…ón; También recomienda la¡ conducta del honorable coronel O Callaihan, quien defendió el lugarde Suvijana de Alava contra los esfuerzos que hizo el enemigo para; retomarle, la del coronel Rooke del departamento del ayudante, gene ral, y la del teniente coronel el honorable A. Abercombi deb depar tamento del cuartel maestre general.. ? ;r „Es imposible que los movimientos de tropa alguna fueren dirigí— ¿os con mas espíritu y regularidad que los de la…</t>
  </si>
  <si>
    <t>…ón. También reco mienda la conducta del honorable corone! O-Callaiham , quien defendió el lugar de Subijana de A^va contra los esfuerzos que hizo el enemigo para retomarle: la del coronel Rooke, de! departamento de! ayudante general, y la del teniente coronel el honorable A Abercombi, del departamento del quartel maestre general. „ Es imposible que los movimientos de tropa alguna fuesen dirigidos con mas espíritu y regularidad que los cjs las respec…</t>
  </si>
  <si>
    <t>RooyJ, Antonio de</t>
  </si>
  <si>
    <t>Antonio de RooyJ</t>
  </si>
  <si>
    <t>…argentos, primeros del propio cuerpo veterano D. José Villamil y D. José Ensebio More no, y ú los cadetes D. Domingo Velarde, D. Juan Ortega, D An tonio Andrade, D. Esteban Ochoa, D. Antonio de RooyJ). José</t>
  </si>
  <si>
    <t>Roque</t>
  </si>
  <si>
    <t>…. .......................... 300 IO vina............................................ ........... 22990 Por otra que entregó Doña Ana Tor En el de otras 120 fanegas que libró res á D. Roque de los Ríos............ 60 el señor prefecto central D. Fran Por la que se lia -recogido en la de cisco Teran á cuenta de las que manda del jubileo de las Quarenta corresponden á los hospitales en las horas y cepo del hospital de mu— 6‘3 fanegas destinadas po…</t>
  </si>
  <si>
    <t>Roquemont</t>
  </si>
  <si>
    <t>…os carros y dias. wCapitulación que el mariscal de campo, general de división, D. Francisco Espoz y Mina, como comándame general de las fuer zas reunidas en esta plaza, concede al Sr. Roquemont, comandante del castillo de esta ciudad, hoy dia de la fecha. Art. r.° Toda la guarnición quedará prisionera de guerra, y se le concede desfilar con todos los honores militares. Art. 2.0 Todos los señores oficiales conservarán sus espadas y ¿qcípages, é igual…</t>
  </si>
  <si>
    <t>…que sea por ámbas partes la presente capitulación pasará inmediatamente á ocupar la puerta principal del castillo un oficial con 50 hombres*. Esta capitulación fué admitida por el comandante Roquemont, que salió de la plaza á las 11 de la mi. ma mañana con 400 solda dos, sargentos y cabos, y 5 oficiales. Los efectos encontrados en la misma son los que se expresan en el estado que acompaño: así en este, como en especificar las mas menudas circunstancias ocu…</t>
  </si>
  <si>
    <t>Rorstel</t>
  </si>
  <si>
    <t>…Dmnewitz, el general ruso barón de Pahlen á la cabeza de los húsares de Izum , y de los regimientos de drago nes de Riga y Fiakn.iia, dio una carga bridante entre la izquierda del general Rorstel y la derecha del general Bulovr: tomó 8 piezas de artillería al enemigo. Todos los prisioneros dicen que la artillería sueca y rusa produce mas efecto, y cansa isas perdida si enemigo por lo a ertado de sus tiros, y por la osadía de su ataque. Ei general baró…</t>
  </si>
  <si>
    <t>Ros</t>
  </si>
  <si>
    <t>…gefes polí ta un articulo comunicado, en el qual se discurre ticos, grandes , obispos y canónigos, y no perdo sobre las proposiciones hechas por el lord Welling- nando tampoco al señor Ros, y otros muchos dipu ton, apoyadas por la regencia, y negado-concedi- tados disidentes. das por las cortes. El autor encuentra en esta re La anarquía, presagia C. M., será el resultado solución varios inconvenientes, y al efecto produce de la inobservancia de…</t>
  </si>
  <si>
    <t>…ho á la patria.” (Redactor general nume ro 644.) ,,Cortes. Sesión del ¡8 de marzo. Continuó Destruida la inquisición por las cortes de Cádiz» la discusión sobre la causa del señor diputado Ros. hicieron estas publicar un manifiesto para instruirá! El señor García Herreros, después de haber mani pueblo de las razones y fundamentos que habían festado la gravedad del delito de aquel señor dipu tenido para abolir este tribunal; mandándolo leer tado y s…</t>
  </si>
  <si>
    <t>Ros, Angel</t>
  </si>
  <si>
    <t>Angel Ros</t>
  </si>
  <si>
    <t>…ntos mayores á D. Benito'irigoyen , D. Manuel Arvilla , IX Marcelino O. rea y IX Fermín Argaiz : á capitanes de granaderos y cazadores a¿ i). Juan Vülamieva, D. Felipe Navasqües , D. Angel Ros , •Don-’ José. - María Barrica!, D. L uis Arillo, D. José Erriz, O. Felipe Tule sana, XX Luis Gaitdiaga , 1). Simón Perez, D. Silvestre‘Ezcurra, D. Gregorio Durana y D. Antonio VAliivielso : á capitanesde fusileras á D. Francisco Naval, D. Fermín Esandí, D. A…</t>
  </si>
  <si>
    <t>Rosas, Antonio López de</t>
  </si>
  <si>
    <t>Antonio López de Rosas</t>
  </si>
  <si>
    <t>…illa se. prendieron loa rehenes para asegurar la contribución como lo tenis, prevenido. Dtirailte el tiempo que per manecimos en ella se destinó ia segunda compañía al mando de su capitán D. Antonio López de Rosas para oponerse á los enemigos, que reunidos baxo la protección del castillo nos hacían juntamente con la artillería de este un vivo fuego, que duró das horas y media. „La pérdida del enemigo ha sido de mucha consideración: en tre los muertos se halló el comand…</t>
  </si>
  <si>
    <t>Rosefló, Antoiáo</t>
  </si>
  <si>
    <t>Antoiáo Rosefló</t>
  </si>
  <si>
    <t>…uien después de haberle herido dos caballos, tuvo que continuar á pie el resto de la acción en cumplimiento de su encargo r el que asi mismo obtuvo el segundo gefe de estado mayor D. Antoiáo Rosefló, que permaneció á mi Lado todo el día, y en ei último ataque á la ba yoneta se puso á la cabeza de !a columna con sable en mano, cargan do con la serenidad y valor que tiene tan acreditado, en cuyo tiem po recibió un balazo de consideración, que le obligó ¿ r…</t>
  </si>
  <si>
    <t>Rosefló, Antonio</t>
  </si>
  <si>
    <t>Antonio Rosefló</t>
  </si>
  <si>
    <t>los brigadieres D. Joan Dia« Porlier, D. José María Ezpeleta , Don Estanislao Sánchez Salvador, gefe de estado mayor dc*l cuarto exér— cito, y D. Antonio Rosefló; y de los coroneles Fuentes-Pita, co mandante de ingenieros, D. Juan Loarte , del regimiento de la Cons titución, y D. Juan Ugarte-Mendia. El mariscal de campo Ingiis, y los regimientos de su brigada de la séptima división, se coadnxeron señaladamente bien. E…</t>
  </si>
  <si>
    <t>Rosili</t>
  </si>
  <si>
    <t>…a to. Todas estas costas que han reconocido con es dé las obras mas útiles á los progresos de la hidro mero, y cuyo atlas contiene mapas mui circunstan grafía. = Firmado = el vice-almirante Rosili, di ciados, han recibido el nombre de Tierra de Na rector general del depósito de marina. poleón. La parte oriental de la costa de la isla Van-Diemen, desde la isla María hasta el estrecho de Bass, asi como todas las costas uc este estrecho, son tam TE Al RO.…</t>
  </si>
  <si>
    <t>Roslofky, Lobanoff</t>
  </si>
  <si>
    <t>Lobanoff Roslofky</t>
  </si>
  <si>
    <t>…S ESP ANAS. RUSIA. t Petersburgo 5 de julio. El general de caballería barón Bennigsen ha sido nombrado comandante en gefe de los exércitos siguientes: el de reserva que mandaba el príncipe Lobanoff Roslofky: el cuerpo formado por diferentes regimientos de(mivUcías á las órdenes del teniente general conde Tolstoi, y las tropas que man-* daba el general Doctorow. . r .-a Dicho generaL barón Bennigsen publicó en su quartel general de Reichembach la siguiente orden…</t>
  </si>
  <si>
    <t>Roso, José</t>
  </si>
  <si>
    <t>José Roso</t>
  </si>
  <si>
    <t>…. D. Juan Amonio Miranda, íi. por 8, 96 D. Jo* sé Quiri&gt;ga,id. por 8. 93. D. J»ian Mnriie&amp;so, id. p:r 4, 48 D Juaa • Rtfymúndae, id por Ü, 96. D. Juan de Sapinos a, id. por 8, 9&amp;¡ D. José Roso, id. por 1, í2. D. Joaquín Martínez, id. por 8 , 96¿ D. Joiá de Herrera, id. por 8, 93 D. Jor&gt;é Ramírez, id. por 2, 24. D José Pinero, id. por 4,48. D. Loresg® Leqnerica,.vd. por 6,72. D. León Mafia Xinaeua, id. por b, 935. D. Manuel Menacho, id. por 6, 72. D…</t>
  </si>
  <si>
    <t>Ross</t>
  </si>
  <si>
    <t>…esta de la brigada de caballería del mando del mariscal de campo Víctor Alten , deí primero y tercero batallón del regimiento 95 , y de la compañía de artillería de á ca ballo del capitán Ross, le lia quitado el único cañón que le queda ba; de consiguiente han entrado en Pamplona eon un solo ebus. »E1 general Clausel que manda la parte del exército del norte y una división del de Portugal,. que no ha estado en la batalla del 21, se acercó á Victori…</t>
  </si>
  <si>
    <t>…esta de la brigada de caballería del mando dtl mariscal de campo Víctor Alten, del primero y tercero batallón del regimiento 95 A, y de la compañía de artillería de á caba llo del capitán Ross, le ha quitado ei ún‘,o canon que le quedaba ; de con siguiente han entrado en Pamplona c;-n un solo obús ,, El genera! Clausel, que manda la parte del exército del norte y una división del de Portugal, que no ha estado en la batalla del 21, se acercó á Vitor…</t>
  </si>
  <si>
    <t>…erzas con que fué ata cado , se vió en la necesidad de ceder; lo que dio lugar á que el ene migo se estableciese en nuestra línea inmediatamente sobre la derecha de la brigada del general Ross , que *se vió precisado á retirarse de su puesto. ,,En consecuencia mandé que los regimientos 48 y 27 cargasen á la bayoneta, en primer lugar al cuerpo enemigo que acababa de estable cerse sobre la altura; luego al de la izquierda ; ambos ataques ó cargas »e…</t>
  </si>
  <si>
    <t>…fuerzas con que fue atacado, se vio en la necesidad de ceder; lo que.dió lugar á que el enemigo sfe estableciese ea nuestra línea inmediatamente sobre la derecha de la brigada del general Ross, que se vio precisado á retirarse de su puesto. «En consecuencia mandé que los regimientos 48.0 y .27.0 cargasen á la bayoneta, en primer lugar al cuerpo enemigo que acababa de establecerse Sobre la altura, y luego al de la izquierda: ambos atáqiies ó cargas…</t>
  </si>
  <si>
    <t>Rostofky, Lobanoíf</t>
  </si>
  <si>
    <t>Lobanoíf Rostofky</t>
  </si>
  <si>
    <t>…15. RUSIA. Petersburgo 8 de Julio. El general de caballería barón Bennigsen ha sido nombrado co mandante en ge fe de varios exérciíos; á saber, del de reserva que manda el general príncipe Lobanoíf Rostofky, del cuerpo de exár£ito formado de diferentes regimientos de milicia, á las ordenes del teniente general conde Tolsíoy, y últimamente de las tropas que estan á las ordenes del general Doctorow. Ei comandante en gefe de los exércitos, y general de infantería B…</t>
  </si>
  <si>
    <t>Rostopchin</t>
  </si>
  <si>
    <t>…ués que acabamos de recibir contiene el artículo si guiente. En la gazeta dcí gobierno de Moskow se ha insertado el siguiente anuneio, que es bien singular, y que demuestra que el conde Rostopchin no se ha olvidado aun de la conducta que observó Vandamme el año pasado en .aquella capital. Aviso. El comandante en gefe de Moscovia hace saber á todos los que quieran ver al prisionero de guerra francés Vandamme , que su estatura es de dos varas y siete pul…</t>
  </si>
  <si>
    <t>…icias de haberse rendido la plaza de Stettin, y haberse tomado posesión de ia ciudad: no han llegado «un las particularidades de la capitulación. Bn la gaceta de Moskow anuncia el gobernador Rostopchin que quien deseare ver al general Vandamme puede dirigirse al mayor de la plaza, que se lo mostrará ; da las señales de sa figura íkc; sin du da que Rostopchin no ha olvidado aun la infáme conducta que Va¡a* dimane tuvo en Moskow el año pasado. GRAN-BRETAÑA. L…</t>
  </si>
  <si>
    <t>Rouflf</t>
  </si>
  <si>
    <t>…nte mayor, culpable «que-tenga por objeto, de cbaipilcidad con el ex-general Malet, unánime « Ya sea tiesta uir ó mudar el gobierno ó el or mente'; , den do sucesión ál trono , Al señor Rouflf, capitán, no culpado de com ■-«-Ya sea excitar á los ciudadanos ó habitantes á plicidad, por la suficiente mayoría de tres votos; » que tomen las armas contra la autoridad imperial, Al señor Steenhouwer, capitán, culpable de «Serán castigados con la pena de m…</t>
  </si>
  <si>
    <t>Rouget</t>
  </si>
  <si>
    <t>…e d los pies de su Monarca, y le suplican que no des cía por Mendizabal, se presentó delante de Bilbao, deñe su humilde oferta de ocho caballos, que an que ocupaban las tropas del general Rouget. No helan el honor de ser montados por los vigilantes pudiera el enemigo haber escogido ocasión mas fa defensores de vuestro tronó Justo y resplandecien vorable, porque se hallaba 'á la sazón destacada te, y dan muestras de gallardía é intrepidez para mucha p…</t>
  </si>
  <si>
    <t>Rouyer</t>
  </si>
  <si>
    <t>…Guerra. = P. D. = Acabo de recibir la siguiente noticia , á que doy crédito : á saber, que Tonga atacó el 3 del corriente entre Miranda de Ebro y Armiñon un convoy manda do por el general Rouyer, á quien obligó á retirarse á Miranda cqji considerable pérdida, particularmente de oficiales/* Segundo. Exento/$r.; He llegado aquí esta mañana, jr aun he hallado que el enemigo ocupaba la ciudad con una división,,de infantería, cuatro escuadrones de caballe…</t>
  </si>
  <si>
    <t>…Guerra.___P. D.___ Acabo de recibir la siguiente no ticia , á que doi crédito, á Saber, que Longa ataco el 3 del corriente entre Miranda de Ebro y Armiñon un convoi mandado por el general Rouyer, á quien obligó á retirarse á Miranda con considerable pé diaá, particularmen te de oficiales.” \ 2.0 „ Excmo. Sr.: he llegado aquí esta mañana, y aun he hallado que el enemigo ocupaba la ciudad con una división de infantería, quatro esquadrones de caballería…</t>
  </si>
  <si>
    <t>Rovira</t>
  </si>
  <si>
    <t>…tropas, al mando del brigadier D. Francisco Rovira, contra la plaza de Prats de Afollo (dentro ~de Francia) en la madrugada del 20 de marzo. Extracto del parte de oficio de dicho señor Rovira &gt; fecha 24 del mismo. El batallón de línea de S. Fernando salió sobre el medio dia del 19 con (6) Es admirable !a moderación que se nota en este cálculo de la pérdida de los franceses. Comparada est^a relación de la batalla con la que Napoleón remitió á la Em…</t>
  </si>
  <si>
    <t>Rovira, Francisco</t>
  </si>
  <si>
    <t>Francisco Rovira</t>
  </si>
  <si>
    <t>…roteo, del que el enemigo tuvo 3 muertos, sin que hubiese desgracia por nuestra parte. Nuestra cañonera se apostó donde acostumbía. (Se continuará.) Murcia 22 de Abril de 1813. El brigadier D. Francisco Rovira ha dirigido al señor general en gefe del primer exército el parte siguiente. „Excmo. Sr.: Consiguiente á lo acordado con Y. E. para pasar á la piara de Prast de Molió, dispuse ayer 19 que el batallón de lí nea de San Fernando, que se hallaba en Ripoll, empren…</t>
  </si>
  <si>
    <t>…enemigo. La de Benisa, al mando de X). Josef Catalá (8), ha recibido del señor Tupper fusiles y pertrechos. / Relación de la sorpresa verificada por nuestras tropas, al mando del brigadier D. Francisco Rovira, contra la plaza de Prats de Afollo (dentro ~de Francia) en la madrugada del 20 de marzo. Extracto del parte de oficio de dicho señor Rovira &gt; fecha 24 del mismo. El batallón de línea de S. Fernando salió sobre el medio dia del 19 con (6) Es admirable !a mode…</t>
  </si>
  <si>
    <t>…de julio. Nó obstante la actividad de los armamentos es'peramos que el congreso que se va á abrir en Praga dé la paz á la -Europa. ESPAÑA. Ripoll 2/ de julio. Copia del parle del brigadier D. Francisco Rovira al señor general en gefe D. Francisco de Copons y Navia, comunicada al señor gefe superior político de este principado por el estado mayor de este primer exército. Excmo. Sr.: para poner en execucion lo que V. E. me tenia mandado de pasar á la frontera de Fra…</t>
  </si>
  <si>
    <t>…ia que se haga publico, y que se comunique á quien corresponda. Cuartel general de Vich i.° de Agosto de 1813. = El ayudante general gefe de estado mayor=.F. X. Gabanes. Parte del brigadier D. Francisco Rovira al general en gefe Don Francisco de Copons y Navia«Excmo. Sr. ;. Para poner en execucicn lo que V. E. me tenia-</t>
  </si>
  <si>
    <t>Roxas, Felipa Manuela de</t>
  </si>
  <si>
    <t>Felipa Manuela de Roxas</t>
  </si>
  <si>
    <t>…substanciación del juicio sin mas citación ni emplazamiento, y les parará el perjuicio que haya lugar. Agustin de Iglesias, natural de Málaga , hijo de.D, Manuel de Iglesias y de Doña Felipa Manuela de Roxas, se ausentó de dicha ciudad de edad de 20 años, y en el dia podrá tener 54 á 56: se sabe viajó á varias parles de América en clase de marinero, y que últimamente se estableció en el puerto de Cavite, en las islas Fi lipinas. Habiendo hecho las mas vivas dilig…</t>
  </si>
  <si>
    <t>Roxas, Francisco María</t>
  </si>
  <si>
    <t>Francisco María Roxas</t>
  </si>
  <si>
    <t>…SPAÑA. á S. E. Madrid *0 de enero.... Mont de Manan j ¿ dé, noviembre. Por decreto de 12 del corriente S -M. se ha ser En una circular que el prefecto de «sre depar vido nombrar á D. Francisco María Roxas alcalde tamento acaba de dirigir á los inaires habla de la mayor juez de primera instancia de L subprefectu vacuna en u.:os términos que merecen copiarse. ra de Aicalá de Henares, con residencia en dicha „ Todo ha concurrido, dice, para disipar la pre ciudad.…</t>
  </si>
  <si>
    <t>Roxas, José</t>
  </si>
  <si>
    <t>José Roxas</t>
  </si>
  <si>
    <t>…alaxara D. Francisco Orus, y los sub alternos del propio D. Cándido Arxsmendi y D. Manuel Zuluaga; como asimismo el capitán D. José Neyra, y el sargento primero de este regimiento D. José Roxas, que á ía bayoneta mató en el puente á un sargento enemigo, qu¿ perseguía al géfe de la brigada; y el soldado Andrés Bueno, que con otros 2 hizo prisionero á un sar gento enemigo; á todos los que recomienda particularmente el ex presado gefe de la brigada, y…</t>
  </si>
  <si>
    <t>Roxo, Félix</t>
  </si>
  <si>
    <t>Félix Roxo</t>
  </si>
  <si>
    <t>…i, en el amor de su pró ximo, con gloria de nuestra sagrada religión y uti lidad del estado. Búrgos y diciembre i y de 1812- esA los párrocos de las iglesias Je este arzobispa Dr. D. Félix Roxo, gobernador eclesiástico. do salud en nuestro Sefhr Jesucristo &amp;c. Hemos recibido el oficio de V. S. fecha del pre sente dia con el exemplar adjunto de la circular que Los deberes de mi ministerio animan ml corazonr &gt;' • S. tiene á bien dirigir á los párrocos…</t>
  </si>
  <si>
    <t>Rozalen, Leandro</t>
  </si>
  <si>
    <t>Leandro Rozalen</t>
  </si>
  <si>
    <t>…l y residente en Miraflores^ 4.0 D. Nicolás Martínez de Tej'ada, presbítero, natural y residente en Madrid.’ j.° D. Manuel de la Torre y Rauri , natural y residente en Madrid. 6.° D. Leandro Rozalen, natural y residente en Colmenar viejo. 7.0 D. Antonio Villanueva y Collado, natural de Madrid, y cura de Majadahonda. -</t>
  </si>
  <si>
    <t>Rozas, Francisco</t>
  </si>
  <si>
    <t>Francisco Rozas</t>
  </si>
  <si>
    <t>…los enemigos, que en número de 200 de caballería, mandados por los cabecillas Ca ñas, Alcántara y Anaya, infestaban aquel país. Animado Portillo por el subteniente ae Tres-Villas D. Francisco Rozas, que le acompa ñaba, embistió á los rebeldes que estaban en una loma entre la ha cienda de la Estancia y Arroy ozarco, y como la tropa que llevaba Portillo no se intimidase de los tiros de su canon y escopetas, se pu sieron en fuga. El resultado fué que dexar…</t>
  </si>
  <si>
    <t>Rqselló, Antonio</t>
  </si>
  <si>
    <t>Antonio Rqselló</t>
  </si>
  <si>
    <t>…edes; del comandante de artillería; de los brigadieres D._ Juan .Díaz Porlier, D. Josef María Ezpeleta, IX Estanislao Sánchez Salvador, gefe de estado mayor del quarto exército, y D. Antonio Rqselló^y délos caréneles Fpéntes-Pira, comandante de ingenieros, IX Juan Loarte, del regipiiento de -la Constitución , y Pon JlianfUgarte-Mendiq. , . El mariscal de campo Inglis y los regimientos de su brigada de la sép tima división se conduxeron señaladamente bien…</t>
  </si>
  <si>
    <t>Ru, Antonio</t>
  </si>
  <si>
    <t>Antonio Ru</t>
  </si>
  <si>
    <t>infantería tomó posición , y los rumores de una sorpresa que han cir culado carecen de verdad, y son infundados. La infantería llenó su debeT; pero solos 20 caballos al mando del capitán D. Antonio Ru te, no vacilaron entre la alternativa de rendirse, ó de batirse, hasta perecer, con una columna de 500 dragones. El arrojo fué digno del crédito de aquel benemérito oficial. Los 20 dragones y sus oficíales se batieron como héroes , y se mezclaron con los enem…</t>
  </si>
  <si>
    <t>Rubio, Francisco</t>
  </si>
  <si>
    <t>Francisco Rubio</t>
  </si>
  <si>
    <t>…los revoltosos fue gran de, y hubiera sido mas; pero por falta de caballería no se les pudo seguir el alcance: Mora tuvo 7 heridos de poco cuidado. Recomien da por sí al ayudante D. Francisco Rubio y á los cadetes D. Juan Castañeda y D. José Paredes. El capitán £&gt;. García Revilla, que mandaba las tropas colocadas fuera del real, recomienda al subte niente D. Jaan Granados, á los cadetes D. Ventura de Mora y D. José Blasio, y al sargento Francisco Perez,…</t>
  </si>
  <si>
    <t>Ruch, Benjamín</t>
  </si>
  <si>
    <t>Benjamín Ruch</t>
  </si>
  <si>
    <t>…q|iie íé intenten. (Se continuará.|:'5 ,J o)'.: j .' r IT OÜOi.■+* ’ : T ReLcion de la calentura biliosa remitente amarilla que semanifcstó en FiUdeífia en el año de 1793 , por el doctor Benjamín Ruch, profesor de instituciones y de medicina clínica en la universidad de Pensrivania, traducida de la segunda edición publicada qn Fjladelfia en 179^ , con varias notas críticas de otros ¿utores^que pue den .ilustrar Ja vbbtá di! autor.^y Ve añaden varías1 obser…</t>
  </si>
  <si>
    <t>Ruel, Ramón</t>
  </si>
  <si>
    <t>Ramón Ruel</t>
  </si>
  <si>
    <t>…avarrieta, subdirector. D. josef de Viilanova y Jordán, censor. D. Agustín Pasqual, substituto de censor. D&gt; Antonio.Siles , secretario. D. Josef Pabor?, substituto de secretario. D. Ramón Ruel, conrador. D. Casimiro Gómez de Ortega, ‘ubstjtDto de;Contador. D. Francisco de Paula Marti, tesorero. Don Ped^o Arícente deSqldeviüa, bibliotecario. D. Antonio Sandalió Arias , archi vero. ÍL Claudio Boutelou, secretario deja clase de agricultura. D. Torqita…</t>
  </si>
  <si>
    <t>Rufo</t>
  </si>
  <si>
    <t>…le asegurase el reino de Ñapóles. El Emperador Francisco aceptó verbalmente la propuesta, añadiendo solo la condición de que la Inglaterra , la Rusia y la Prusia lo aprobasen. El cardenal Rufo, oyendo tratar de este asunto, presentó ua memorial, en que recordaba al Emperador que la legítima Rei na de Ñapóles era su tia. Se dice que Metternich respondió al cardenal que el Emperador le mandaba acordarse de que la Emperatriz de Francia era hi ja suya;…</t>
  </si>
  <si>
    <t>Rugier</t>
  </si>
  <si>
    <t>…opuesta á la caba llería, que mandé se dirigiera por ia carretera á hacer una llamada á la guarnición de Ayerbe, adonde había llegado el convoy, y sa hallaba detenido al mando del general Rugier, que ciertamente ig noraba mis operaciones. En Áyerfee se habian reunido 2300 hom bres de toda arma El 23 salí de Rasa! á situarme entre la llanura que forma la baxadU del puerto que hace la carretera para Jaca, junto á la venta de Lí;gerencia, en donde esper…</t>
  </si>
  <si>
    <t>Rui, Miguel Femando</t>
  </si>
  <si>
    <t>Miguel Femando Rui</t>
  </si>
  <si>
    <t>…nvere, 100. El mariscal de. campo conde de Valle de Oselli, 100. El mariscal de campo D. Manuel de Viílasta, 100. D José Irigoyim, o'doi honorario, 100. D. Valentín Sorzano, i 00. D. Miguel Femando Rui®, 100. D. Lorenzo Tajonar, 100. 13. Faustino del Campo, 100. D. Santiago Rodríguez, 100. I). J uan Antonio Ariaiburu*, 100. D. Cristóbal Aznilcueta, 100. D. Martin Gubasola, 100. D. Ramón Azcarato, 100. D. Joaquín Lostra, 100. D Juii To nas Senoseain , 100. D…</t>
  </si>
  <si>
    <t>Ruiz, Francisco</t>
  </si>
  <si>
    <t>Francisco Ruiz</t>
  </si>
  <si>
    <t>…Antonio Laquidaia , D Santos Ayerra, D. Tomas Ayerra, D Juan Esteban Alemán, D. León Mayo, D. Aniceto Unciti y D. Sebastian íso : á alféreces á D. Nicolás Sada, D. Lucas Munarriz, D. Francisco Ruiz , D. Cristóbal Pereti, D. Mariano Raqpedano, D. Mariano Amorós, D. Manuel Rodrigo, D. Gregorio Lagarda, D. José García, D. Antonio Ortíz, D. An gel Martínez, D. Antonio Blesa, D Fermín Fabiano, D. Pedro Garrea, D. Pablo Franca, D. Antonio Santos, D. Manuel Ur…</t>
  </si>
  <si>
    <t>Ruiz, Joaquín</t>
  </si>
  <si>
    <t>Joaquín Ruiz</t>
  </si>
  <si>
    <t>…ictoriano Iribarren , D. Juan José Tercero, D. Ignacio Lasa, I), Tomas Faudiño, 1). Gregorio .Eche» garay, D. A n Ionio Arzola, D. Jacinto O na , D José Vinegra, D. Santos Besga , D. Joaquín Ruiz, D. Ma uel Clemente, D. Ra món Marañon , D. José Albumes, D. José Luizaain , D. Francisca Ardaiz, D. José Díaz, D Antonio Abadía, D. Nicolás Soriano, D. Bernardo Moliner, D. Manuel Llera, D. José Perulan, D. Ray» mundo Marqués, D. José Gorriz, D. Dionisio Fon…</t>
  </si>
  <si>
    <t>Ruiz, José</t>
  </si>
  <si>
    <t>José Ruiz</t>
  </si>
  <si>
    <t>…y oficiales de los cuerpos de infantería y caballería que compusieron ia división sitiadora•; camo también el mérito que contraxeron mis ayudantes de campo les tenientes coroneles D. José Ruiz,, D. José María Reyma , D. "Víctor Viñadez y el teniente D. Benito Diaz , y mi secretario de campaña el sargento mayor D. José Seríate y Salazap, los quales llevaban mis órdenes repetidas veces bastados pies de los muros enemigos, sufrien do con desprecio muy…</t>
  </si>
  <si>
    <t>…exemplar á cada uno de un tratado de trigonometría y geometría práctica poj* su aprovechamiento en aritmética y álgebra : á les c,: de tés D. José Beltran , D. José María Gormayo, D. José Ruiz, D. Joaquín Alvarez Sotomayor y D. Vísente Alba, tina obra de. .táctica á padá uno £01* haberse distinguido en la geometría: á los cadetes D,.¡Rafael de ara, D. Alonso Carrasco y D. Juan María-Muñoz, un estuche de: matemáticas, como mas adelantados en fortifi…</t>
  </si>
  <si>
    <t>Ruiz, Josef</t>
  </si>
  <si>
    <t>Josef Ruiz</t>
  </si>
  <si>
    <t>…a división encargada de su defensa es de D. Ramón Ruiz, alcalde. : 60 hombres , y tenia sus puestos avanzado» á seis D. l omas Sancha, substituto primero: ' * leguas de la ciudad. D. Josef Ruiz, substituto segundo.'</t>
  </si>
  <si>
    <t>…y oficiales de los cuerpos de infantería y caballería que compusieron la división sitiadora; como también ei mérito que contraxeron mis ayudantes de campo los tenien tes coroneles D. Josef Ruiz, D. Josef María de Reina, D. Víctor Viñadez y ei teniente D. Benito Díaz , y mi secretario de campaña el sargento ma yor D. Josef Seríate y Saiazar, los quates llevaban mis órdenes repetidas ve ces hasta los pies de los muros enemigos, sufriendo con desprecio…</t>
  </si>
  <si>
    <t>Ruiz, Joséf de Tejada</t>
  </si>
  <si>
    <t>Joséf de Tejada Ruiz</t>
  </si>
  <si>
    <t>…es y procurador síndico; y salieron electos para alcaldes el conde de Morezuma y,D. Nicolás de Garro, marques de las Hormazas: para regido res conde de Sáceda, D. Ramón de Angulo, D. Joséf de Tejada Ruiz, D. Antonio Landaiuce, D. Josef Hernández Martínez , D. Santiago1 de las Rivas, D. Josef de las Barcenas, D Tomas Púertolas; y para procurador síndico general D. Josef Teodoro Santos. La Regencia del reino ha dispuesto que el literato ó inteligente que nece s…</t>
  </si>
  <si>
    <t>Ruiz, Miguel Fernando</t>
  </si>
  <si>
    <t>Miguel Fernando Ruiz</t>
  </si>
  <si>
    <t>…omínguez, 3 id. D. Martin de Aramburu, 3 id. D. Francisco Vázquez de Usieda, 2 id. D. José Correa, 2 id. D. Juan Bautista Zaracondegui, 2 id. D. Francisco Antonio Goitesolo, 2 id. D. Miguel Fernando Ruiz, 2 id. D. Andrés Sánchez Quiros, 2 id. D. Francisco de Paula Calvo, 2 id. D. Pedro Juan de Olasagarri, 2 id. D. Juan Ignaoio de Mndizabal, 2 id. D. Manuel Garrido, 2 id. D. Esteban Cardona, 2 id. D. Nicolás Cameruaga, 2 id. D. Francisco Fernandez Ziesa, 1 id.…</t>
  </si>
  <si>
    <t>Ruiz, Ramón</t>
  </si>
  <si>
    <t>Ramón Ruiz</t>
  </si>
  <si>
    <t>…orias. Las comunicaciones de esta ciudad con el segundo. cuartel general estaban libres. La plaza estaba bien Barrio de Santiago. armada..La división encargada de su defensa es de D. Ramón Ruiz, alcalde. : 60 hombres , y tenia sus puestos avanzado» á seis D. l omas Sancha, substituto primero: ' * leguas de la ciudad. D. Josef Ruiz, substituto segundo.'</t>
  </si>
  <si>
    <t>Ruiz, Vicente</t>
  </si>
  <si>
    <t>Vicente Ruiz</t>
  </si>
  <si>
    <t>…encia, y de ayu nuevo favor dd Emperador, y que mereceríais que dar al párroco en las funciones de su ministerio; y se os confiase una de sus águilas. al presbítero ex-franciscano D. Vicente Ruiz pa ,,El general Abril, comandante de la brigada, ra que sirva en encomienda el curato rural de os acostumbrará á una disciplina severa, y al mis Valsamos, en el obispado de Segovia, con la obli mo tiempo paternal. Él os encaminará por la senda gación de resid…</t>
  </si>
  <si>
    <t>Rurgoine</t>
  </si>
  <si>
    <t>…ad, como lo fueron igual mente los del de1 ingenieros por cl 'téniente coronef Sir R. Fietcher, hasta el momento de su lamentable muerte á la boca de las trinche ras. *E1 teniente coronel Rurgoine le sucedió en el mande, y desea qne yo informe 1, V; S. de la Opinión de Sir R. Fietcher acerca del gran mérito'! contraído por el capitán Henderson en el ataque dé la isla la mañana del 27, y de los esfuerzos y perseverancia de los mayores Ellicombe y Sinixh…</t>
  </si>
  <si>
    <t>Rus, Domingo</t>
  </si>
  <si>
    <t>Domingo Rus</t>
  </si>
  <si>
    <t>…alieron electos, para presidente el £r. D. Joaquín Maniau, diputado por Veracruz; para vice-presidente el Sr. D José de Salas Boxadors, diputado por Mallorca; y para secretario el Sr. D. Domingo Rus, diputado por Maracajbo. La Regencia del reyno se ha servido expedir el decreto siguiente• D. Fernando vii, por la gracia de Dios y por la constitución de la monarquía española, rey de las Españas , y en su ausencia y cautividad la Regencia del reyno, nombrad…</t>
  </si>
  <si>
    <t>Rusia, La</t>
  </si>
  <si>
    <t>La Rusia</t>
  </si>
  <si>
    <t>…sul general de Dina roas cultos, cuyos esfuerzos dirige el mayor capitán marca, que estaba vistosamente iluminada. Se brin de la tierra ? dó á la salud dél Reí de Dinamarca por el señor La Rusia decanta sus extraordinarios alistaConde Chaban, cuyo brindis fue aplaudido por las miente» , y anuncia con énfasis que dos regimientos autoridades Francesas, manifestándose los mas res de la Sberia, que hace dos años que salieron desús petuosos sentimientos h…</t>
  </si>
  <si>
    <t>Russel</t>
  </si>
  <si>
    <t>…miento j.° de los Estados-Unidos, ha derrotadoá una partida de indios junto á la villa de Peoria. El En nuestro cuerpo de exército auxiliar hai po general Hopkins habia mandado al coronel Russel cos enfermos. Muchos oficiales, cuyos regimientos que saliese con dos compañías de cazadores de Viu- no componen parte de este cuerpo de exército, pi cennes, y tomase el nvando de las tropas regladas den que se les destine á él. y milicianos del territono ¡Hi…</t>
  </si>
  <si>
    <t>Rute</t>
  </si>
  <si>
    <t>…500 dragones. El arrojo fué digno del crédito de aquel benemérito oficial. Los 20 dragones y sus oficíales se batieron como héroes , y se mezclaron con los enemigos. El in trépido capitán Rute, después de haber recibido 5 ó 6 heridas, que dó prisionero: igual suerte tuvo el valeroso alférez D Pablo Navar ro , después de haber sido herido, habiéndose sacrificado gloriosa mente , y muerto en el campo el alférez D. Antonio Bolacos y uii distinguido ,…</t>
  </si>
  <si>
    <t>Rutlitz</t>
  </si>
  <si>
    <t>…e real trasladó hoy á este pueblo su cuartel general. Según todas las noticias recibidas por los prisioneros del cuerpo del general Girard, fué este muerto en la acción del 27. Eí general Rutlitz recibió una fuerte contusión en el hombro, y manifestó mu cho valor y talento. A todas horas se hacen prisioneros, y las tropas persiguen vivamente al enemigo. El general Borstel ocupa á Zinna y Juterbock, y ha dado en to das las ocasiones pruebas de su celo…</t>
  </si>
  <si>
    <t>Rutmow</t>
  </si>
  <si>
    <t>…mente á los que&gt;. se han tomado en Wilna si comoir rehunde también los que se rsa?¿ tomado después déla publicación del último parte. Tengo la honra &amp;c. —*■ Cuthcarí.” Partes del príncipe Rutmow que se citan en el oficio anterior. Primero, desde el cuaitel general de Radaschkewitsch el l.° de Dici embre. ^Habiendo pasado el exército francés el Berezina, le persiguió el almirante TchichagoíF sin interrupción . consiguiendo repetidos triunfos , y los f…</t>
  </si>
  <si>
    <t>Ruvalcab, Felipe</t>
  </si>
  <si>
    <t>Felipe Ruvalcab</t>
  </si>
  <si>
    <t>…propio cuerpo; D. Andrés González, teniente del de Oviedo; Don Manuel Suarez Campa , capitán de la compañía de obreros; D. Ra món Lozano, D. Juan Ruvi, D. José Oronoz , capitanes, D. Felipe Ruvalcab3, teniente, y D. Leonardo Cotera, subteniente del prime ro cántabro, y D. Joaquín Díaz, capitán de tiradores de Cantabria. Los heridos son: D. Antonio Bausivi, subteniente del de Toledo; D. Andrés Narvaez y D. Francisco Romero, tenientes del de Monterey ; D.…</t>
  </si>
  <si>
    <t>Ruvi, Juan</t>
  </si>
  <si>
    <t>Juan Ruvi</t>
  </si>
  <si>
    <t>…s primeros , y tenientes los segundos del propio cuerpo; D. Andrés González, teniente del de Oviedo; Don Manuel Suarez Campa , capitán de la compañía de obreros; D. Ra món Lozano, D. Juan Ruvi, D. José Oronoz , capitanes, D. Felipe Ruvalcab3, teniente, y D. Leonardo Cotera, subteniente del prime ro cántabro, y D. Joaquín Díaz, capitán de tiradores de Cantabria. Los heridos son: D. Antonio Bausivi, subteniente del de Toledo; D. Andrés Narvaez y D. F…</t>
  </si>
  <si>
    <t>S'chwartzenbe-rg</t>
  </si>
  <si>
    <t>…e Rusia. JP’ctersburgo 6 de Febrero. —,J,Milerd : por el diario de las ope raciones militares desde el 20 al 23 de Enero, se ve que eí 20 es taba en Puítusk el cuartel general del príncipe S'chwartzenbe-rg, y en Ostrole*nka sus puestos avanzados después de haber sido arroja dos de SnyackfF y Novogrodek. „No he recibido pormenores acerca de los movimientos de la co laran a del general Sachen por la izquierda ; pero tengo motivo para creer que avanzó hasta cerca…</t>
  </si>
  <si>
    <t>S, Ignacio</t>
  </si>
  <si>
    <t>Ignacio S</t>
  </si>
  <si>
    <t>…ista Visa», id. por 4,48. O. J.: ss Ganó, id. por 4, 48 D. Francis co' Pende, id. por 4,48. I). José Saadago Aguirre, id. por 10, 129. D B as Ignacio de Tellexia, id. par 10, 120. D. Ignacio S obrado, id. por 25,303. I), José Antonio de la Piedra, id. p &gt;r 12, 144. Doa J¿an Freyre, id. por 10, 120. í). Juan Alonso , id. por 10,120. Don Juan Mores , id. por 10, |20. D Manuel Ibañez, id. par 10, 120. D Domingo Dertiaco., id. por 8,90 D. Cosme Ximenea…</t>
  </si>
  <si>
    <t>Sa, Francisco</t>
  </si>
  <si>
    <t>Francisco Sa</t>
  </si>
  <si>
    <t>…onor de la milicia española y del tercer exército* ,, No encuentro voces ni expresiones para elogiar y encarecer la conduc ta del' comandante del esquadron de cazadores de Ubrique D. Francisco Sa— hquet con sus dignos oficiales y tropa; siendo mui particular la del sargenta mayor interino el capitán D. Lázaro Sierra, quien observando que algunos húsares salían de sus tilas,. insultando con ei sable a nuestros cazadores, se arrojó sobre los dos temerar…</t>
  </si>
  <si>
    <t>Sa, León de</t>
  </si>
  <si>
    <t>León de Sa</t>
  </si>
  <si>
    <t>…masiado ciertas fueron est» ligrimas .AVISO. y estos gemidos; pero nacían de la previsión de unos males de que vosotros; bárbaros, os reíais entonces. En virtud de providencia del Sr. D. León de Sa (ri) Y después de esta franca y espontánea confe gas t a , juez de primera instancia en esta villa, refren sión «tendrán todavía valor los liberales y serviles pa dada de D. Antonio López de Salazar, escribano del ra proclamar Ja constitución de Cádiz como su…</t>
  </si>
  <si>
    <t>Sa-, Federico de</t>
  </si>
  <si>
    <t>Federico de Sa-</t>
  </si>
  <si>
    <t>…o insertar en la.gazeta del gran ducado una -de S. M. d dia 13 de octubre. Asistieron á ella S. A. R. claración , en qoe substancialmente-dice: que se fe ei príncipe heredero y el príncipe Federico de Sa- habla hecho un cargo -tan sensible «orno -injusto, &gt;: nía- Gorila. F.l consejero de hacienda Roch, miem suponiendo que -la inUerre del gran'duque heredero bro de la clase de historia, leyó ún paralelo entre provenía de &lt;jue éc le -hubiese curado segun'cl mé T…</t>
  </si>
  <si>
    <t>Saavedra, Francisco</t>
  </si>
  <si>
    <t>Francisco Saavedra</t>
  </si>
  <si>
    <t>…qué bloquease por mar la plaza de S. Sebastian, destinó-á Pasages el 6** regimiento de marina, y dio la comisión de crear esta fuerza al teniente coronel del expresado regimiento D. Francisco Saavedra, que entonces lo mandaba. Este gefe, auxiliado de varios señores oficiales de su cuerpo, y posteriormente el coronel del mismo regimiento D. Ramón Romay, á fuerza de la actividad y zelo por él servi cio que distingue á los in^g^iuos de la armada nacional, han…</t>
  </si>
  <si>
    <t>Sabor, Juan</t>
  </si>
  <si>
    <t>Juan Sabor</t>
  </si>
  <si>
    <t>…ica;, D. Toi»as Benitez, en la de táctica;. I)., Dionisio Gisbert y D. Martin de Villota en las de aritmética,y álgebra; T&gt;é Francisco de Lara en las de aritmética y ordenanzas, y D. Juan Sabor!do por su extraordinaria aplicación en ordenanzas y, aritmética. Valencia de agosto, JLa junta superior provincial ha recibido del comandante de la división Valenciana el parte siguiente, ■ .j! ^ * ■ Excmo.* Sr.: En mi último parte comunicaba á V. E. desde Be…</t>
  </si>
  <si>
    <t>Saborido, Juan</t>
  </si>
  <si>
    <t>Juan Saborido</t>
  </si>
  <si>
    <t>…áctica; D. Tomas Benitez, en la de táctica; D. Dionisio Gisb-.’rt y D. Maittn de Villota en las de aritmética y álgebra; D. Francisco da La a en las de aritmé tica y ordenanzas, y D. Juan Saborido^ por su extraordinaria apli cación en ordenanzas y aritmética. ARTICULO DE OFICIO. Habiendo procedido las Cortes generales y extraordinarias en la sesión de 24 del corriente á la renovación de su presidente, vice presidente y uno de sus secretarios, salieron…</t>
  </si>
  <si>
    <t>Sabroso, Manuel</t>
  </si>
  <si>
    <t>Manuel Sabroso</t>
  </si>
  <si>
    <t>…cía del Olmo, vecino de Alcolea del Pinar. Suplentes. i.° Sr. D. Patricio Sanz Pinilla, vecino de Alustante. 2.0 Sr. Lie. D. Pedro Josef Ibarrola, vecino de Mondejar. 3.0 Sr. Lie. D. Manuel Sabroso, vecino de Valdearenas. Madrid 26" de julio, Extracto del parte del coronel D. Juan Antonio Tabuenca al mariscal de campo D. Josef Joaquín Duran sobre la acción del dia 8 en Zaragoza. Mi general : el 7 á las n de ía mañana recibí en Boyar la orden de V. S. pa…</t>
  </si>
  <si>
    <t>Sabugo, Francisco</t>
  </si>
  <si>
    <t>Francisco Sabugo</t>
  </si>
  <si>
    <t>…l dia i.° del corriente en autos concurso de acreedores á la testamentaría de D. José Andrade, vecino que fué de la Habana, se manda citar y emplazar por término de cuatro meses á D. Francisco Sabugo , Doña Margarita Fábrega, D. Francisco Alegre y Doña Cayetana Rosier, para que por sí, sus apoderados , herederos y representantes acudan al tribunal á recibir las cantidades que se les han asignado en rateo, como acreedores á dicha testamentaría, en concepto…</t>
  </si>
  <si>
    <t>Sachen</t>
  </si>
  <si>
    <t>…s, é hizo 400 prisioneros el 12 de este mes. 14 de Ni Vierabre. — El almirante TchichagofF comunica que el 11 deteste mes dexó en el principado de Varsóvia un cuerpo al man do del general Sachen. El almirante marchó con el resto de su exército á Preyan, con intención de llegar á Minsk por el camino de Slonim y de Nesvichí, y contaba estar én Minsk el 17 ó 19 de Noviem bre. Al mismo tiempo dio orden al mayor general Leiders y al te niente general Eart…</t>
  </si>
  <si>
    <t>…ri sionero otro oficial general, de cuyo nombre no me acuerdo, y tam bién parece que se ha recibido aviso de haber llegado á Egoumeoel general Ertle. „El destacamento que manda el general Sachen parece que asbastante fuerte para conténer al príncipe Schwartz¡emberg. ■ ,5Se frustró la tentati va de volar ?a catedral de Smolensko por ha»? . benr apagado la mecha antes de,llegar á la mina, , ;jj, , No sé sabe todavía que es del mariscal Níey..-—Tengo.la…</t>
  </si>
  <si>
    <t>…todo Lo que le debemos. Acaecimientos im del exército austríaco y del séptimo cuerpo ha obli previstos , efectos de la guerra actual , nos piden gado á los restos del exército del general Sachen á este sacrificio. El peligro de la patria, el honor na dirigirse á Pinsk para pasar á la Eituania, y ale cional , el deber, nuestros juramentos lo redaman jarse de nuestras fronteras. imperiosamente. ¡A las armas ciudadanos! La patria os llama: se trata por…</t>
  </si>
  <si>
    <t>…elante del exército con sus regimientos. En el tercero comunica que todos los habitantes prusianos se muestran muy go zosos con la llegada de las tropas rusas. Ei teniente general barón Sachen informa, con f;cha de 2 de Ene ro , que ha perseguido hasta el Bug e1 cuerpo del geaeral Reiguter, y que el enemigo llevaba perdidos mas de 1000 hombreo en prisio neros, é igual número de enfermos que había dexado atras en dife rentes lugares. Sachen está en…</t>
  </si>
  <si>
    <t>…Los* generales Mili arado witch y Doctorow con las tropas que pasaron la frontera por Grodno , se mueven en línea paralela á la del empera dor por su izquierda , y la columna del general Sachen va mas reti rada también á la izquierda. Hay ademas cuerpos intermedios para mantener la comunicación entre cada una de estas columnas. Los austríacos permanecieron en el Bug, coa el objeto sin duda de hacer una diversión en favor del exército que se retiraba…</t>
  </si>
  <si>
    <t>…nbe-rg, y en Ostrole*nka sus puestos avanzados después de haber sido arroja dos de SnyackfF y Novogrodek. „No he recibido pormenores acerca de los movimientos de la co laran a del general Sachen por la izquierda ; pero tengo motivo para creer que avanzó hasta cerca de la línea del Bug, hácia Va-MVía, observando a! cuerpo de Regnier ea la orilla izquierda de aquel rio; de cuyo cuerpo sé dixo en un p» te anterior que- estaba apo yando la derecha de las…</t>
  </si>
  <si>
    <t>…o se hallan mui bien instruidos los franceses, gracias á la actividad de los cosacos, era la que sigue: «1 general Barclay de Tolíy sobre el Vístula en observación de Dantzick. El general Sachen observa él cuerpo austríaco con dirección á Cracovia. Al Emperador Alexándro con sus guardias y al mariscal Kutusow con unos 20® hombres se les supone en el Oder. Los saxones en Torgau. El general Dornberg se hallaba en Hamburgo, y hacia excursiones entre el…</t>
  </si>
  <si>
    <t>…..................... 25000 4.0 Winzingerode &amp;c. (rusos), en Leispick................................. 20000 El Emperador Alexandro con Kutusow, en Dresde............ 40000 6.° El general Sachen (rusos) , en nueva Cracovia.......... 15000 7.0 Suecos 6®; ídem marchando á Schwerin 12®..................... 18000 8.° Cuerpos rusos en el Vístula, sobre Dantzick, Zamosc y Modün................................................................................…</t>
  </si>
  <si>
    <t>…as posicio nes, y arrojó al enemigo cerca de Colberge. Estaba sostenido por el quinto y undécimo cuerpo. A su izquierda el príncipe de Moskowa hizo que el tercer cuerpo atacase al general Sachen , enfrente de Prunzlau . le desbarató* y le hizo algunos prisioneros. El enemigo se puso en retirada. El 23 de agos to hubo otra acción delante de Goldsberg. El general Lauriston se hallaba al frente del quinto y undécimo cuerpoj y tenia delante de sí á los r…</t>
  </si>
  <si>
    <t>Sachet</t>
  </si>
  <si>
    <t>…te ge neral Sir John Murray levantó el sitio de Tarragona (so se el díab y embarcó sus tropas, dexand® ea las haterías una gran parte de ia artillería y municiones. «Parece que ®1 mariscal Sachet con ‘un ci-erpo considerable de tropas había marchado desde Valencia por Toiucsa, y el general Maunce Mathieu con otro cuerpo desde las iamediack nes de Barce lona , con el objeto de embarazar é impedir las opericíouct ele Sir John Murray; lo que consiguieron…</t>
  </si>
  <si>
    <t>…rido entre las tropas de la segunda brigada, primera división, al mando del coronel D. José Manso en la villa de S. Sadurní, y el primer batallón ligero italia no del exército del mariscal Sachet. = Dios guarde á V. E. muchos años. Cuartel general de Igualada 12 de Agosto de 1 di3.~Hxcmo. Sr r= Francisco de Copons y Navio.. =r Excmo. Sr. D, Juan O-Donoju.” Cof ia del parte que se cita. "Por el ayudante del regimiento cazadores de Cataluña, que dirigí…</t>
  </si>
  <si>
    <t>Sacken</t>
  </si>
  <si>
    <t>…rechazado á distancia de 4 ó 5 werst&amp;s, con pérdida de uu cañón, de varios oficiales , de algunos centenares de prisio neros , y de un número considerable de mueTtos. „E1 teniente general Sacken , á quien habia dexado en las inme diaciones de Brut, cumplió exactamente las órdenes que tenia. El principe Sehwartzenberg se ha acercado por dos veces á Slonim; pero el teniente general Sacken, habiendo atacado á Regnier en dos dias consecutivos, le obligo…</t>
  </si>
  <si>
    <t>…8 DE FEBRERO DE 1813. - — ----------------------—~ -— — PRUSIA. 156 fábricas de texidos de seda, y había únicamen te 5 5 en el año de 1786. &amp;erlin de diciembre. El cuerpo ruso del general Sacken , antes de los La contradicción quasi oficial que ha sufrido un combates que sostuvo contra el principe de Sch wartartículo del diario, en que se anunciaba la emba zemberg y el general Regnier, se componía de ncada de un comisario del gobierno al famoso Mes-…</t>
  </si>
  <si>
    <t>J4a del teniente general Sacken con el cuerpo del general Regnier, que fórmala retaguardia del príncipe Sehwartzenberg, las tropas aus tríacas que habían avanzado hácia Sloüim, se volvieron á ísabeüna para reforzar al general Regnier. Este movimiento otVgó al reí.lente general Sacken á reti…</t>
  </si>
  <si>
    <t>…desear en la El exército del almirante Tchitschakotf está materia. enteramente falto da víveres. Después de la derro Una biblioteca completa de los escritores alema ta y fuga del general Sacken, que mandaba 2 nes desde 1700 hasta 18x0, recopilada por Mr. Heinhombre* de buenas tropas, debilitado aquel cuerpo sius, de esta ciudad. Se han publicado ya tres volú con la lalta de esta tan numerosa división , consta menes con mucha aceptación, y el autot n…</t>
  </si>
  <si>
    <t>…con dirección á Grod no ; pero se retiraron de todos los puntos al avanzar las tropas rusas, y un destacamento de estas recibió orden de marchar á Bialystock, „EI teniente general barón Sacken iba siguiendo el alcance á los principales cuerpos austríacos por Pinsk y Slonim, y pensaba estar en Rugana el 24. „ El cuerpo que antes mandaba el generel Ertle, y ahora está á las órdenes del general Tcutschcoff, reunido á otro destacamento, habiendo pasado…</t>
  </si>
  <si>
    <t>…e él. Ei enemigo perdió en esta ocasión 40 prisioneros, ademas de un cañón que se tomó en la aldea de Dobrovrski. 'En Tilit y ílaguit se encontraron grandes almacenes. Ei teniente general Sacken comunica en 21 que está pasando con su cuerpo por Chomsk y Pesky , v piensa llegar á Rouschany el 24, El cuartel general se haba en Wilna. Resumen de los prisioneros y cañones tomados por los rusos hasta el 25 de Diciembre. ílWa el 20 de Diciembre se cogieron…</t>
  </si>
  <si>
    <t>Sácken</t>
  </si>
  <si>
    <t>…ándose en Holbzach con dos regi mientos de cosacos, destacó una partida, que hizo prisioneros 4 sol dados de una patrulla enemiga de los húsares de Kieninayer. Id, 22. El teniente general Sácken dice en 12 del corriente, que marcharla el 13 con su cuerpo á Pinsk, y de allí á Slonim. Después de las batallas, que se dieron el lg, 14, 15 y 16 en Gornostai z y Wilkowisk, el ala derecha de dicho general ocupó á Koule y Kolka, y la izquierda á Loubomié. El…</t>
  </si>
  <si>
    <t>…U brigada de Humebein, cabria el flanco izquierdo contra el cuerpo de Lauriston , y U brigada d: Steinmetz formaba la reserva. El general en gefe dio parte de esta disposición al general Sacken., y le encargó que atacase el flanco izquierdo del enemigo, á cuya or den respondió este bizarro gefe: decid al general \/turra) esto es, ¡ viva! é inmediatamente sus tropas se precipitaron sebre el enemigo. La fuerte lluvia que esttba cayendo impedía que la…</t>
  </si>
  <si>
    <t>…on el exército de Bohemia. Habiendo tenido noticia de que el sexto cuerpo del exército enemigo marchaba sobre Grossenhain, el general Blucher mandó avanzar á Camnitz el cuerpo del general Sacken. La vanguardia de este cuerpo inquietó al ener migo todo el clia 15 y 16. El sexto cuerpo retrocedió á Dresde, y el primer cuerpo de caballería se movió para seguir á la infantería.</t>
  </si>
  <si>
    <t>…e se presumía que seríamos atacados. Como el enemigo permaneciese tran quilo hasta el medio dia sin hacer movimiento alguno contra nuestra van guardia, el general en gefe mandó al barón Sacken que retardase su ataque: su coiuna destiló por el flanco izquierdo, y por la noche dispuso un ataque á su retaguardia. No obstante, el decisivo ataque se trasladó para la madru gada dei dia 25; pero el enemigo no esperó, y se retiró por la noche áBischofswerd…</t>
  </si>
  <si>
    <t>Sacken, Von</t>
  </si>
  <si>
    <t>Von Sacken</t>
  </si>
  <si>
    <t>…abierto, terminan en él los bosques, y hai cerca de Bautzen al gunas llanuras donde pueden evolucionar libremente las masas de caballería. El general en gefe colocó el cuerpo del general Von Sacken en una posición encubierta para caer sobre el flanco y retaguatdia del enemigo el dia 24, en que se presumía que seríamos atacados. Como el enemigo permaneciese tran quilo hasta el medio dia sin hacer movimiento alguno contra nuestra van guardia, el general e…</t>
  </si>
  <si>
    <t>Sackeu</t>
  </si>
  <si>
    <t>…s del séptimo cuerpo de der gran número de prisioneros. El general Devaux, ejército anuncian que este, siguiendo el alcance al que dirigía este ataque, hace singular elogio del ba general Sackeu, llegó hasta Brzesc el dia 26 de no rón de Wuldcnfels, comandante de los wurtzburviembre. El enemigo se retiró á Ratno, y manifes gueses. taba querer atravesar los pantanos par* refugiarse SUIZA.en Kowel y Luck. La caballería saxona, aunque inferior en número…</t>
  </si>
  <si>
    <t>Saco</t>
  </si>
  <si>
    <t>…l Holstein y la Lombardía, Westfalia y diversos fox se había manifestado espontáneamente en las parages de la Francia, confirman esta opinión. : : vacas, conforme á la opinión del doctor Saco de • La comisión no duda que si se hacén investiga Milán ; que durante el curso de la enfermedad estas ciones exSctas se encuentre esta enfermedad en las se habian enflaquecido, y dado menos leche aun numerosas vacadas de la Holartdá; y encarga de que habían…</t>
  </si>
  <si>
    <t>Sada, Nicolás</t>
  </si>
  <si>
    <t>Nicolás Sada</t>
  </si>
  <si>
    <t>…D. Fran cisco Azcarate , D. Martin Antonio Laquidaia , D Santos Ayerra, D. Tomas Ayerra, D Juan Esteban Alemán, D. León Mayo, D. Aniceto Unciti y D. Sebastian íso : á alféreces á D. Nicolás Sada, D. Lucas Munarriz, D. Francisco Ruiz , D. Cristóbal Pereti, D. Mariano Raqpedano, D. Mariano Amorós, D. Manuel Rodrigo, D. Gregorio Lagarda, D. José García, D. Antonio Ortíz, D. An gel Martínez, D. Antonio Blesa, D Fermín Fabiano, D. Pedro Garrea, D. Pablo F…</t>
  </si>
  <si>
    <t>SaFado, Celedonio</t>
  </si>
  <si>
    <t>Celedonio SaFado</t>
  </si>
  <si>
    <t>…r utilidad, y dando aviso d-: los puntos y disposición en que estaba el enemigo antes de la acción del Tuerto. t* Es mr.y recomendable la conducta y patriotismo del cura da Xacaía D. Celedonio SaFado, comandante que fué de esta plrza cuando el exprer-ado sitio, quien con sus exhortaciones ha sabido reducir á sus re’igivse*, que lo tenian prero en compañía de un eu ropeo que tiene la fortuna de existir. = Dios guarde á V. E. mucho*</t>
  </si>
  <si>
    <t>Saga.n, Félix</t>
  </si>
  <si>
    <t>Félix Saga.n</t>
  </si>
  <si>
    <t>…cima del libro , y al pie de la alegoría se lee lo siguiente: "Promulgada en Cádiz á 19 de Marzo de 1812.” Está executada esta medalla por el grabador general de la casa de moneda D. Félix Saga.n, y el gusto artístico, la buena elección de las formas, y la perfección del grabado'en todas sus partes hacen la obra sumamente recomendable para todos los que tengan verdadera afición á las be llas artes, ademas del interes que encierra por el objeto á cuya…</t>
  </si>
  <si>
    <t>Sagasti, Francisco</t>
  </si>
  <si>
    <t>Francisco Sagasti</t>
  </si>
  <si>
    <t>…D. Juan y D. M g-id Viña, 50. D Andrés Sánchez Quiroz , 50. D. Antonio Bbras, 50. D Francisco Nnaez, 50. D. Manuel Odrinsola, 50 D. Fulg í c o Z avala, 50. D. Vicente Aborta, 50. D. Francisco Sagasti, 50. D. Pedro Larrañ ga, 25 D. Julián Psraz, 25 O. José Osorio, 25. D. Miguel Jáaregui, 25. D Juan Mella, 95 O. Alonso Ronero, 25. 13 Domingo Ufqu’jo. 25 1). José Oétolasa, 25. D. Fran cisco Muían Rodrí guez , 25. D Manuel Julián G rájales, 20. D. D «mingo Ca…</t>
  </si>
  <si>
    <t>Sagaswcios, León de</t>
  </si>
  <si>
    <t>León de Sagaswcios</t>
  </si>
  <si>
    <t>…ufridos con resignación los que la picara la manz. 508, que tiene de sitio 3227J pies, retasada n fortuna descarga á mano salva sobre vuestros lu- en 51800 rs. vn., ha señalado el Sr. D. León de Sagaswcios lomos.... Que ¿es para rddo y celebrado el ta, juez de primera instancia de esta villa, el día 24 •» ver que el maná va á faltar, y los arroyos de Ie- del corriente de doce á una de su mañana á las puertas »»che y miel se tornen en agua turbia?.... Terrible d…</t>
  </si>
  <si>
    <t>Sahagun, Angel</t>
  </si>
  <si>
    <t>Angel Sahagun</t>
  </si>
  <si>
    <t>…primero. D. Juan Represa , alcalde. D. Agustín Pascual, substituto segundo. D. Diego de Villa, substituto primero. Barrio de S. Pascual. D. Bartolomé Cano de Molina, substituto se D. Angel Sahagun, alcalde. D. Vicente Esper, substituto primero.gundo. Barrio de las Niñas de la Paz. D. Arias Gonzalo de Mendoza, substituto se D. Francisco Blanco, alcalde. gundo. D- Tomas Ximenez, substituto primero. Barrio de las Mercenarias. D. Carlos A riña, substituto…</t>
  </si>
  <si>
    <t>Sahr</t>
  </si>
  <si>
    <t>…aqui todavía. Continúa el frecuente paso de tropas para la Lusacia y Silesia. El exército de Saxonia está acampado junto á Gorlitz. El general Lecoq manda la primera brigada, y el general Sahr la segunda. Estos cuerpos se hallan enteramente comple tos. ( Diario del imperio.) Maguncia 2 de agosto. S. el Emperador, nuestro Soberano, dexó ayer á las seis de la tarde e^ta ciudad para volver á Dresde, y hoi á las diez de la mañana se ha anunciado á los…</t>
  </si>
  <si>
    <t>Saiazar, Josef Seríate y</t>
  </si>
  <si>
    <t>Josef Seríate y Saiazar</t>
  </si>
  <si>
    <t>…ayudantes de campo los tenien tes coroneles D. Josef Ruiz, D. Josef María de Reina, D. Víctor Viñadez y ei teniente D. Benito Díaz , y mi secretario de campaña el sargento ma yor D. Josef Seríate y Saiazar, los quates llevaban mis órdenes repetidas ve ces hasta los pies de los muros enemigos, sufriendo con desprecio mui res petable fuego: el enemigo ha hecho un vivísimo fuego de cañón y fusil du</t>
  </si>
  <si>
    <t>Saielles, José</t>
  </si>
  <si>
    <t>José Saielles</t>
  </si>
  <si>
    <t>…9080 3191 246 411 494 555 , O 801 y A. D. Ramón Ramirez, 4643 ■4873 134683 135109 30 1 Sres. Die hermanos, de Alicante. 2 '4874 A D. José Esteve, de Valencia. 5 6157 138764 ^ 3 4 D. José Saielles, de Valencia. ¿ 138714 S 5691 7229 ¿ 4 A D. José Baquer, de Valencia. * 6053 8263 £ 49 de 600 pesos. De 150. « f 177143 1S83S5^I I8ÍS50 .189855 181876 190086 182005 198888 184810 . 200307 20 &gt;A D. Ramón Bertrán y Saray. 185280 200638 185SS0 206603 185419 2066…</t>
  </si>
  <si>
    <t>Saigado, Francisco</t>
  </si>
  <si>
    <t>Francisco Saigado</t>
  </si>
  <si>
    <t>…ndez y D. José .efe Paga, tenientes; D. Ventura Nogueyra y D. Laureano Iriarte, sub tenientes del de voluntarios de la Corona; D. Andrés Parga, ayudan te ; D. Ramón Suero Díaz , y D. Francisco Saigado, tenientes , el</t>
  </si>
  <si>
    <t>Saint-, Carra</t>
  </si>
  <si>
    <t>Carra Saint-</t>
  </si>
  <si>
    <t>…muzas, de las quales la mas considerable fue la doles algunos de ellos. El general Morand se apos de Werden el dia 28 , y en todas el exército fran tó en la orilla izquierda, y el general Carra Saint- cés ha llevado siempre la ventaja. cyr_ ;e d ivigió á Brema. El dia 24 el general Saint-Cyr envió dos ca luñas movibles contra las baterías de Carhburgo y Blexen, de las quales se habían apoderado algunos VARIEDADES. contrabandistas , ayudados por los paisano…</t>
  </si>
  <si>
    <t>Saint-Cjr</t>
  </si>
  <si>
    <t>…tras in mediaciones un cuernoA de 4.03• hombres destinados á cubrir la capiuti, y el. peso del Elba por el lado de Bohemia, mientras que otro cuerpo considerable á las ordenes del mariscal Saint-Cjr ocu pará el círculo de Ertzberg. Las guardias que salieron de aquí se dirigieron hacia Bztitzeii. Pirita ij de Agosto. Los puestos avanzados de los franceses entraron en Friedland y Rombargo. Au'gsburgo 20 de Agosto. SS. AA. SS. el príncipe y princesa, el jov…</t>
  </si>
  <si>
    <t>Saint-Cyr</t>
  </si>
  <si>
    <t>5 có ¡ion del cuerpo de exército del general Saint-Cyr. tes , como está consignada en su minuta del dia 2; El enemigo, nue no ha presentado- fuerzas de de enero, á saber, que no se encuentra causa para consideración al frente del Elba, no ha penetrado qua V. AI. se deniegue á admitir ante su real pre por ningún p…</t>
  </si>
  <si>
    <t>…os de Werden el dia 28 , y en todas el exército fran tó en la orilla izquierda, y el general Carra Saint- cés ha llevado siempre la ventaja. cyr_ ;e d ivigió á Brema. El dia 24 el general Saint-Cyr envió dos ca luñas movibles contra las baterías de Carhburgo y Blexen, de las quales se habían apoderado algunos VARIEDADES. contrabandistas , ayudados por los paisanos y por LITERATURA GRIEGA. algunos ingleses. Los insurgentes fueron derrotados v echados de…</t>
  </si>
  <si>
    <t>Saint-Cyr, Carra</t>
  </si>
  <si>
    <t>Carra Saint-Cyr</t>
  </si>
  <si>
    <t>providencias y documentos relativos i las- declara y ha tomado el mando de las bocas de! Weser. ciones escritas que se presentaron á S. M. tocantes El general Carra Saint-Cyr , .comandante ea á la conducta de la princesa de Gáles; informado gefe de la trigésimasegunda división militar tiene por los 'mismos S. M. , después del mas maduro exi su quartel general en Ottersberg. men , de las diligencias practicadas, de las observa cion…</t>
  </si>
  <si>
    <t>…Tiro!. rollo , quitándoles entre muertos y heridos unos 60 El dia 27 el general Vandamme llegó á Brema; lio mh res. las divisiones Dumonceau y Duffour habían pasado El dia 1 2 el general Carra Saint-Cyr * que man ya el Weser. daba la 32.a división militar, creyó conveniente Independientemente del exército de! virei y de pasar á la oriila izquierda del Elba, dexando á los exércitos del Mein y del Reí de Westfalia ha Elamburgo á la custodia de las autoridades…</t>
  </si>
  <si>
    <t>Saint-Cyr, Gonvion</t>
  </si>
  <si>
    <t>Gonvion Saint-Cyr</t>
  </si>
  <si>
    <t>…a ciudad prueba Ja bizarría con que se ha por tado el cuerpo de exército saxon que manda el va Berlín 9 j de febrero. leroso gttneral Lecoq, aunque hallándose mui de El Excmo. Sr. mariscal Gonvion Saint-Cyr y bilitado, no por el enemigo, sino por la injuria de los señores generales franceses Marchand y Ricbar- la estación, y haberse desprendido de dos batallones dat han venido de Glogau á esta ciudad. que se destinaron para la guarnición de la fortaleza El dia 2…</t>
  </si>
  <si>
    <t>Saint-Gyri, Carra</t>
  </si>
  <si>
    <t>Carra Saint-Gyri</t>
  </si>
  <si>
    <t>…s ber y las prendas personales del autor, ha merecido y 15 cañones pasó el Elba por debaxo de nuestros el aprecio universa! del público; y tal vez también muroí, y se incorporó al general Carra Saint-Gyri. la habréis vos juzgado ya.digna de la aprobación El contra-almirante L’hermite con una división de del cuerpo legislativo. cañoneras está delante de Cuxluven; defiende ia „ El estilo de las leyes debe ser conciso: e&lt;tas entrada del canal, hallándose protegid…</t>
  </si>
  <si>
    <t>Saint-Marsan</t>
  </si>
  <si>
    <t>…á V. M. quando la la conducta que hace ya tiempo observan en sus Prusia soiiciió su alianza, con el extracto de las car caros aliados, y los acaecimientos de Sicilia acaba tas del conde Saint-Marsan acerca del mismo objeto. rían de arrancar la máscara de amigos con que se « El tratado y convenios concluidos en París cubren y disfrazan les pérfidos é irreconciliables ene &lt;^&gt;ara establecer la alianza. migos &lt;íe !a España. «El convenio hecho entre el genera…</t>
  </si>
  <si>
    <t>…ris que le habia admitido á su alianza. Presento á V. M. con este informe : «Las piezas presentadas i V. M. cuando la Prusia solicitó su alianza, con el extracto de las cartas del conde Saint-Marsan acerca del mismo objeto. «El tratado y convenios concluidos en París'para establecer la alianza. «El convenio hecho entre el general Yorck y los rusos, y sus proclamas. «Las piezas concernientes á las disposiciones tomadas por la Pru sia con motivo de la dese…</t>
  </si>
  <si>
    <t>Saint-Marsan, He</t>
  </si>
  <si>
    <t>He Saint-Marsan</t>
  </si>
  <si>
    <t>…migo. ,, Aceptad &amp;c. = Firma J o = el'mariscal duque Concluye la sesión del 10 de enero de 18 /j. de Tárenlo, Macdonald.” '■&gt;' • ' NUMERO I. : ' NUMERO ni. Cofia He .14 carta del conde He Saint-Marsan al ministro He Relaciones exteriores. Carta del general Yorck al mariscal duque de Tárenlo. ..Berlín i.° de enero de 18 tj. „Excmo. Sr. : ha .llegado un . edecán del señor duque de Tarento, Tacrroggen jo de diciembre de j8ia. ^Ex enviado por el señor principe…</t>
  </si>
  <si>
    <t>Sainz, Pedro</t>
  </si>
  <si>
    <t>Pedro Sainz</t>
  </si>
  <si>
    <t>…n García Domenech, gefe político superior en comisión de Madrid y su provincia,,en la satisfacción que da al público y algo-* bierno sobre lo que acerca de sus procedimientos dixo D. Pedro Sainz.{je.Baranda en su Carta fresca, y exposición de lo que á jcstejpcprre ¿sobre dicha satisfacción. Se hallará en Ja librería de Matute, cailc.de las Carrctas. », j EN LA IMPRENTA NACIONAL.</t>
  </si>
  <si>
    <t>Saken</t>
  </si>
  <si>
    <t>…e sal. Una partida destacada por orden del general barón Winzingerede se apoderó de Kovaki, donde halló-un pequeño almacén; perteneciente al enemigo. Dia 4. El cuerpo del teniente general Saken entró en Syaenes-lawo, donde se le reunió el del teniente general príncipe de Walkousky* Dia 5. El cuartel general del emperador y del general en gefe pasará boy á Plozk. Dia 6, Las partidas de cosacos que marchaban delante del ejér cito grande llegaron el di…</t>
  </si>
  <si>
    <t>…s se retira ron , se hallaban stia avanzadas á milla y media alemana de aquella ciudad. El teniente general conde Pablen se halla en Welike Sabelie. Dia 30. El cuerpo del teniente general Saken continúa su mar cha en la dirección que se le tenia indicada. El mayor general conde Leuven arrojó al enemigo de Komosehin, donde hizo prisioneros á un capitán y 82 soldados polacos. Dia l.6 de Febrero. El cuartel general del emperador Alexandre y del general…</t>
  </si>
  <si>
    <t>Sal, Josef del Valle</t>
  </si>
  <si>
    <t>Josef del Valle Sal</t>
  </si>
  <si>
    <t>…. se ha ser de caballos. A este departamento del Sena le han vido nombrar procurador substituto de la munici correspondido jao; y según un edicto del prefecto, palidad de Madrid á D. Josef del Valle Sal azar. publicado hoi , se .pagarán por cada caballo para el Por decreto de 9 del mismo S. M. se ha servi uso de los. coraceros 400 francos, y .350 trancos do nombrar al presbítero ex-regular D. Francisco por los'que se destinen para los dragones. Hurtado, prio…</t>
  </si>
  <si>
    <t>Salaba, Josef del Valle</t>
  </si>
  <si>
    <t>Josef del Valle Salaba</t>
  </si>
  <si>
    <t>…tural de Fiícncarral, canónigo lectoral de S. Ildefonso. 3*° D. Francisco Olavaríieta, natural y del comercio» de Madrid. •4.0 D. Román Corona , natural y hacendado en Yebra. '5*° D. Josef del Valle Salaba r, natural de Fuenlabrada, y abogado del colegio de Madrid. Suplentes. »D. Antonio Gami* , ministro del suprimido consejo de «Indias. D. Juan Josef López Merlo y Adán. ARTICULO'DE 0*1010. Rbgéoerál eugefe del segundo exército ha dirigido por extraordinario al…</t>
  </si>
  <si>
    <t>Salaberri, Manuel</t>
  </si>
  <si>
    <t>Manuel Salaberri</t>
  </si>
  <si>
    <t>…María Subirán , D. Miguel Tartas , D. Manuel Baztan ¿ D. Agustín Oro, D. José Joaquín Ározatena, D. Domingo Chávame, D. Agustín Mora, D. Juan Cruz Larrondo, D. Fran cisco Peralta, D. Manuel Salaberri, D. Dámaso Landa, D. Atanasio Diez, D. Bartolomé Comas, D. Ildefonso Mayo, D» JVLguql Ormachea, D Joaquín Sánchez, D José Migueltorena D Diego Gayarre, D. Fermín San Martin,*O. José Arozarena, D. Angel Esca lada, D. Víctor Pastor, D. Francisco Boira , D. Nico…</t>
  </si>
  <si>
    <t>Salama, José</t>
  </si>
  <si>
    <t>José Salama</t>
  </si>
  <si>
    <t>…b tenientes del segundo de granaderos del de voluntarios de Asturias; D. José María Ocampo, subteniente del de Santiago; D. Pedro Oloris, sargento mayor ; D. Francisco Lapedreza , D. José Salama , Don -Gerónimo Londoño, D. Juan del Rio y D. Francisco Mediaviila, tenientes; D. Francisco Solimi, D. Marcelo Ortiz y D. Francisco Salvador , subtenientes del primero cántabro; D. Silvestre Hidalgo, teniente coronel; D. Bernardo Alvarez, D. José Tai la y D.…</t>
  </si>
  <si>
    <t>Salas, Pedro de</t>
  </si>
  <si>
    <t>Pedro de Salas</t>
  </si>
  <si>
    <t>…o las circuns tancias lo han axígido: igualmente incluyo á V. S. nota de los indi viduos que por los respectivos gefes en esta jornada me han sido re comendados : mis ayudantes el capitán D. Pedro de Salas y el subte niente D. Julián Martínez han satisfecho completamente mis deseos en el desempeño de las comisiones que he puesto á su cuidado. Tam bién remito á V. S. noticia de la pérdida de la división en la men cionada jomada, con expresión de los oficiales qu…</t>
  </si>
  <si>
    <t>…uatido ias circunstancias lo han exigido: igualmente incluyo á V. S. nota deMos individuos que por los respectivos gefes en esta jornada n\e han s^o tecomendadosi mis ayudantes el capitán D. Pedro de Salas y el subteniente D. Julián Martínez han satisfecho completamente mis deseos en el desempeño de las comisiones que he puesto á su cuidado. También re mito a V.S., noticiare, la pérdida de la división en la mencionada jornada^ cqn expresio^ de los. oficiales qu…</t>
  </si>
  <si>
    <t>Salazap, José Seríate y</t>
  </si>
  <si>
    <t>José Seríate y Salazap</t>
  </si>
  <si>
    <t>…mis ayudantes de campo les tenientes coroneles D. José Ruiz,, D. José María Reyma , D. "Víctor Viñadez y el teniente D. Benito Diaz , y mi secretario de campaña el sargento mayor D. José Seríate y Salazap, los quales llevaban mis órdenes repetidas veces bastados pies de los muros enemigos, sufrien do con desprecio muy respetable fuego: ei enemigo ha hecho un vi vísimo fuego de cañón y fusil durante lo$ tres dias de sitio; pero la pérdida que nos ha ocasionad®…</t>
  </si>
  <si>
    <t>Salazar, Antonio López de</t>
  </si>
  <si>
    <t>Antonio López de Salazar</t>
  </si>
  <si>
    <t>…ón de Sa (ri) Y después de esta franca y espontánea confe gas t a , juez de primera instancia en esta villa, refren sión «tendrán todavía valor los liberales y serviles pa dada de D. Antonio López de Salazar, escribano del ra proclamar Ja constitución de Cádiz como suficiente húmero de la misma, y para hacer pago i acreedores, se por si sóla para hacer feliz á ia España? Legisladores, ha mandado sacar á pública subasta por término de 30 filósofos, literatos de Cá…</t>
  </si>
  <si>
    <t>Salazar, Francisco</t>
  </si>
  <si>
    <t>Francisco Salazar</t>
  </si>
  <si>
    <t>…residente, vice-presidente y uno de sus secretarios ; salieron electos , para presidente él Sr. D. Francisco Rodrigue* del Caleilo , diputado por Asturias; para vice-presidente el Sr. D. Francisco Salazar, diputado por Li ma ; y para secretario el Sr. D. Manuel Gojanes Balboa, diputado por León. Ial Regencia del reyno se ha servido expedir el decreto que sigue: D. Fernando vil, por la gracia de Dios, y por la constitución de la monarquía española, rey de las E…</t>
  </si>
  <si>
    <t>Salbá, Ignacio</t>
  </si>
  <si>
    <t>Ignacio Salbá</t>
  </si>
  <si>
    <t>…la de Doña María Cosío protduxo la admiración de los espectadores por la brillante y magnífica fachada que presentó baxo la dirección del profesor de dibuxo del colegió cantábrico D. Ignacio Salbá. En ella se veia el retrato de nuestro augusto Monarca Fer nando vi 1 sobre un bien figurado manto real , con muchas alegorías relarivás á la Constitución de la;monarquía, á:la lucha:que &lt;sostiene 1 la España, á las victorias de nuestros exércitos, y ai ptfnt…</t>
  </si>
  <si>
    <t>Salcedo, Juan Antonio</t>
  </si>
  <si>
    <t>Juan Antonio Salcedo</t>
  </si>
  <si>
    <t>…r eclesiástico. D. Josef Arratia y D. Santiago Gutiérrez de Arintero, como regidores constitucionales. D. Juan Ramón Matute, como procurador síndico general de-dicho ayuntamiento. D. Juan Antonio Salcedo, cura párroco de S. Gines, y D. Juan Josef Barrios, cura párroco de Sta. María, como individuos del cabildo de seño res curas y beneficiados. D. Fermín María de Uria Nafarrondo y D. Luis Gabaldon y López, como individuos de la sociedad económica. D. Angel Gon…</t>
  </si>
  <si>
    <t>…or eckT.s.jco; D. Jo?é Arratia y D. Santiago Gutiérrez de Arintero, como r gi 00res constitucionales; D. Juan Ramón Matute, como procurador sín dico general de dicho ayuntamiento; D. Juan Antonio Salcedo, cura párroco de S. Gines , y D. Juan José Barrios , cara pjrrt c'O íis Sta. María, como individuos del cabildo de señores curas y bene ficiados; D. Fermín María de Uria Nafarrondo y D. Luis Gabaldon</t>
  </si>
  <si>
    <t>Salcedo, Juan González de</t>
  </si>
  <si>
    <t>Juan González de Salcedo</t>
  </si>
  <si>
    <t>…a en 4 del corriente en 24736 rs. vn.. La persona que quiera hacer postura á dicha casa acuda á la escribanía de provincia vacante que sirvió últimamente D. Juan Antonio Zamácola. Don Juan González de Salcedo, vecino de Pedro Muñoz, en la Mancha , de sea saber quiénes fueron los herederos de D. Joief Cruz Mayor, caballero comen dador de Bastimentos de Castilla en la orden de Santiago, y oficial agregido á la plaza de Cádiz, para comunicarles noticias que les inter…</t>
  </si>
  <si>
    <t>…diz en el despacho de la Imre. ta navionalplaza del Correo ; en Madrid en el despacho de la f mprcnta nacional, calle de las Carretas, y en todas las administra ciones de Correos. D. Juan González de Salcedo, vecino de Pedro Muñoz en la Maacha , desea saber quienes fueron los herederos de E&gt;. José Cruz Ma yor, caballero comendador de bastimentos de Castilla en la orden de Santiago, y oficial agregado á la plaza de Cádiz, para comunicarles noticias que Ies interes…</t>
  </si>
  <si>
    <t>Salces, Gregorio López</t>
  </si>
  <si>
    <t>Gregorio López Salces</t>
  </si>
  <si>
    <t>…' ' •' ■ neral Lepm la artillería t que la plaza está abasteci Barrio de S. Gilíes. da de pan y legumbres para cinco años, de carne y aguardiente, medicamentos &amp;c. para catorce me D. Gregorio López Salces, alcalde. tes : que todo el equipase de sitio de Riga ha en L&gt;. Guillermo Pesaura-; substituto primero. trado en la plaza: que el equipase de sitio que par D. J uan Antonio Manas tero-, substituto se ’ •. . - tió de Magdeburgo, y que se había destinado para g…</t>
  </si>
  <si>
    <t>Saldias</t>
  </si>
  <si>
    <t>…taba de unos 120 hombres, al llegar al aposta dero, fus confundida y aterrada con los peñascos, y que solo trata ron de salvar sus vidas después de haber perdido algunas, y que el comandante Saldias , conociendo que era entonces la ocasión de echarse sobre ellos lo verificó, habiéndoles apresado 66 barras de plomo, 200 camisas, porción de aguardiente, cargas de sardinas y quesos, 24 sombreros de gendarmes, todas las mochilas, y otros va rios efectos, que…</t>
  </si>
  <si>
    <t>Salgado, Francisco</t>
  </si>
  <si>
    <t>Francisco Salgado</t>
  </si>
  <si>
    <t>…rnández y IX Josef de Puga» tenientes; IX Ventura Nogueyra y IX Laureano Triarte,, subtenientes del de volunta rios de Ja Corona; D. Andrés Parga, ayudante; D. Ramón Suero Díaz, y D. Francisco Salgado, tenientes, el primero de granaderos; D. Josef Villar mil y D. Vicente López, subtenientes del segunda de granaderos del de yoluntarios de Asturias; D. Josef María Ocampo, subteniente del de San? tiago; D. Pedro Oloris , sargento mayor; D* Francisco Lapedra?a…</t>
  </si>
  <si>
    <t>Salgado, Ignacio</t>
  </si>
  <si>
    <t>Ignacio Salgado</t>
  </si>
  <si>
    <t>…sco Vives, alcalde. D. Ju an Icnacio Berriózaba! , alcalde. D. Tomas Peña , substituto primero. 13. ManuelSala y Piran, substituto primero. D.. Estéban Labios, substituto segundo. D. Ignacio Salgado, substituto segundo. , Barrio denlos Caños del. Peral y Santa Alaría. Barrió de Santa C ruz. D. Tomas Azardiiia, alcalde. D. Cristóbal Vicuña , alcalde-, D. Josef Ferroni, substituto primero. D. Manuel Valentín García , substituto primero. D. benito Trigo, su…</t>
  </si>
  <si>
    <t>Salín</t>
  </si>
  <si>
    <t>…rn guarneció á Luneburg: dos dias después de haberse apoderado de la ciudad se presentó junto á la puerta Nueva un oficial francés, que venia en una silla de posta, enviado por el conde Salín, que hace correrías por el país, á fin de ponerse en comunicación c?&gt;n el general Pecheux. Era medio dia: la puerta estaba cerrada, y el oficial pidió imperiosamente que se le abriese la puerta: como el comandante tenia la llave, el oficial se vió obligado á…</t>
  </si>
  <si>
    <t>Saliquet, Manuel Mana</t>
  </si>
  <si>
    <t>Manuel Mana Saliquet</t>
  </si>
  <si>
    <t>4^2 dro Zuluaga, capitán; D. Francisco Moreno;y IX Pedro Bónet, tenientes;: D. Manuel Mana Saliquet, ídem del de cazadores ; D..Pedro S.olis y D. Juan Martínez, subtenientes de granaderos,; D. Josef Heros» ídem,de ca zadores; D. Esteban Islafoyo, D. Josef Tejada, D. Jdsef Caña y.D. Fran cisco Vargas, subteniente del segundo de Asturias; I&gt;. Josef Rico, capi…</t>
  </si>
  <si>
    <t>Saliquet, Manuel María</t>
  </si>
  <si>
    <t>Manuel María Saliquet</t>
  </si>
  <si>
    <t>…s del de Oviedo ; D. José María Novoa , sargento mayor; D. Francisco Xavier Toral, espitan de cazadoresí/Q.Bedro Zuluaga, capitán; D. Francisco Moreno y D. Pedro Bonet, tenientes; D. Manuel María Saliquet, ídem del de cazadores; D'. Pedro Solis y D. Juan Martínez, subtenientes de granaderos; D. José Heros, ídem de cazado res ; D. Esteban Islaíoyo, D. José Tejada, D¿ José Caña y D. Francisco Vargas, subteniente del segundo de Asturias; D. José Rico , capitán; y…</t>
  </si>
  <si>
    <t>Salva</t>
  </si>
  <si>
    <t>…nico á V. S. para su satisfacción y la de ese valiente pueblo. Dios guarde á V. S. muchos años. Quartel general de Roncesvalies 13 de noviembre de 1813. ^Francisco Espoz y Mina. = Sr. D. Salva dor Gampíllo.” Continúa la sesión de Cortes del dia 4 de noviembre por la noche. (Véase „ la gazeta d,e 18 del corriente.) El señor Mendiola en un discurso elocuentísimo encareció las circuns tancias horribles del suceso de que se trataba. El primer paso que…</t>
  </si>
  <si>
    <t>Salvador, Estanislao</t>
  </si>
  <si>
    <t>Estanislao Salvador</t>
  </si>
  <si>
    <t>…ia y D. Josef María Carrillo Albornoz, que tuvieron el mérito de guiar á sus. tropas á la victoria con tanta resolución cbmo buen orden. El gefe del estado mayor mariscal de campo D. Estanislao Salvador y to dos los oficiales de su cuerpo se portaren en! este dia con la distinción qu^ Ies caracteriza y tienen acreditada. El mariscal -de campo D; Josef García Paredes y ios oficiales y tropa correspondientes á sú acreditado ícuérpo dé: artillería nacional se h…</t>
  </si>
  <si>
    <t>Salvador, Estanislao Sánchez</t>
  </si>
  <si>
    <t>Estanislao Sánchez Salvador</t>
  </si>
  <si>
    <t>…eo de mí deber recomendar á V. E. para las recompensas que S. A* estime oportunas el mérito del general Losada, que fue herido: el singular que contraxo mi gefe de estado mayor el brigadier D. Estanislao Sánchez Salvador., oficial mui benemérito é inteligente, quien después de haberle he rido dos caballos, tuvo que continuar á pie el resto dé la acción en cumplísrdenio.de: s’u' encargo: el que asimismo obtuvo el segundo gefe de estado mayor IX: Antonio Roselló, que permaneció…</t>
  </si>
  <si>
    <t>los brigadieres D. Joan Dia« Porlier, D. José María Ezpeleta , Don Estanislao Sánchez Salvador, gefe de estado mayor dc*l cuarto exér— cito, y D. Antonio Rosefló; y de los coroneles Fuentes-Pita, co mandante de ingenieros, D. Juan Loarte , del regimiento de la Cons titución, y D. Juan Ugarte-Mendia. El mariscal de campo Ingiis, y los regimientos de su…</t>
  </si>
  <si>
    <t>…de mi deber recomendar á V. E., para las recompensas que S. A. estime oportunas, el mérito del general Losada, que fué herido*, ei singular que contraxo mi gefe de estado mayor el brigadier D. Estanislao Sánchez Salvador, oficial muy benemérito é inteligente, á quien después de haberle herido dos caballos, tuvo que continuar á pie el resto de la acción en cumplimiento de su encargo r el que asi mismo obtuvo el segundo gefe de estado mayor D. Antoiáo Rosefló, que permaneció á…</t>
  </si>
  <si>
    <t>Salvador, Pedro Miguel</t>
  </si>
  <si>
    <t>Pedro Miguel Salvador</t>
  </si>
  <si>
    <t>…rduna,D. An gel El vial de. D- Marianos Jlundain , D. Federico G billón , D. Luis Ganuza, Fan^ rancisco Ilundáin, D. Florencio Olabé ,&lt;D. Francisco Antonio Asuran D. Tomás Zubiri, D. Pedro Miguel Salvador , Don Prudencio Cortazar , D. Celedonio Gómez , D. Juan Braulio Diaz, D. Patricio Calvete, D. Serafín Zaráquiegui, D. Miguel Senosiain, D. José Echeverría;y D^ Clemente Diez de Tejada: á tenientes de fusileros á . D, VictorianoMangiron, D; Joaquín Mendiando ,…</t>
  </si>
  <si>
    <t>Salvidea, José Antonio de</t>
  </si>
  <si>
    <t>José Antonio de Salvidea</t>
  </si>
  <si>
    <t>…e quiebra y concurso de acreedores á la casa y compañía que ha corrido baxo el título de Torre Hermanos, que tuvo principio en 18 de Enero pa sado , de que son síndicos comisarios D. José Antonio de Salvidea y D. José María de Aurrecoechen, quienes, han solicitado el empla zamiento de los acreedores á la citada casa, para que con el cono cimiento de haber dado punto á sus negocios acudan á deducir sus derechos en el concurso, apercibidos de que sa emisión les parará perjuicio ,…</t>
  </si>
  <si>
    <t>Saman, Juan</t>
  </si>
  <si>
    <t>Juan Saman</t>
  </si>
  <si>
    <t>…Q-Lantlor. — Excmo. Sr. D. Juan O-Donojñ." En consideración á los servicios y mérito det brigadier D. Mel chor Ayinerich , gobernador de la provincia de Cuenca en ultramar, y del coronel D. Juan Saman©, y al particular que han contraído en el exército de Quito al mando del teniente general D. Toribio de Montes; se ha servido la Regencia del reyno promover al primero al empleo de mariscal de campo de los exércitós nacionales, y uUs«-» gund© ai de brigadier…</t>
  </si>
  <si>
    <t>Samano, Juan</t>
  </si>
  <si>
    <t>Juan Samano</t>
  </si>
  <si>
    <t>…las tropas de mi mando, expresando los obs táculos y dificultades ocurridas, y que había enviado una división de 500 hombres de infantería, 100 caballos y 2 cañones, al mando del coronel D. Juan Samano, á la villa de Ibarra, distante 21 liguas de esta capital, con el lin de perseguir á los insurgentes que trata ban de reunirse en ella. Sus gobernantes le pasaron el oficio de que acompaño á V. E. copia baxo el núm. i.°, juntamente con la de mi contestación n…</t>
  </si>
  <si>
    <t>…lu gar á que los insurgentes io ganen; pues considero que sus proposi ciones no llevan otro fin. = Dios guarde á V. S. muchos años. Quito 22 de Noviembre de 1812&gt;zJbriiiQ Móntese Sr. D. Juan Samano.” CADIZ : IMPRENTA NACIONAL : 1813-</t>
  </si>
  <si>
    <t>Samborainy, Car los</t>
  </si>
  <si>
    <t>Car los Samborainy</t>
  </si>
  <si>
    <t>…. Francisco del Corral : el capitán D. Jacobo Rodrí guez, e! teniente de la guerrilla de Aibancsy D. José Mariano Sil va , oficial el mas vigilante, activo é intrépido; sn segundo D. Car los Samborainy D. Casimiro Figueroa, que fué voluntario á la descubieita desde el principio de la acción. Mis ayudantes el capitán D. Mariano Flores , y el teniente D. Juan Manuel de la Fuente, es tuvieron á mi lado, y llevaron mis órdenes con la mayor puntuali dad. El capitán graduado D. Marco…</t>
  </si>
  <si>
    <t>San</t>
  </si>
  <si>
    <t>…ierra , al comandante de la partida llamada de Marquinez D. Benito Puente, á D. Francisco Valiejo y D. Bernardo Encovar: para su responsabilidad prendieron en rehenes 4 regidores, D. San tiago Gallego, D. Cayetano Ramos, D. Joaquín Encara y D. Ga« bino Montes : 6 capitnlares , chantre , lectora!, doctoral, 'arcediano de Cea, D. Luis Otpzo y D. Gabriel Alonso; 3 hacendados D. Ani ceto Cavero , D. Ruperto Cea y D. Benito Merino, y 2 cemerciante…</t>
  </si>
  <si>
    <t>…, entre el Muida y el Elba. Como habíamos retirado nuestras avanzad...*» mostró' el' ene migo querer maniobrar contra nuestros airinche amien tes y forzarlos.. El teniente generaL barón San ek, \ ue¡to al f eote de tr¿&amp; batallones, salió de las lineas, y marchó en derechura al enemigó, desbaratóle , y le persiguió' por * »pac:o de mas ce un erar te de l.gua. Cuando este veuer.J recibió orden p.ra voiver á la ca beza del puente í&gt; execotó o n una…</t>
  </si>
  <si>
    <t>Sán, Estanislao</t>
  </si>
  <si>
    <t>Estanislao Sán</t>
  </si>
  <si>
    <t>…ncia y D. José Muría Carrillo Albornoz, que tuvieron el mérito de guiar á sus'tropas á lu victoria con tanta resolución como buen orden. «El gefe de estado mayor mariscal de campo D. Estanislao Sán chez Salvador y todos los oficiales de su cuerpo, se portaron en este dia con la distinción que les caracteriza y-tienen acreditada. El maris cal de et mpo D. José García Paredes y los cficides y tropa correspon dientes á su acreditado cuerpo de artillería ru…</t>
  </si>
  <si>
    <t>Sán, Juan</t>
  </si>
  <si>
    <t>Juan Sán</t>
  </si>
  <si>
    <t>…alsas para engañar á los incautos. Elogia la conducta del tenien te Orta, del sargento Manuel Rodríguez; á los patriotas D. Rafael Ponce, D. José María Escalona, D. Juan May obre, D. Juan Sán chez , D. José Romero, ©.Antonio Gomqjf y í&gt;, Fernando Azcoitia»( Se continuarán.) Logroño de Julio. Nuestro exército forma una línea impenetrable desde Irun á Ja ca. Mil caballos ingleses que había en esta ciudad salieron el dia 28 con dirección á Pamplona.…</t>
  </si>
  <si>
    <t>San-Marsan</t>
  </si>
  <si>
    <t>…tos relativos d la alianza.yores obligaciones por los servicios que nos ha he cho en las mas criticas circunstancias. A. NUM. 1. Al conde Chasseloup-Laubat, al conde Gassendi y al conde San-Marsan, consejeros en nues Copia de un despacho de Mr. de San-Marsan. tro consejo de Estado. Deseamos que nuestro con Berlin 24 de marzo de 181 r. sejo vea en esta distinción acordada á tres de sus Tuve la satisfacción de comunicar á V. E. que miembros la satisfacci…</t>
  </si>
  <si>
    <t>San-Maxent, Francisco Maximiliano de</t>
  </si>
  <si>
    <t>Francisco Maximiliano de San-Maxent</t>
  </si>
  <si>
    <t>…ritón Exento. Sr. D. Juan O-Dpnojú.” La Regencia del í'eyno se ha servido promover á coronel deí re gimiento de infantería de la Luisiana, al graduado y teniente coronel del mismo D. Francisco Maximiliano de San-Maxent. La junta general de accionistas del Banco nacional de S. Carlos, celebrada en el dia 30 de Abril último, acordó entre otras cosas que quedase abierta la misma junta para celebrar otra sesión en el dia</t>
  </si>
  <si>
    <t>Sánchez</t>
  </si>
  <si>
    <t>…n el paso acelerado con. que. marchaba : mandé que mi caballería sin hacer alto siguiese á Ja ene— miga ,. lo que execntó, haciendo yo lo mismo á breve rato así como Igualmente ei brigadier Sánchez con la de su mando. La infantería; no pudo seguirme.; pero salió aquella tarde de Calahorra, á hacer no che en Aldeanueva. ?j: Clausel hizo alto en Alfaro per un rato hasta reunir toda su tropa: al ilegar yo á media legua ele distancia tíe esta ciudad, me des…</t>
  </si>
  <si>
    <t>se!, y como á ímá(legua de distáncia de Alfaro encóstre i toda su caballería , que mé esperaba formada en él llano : hice yo otro tanto con la miá, disponiendo que la del brigadier Sánchez flan quease la izquierda con el objeto de rtfcargar al enemigo si acometia al centro; pero este conoció mis, intenciones, y tan solo se sostuvo apoyado ademas de 409 infantes que tenia- ocultos y con los cuáles comenzó á retitafse entrada, ln noche, y yo lo v…</t>
  </si>
  <si>
    <t>…astillo llamado la Aljafería unos 500 hombres, se encaminaba con las restantes fuerzas á buscarme en las Casetas, en donde estaba yo con solo la ca ballería de mi mando , y la del brigadier Sánchez. Monté á ca ballo, y salí á encontrar al enemigo, que en numero de 200 caba llos se encaminaba aparentando deseos de batirse; quise acometerlos, y marchando contra ellos, huyeron cobardemente, dexando en mis pianos algunos prisioneros, habiendo yo perdido dos…</t>
  </si>
  <si>
    <t>…al, que por su valentía y esfuer zo , así en esta acción como en la del dia anterior, se ha hecho acreedor á todo premio. »E1 11 contramarché con la caballería de mi mando, la del brigadier Sánchez, y la de los comandantes Padilla y García á Bu jaraloz 3 en el camino encontré una porción de infantería y caballe ría enemiga que iba á este pueblo, y llevaba algunos carros de granos; se los ocupé, habiendo avanzado con unos cuantos caba llos , pues los ene…</t>
  </si>
  <si>
    <t>Sánchez, Gines</t>
  </si>
  <si>
    <t>Gines Sánchez</t>
  </si>
  <si>
    <t>…envolver y cortar la comunicación con las masas enemigas que los sostenían, marchó a, atacarlas^ y jas persi guió en su retirada. El regimiento de Galicia, mandado por su teniente coronel D. Gines Sánchez, marchó por la izquierda, y el de Madrid por la derecha, y am bos se situaron en las inmediaciones del indicado ¡reducto, donde quedaron encerrados los enemigos por la diestra maniobra que executó el brigadier Downie con el regimiento de Navarra. . . . En est…</t>
  </si>
  <si>
    <t>Sánchez, José</t>
  </si>
  <si>
    <t>José Sánchez</t>
  </si>
  <si>
    <t>…a y D. Alfonso Hernández Ea el de Navarra á ayudante á D. Juan Antonio Pardo; á tenientes á D. Francisco Lo zano y D. Pedro Fernandez, y á subtenientes á D. Bonifacio Ro dríguez , D. José Sánchez y D. Manuel de los Santos. En el de Ir landa á capitán ¿ D. Miguel Miangolarna; á ayudante á D. José Alba; á teniente á D. José Benet, y á subteniente á D. Felipe Negrete. En el cuerpo de ingenieros de los exércitos nacionales, en la di visión de Ultramar, se ha servido…</t>
  </si>
  <si>
    <t>…servido nombrar ayudante veteraJ.CÍ¿1'-' y £Hen d Vi—no vi*de la J^JUlU'lvíséptima UlViMv'Udivisión USde milicias Vltde 1CJla V'JOV.Ocosta uv»del Sur, rey nato de Nueva España , á D. José Sánchez, ayudante del bata llón provincial de Oaxaca. CADIZ ; IMPRENTA NACIONAL ; 1813.</t>
  </si>
  <si>
    <t>Sánchez, Julián</t>
  </si>
  <si>
    <t>Julián Sánchez</t>
  </si>
  <si>
    <t>do del general Fane, del general Eong, del general Víctor Alten, la brigada de la caballería de la Casa-Reál con ¿1 sexto regimiento por tugués , y el cuerpo español de D. Julián Sánchez : poniendo igual mente en movimiento el 22 del corriente desde Fresneda el cuartel general. »EÍ enemigo ha evacuado.á Ledesma ayer tarde, dirigiéndose las tropas que allí había hacia Salamanca; y yo espero que las tro pas aliadas estarán mañana sobre el Torme…</t>
  </si>
  <si>
    <t>…oche del 9, dsxando guarnición en un reducto próximo á Zarago za: que el general Mina dexó al general Duran pira que le atacase, mientras que él con su división y la caballería de D. Julián Sánchez seguía al enemigo: que le había tomado un considerable numero de prisioneros, bastante bagage; y el 11 un convoy. Es imposible elo giar demasiadamente la actividad, inteligencia y bizarría con que se han conducido estas operaciones. «Posteriormente he oido qu…</t>
  </si>
  <si>
    <t>gimient© 16 de dragones franceses entre Toro y Morales, haciendo .260 prisioneros, y D. Julián Sánchez tomo en la tarde del misino dia en Castronuño 50 dragones. »»El general. Girón con el. exército de Galicia se ha unido á la izqmerda. 4cl anglo-portugues.’* Él general en gefe del primer exército ha dirigido al Sr. ministro de la Guerra el oficio siguiente: "…</t>
  </si>
  <si>
    <t>…llería 'del mando del general Fane,del general Long, del general Víctor Alten, la brigada de la caballería de la casa real, con el 6.° regimiento portugués, y el cuérpo español de D. Julián Sánchez; po niendo igualmente en movimiento el 22 del corriente desde Fresneda el quar^ tel general. ,, El enemigo ha ¡evacuado á Ledesma ayer tarde, dirigiéndose las tro pas que allí había hácia Salamanca; y yo espero que las tropas aliadas esta rán mañana sobré el…</t>
  </si>
  <si>
    <t>…á la caballería enemiga , y en Perales, una legua de aquí, hicieron 237, prisioneros, matando otros muchos.— Hoy han entrado 2ó dragones enemigos aprisionados por ios lance ros de D. Julián Sánchez. Soria g de Junio. Se van conociendo los efectos dei movimiento de los exércitos, pues es muy frecuente la entrada de tropas francesas en Burgos y en Vitoria , de donde debió salir para Francia el 29 de Mayo un convoy muy grande con bastante gente. — El gener…</t>
  </si>
  <si>
    <t>…glesas se hallaban sobre Burgos, y se adelantaban á ver si podían tomar al enemigo el convoy que sacó de Valladolid, de que ya habían cogido alguna parte. Ei exército de Galicia , Don Julián Sánchez, D. N. Morillo, y todas las tropas ligeras de los exércitos están reunidas: el enemigo no hace mas que huir, y no quie re batalla: no hay dia un que no se le hagan muchos prisioneros. — Se ha pasado u-n escuadrón completo de caballería enemiga y 2 mú sicas de…</t>
  </si>
  <si>
    <t>…liado anglo-portugués, ai .mando del teniente general Sir Tomas Graham, pasarán mañana*: esper.oi, el Ebro por los puentes de Rocamunde y S« Martin. = Du rante los días 9, 10 y 11 D. Julián Sánchez manifestó mucha activi dad, sobre. la izquierda del enemigo , y tomó varios prisioneros. == He recibido una carta del general Eíío, en que me informa de que el tercer .exéreito español se había unido al segundo, y que jun tos habían ocupado las posiciones que…</t>
  </si>
  <si>
    <t>…arta la horrorosa escena del Prado. Se hallarán en la librería de Quiroga, calle de Jas Carretas, casa de la fonda del Angel, á 80 rs. cada juego. Retratos de los gefes de partida D. Julián Sánchez, D. Juan Martin (el Em pecinado), D. Juan Palarea (%l'Médico J7 D. Erartcisco Abad ( Chaleco)* pues tos á jabalío, d(buzados y grabados con el mayor esmero'; jr sc ^eguirátj haciendo los de todos fos gefes de partida ó comandantes d[e. división, que mas se ha…</t>
  </si>
  <si>
    <t>…ón volaron los fue ríes de Sta. Bárbara y Sta. Clara, el almacén de salitre y dos arcos del puente, clavando ademas muchos cañones y quemando las cureñas, las tro pas de Mina y de D. Julián Sánchez, que entraron á las quatro de la mis ma tarde, continuaron en persecución de los franceses; y parece habían ya roto el fuego- á la salida de los olivares de Fontellas, camino de Mailen. Mu-</t>
  </si>
  <si>
    <t>…al general Clatsse!. »E1 hizo varias marchas extraordinariamente forzadas perseguido por ei general Mina con su caballería . y ei regimiento de lanceros de Castilla del mando del brigadier D. Julián Sánchez , y liego á Tíldela la tarde del día 27. En aquella ciudad pasó el Ebro; ñero in formado por el alcalde de hallarse nuestras tropas en el camino, in mediatamente lo repasó, y se dirigió á Zaragoza, donde llegó, según me ha participado el general Mina, el cual…</t>
  </si>
  <si>
    <t>…al general. Clausel. „Él hizo varias marchas extraordinariamente forzadas, perseguido por el general Mina con su caballería, y el regimiento de lanceros de Castilla del mando del brigadier D. Julián Sánchez, y llegó á Tudeia la tarde del día 27. En aquella ciudad pasó el Ebro ; pero informado por el alcalde de ha llarse nuestras tropas en e! camino, inmediatamente lo repasó, y se dirigió á Zaragoza , donde llegó, según me ha participado el general Mina, el qual…</t>
  </si>
  <si>
    <t>…á Clausel en su retirada ¡ y* de observar .todos sus mo vimientos , llegué á Lerin el 25 con.los regimientos primero, tercero, cuarto y quinto, la caballería de mi.mando y la del brigadier Don Julián Sánchez: Clausel con su .exército había .hecho noche en Ca-. ¿ahorra. En I2 madrugada del 26 salí,.de Lerim para Lodosa . yf de aquí:sin detenerme seguí á Gslfthojcra. Clauselcempren,di® su. mar cha á. media: noche,, y. sin jemba-rgQ al llegare.4,esta ciudad pude• da…</t>
  </si>
  <si>
    <t>…en capitular los gefes franceses. El duque del Parque con su quartel general se halla en Cintruenigo. Parte remitido desde Fraga, con fecha de 21 del corriente, por el bri gadier D. Julián Sánchez a coronel de lanceros de Castilla , al señor gefe político de Aragón. „ A las nueve de la noche del 19 al 20 del corriente abandonó su for tificación el capitán comandante del destacamento enemigo, situado á la ca-</t>
  </si>
  <si>
    <t>Sánchez, Rafael</t>
  </si>
  <si>
    <t>Rafael Sánchez</t>
  </si>
  <si>
    <t>29° . que está á cargo del teniente D. Rafael Sánchez; en el dia ^egündo Jos de aritmética, su profesor D. Jorge Gisbert; en el tercero los de táctica de in fantería , baxo la dirección del teniente D. Luis Perez de Ita; en el quaríá5 los de geometría, su profesor D. Francisco Martínez de la Escalera; en el quin…</t>
  </si>
  <si>
    <t>Sánchez, Sebastian</t>
  </si>
  <si>
    <t>Sebastian Sánchez</t>
  </si>
  <si>
    <t>…e Hidalgo, teniente coronel; D. Bernardo Alvarez, D. José Tai la y D. Manuel Mendez, capitanes; D. Vicente Noriega,D. Francisco Xavier Alva rez y D. Francisco Fresno , tenientes ; D. Sebastian Sánchez, Don Félix Arenal, D. Juan José Paz y D. Luis Ortiz Falla, subtenientes dei de Laredo; D. José Castrejon, teniente, y D. Vicente de la Tórnente., subteniente del de tiradores de Cantabria; D: Buenavent&amp;ra Tomasa, teniente coronel; D. Guimeiindo Churruca, teni…</t>
  </si>
  <si>
    <t>…Hidalgo, tenien te coronel; D. Bernardo Alvarez, D. Josef Talla y D. Manuel Mendez, capitanes; D. Vicente Noriega, D. Francisco Xavier Alvarez y D. Fran cisco Fresno , tenientes; D. Sebastian Sánchez , D. Félix Arenal ; D. Juan Josef Paz y D. Luiz Ortiz Falla, subtenientes del de Laredo; D. Josef Castrejon , teniente, y D. Vicente de la Tórnente, subteniente del de tirado res de Cantabria; D. Buenaventura Tomasa, teniente corone!; D. Guimeriudo Cliurruca,…</t>
  </si>
  <si>
    <t>Sánchez, Victoriano</t>
  </si>
  <si>
    <t>Victoriano Sánchez</t>
  </si>
  <si>
    <t>…ias El limo. Sr. Obispo de Plasencia. Sr. D. Vicente de la Llave. Sr. D. Juan Gerónimo Chacón. Sr. D. Silvestre Trigueros. Sr. D. Juan Josef Montero. Sr. D. Nicanor García Santos. Sr. D. Victoriano Sánchez. Y por suplentes Sr. D. Justo Peñalver. Sr. D. Simeón Palomino. Guadalaxaraj 8 dejulio* La junta electoral de esta provincia, en cumplimiento de lo prevenido en la constitución política de Ja monarquía española, y posteriores reales ór denes comunicadas, ha e…</t>
  </si>
  <si>
    <t>Sandels</t>
  </si>
  <si>
    <t>…„La exp d.cioa á la Poraerania va á verificarse inmediatamente , y yo saldré de aquí pasado mañana. Las fuerzas de que se compone hasta ahora son da 8000 hombres, mandados por el general Sandels, que se ha grangeado la estimación general: si vienen á reforzarnos en Abril, co mo esperamos , la legión alemana y otros socorréis de Inglaterra , po demos lisonjearnos del éxito mas favorable. Todavía no se sabe de cierto si nos seguirá el cuerpo principal…</t>
  </si>
  <si>
    <t>…cés. El cuerpo ruso y haneveriano, mandado por el teniente general conde Wahnoden, está aun cerca de Boitzemburgo. La primera división del ejérci to sueco, mandada por el teniente general Sandels, está entre Gadebusch, Sclnverin y W binar. La segunda se reúne en Rostock á las órdenes del ma yor general barón de Posse. La tercera división, mandada por el teniente general Skyolderbrand , se juntará en Tribsees y Grimmen , y la reserva en Richtenberg y F…</t>
  </si>
  <si>
    <t>…ado. Los oficiales y soldados prisioneros , los desertores y habitantes del país están de acuerdo en que su pérdida no baxa de 1500 hombrea. Se han enterrado aquí de 700 á Sao. El general Sandels con tres batallones le causó esta pérdida. El general Blueher, haciendo una de las marchas de que la his toria nos ofrece rarísimos excmplos, y que solo le podía sugerir el entusiasmo de la libertad de su patria , fué con el grueso de su exér cito desde las i…</t>
  </si>
  <si>
    <t>Sandils</t>
  </si>
  <si>
    <t>…al Skioldebrand, y la segunda á las órdenes del mayor ge neral barón rosse. La última división y una brigada separada de la tercera forma un cuerpo mandado por el teniente general barón Sandils. Todas las fuerzas suecas forman el centro del exército aliado. La derecha está compuesta de las tropas rusas , á las órdenes del tenien te general barón Winzingerode, cuyo quartel general está en Brandeburgo. El cuerpo del teniente general conde de Woronzow,…</t>
  </si>
  <si>
    <t>Sanguszko, Eustaquio</t>
  </si>
  <si>
    <t>Eustaquio Sanguszko</t>
  </si>
  <si>
    <t>…osas obligaciones, ce-comandante general, al principe Eustaquio San- se le da por substituto, con'título de vice general guszko, cuyo valor se ha mostrado con tanto es en gefe, al príncipe Eustaquio Sanguszko. plendor en tres campañas sucesivas, y cuyo patrio Ei general, comandante en gefe del cuerpo mi tismo, puesto á las mayores pruebas, llama L con litar de ia nobleza, tendrá la misma autoridad so fianza general. Levantaos, y reunios a las banderas bre todos lo…</t>
  </si>
  <si>
    <t>…ovidencia. culo polar antartico, pues han cogido mas de 80® El príncipe Josef Poniatowsky ha sido nombra en dos meses. do generalísimo (regimentarías). Tiene de teniente Del 3. al príncipe Eustaquio Sanguszko, descendiente d« Un huracán que se ha sufrido en la noche del los Jagellons, y que se ha distinguido en tres guer miércoles al jueves ha hecho mucho destrozo en un ras y en la campaña última por m denuedo y fide gran número de edificios, aunque no ha durado l…</t>
  </si>
  <si>
    <t>Sanguzko</t>
  </si>
  <si>
    <t>…anos, la patria os llama &amp;c. &amp;c.” En esta proclama se anuncia que el príncipe Poniatowsky será el comandante general de las fuerzas polacas, y que para su segundo está nombrado el príncipe Sanguzko. Hace 8 dias que se halla aquí el príncipe P ornatowsky arreglan do el modo de completar nuestro exército. Los regimientos que com ponían el quinto cuerpo han vuelto al ducado. Van llegando los cons criptos que se mandaron sacar hace dos iueaes, y asá «e cree…</t>
  </si>
  <si>
    <t>Sanr-Cir</t>
  </si>
  <si>
    <t>…e. merosa , y la rechazaron siempre con tan singular brío, que en medio del fuego mas activo no perdie Ayer llegó aqui el primer batallón de marcha ron !una pulgada de terreno. El mariscal Sanr-Cir, del regimiento a.,J de tiradores de la guardia impe testigo de tan ilustre conducta, pagó el merecido rial francesa, que consta de hombres poco mas tributo de elogiosa estos dos regimientes. «¡Vale-</t>
  </si>
  <si>
    <t>Sans, Mariano</t>
  </si>
  <si>
    <t>Mariano Sans</t>
  </si>
  <si>
    <t>…ntu cario de Sueca. siasmo : ,, La pérdida de estos caballos es nada para Para el de S. Juan de Euova, vacante por pro »&gt; S. M., porque no pueden agorarse ios que hai ea moción de D. Mariano Sans, al presbítero ex-regu« el imperio; este corto común se halla en estkdo lar D. .Múreos Perez. V de proveer muchos, y por mi parte ofrezco el Para el de Alberique , vacante por ascenso de «mejor de los que tengo, para que le monte un D. Pedro Lazcano á ia vica…</t>
  </si>
  <si>
    <t>Sant-</t>
  </si>
  <si>
    <t>…lcan los abastos nece sarios para surtir una capital. Todos los extrangeLans.m* 8 de diciembre. ros han marchado; la corte tiene dispuestos en Abo El boletin 18.° y el informe del mariscal Sant- sus alojamientos, y el resto de la población espera Cyr pueden formar una hermosa página mas de en silencio y llena de espanto adonde la conducirá nuestra historia militar. En mas de hora y media la ceguedad de un partido. presentaron los suiaos á los rusos u…</t>
  </si>
  <si>
    <t>Sant-Cvr, Je</t>
  </si>
  <si>
    <t>Je Sant-Cvr</t>
  </si>
  <si>
    <t>…mientras que toda ¡a bri yor y juez de primera instajicia de la villa de Vigada no merezca mayor muestra de confianza. naroz y su distrito; á D. Felipe tlernandez alcalde El señor barón Je Sant-Cvr, general de divi mayor juez de primera instancia del Escuna! v su sión , que hizo á estos cuerpos la entrega de dichas distrito, y á D. Miguel Gonza^z Gayoso alcalde banderetas, les dirieió ai mismo tiempo el siguiente mayor juez de primera instancia de ía vi…</t>
  </si>
  <si>
    <t>Santaolaíla, Joaquín</t>
  </si>
  <si>
    <t>Joaquín Santaolaíla</t>
  </si>
  <si>
    <t>…uerrilla de Guanaxuato al mando del capitán D. To mas Haro, 45 hombres de marina al mando del teniente de fragata D. José Tr vesi, mayor de órdenes, con los oficíales de su cuerpo D. Joaquín Santaolaíla, D. Rafael Dias y D. Ignacio Martínez, y ios escuadrones de caballería de Puebla, S. Luis y México, consi guiesen este día afianzar su anterior reputación , adquiriendo nuevos derechos á la gloria. „Eí comandante de Puebla, capitán D. Mame! Fíon, perdió en la…</t>
  </si>
  <si>
    <t>Santiago</t>
  </si>
  <si>
    <t>…Basilio. D. Antonio Poma redo, substituto segundo. D. Francisco P.uiíio, alcalde. Barrio d’ tas Vistillas. D. Ansí res Ortiz , su'vriiuto primero. D. Pedro Lu is Nápolt, alcalde. D. Santiago de la Peña, substituto segundo. D. Migue! Oquendo,substituto primero. Barrio de la Buena-Dicha. D. Angel de Sata, substituto segundo. D. Rafael Flores, alca,Je. Barrio de la Latina. D. Manuel Gómez Delgado, substituto primero. D. Toaquin González de Castro, a…</t>
  </si>
  <si>
    <t>…imiento abintestato de D, Antonio Saenz de Zaldua, de es tado soltero, vecino que fue de esta corte, y natural de la villa de Balgañon, ar- ' zóbispado de Búrgos, hijo legítimo de D. Santiago y Doña Antonia Serrano Ayala, difuntos, que lo fueron de !a misma, y á ios que han salido mostrándose partís D. Julián, D. Melehor, D. Juan Francisco y Doña Manuela de Aparicio, her manos, como sobrinos carnales del citado D. Antonio Zaldua; por lo que se cita, llama y emplaza á todas y…</t>
  </si>
  <si>
    <t>…de! de Cangas: Venosa, que mandaba el del Rei: el ayudante primero Aguado, gefe de estado mayor de la división: el atrevido comandante de los cazadores D. Froylan Vigo, su hermano D. Santiago, comandánté de granaderos del General: Marconchiny, su sargento mayor, ry todpsrlos capitanes del mismo cuerpo, parti cularmente Cabaleyfo , Vaides , Primo y Velarde: los tenientes coroneles Domínguez y Torrescomandantes de artillería; y los capitanes de la m…</t>
  </si>
  <si>
    <t>…a y,D. Nicolás de Garro, marques de las Hormazas: para regido res conde de Sáceda, D. Ramón de Angulo, D. Joséf de Tejada Ruiz, D. Antonio Landaiuce, D. Josef Hernández Martínez , D. Santiago1 de las Rivas, D. Josef de las Barcenas, D Tomas Púertolas; y para procurador síndico general D. Josef Teodoro Santos. La Regencia del reino ha dispuesto que el literato ó inteligente que nece sitare ver alguno de los manuscritos árabes, que con los demás del…</t>
  </si>
  <si>
    <t>Santiago, Manuel de</t>
  </si>
  <si>
    <t>Manuel de Santiago</t>
  </si>
  <si>
    <t>…Vicente López y U. Manuel del Valle, 1 id. D. To mas de la Casa y Piedra, 6 id. D. Martin de Guisasola, 6 id. D. Jo sé Matías de Elizalde, 2 id. D. Antonio Saenz de Tejada, 2 id. D. Manuel de Santiago, 1 id. D. Martin y D. Felipe Osambela., 10 i'd. D. José Ramón de Idiaquez, 8 id. D Ignacio de Santiago, 6 id. D- Andrés Reboredo, 6 id. D, Antonio Baras, 6 id. D. Manuel de Urlonagoena y Aramburu, 5 id. D Francisco Marta Zuloaga, 5 id. D Vicenta de la Riva, 4…</t>
  </si>
  <si>
    <t>Santintregui, Felipe</t>
  </si>
  <si>
    <t>Felipe Santintregui</t>
  </si>
  <si>
    <t>…ubstituto primero. D. Ratael Guiri, substituto segundo. D. Josef Llorca , substituto segundo. Barrí) de Gu traías Españolas. Barrio de la Hu rta del Bayo. D. Pedro Petez, alcalde. D. Felipe Santintregui, alcalde. D. Pedro del Rio, substituto primero. D. Josef Manuel Aynz Gardazabal, substituto D. Manuel Alba, substituto segundo. hamo de tas Sal.primero. D. Agustín Mlchel, substituto segundo. D. Josef Fabregas, alcalde. Barrio de S. Cayetano. D. Manuel Lucio…</t>
  </si>
  <si>
    <t>Santo</t>
  </si>
  <si>
    <t>…lada la Celestina. También parece que ignoraba muchos romances y un cancionero mui estimado. En su que Alfonso de Palencia traduxo del griego los Hom tiempo floreció el judío Rabí D. Santo, cuyas poesías bres ilustres de Plutarco; qu% Hernando del Pulgar existen inéditas en la biblioteca del Escorial. comunicó á la prosa cierta si-ncillez y flexibilidad en (3) El marques D. Henrique de Villena, al de As- sus Claros varones y en sus Crónicas, y…</t>
  </si>
  <si>
    <t>Santoíirniaj, Martin</t>
  </si>
  <si>
    <t>Martin Santoíirniaj</t>
  </si>
  <si>
    <t>…e laacademia militaT déla Ida de León, D. .Manuel* Guio, distinguid ó de la. referida academia, ai subteniente D. Antonio Novoa, sargento primero del sexto batallón de zapadores , D. Martin Santoíirniaj ca dete de la referida academia, D. Julián Martínez, sargento primero de zapadores , IX Manuel 'Gallardo;, i). Calixto Rodrigues y D. León Qordo , distinguidos de la expresada academia , á este la sabteneiicia de bandera; y para reemplazar la vacante que resu…</t>
  </si>
  <si>
    <t>Santos, Antonio</t>
  </si>
  <si>
    <t>Antonio Santos</t>
  </si>
  <si>
    <t>…Mariano Amorós, D. Manuel Rodrigo, D. Gregorio Lagarda, D. José García, D. Antonio Ortíz, D. An gel Martínez, D. Antonio Blesa, D Fermín Fabiano, D. Pedro Garrea, D. Pablo Franca, D. Antonio Santos, D. Manuel Uría^ D. Bernardo Uriz, D. Geferino Galindo y D. Seraíin Ockoa. CADIZ ; EN LA IMPRENTA NACIONAL.</t>
  </si>
  <si>
    <t>…rocedió , y yo tuve que verificarlo por Galipienzo á causa de haber recibido parte de que por mi izquierda avanzaban otras columnas enemigas. Los tira dores, al mando del. alférez D. Antonio Santos, cumplieron con su deber, habiéndose distinguido entre todos el húsar Alexandro Sder, que viniendo en retirada hizo frente á 2 enemigos, y los hirió gra vemente. = Dios guarde á V. S. muchos años. Olite 19 de Mayo de 181 ^. zz Miguel María Iriyarren.zz Señor…</t>
  </si>
  <si>
    <t>Santos, José TeodoroS</t>
  </si>
  <si>
    <t>José TeodoroS Santos</t>
  </si>
  <si>
    <t>…la jun ta provincial de Cataluña; D. Mariano Mtndiola, que lo es por la rovincia de Queiétaro; D. Jayme de Creux , por la de Cataluña; &gt;. José Joaquín Olmedo, por la de Guayaquil; D. José TeodoroS Santos, por la de Madrid; D. Antonio Larrazabal, por la de Gua temala; el marques de Espeja, por la dé Salamanca: y en clase de suplentes á D. José Cevallos, diputado por la provincia de Córdoba;</t>
  </si>
  <si>
    <t>Santos, Josef Teodoro</t>
  </si>
  <si>
    <t>Josef Teodoro Santos</t>
  </si>
  <si>
    <t>…o. En la junta provincial electoral, celebrada en esta capital el dia 28 det presente, salieron electos para diputados d las actuales Cortes extra’ ordinarias■, , --v :-;v* - vi.° D. Josef Teodoro Santos, natural de Villaverde, abogado del cole gio de Madrid. ^ . ¿</t>
  </si>
  <si>
    <t>…a diputación permanente de las mismas, y salieron electos i.° el Sr. Espiga , europeo: 2.° el Sr^Mendipla., americano: 3,°jel Sr. Creus, europeo: 4.°;el Sr.;Olmedo, americana: 5.? D. Josef Teodoro Santos, eu ropeo: 6.° el Sr. Larrazabal ,' de ultraoTar; y debiendo; decidir la suerte la elección del 7;° diputado entre..un europeo y oti’o de ultramar, se procedió á verificarla entre el Sr. O-Gavan , americano, y el Sr. marques de Espeja, europeo: fue electo est…</t>
  </si>
  <si>
    <t>…ulo, D. Joséf de Tejada Ruiz, D. Antonio Landaiuce, D. Josef Hernández Martínez , D. Santiago1 de las Rivas, D. Josef de las Barcenas, D Tomas Púertolas; y para procurador síndico general D. Josef Teodoro Santos. La Regencia del reino ha dispuesto que el literato ó inteligente que nece sitare ver alguno de los manuscritos árabes, que con los demás del real mo nasterio de{ Escorial se conservan por ahora en la biblioteca nacional, pueda hacerlo, sujetándose á las prev…</t>
  </si>
  <si>
    <t>Santos, Nicanor García</t>
  </si>
  <si>
    <t>Nicanor García Santos</t>
  </si>
  <si>
    <t>…cortes generales extraordinarias El limo. Sr. Obispo de Plasencia. Sr. D. Vicente de la Llave. Sr. D. Juan Gerónimo Chacón. Sr. D. Silvestre Trigueros. Sr. D. Juan Josef Montero. Sr. D. Nicanor García Santos. Sr. D. Victoriano Sánchez. Y por suplentes Sr. D. Justo Peñalver. Sr. D. Simeón Palomino. Guadalaxaraj 8 dejulio* La junta electoral de esta provincia, en cumplimiento de lo prevenido en la constitución política de Ja monarquía española, y posteriores reales…</t>
  </si>
  <si>
    <t>Santurio, Manuel</t>
  </si>
  <si>
    <t>Manuel Santurio</t>
  </si>
  <si>
    <t>…les por lo res pectivo á lo militar en la Ccruña y Ferrcl, lo realizó igualmente en la de esta ciudad el dia 2 del corriente , acompañado de los se ñores auditor general de guerra D. Manuel Santurio, el secretario de S. E., los individuos del ílutre ayuntamiento constitucional D. An gel de la Riba y D. Julián Suarez , y el médico D. Juan Camiña; recorrió detenidamente todas las piezas de tan inmunda zahúrda, re cogiendo los memoriales que le presentaron…</t>
  </si>
  <si>
    <t>Sanz, Agustín González</t>
  </si>
  <si>
    <t>Agustín González Sanz</t>
  </si>
  <si>
    <t>…ste mes. Del partido de Madrid. i.° D. Rámon Montero, presbítero de Fuencarral¿ ^ 2.0 ; D. Josef Rodríguez Maqueda, natural de S. Martín de Valdeiglesias, y residente en ella. 3.0 D. Agustín González Sanz, natural y residente en Miraflores^ 4.0 D. Nicolás Martínez de Tej'ada, presbítero, natural y residente en Madrid.’ j.° D. Manuel de la Torre y Rauri , natural y residente en Madrid. 6.° D. Leandro Rozalen, natural y residente en Colmenar viejo. 7.0 D. Antoni…</t>
  </si>
  <si>
    <t>Sanz, Claudio</t>
  </si>
  <si>
    <t>Claudio Sanz</t>
  </si>
  <si>
    <t>…on Andrés González de Gómez y Doña María Teresa. Rodríguez Giraldoy para que' dentro del término de 30 días., contados, desde el 20 de este mes, acudan á dicho juzgado y oficio de D. Claudio Sanz, escribano del número, por sí ó por medio de&gt; procurador , con; suficiente podar á deducirle y exponer^; apercibidos desque pa-f sado dicho término sin haber comparecido, Ies parará el perjuicio que haya lugar.; Don Eléuterio Xuperiez,,vecino de Torrecilla. d…</t>
  </si>
  <si>
    <t>Sanz, Juan Agustín</t>
  </si>
  <si>
    <t>Juan Agustín Sanz</t>
  </si>
  <si>
    <t>…la diputación provincial, han sido electos Para diputados de Cortes. D. Juan Manuel Renjifb, cura de Casavieja. D. Eusebio Sánchez de Ocaña , vecino del Barco de Avila. Suplente. D. Juan Agustín Sanz, vecino de Arévalo* Para la diputación provincial. D. Miguel Benito Cantero y Grande , provisor y canon igo de esta santa iglesia. D. Juan Sánchez Bermejo, vecino del Sotillo de las Palomas. D. Antonio Herrero, cura, de Villarejo.</t>
  </si>
  <si>
    <t>Sanz, Pascual</t>
  </si>
  <si>
    <t>Pascual Sanz</t>
  </si>
  <si>
    <t>…campo D. Francisco Espoz y Mina• A capitanes de fusileros á D. Ramón Navarlaz, D. Hilario Mar co, D. Ramón Marichalar, D. Juan Badina y D. Juan Francisco Zarimluqui: á ayudantes á D. Pascual Sanz, D. Domingo Olejua , Don Juan Esteban Anant, D. Juan Monton ,D. Ramón Díaz de Itarraza, D. Ambrosio Dorregaray, D. José Mari a Larcano j Joaquín Mezquiriz, D. Santiago Arizavala, Dj Ildefonso Zizur, D.José Pinilla y D. Pedro Brull .* á tenientes de granaderos…</t>
  </si>
  <si>
    <t>Saornil, Gerónimo</t>
  </si>
  <si>
    <t>Gerónimo Saornil</t>
  </si>
  <si>
    <t>…pesos para los gastos de esta expedición porque le hiciesen vice presidente de la infame junta, para substituir al venerable obispo propietario. Alcántara 16 de Enero de 1813. El coronel D. Gerónimo Saornil, al raisino tiempo que avisa el apresamiento de un correo de gabinete, juntamente con el conductor y la mayor parte de su escolta, que consistía en 140 dragones, á las 11 de la noche del 15 de Diciembre último en el pueblo de Vifialba, da los partes siguiente…</t>
  </si>
  <si>
    <t>…entre los cuerpos avanzados de nuestra lima es diario. Se adoptan algunas brovidéncias para evitar que los espías sean tan frecuentas éií esta piazh. ' Alcántara 23 de Febrero. El coronel D. Gerónimo Saornil avisa con fecha de 14 de Febre ro desde el pueblo de Villar del Buey , que cerciorado el teniente H. Ignacio Martin de que los enemigos tenían en el arrabal de los mesones dé lá villa de Ledesma 2G bueyes y 2 caballerías mayores^ fruto ¿e las rapiñas que fian…</t>
  </si>
  <si>
    <t>264</t>
  </si>
  <si>
    <t>…. Los habitantes insultan públicamente á los franceses, manifestando en los cafés y otros sitios públicos sus deseos &lt;de que entren los rusos. ESPAÑA. Alcántara 28 de .Febrero, El coronel D. Gerónimo Saornil avisa desde el Olmo con fecha de SJ2 de Febrero, que hallándose el dia antes en el pueblo de Rabé, dos leguas de Medina , dio parte uno de sus centinelas que por la calzada de este pueblo se dirigían algunos enemigos al punto que él ocupaba. Salió ea persona…</t>
  </si>
  <si>
    <t>Sapinos, Juan de</t>
  </si>
  <si>
    <t>Juan de Sapinos</t>
  </si>
  <si>
    <t>…aá Posso Fernán* de*, id. por 15, 180. D. Juan Amonio Miranda, íi. por 8, 96 D. Jo* sé Quiri&gt;ga,id. por 8. 93. D. J»ian Mnriie&amp;so, id. p:r 4, 48 D Juaa • Rtfymúndae, id por Ü, 96. D. Juan de Sapinos a, id. por 8, 9&amp;¡ D. José Roso, id. por 1, í2. D. Joaquín Martínez, id. por 8 , 96¿ D. Joiá de Herrera, id. por 8, 93 D. Jor&gt;é Ramírez, id. por 2, 24. D José Pinero, id. por 4,48. D. Loresg® Leqnerica,.vd. por 6,72. D. León Mafia Xinaeua, id. por b, 935. D. M…</t>
  </si>
  <si>
    <t>Sar</t>
  </si>
  <si>
    <t>…ar el .golpe mas funesto á íos exércieos franceses en España. El general Foy debe haber co-menzado el sitio de Castro. Re celo no tenga bastante fuerza al efecto , y he escriro al general Sar rut que vuelva á Orduña mientras dure el sitio de la plaza, y sea 'tomada, á no ser que baya escasez de víveres en las plazas de la lí nea de Burgos é Irun , porque no hay mas tropas que las suyas pa ra cobrar la contribución.</t>
  </si>
  <si>
    <t>Sara, Miguel</t>
  </si>
  <si>
    <t>Miguel Sara</t>
  </si>
  <si>
    <t>…concurrieron á esta brillante acción. =E1 ayudante general gefe del estado mayor. =r jF. X. Gabanes* Oficio dirigido al Sr. genere l en gefe por el gobernador de Urgel el teniente coronel D. Miguel Sara. Excmo. Sr. : El coronel del-Príncipe D. Salvador Valencia, nte dice lo que á la letra copio: por el general barón Expert á la cabeza de k.oo infinites, 50 caballos y una pieza de campaña fué atacado xyer. El fuego duró desde las nueve de la mañana hasta ks 5…</t>
  </si>
  <si>
    <t>Sarasa, Félix</t>
  </si>
  <si>
    <t>Félix Sarasa</t>
  </si>
  <si>
    <t>…ozarena, D. Angel Esca lada, D. Víctor Pastor, D. Francisco Boira , D. Nicolás Uroz, D. Francisco Sarbide, P. Manuel'Inda, D Juan Ignacio Peña, D Diego OteruimDi Gabriel Alegría , D. Félix Sarasa $ D. José Labiano , D. Francisco Morillo , D, Juan Jaurrieta, D. Bartolomé Guiberalde, D- Antonio Ugarte, D. Ignacio "Echeverría, D. Pedro Echegoyen , D. José María Gurrea, D. Francisco Erdozain , D. Ma nuel Sauca, D. Agustín Apezteguia, D. Martin Benuza, D.…</t>
  </si>
  <si>
    <t>Sarasa, Miguel</t>
  </si>
  <si>
    <t>Miguel Sarasa</t>
  </si>
  <si>
    <t>…andonó el campo. Todo lo que pongo en noticia de V. S. para que se sirva trasladarlo al Exento. Sr. ge neral en gefe. =cMonteilá 18 de Setiembre de 1813. — Salvador Va lencia.~$r. D. Miguel Sarasa. —Lo que traslado á V. E. para su su perior conocimiento. = Dios guarde á V. E. muchos años * Seo de Urv gel 19 de Setiembre de 1813 = Excmo. Sr.-jz. Miguel Sarasa. — Ex-celentísimo Sr. general en gefe de este primer exército. =Es copia.= Cabanes. Destacament…</t>
  </si>
  <si>
    <t>Saravia, José</t>
  </si>
  <si>
    <t>José Saravia</t>
  </si>
  <si>
    <t>…rapidez las 6 piezas de artillería que coloco en la misma el coronel mayor general de esta arma D. Matías Ferraz, perfectamente ay udado por el teniente coronel del propio cuerpo Don José Saravia, y el sargento mayor D. Bartolomé Gutiérrez y demas oficiales subalternos: á las 8 horas de empezada la batería hacían fuego las piezas situadas en ella, y el acierto de su direccioa, á mas de ha ber causado bastante daño al enemigo, le impuso sobrado respeto…</t>
  </si>
  <si>
    <t>Saravia, Josef</t>
  </si>
  <si>
    <t>Josef Saravia</t>
  </si>
  <si>
    <t>…dez las seis piezas de artillería, que colocó en la misma el coronel mayor general de esta arma D. Ma tías Ferraz, perfectamente ayttdado por el veniente coronel del propio cuerpo D. Josef Saravia, y el sargento mayor D. Bartolomé Gutierrez y demas oficiales subalternos: á las ocho horas de empezada la bate ría hacían fuego las piezas situadas en ella, y el acierto de su dirección, á mas de haber causado bastante daño al enemigo, le impuso sobrado resp…</t>
  </si>
  <si>
    <t>Saray, Ramón Bertrán y</t>
  </si>
  <si>
    <t>Ramón Bertrán y Saray</t>
  </si>
  <si>
    <t>…¿ 138714 S 5691 7229 ¿ 4 A D. José Baquer, de Valencia. * 6053 8263 £ 49 de 600 pesos. De 150. « f 177143 1S83S5^I I8ÍS50 .189855 181876 190086 182005 198888 184810 . 200307 20 &gt;A D. Ramón Bertrán y Saray. 185280 200638 185SS0 206603 185419 206607 185971 206610 182629 198720 Está conforme con los vales originales y con los asientos de los libios de esta oficina de renovación que están á mi cargo, como gefe de ella , fecha ut supra. —* Manuel de Imiriaaldu. — E…</t>
  </si>
  <si>
    <t>Sarbide, Francisco</t>
  </si>
  <si>
    <t>Francisco Sarbide</t>
  </si>
  <si>
    <t>…achea, D Joaquín Sánchez, D José Migueltorena D Diego Gayarre, D. Fermín San Martin,*O. José Arozarena, D. Angel Esca lada, D. Víctor Pastor, D. Francisco Boira , D. Nicolás Uroz, D. Francisco Sarbide, P. Manuel'Inda, D Juan Ignacio Peña, D Diego OteruimDi Gabriel Alegría , D. Félix Sarasa $ D. José Labiano , D. Francisco Morillo , D, Juan Jaurrieta, D. Bartolomé Guiberalde, D- Antonio Ugarte, D. Ignacio "Echeverría, D. Pedro Echegoyen , D. José María Gurr…</t>
  </si>
  <si>
    <t>Sariz, Claudio</t>
  </si>
  <si>
    <t>Claudio Sariz</t>
  </si>
  <si>
    <t>…de eftá corte, viúdo- de Doña- María Teresa'Lopei: Gonzalo, para que en el término de 30 días, eovitados desde 20 del'mes próximo -pasado, acudan á dicho juzgado pbf el oficio dí D. Claudio Sariz, escribano del .número, personalmente , ó por medio.de procurador-con suficiente poder, á dedu cir y exponer el derecho que Ies asista; con apercibimiento de que pasado dicho término sin haber comparecido, les parará el perjuicio que haya lugar. Se halla vaca…</t>
  </si>
  <si>
    <t>Sarraoa, Juan Bautista</t>
  </si>
  <si>
    <t>Juan Bautista Sarraoa</t>
  </si>
  <si>
    <t>…00. D. Angd Alfar*, 103. D. Antonio Tarancc, 100. D. Fernando Mazo, 100. O. J &gt;aqnlu M^ría Ferror, 100. D Ignacio Sobrado, 100. D. Juan del Valle Ponga, 100. D. J ose Correa, 100. D. Juan Bautista Sarraoa, 103. D. S ¡bidíaa Ugardza, 100. D. Manuel Vállate, 100. D. Juan Gil , 100. D Lo renzo Machiianda, 100. I). Miguel Arneta,50. D. Martin y D. J.ian Bautiza Estevecorena, 59. D. Ran&amp;on del Valle, 50. D. Rara el Ló pez, 50. D. Félix Balegi, 59. D. Juan Francisco…</t>
  </si>
  <si>
    <t>Sarrata, Juen Bautista de</t>
  </si>
  <si>
    <t>Juen Bautista de Sarrata</t>
  </si>
  <si>
    <t>…Va!dés,8id. O. Francisco Xavier Izcue, 8 id. D. Juan Bau tista O variaba! y D. Pedro Abadía, 20 id. D. Lorenzo Tajonar, 2 id. D. Fermín de Arriaga, 2 id. D. Nicolás Soreguí, 1 id. D. Juen Bautista de Sarrata, 2 id D. Jot,é A tomo de Erna, 4 iii. D Mi guel de Garate, 1 id. D. Joaquín de Lostfa, 1 id. D. Raisuui Ven-</t>
  </si>
  <si>
    <t>Sarrazin</t>
  </si>
  <si>
    <t>…mente necesaria á toda clase de per sonas. Por D. J. S. Véndense en la librería de Alejandro Rodríguez, calle de las Carretas. Confesión de Bonaparte con el cardenal Maury, por el general Sarrazin. *„ Conversación del general Berthier con el cardenal Maury: ambos tratados traduci dos del francés. Esta obra fue publicada en Londres, y ha merecido la ap robacion general, por cuya razón se cree excusado repetir ahora el elogio que se hizo de ella en una d…</t>
  </si>
  <si>
    <t>Sarrfield</t>
  </si>
  <si>
    <t>…ponía de 31® hombres , de los cua les 7® eran conscriptos que solo llevaban la casaca de uniforme. De los enemigos solo entro una guerrilla en R#us, á quienes rechazo la tropa del general Sarrfield, matándoles , según se dice, algunos. El 20*7 á las doce del dia , llego de Tarragona el expreso de que se habló en el parte anterior, y ha hecho la siguiente re lación. La muralla de la-parte del mar , llamada la Muralieta, está casi enteramente volada','y á…</t>
  </si>
  <si>
    <t>Sarria, José</t>
  </si>
  <si>
    <t>José Sarria</t>
  </si>
  <si>
    <t>…1 id. D Benito Cristi, 1 id. T). José de San Martin y Blanco , l id D~ Martin Cortiguera, 1 id. D. Manuel López Díaz, 1 id. D. D amingo Ximenez, i id. D. Boni facio Vivanco, 1-id. D. José Sarria, 1 id. D. Mariano Sarria, 1 id. D. Juan Antonio Aramburu, 1 id. D. José Francisco de Isasi, 1 id. D. Ramón Eurivano, 1 id. D. Ramón de Azcarate, 1 id. D. Fran cisco Abasólo, l id. D. Juan Panero, 1 id. D. Juan Mella, 1 id. D. Miguel Jáuregui, 1 id. D. Rosendo…</t>
  </si>
  <si>
    <t>Sarria, Mariano</t>
  </si>
  <si>
    <t>Mariano Sarria</t>
  </si>
  <si>
    <t>…1 id. T). José de San Martin y Blanco , l id D~ Martin Cortiguera, 1 id. D. Manuel López Díaz, 1 id. D. D amingo Ximenez, i id. D. Boni facio Vivanco, 1-id. D. José Sarria, 1 id. D. Mariano Sarria, 1 id. D. Juan Antonio Aramburu, 1 id. D. José Francisco de Isasi, 1 id. D. Ramón Eurivano, 1 id. D. Ramón de Azcarate, 1 id. D. Fran cisco Abasólo, l id. D. Juan Panero, 1 id. D. Juan Mella, 1 id. D. Miguel Jáuregui, 1 id. D. Rosendo Gao, 1 id. D- Antonio He…</t>
  </si>
  <si>
    <t>Sarsfieid</t>
  </si>
  <si>
    <t>…inuarán.) Valencia /p de Julio. Antes de ayer salieron tropas inglesas hácia Tcrtosa con el ob jeto de poner sitio á aquella plaza. Mañana sale el. tercer exército para Arag n. El general Sarsfieid está sitiando á Murviedro, dondehan quedado 1® enemigos. — Por la costa andan muchos barcos coavíveres para acudir con ellos adonde se necesiten. Lesaca 24 de Julio. Sigue aquí el duque de Ciudad-Rodrigo con su cuartel gene— asa!.—Esperamos que cayga pronto e…</t>
  </si>
  <si>
    <t>Sarsfieid, Pedro</t>
  </si>
  <si>
    <t>Pedro Sarsfieid</t>
  </si>
  <si>
    <t>…s conduzcan presas á los puertos de sus dominios. ESPAÑA. Calaiat/ué 13 de Febrero. Ha llegado á esta ciudad , procedente de Cataluña, y atravesan do el Ebro, el mariscal de campo D. Pedro Sarsfieid , á exercer laa funciones de su comandancia general en ei reyno de Aragón. Berga 26 de Febrero. El ayuntamiento del pueblo de Os, corregimiento de Lérida,</t>
  </si>
  <si>
    <t>Sarsfíeld</t>
  </si>
  <si>
    <t>…ESPAÑA*. , Valencia i£ de julio.. 4 , Anteayer salieron tropas inglesas háciá Tortosa con el objeto de poner •sitio á aquella,plaza. Mañana sale el tercer exército para Aragón. El general Sarsfíeld está sitiando á Murviedro,.donde han quedado 1© enemigos.__ Por la&lt; costa^andan muchos, barcos, con; víveres para, acudir con ellos adonde se necesiten.. Vera aj de julio,. lían: llegado.á, Santander 6® hombres de tropa inglesa. Este refuerzo viene en ocasión…</t>
  </si>
  <si>
    <t>Sarsfield</t>
  </si>
  <si>
    <t>…francesa de Daroca prisionera de guerra, y esperamos no tardará mucho en llegar la de Mailen, con lo que que da limpio de enemigos todo este lado del Ebro. Murcia 17 de Agosto. El general Sarsfield, que sitiaba á Murviedro, ha levantado el campo para cooperar á otras operaciones mas prontas y eficaces so bre el Ebro, dexando el cuidado de impedir la salida de la corta guarnición de aquel fuerte á varias tropas que se reúnen en la villa. El general Villa…</t>
  </si>
  <si>
    <t>…de la Mort. Están ro tos 3 ó 4 palmos de los arcos de la fuente nueva. La fuga del enemigo fue taa precipitada en Valis, que dex&lt;5 mu chas provisiones, utensilios &amp;c. Un guia del general Sarsfield que ha llegado aquí, nos dice que dicho general con su división ha entrado el 20 por la mañana en Tarragona. Los enemigos permanecían todavía en Villafranca; pero un $ugeto que acaba de llegar de aquella villa, dice que el mismo dia 20 por la tarde iban march…</t>
  </si>
  <si>
    <t>…obstante todas ellas, y aun algunos catalanes que ayer llegaron de Reus, en asegurar que el primer batallón de voluntarios de Aragón, y el resto de la división, á las órdenes del general Sarsfield , han peleado heroicamente cubriérdose de gloria. Esperemos con impaciencia un detalle oficial digno de la expectación pública. Lesaca 20 de Setiembre. El señor duque de Ciudad-Rodrigo, detpues de haber corrido la línea , ha dispuesto que se hagan algunas otr…</t>
  </si>
  <si>
    <t>Sarsfield, Pedro</t>
  </si>
  <si>
    <t>Pedro Sarsfield</t>
  </si>
  <si>
    <t>…enemigos antes de su sa lida volaron las murallas por cinco ó seis partes, é inutilizaron gran porción de su artillería. Pocas horas después entró la división española al mando de D. Pedro Sarsfield. Decimos con sentimiento que aquella desgraciada ciudad no presenta á la vista sino ruinas; de todas (as casas que antes había apenas existe una tercera parte, en la que hai muchas sentidas, y gran porción de las que han quedado están tan solitarias, que mas…</t>
  </si>
  <si>
    <t>…liado ocupa la línea .desde el Coll de Balaguer hasta Cambrils y Vilaseca, con las avanzadas ó guerrillas en ?3 ermita d santuario de nuestra Señora de la Misericordia de Reus. El general D. Pedro Sarsfield se halla en Mas Bnjols, formando la lí nea con aquellas. El coronel D. José Manso desde la Uacuna pasó al puente de Armentéra, y de allí se ha dirigido á Valis , donde se halla con la brigada. Ei ex-ircito de Suchst-se componía de 31® hombres , de los cua les…</t>
  </si>
  <si>
    <t>…aron en ella, ssSírvase V. S. trasladarme el parre que le haya pisado el cóconet Torres.= Dios guarde&gt;á ! S. muchos años.=Tarragona 18 de setiembre de £8i&gt;j.s= W. Bentinckí 3= Sri D. Pedro Sarsfield:=:Lo. que se hacé saber en la orden de la división para satisfacción de los interesados. = Ramírez,r gefe de E. M.” (Q azeta extraordinaria de Valencia.) , i Ea*diputación) permanente de Cortes, celebró el dia 15 de este mes lá primera í junta» preparatoria d…</t>
  </si>
  <si>
    <t>…on en ella. Sírvase V. S. trasladarme el parte que le haya pasado el coronel Torres. = Dios guarde á V. S. muchos años. = Tarragona 18 de Setiembre de 1813. = W. R entine k. — St. D. Pedro Sarsfield. = Lo que se hace saber en la or den de la división para satisfacción de los interesados. = Ramírez, gefe de e.tado mayor. Madrid i.° de Octubre. las últimas noticias del exército aliado deí Pirineo indican tm próximo movimiento general en toda la línea cuand…</t>
  </si>
  <si>
    <t>Sarstield, Pedro</t>
  </si>
  <si>
    <t>Pedro Sarstield</t>
  </si>
  <si>
    <t>…os guarde á V S .. = muchos años. '\' iHaseca 20 de Setiembre de [813. = .Jo"é de Torres. = Señor comarld&gt;!Dte gen,:ral de la tercera divis!OIl de iflfant,ria del seg.unJoexército D. Pedro Sarstield. =Es copia. = E/ro. Nota. En algunos exemplares del suplemento á la gaceta del sábado 2:3 , pág. 1115, línea -:l5 , donde dice contestarse, léase c." .. ¡Ientarse,o CADIZ ~ IMPJlHMTA NACIONAL: t81).</t>
  </si>
  <si>
    <t>Sata, Angel de</t>
  </si>
  <si>
    <t>Angel de Sata</t>
  </si>
  <si>
    <t>…D. Ansí res Ortiz , su'vriiuto primero. D. Pedro Lu is Nápolt, alcalde. D. Santiago de la Peña, substituto segundo. D. Migue! Oquendo,substituto primero. Barrio de la Buena-Dicha. D. Angel de Sata, substituto segundo. D. Rafael Flores, alca,Je. Barrio de la Latina. D. Manuel Gómez Delgado, substituto primero. D. Toaquin González de Castro, alcalde. D. Itid ro Castelas, substituto segundo. d. r vancisco Verdejo, substituto primero. Barrio de S. Placido.…</t>
  </si>
  <si>
    <t>SáUquét, Francisco</t>
  </si>
  <si>
    <t>Francisco SáUquét</t>
  </si>
  <si>
    <t>416 D. Francisco SáUquét con sus dipnoa oficiales y tropa, siendo muy particular la del sargento mayor interino el capitán D. Lázaro Sier ra, quien observando que algunos húsares salían de sus filas insul tando con el sable á nuestros cazadores, se arrojó sobre los dos teme rarios qu…</t>
  </si>
  <si>
    <t>Sauz, Mariano</t>
  </si>
  <si>
    <t>Mariano Sauz</t>
  </si>
  <si>
    <t>…Viilarroya, D Domingo Josué y D. Diego Cebadua; á ayudantes á D. Francisco Moñones , D. León Amedo, D. Manuel Mecolalde y D. Atanasio Mendivil: á tenientes á D. An drés Berrueta, D. Mariano Sauz, D. Juan Ignacio Noain, D. Fran cisco Azcarate , D. Martin Antonio Laquidaia , D Santos Ayerra, D. Tomas Ayerra, D Juan Esteban Alemán, D. León Mayo, D. Aniceto Unciti y D. Sebastian íso : á alféreces á D. Nicolás Sada, D. Lucas Munarriz, D. Francisco Ruiz ,…</t>
  </si>
  <si>
    <t>Savila, Francisco</t>
  </si>
  <si>
    <t>Francisco Savila</t>
  </si>
  <si>
    <t>…etalles. Nueva Ciropedia, ó los Viages de Ciro joven, con un discurso de la mitología de los antiguos. Esta obra lleva el texto ingles de Mr. Ramsay y la traducción cas tellana de D. Francisco Savila, para que sirva de guia á los principiantes españo les en el estudio de la lengua inglesa: tres tomos en S.° á 40 rs. en pasta y 34 en rústica. Se hallará en el despacho de la imprenta nacional. Se halla vacante la plaza de cirujano del hospital de la Piedad…</t>
  </si>
  <si>
    <t>Savvier</t>
  </si>
  <si>
    <t>…en mui inal estado los inferiores , desteñida toda lá Por el arribo á Cork del navio el Africa, de 64 xarcia, quedando un solo pedazo mui pequeño de cañones, que trae pabellón del almirante Savvier, vela en el trinquete, desmontados, á excepción y viene de Halifax , se supo en aquel puerto al mis de dos, todos-los cañones de los castillos de popa v mo tiempo que en Portsmouth el apresamiento del proa, y otros dos en la primera cubierta , gran par Macedo…</t>
  </si>
  <si>
    <t>Scbepeleff</t>
  </si>
  <si>
    <t>285</t>
  </si>
  <si>
    <t>…ndió obstinadamente. La batalla duró hasta la tarde ; y después de haber sido airojado de su posi ción el enemigo, se retiró hacia Konig berg, donde entró la van guardia del mayor general Scbepeleff mezclada con el enemigo, que en esta ocasión perdió 3 piezas de artillería, panchos oficiales, y unes 300 soldados que fueron hechos prisioneros. El mayor general Sche peleff se apoderó de la ciudad de Konigsberg con la vanguardia del</t>
  </si>
  <si>
    <t>Scbultez</t>
  </si>
  <si>
    <t>…el mejorando algunos establecimientos de instrucción instituto imperial de vacuna , del qual se habia he pública que nai en Praga , y realmente sus rentas cho nombrar director. El profesor Scbultez declara, deben haberse aumentado. En esta ciudad se aprecia que residiendo él en Viena el año .de 1804, denun mucho la literatura, y muchos sabios y literatos ció estos hechos al público y al tribunal de Policial distinguidos que residen en ella gozan de mui…</t>
  </si>
  <si>
    <t>Schanhorst</t>
  </si>
  <si>
    <t>…a de previ sión, que tantos males nos ha acarreado. Y nosotros no lo imaginamos asi. Qz") Esta expresión de partidarios, unida al tono de resentimiento con queBor.aparte habla del general Schanhorst, motejándole con el título jacobino anár quico % manifiesta claramente que toda íá Prusia está decidida á imitar á la España, sea quai fuese el resultado déla campaña actual. Gozémonos pues de haber dado tan bello cxemplo á la Europa, y esperemos ver en lo su…</t>
  </si>
  <si>
    <t>Scharn</t>
  </si>
  <si>
    <t>…ombrado gobernador de Breslau, en cuya capital reina el mayor orden. Los habitantes están mui descontentos é indignados con las medidas del levantamiento en masa, que atribuyen al general Scharn horst, quien está reputado por un jacobino anarquicé', este fue herido en la batalla de Lutzen. Las princesas, que habian salido tan precipitadamente de Berlín buscando un asilo en esta ciudad, la han abandonado para refugiarse en otra parte. Maret salió para…</t>
  </si>
  <si>
    <t>Scharnhorts</t>
  </si>
  <si>
    <t>…brazo; también salió herido en el bra zo izquierdo el general Blucher; mas á pesar de esto volvió á mon tar á caballo después de hecha la primera cura; últimamente quedó herido el general Scharnhorts. Nuestra caballería no pudo atacar las líneas enemigas porque estaban cubiertas de artillería^ pero no obs tante, nuestra infantería y artillería bastaron para derrotar al enemi go. Napoleón mandó en persona sus tropas, y perdió dos mariscales. Nuestros guerr…</t>
  </si>
  <si>
    <t>Schawalíoff</t>
  </si>
  <si>
    <t>Num. 8i- 665 GACETA DE LA REGENCIA , ■ ,-jí‘í DE LAS ESPADAS DEL JUEVES 1.» DE JULIO GRAN-BRETAÍU Londres ij de Junio. El duque de Vicenza (Caulincourt) y el conde Schawalíoff (ayudante de campo del emperador de Rusia), después de cangeados sus plenos poderes en GebersdofF el i.° de Junio (20 de Ma yo) , y firmado una suspensión de armas por 36 horas en la villa de Pleuertz, declarada neutral para este fin; acordaron un armisticio*…</t>
  </si>
  <si>
    <t>Sche</t>
  </si>
  <si>
    <t>…mayor general Scbepeleff mezclada con el enemigo, que en esta ocasión perdió 3 piezas de artillería, panchos oficiales, y unes 300 soldados que fueron hechos prisioneros. El mayor general Sche peleff se apoderó de la ciudad de Konigsberg con la vanguardia del</t>
  </si>
  <si>
    <t>Scheiter</t>
  </si>
  <si>
    <t>…andonados á los La división Bianchi tomó el camino de Rusthana, y la siguió la brigada del mayor general Fre paisanos muchos centenares de carros del enemigo. La pérdida total del coronel Scheiter en estalich , y poco después el séptimo cuerpo del exérci expedición ha sida mui corta; consiste por lo queto grande , que venia de Brzesc con la trigésima se toca á los dragones de Riesch en el capitán Thum,gunda división francesa. La división Trautemberg ma…</t>
  </si>
  <si>
    <t>…ornton y del conde Abcrdeen* V Praga 21 de Setiembre de i8ig. Milord : las tropas austríacas que formaban la vanguardia del cuerpo del general Klenau, baxo del inmediato mando del general Scheiter, entraron en Freyberg* donde cogieron á .400 soldados ene migos con su general Bruno. Es muy singular que los dos escuadro nes restantes de los húsares w estfaiianos que no se habían pasado á nosotros , hacen parte de los prisioneros temados en dicha ciudad.…</t>
  </si>
  <si>
    <t>Schepéioff</t>
  </si>
  <si>
    <t>…I. se han apoderado de Elbinga, Marienberg y Marienwerder. El conde Platow persigue al enemigo por el camino que conduce de Marienbsrg á Dantzick, al mismo tiempo que el teniente general Schepéioff, ha biendo pasado el Nogat por cerca de Sommerau , le acosa por aque lla parte. El enemigo ha abandonado 7 piezas de artillería en el ca mino de Truentz s Damerau. Luego que reciba los pormenores de estos sucesos, tendré la honra de remitirlos á Y. M. I.” Cua…</t>
  </si>
  <si>
    <t>Schepeleff</t>
  </si>
  <si>
    <t>…aciones. Id. 18. El cuartel general del príncipe Kutusow se halla en Wilna. Id 19 E¡ ayudante general Wasitscbikoff ha llegado boy con su destacamento á Mcsty. Iá. 20. El teniente general Schepeleff dice, que el 10 del cor riente de tacó 1000 hombres de la milicia de Kalouga á Bobrouisk. El ayudante general conde Oschí.Toff¿ky refiere con fecha de 19 de este mes, que el mayoT SchamscheíF, á quien feabia enviado con un regimiento de cosacos á Lcunna, habi…</t>
  </si>
  <si>
    <t>SchepeloíF</t>
  </si>
  <si>
    <t>…res de las fuerzas indicadas. A la llorada de .la ya-n guardia &gt; que persiguió vivamente si-enemigo sin hacer alto, pasó este por Kouigsberg, y la abandonó á discr¡.cion del mayor general SchepeloíF, que entró en ella sin la menor resistencia. Ésta asombrosa facilidad cu ceder la, posesión de esta citifiad „ es un efec to de íao victorias conseguidas por les armas de Y. 3VL imperial du rante los dos últimos meses. El general Wiügensíein y el almirante Tc…</t>
  </si>
  <si>
    <t>SchepeseíF</t>
  </si>
  <si>
    <t>…S ESPADAS SABADO 13 DE FEBRERO DE 1813. GRAN-BRETAÑA. Londres 19 dé Enero. Diario de ¿as operaciones militares del exército ruso desde el 2 al 13 de Diciembre de 1812. El teniente general SchepeseíF comunica con fecha del 2, que el conde Goudowitch marchaba á Mohilow con 74000 hombres de la» milicias. El almirante TchichagoíF participa , el dia 1°, que iba persi guiendo al enemigo en dirección de Sembini y de Flamen á Plestchenitza, mientras que el cuerp…</t>
  </si>
  <si>
    <t>Schiuther</t>
  </si>
  <si>
    <t>…los enemigos, se presentó delante de las puer tas de la ciudad en la mañana del 18. El enemigo había cerrado la ciudad, y todas las puertas estaban guarnecidas con infantería. Ei general Schiuther huo avanzar varios destacamentos contra las puertas de Meisner y Dahna, mientras él con el cuerpo principal £• dirigió contra U de Erbersdorf. El enemigo se defendió obstinada mente; mis por último, la puerti de Erbersdorf fué forzada, é inmed afamen e entrar…</t>
  </si>
  <si>
    <t>Schluther</t>
  </si>
  <si>
    <t>…ias acabadas de recibir de Dantzick son, que ya se habían abierto las paralelas delante de aquella fortaleza. Cuartel general de Toplitz 20 de Setiembre. El mayor general imperial barón Schluther, en cumplimiento de las órdenes que se le dieron de marchar sobre Freyberg , lo executó con la exactitud y denuedo que le es propio. En ia noche del 17 se emboscó en Bertzdorf, cerca de Freyberg; y de este modo, y cuan do menos io esperaban los enemigos, se p…</t>
  </si>
  <si>
    <t>I129 der: nuestra pérdida total consiste en un cazador muerto y 3 heridos. El general Schluther elogia la conducta sobresaliente de sus tro pas de t:da clase y graduaciones, haciendo particular mención del séptimo bata Ion de cazadores. El coronel Vayder, y el teniente co ronel Aiagemeyer de dicho batallón, los capitanes Devoust y Wusthoíf de caballería…</t>
  </si>
  <si>
    <t>Schn.ider</t>
  </si>
  <si>
    <t>…e la oposieíon mas ten¿z: los ca ñones que se encontraron allí, y ademas ouo; 6 que tomo , estaban casi todos clavados. En esta acción perdió el general 3 cab líos ; y el teniente coronel Schn.ider. que ; 1 frente'del segundo b tallón de ca zadores se arr¿ jó preci; it„ -demente del mrdo mas denodado durante un vivo fuego de fusilería, fué herido dos veces. El enemigo hizo al mismo tiempo oni salida contra nuestra .ala izquierda, donde las di visiones W…</t>
  </si>
  <si>
    <t>Schuiz</t>
  </si>
  <si>
    <t>…. da , y conociéndose que contenía algunas otras poe* sías, que se han arrancado de é¡, se sospecha de Berlín a 4 de noviembre. que quizá sea una rapsodia de aigun inonge desco El doctor Schuiz, de esta ciudad» acaba de pu nocido de la edad inedia, blicar una disertación, en que intenta probar que el agua de guinda» de que aqui se hace tanto uso SAXONIA. con el nombre de vesicot 6 agua de guinda de Ba- t)resde a 8 de noviembre.silea, contiene substa…</t>
  </si>
  <si>
    <t>Schulzenheim</t>
  </si>
  <si>
    <t>…ra Magdeburg. . . - t La vanguardia del exército ruso, mandada por el conde Von Woron» zow, está en Acken (en la orilla izquierda del Elba); La vanguardia sueca, á las órdenes del general Schulzenheim, está en Dessau. El Príncipe de la Corona ha encargado el sitio de Wittemberg al gene ral Bulo w. ' •; -• f¿ sn. / Proclama del Príncipe de la corona de Suecia d los saxones* Saxones: el exércit© combinado del norte de Alemania; ha pasado toe*-</t>
  </si>
  <si>
    <t>…ontra los amotinados,, El Emperador Na* ,,poleon ha dado orden i sus generales de tomar á Dessau á toda costa. Se re cibió noticia de esto en tiempo óptírtúno para avisar al mayor general Schulzenheim que evacuase la plaza , y se retirase gradualmente á las obras de la cabeza del puente. El 27 entre el medio dU y las- dos de la tarde se executó asi. El enemigo no ha emprendido cosa alguna contra el general Von Schulzenheim. El coronel Bjornstierna, que est…</t>
  </si>
  <si>
    <t>Schulzenheim, Von</t>
  </si>
  <si>
    <t>Von Schulzenheim</t>
  </si>
  <si>
    <t>…, y se retirase gradualmente á las obras de la cabeza del puente. El 27 entre el medio dU y las- dos de la tarde se executó asi. El enemigo no ha emprendido cosa alguna contra el general Von Schulzenheim. El coronel Bjornstierna, que estaba en Worlitz, tuvo órden de -retroceder á la orilla derecha del Elba^ Anteayer la partida que. protegía á los trabajadores en la cabeza del puente hizo un reconocimiento hasta Des* sau. Los puestos enemigos que se había# ave…</t>
  </si>
  <si>
    <t>Schulzenheioi</t>
  </si>
  <si>
    <t>…a, y otras provisiones que se cree iban á Magdeburgo. La vanguardia del exéreuo ru¿o al mando del conde Woronzow está en Ack.cn &gt; en la izquierda del Eiba: la sueca , al mando del general Schulzenheioi, se halla en Dessau. El príncipe de la Corona ha encargado el sitio de Witteñberg al .general Buiow.</t>
  </si>
  <si>
    <t>Schulzerhein</t>
  </si>
  <si>
    <t>*34©El emperador Napoleón ordenó á sus generales que temasen £ Desvaa á toda co ta. Hubo noticia de esto a tkmpo p; rs avis r al general Schulzerhein que evacuase la plaza x y se r tirase por esca lones á las obras de la cabrea del puente; lo q: e se txecutó el ij desde el m dro d:a á las 2 de 2a tarde. El en migo no emprendió nada tra e¡ g neral SeMjIz^núein. El coronel Bjornstierna, que est en v* orí'tz»…</t>
  </si>
  <si>
    <t>Schvvarzenberg</t>
  </si>
  <si>
    <t>…en marcha desde Jauer el 25 por la mañana, seguido de todas sus fuerzas. El general príncipe Kouraschof, que fué enviado expresamente el campo de batalla inmediato á Dresde por el príncipe Schvvarzenberg á S, A. el príncipe real, llegó á las S de esta mañana con la referida noticia. Este general atravesó por medio del exército ene migo, pasó el Elba á nado con 200 cosacos, entre Reissa y Meissen, y arrolló varios puestos avanzados. Acaba de salir para Liebenv…</t>
  </si>
  <si>
    <t>Schwalow</t>
  </si>
  <si>
    <t>…staba dicho dia ó en Leignitz. El príncipe de Moskwa aun estaba en Breslau. Los comisarios nombrados por el Emperador de Rusia para la execudon del tratado son el teniente general conde Schwalow, ayudante de campo del Emperador ,.y Mr. de. Kutusow ,,ayudante de campo general del mismo. Los nombrados por parte de la Francia son el general de división conde Dumoutier, comandante dé una división de las guardias, y el general de brigada PL?haule, edecán…</t>
  </si>
  <si>
    <t>Schwanenfeld</t>
  </si>
  <si>
    <t>…sse, mientras que sus tropas, destaca das en cooperación con las austríacas del general Babna, maniobraron mui felizmente á la retaguardia del exercito. El mayor Falkenhausen y el capitán Schwanenfeld se encontraron el i.° del corriente entre Goerlitz y Bautzen con una compañía de artillería fran cesa, un esquadron de cazadores y una compañía de infantería. Las dis persaron completamente, y les tomaron la única pieza de artillería que íes quedó de la batal…</t>
  </si>
  <si>
    <t>Schwartz</t>
  </si>
  <si>
    <t>…, y tam bién parece que se ha recibido aviso de haber llegado á Egoumeoel general Ertle. „El destacamento que manda el general Sachen parece que asbastante fuerte para conténer al príncipe Schwartz¡emberg. ■ ,5Se frustró la tentati va de volar ?a catedral de Smolensko por ha»? . benr apagado la mecha antes de,llegar á la mina, , ;jj, , No sé sabe todavía que es del mariscal Níey..-—Tengo.la honra &amp;c.— C&amp;thcart; Petersburgo 6 de Diciembre„Milord: T engo…</t>
  </si>
  <si>
    <t>…as jorcadas.— El gsac-rsJ Wrede le detuvo bizarra mente tus progresos por dos die? en Hanau. Sin embargo no se con siguió impedir que Boraparte 1:0 llegase á Maguncia ¿ntes que el príncipe Schwartz nberg le alcanzase con sus columnas. Hay mucha variedad de opiniones sobre la fuerza numérica que aun pudo salvar; pero el cálculo mas alto no pasa de 50© hombres.—Sonaparre presenció la batalla de'Hanau; y dicen que sus oficie les manifestaron en esta ecasio…</t>
  </si>
  <si>
    <t>Schwartzemberg</t>
  </si>
  <si>
    <t>…ehizo, y volvió i maniobrar rante Tschítschakoff continuaba su marcha hacia contra nosotros. El general Regnier había avisado Slonim y Níeswicz se resolvió que» unidos los cuer al príncipe Schwartzemberg para que lo* apoyase, pos austríaco y saxon, pasasen el Narewa,loque se atacando con una paite de sus tropas ia ala derecha cxecutó el 5 y 6 de noviembre por Natswlcj , R.ud— de los rusos; y en efecto el i6 por latarde, en ¿1 nía y Plosky. momento en que esto…</t>
  </si>
  <si>
    <t>…príncipe de la familia real. Los generales Platow y Wittgenstein han participado también del favor de S. M. I. 8e dice haberse concluido un tratado entre el príncipe Kutusow y el príncipe Schwartzemberg, con arreglo al cual el último retirará su exército per la Polonia y la Galitzia. Cuando salió de Viena el último correo, se decía allí que iban á salir dos enviados, uno para Wílna y otjro para Londres. — Macdonald ha dexado el exército , y ha salido para Ca…</t>
  </si>
  <si>
    <t>…po de exér^ito polaco á las órdenes del principie Po-- y profundísimo respeto. níatowsky, del cuerpo de exército austríaco á las ,, Pe'V. M. &amp;c. := Ftrmado=el canciller guar del. príncipe Schwartzemberg ? y del cuerpo de da-sellos, duque de Lotjí ; &lt;?1 presídeme de las se exércíto saxon i las del general Reyuier. El cuer siones del consejó de Estado, cpndv Jenaroli ; el po de excrcito d§í duque de Taranto y las tropas gran chambelán, duque de Litt.a'; el gra…</t>
  </si>
  <si>
    <t>…, se uniria el Aus tria al congreso para tratar la paz general; pero en caso de negativa se de clararía inmediatamente en favor de los aliados: que icf® hombres, á las órdenes del príncipe Schwartzemberg, desfilarían por dos puntos con di rección al Elba, y el archiduque Carlos marcharía á Italia con 150® hom bres. También se suponia que la respuesta de Bonaparte fue negativa, y que por esta razón el Austria debia poner en movimiento sus tropas antes def t2 d…</t>
  </si>
  <si>
    <t>…a 20 ele junio. Por noticias auténticas se participa la permanencia del Emperador de Austria en Gitschin. Son mui activas las correspondencias entre esta ciudad» Praga y Viena. El príncipe Schwartzemberg continúa residiendo alli. El príncipe de Hesse-Cassel ha vuelto de Vie na á Praga. Pasan diariamente muchos correos por esta última ciudad» y han llegado diversos oñciales superiores de varias potencias» y un agente ingles llamado Addington. Francfort 27 de j…</t>
  </si>
  <si>
    <t>…n el 6 en Bohe mia, y se reunieron á los austríacos, con quienes deben obrar de concierto. ,'Viena. 12 de agosto. El exército austríaco del norte de Bohemia está baxo el mando del príncipe Schwartzemberg, cuyo quartel general se halla en Praga. Continuamos Fortificando á Ems hasta las orillas del rio de este nombre. - - . t . ;• , ,, t .2. . ~ ' , El general Jomini, que se ha pasado á los aliadoses natural de Suiza, sir.vió con el general Moreau, y se le repu…</t>
  </si>
  <si>
    <t>…vado io®, habiéndose ahogado muchos en el Bober. Entre tanto el exército grande de los aliados, compuesto.de 299® hom bres al mando deL Emperador Alexandro , teniendo.t consigo al príncipe Schwartzemberg y al célebre general Moreau, atravesaba la Bohemia , pa saba, el Elba, y marchaba sobre Dresde, capital de la Saxonia; y aunque no pudo llevarse dicha ciudad de un golpe de mano, ha destrozado completajnente el cuerpo del general Vaji^amme,.haciéndolo á él y…</t>
  </si>
  <si>
    <t>…e octubre. El Emperador, creyendo que iba á pasar el Saale, fue á incor porarse con su exército en las cercanías de Leipsick. El exército grande de Bohemia, mandado en gefe por el príncipe Schwartzemberg, se acercó1 á aquella ciudad a! mismo tiempo, y cada vez se empeoraba la situación del exército francés. El 16 de octubre el exército del norte de Alemania, en lu gar de marchar ai Saale, se movió hácia la izquierda en lá dirección de Landsberg. El general Bl…</t>
  </si>
  <si>
    <t>Schwártzemberg, Príncipe de</t>
  </si>
  <si>
    <t>Príncipe de Schwártzemberg</t>
  </si>
  <si>
    <t>…uná posición en Hockheim, y se empleaba en restablecer las antiguas lí neas que, saliendo de la cabeza del puente de Cassel (1), y rodeando esta posicio», báxan hacia el Rhin. El mariscal Príncipe de Schwártzemberg de termino hacer que parasen estas obras, y posesionarse de la posición. Lord* Cathcart incluye la relación de este suceso, que le envió el mayor general sir Roberto Wilson, de quien su señoría hace los mayores elogios, manifestando que aquel digno ingles se…</t>
  </si>
  <si>
    <t>Schwartzenberg</t>
  </si>
  <si>
    <t>…nirse con la divi sión de guardias , y el cuartel general de todo el exército estaba el 10 de este mes en Merecz , donde debía permanecer un dia ó dos. Los austríacos al mando del príncipe Schwartzenberg se retiraron de Biele&amp;tock, y están cerca de Varsovia, pero no en fuerza bastan te para resistirse al número superior que se lés opondrá. Se dice que .Zambrow está fortificado y guarnecido ; pero no creo que baya en el Vístula fuerzas disponibles adecuadas pa…</t>
  </si>
  <si>
    <t>…ón , juntamente con los Reyes de Saxonia y Baviera y otros príncipes de Alemania. Las últimas cartas de las orillas del Elba dicen lo siguiente: „ Ha regresado de París á Viena el príncipe Schwartzenberg sin haber consegui do su objeto, que era prescribir elRin por límite al imperio francés. Los Re yes modernos de Alemania se reúnen ahora al Emperador de Austria cotí tanta sumisión como antes á Bonaparte. Parece que habrá grande convoca ción de príncipes en P…</t>
  </si>
  <si>
    <t>…s cuerpo* de Wittgenstein y MiLaradowitch, el ecerpo prusiano del general Kíeisc y e! exército austríaco debían obrar ofensivamente desde Bohemia, i las órdenes del general enVefc príncipe Schwartzenberg. El cuerpo de exército del general Blucher, compuesto de la di visión de prusianos ai mando del teniente general D’York, y de las divisiones Tusas de lo* generales Sachen y Langtron, se moverían des de Silesia á Losada amenazando al enemigo por el frente. El…</t>
  </si>
  <si>
    <t>Schwarzemberg</t>
  </si>
  <si>
    <t>…tte_ la Dinamarca y la Inglaterra , la gq§esion de Hamburgo.no puede ser de ninguna importancia militar. ' ' , , ALEMANIA. Fronteras de Bohemia 10 de junio. Avisan de Praga que el príncipe Schwarzemberg, que llegó á ésta ciu dad el *29 de mayo, recibió un correo el 3 de junio, y en el mismo di.a partió de allí con su estado mayor á Gitschin, donde cumplimentó al Em perador de Austria. Al d¡a, sigu¡ente 4 salió acompañando al Monarca para Braunau , adqnde lle…</t>
  </si>
  <si>
    <t>7ió . , Del i&lt;T de octubre por la tarde. El príncipe Schwarzemberg , comandante en gefe del exército ene migo, anuncio en la orden del dia 15 que al siguiente habría una batalla general y decisiva. En efecto el 16 álas nueve de la mañana desfilo contra nosotros e! grande exército altado, cuya operación se limitaba á extender…</t>
  </si>
  <si>
    <t>Schwarzenberg</t>
  </si>
  <si>
    <t>…general Sacken á retirarse á Seherenccft', á fio de ir acosa lo siem pre al enemigo, en el caso de que este traíase de encaminarse á Wdna. V. M. I. verá que con este movimiento el príncipe Schwarzenberg se retira mas bien que se acerca á Wilna ; con todo para asegurarme de la dirección que toma, he mandado ai cuerpo del con de Oschahrosky que maniobre h;:.cía Slonim. ,.Acabo de recibir un parle del conde Platnw con una bandera polaca , que tengo la honra de…</t>
  </si>
  <si>
    <t>una fuerte columna estaba en marcha para sostenerle en caso de nenesidad. — Todo el exército avanza. El exército grande ruso austríaco y prusiano, al mando del ma riscal príncipe Schwarzenberg, paso de Bohemia á Saxonia ei 22 de Agosto , tomando posición en la oriiia izquierda del Elba, después de haber arrollado las tropas enemigas apostadas en los desfiladeros. El 26 tenían los aliados su cuartel general delante de Dresde, y ha biendo bombardeado…</t>
  </si>
  <si>
    <t>SchwaTtzenberg</t>
  </si>
  <si>
    <t>…sicion parte de esta reserva, se negó el gobierno austríaco á su .so- icitud, alegando la necesidad de cubrir la Hungría, y de proi ger los fronteras de los estados au&amp;triacos. El príncipe SchwaTtzenberg se retiró con el cuerpo de su mando á Cracovia, apartándose así üe la línea por donde los generales de los exércitos victoriosos dirigen sus operaciones. Las cartas de Koei.igsberg refieren varios pormenores interesan tes- sobre la tuga de Bonaparte, y los de…</t>
  </si>
  <si>
    <t>Schwerin, Cár’os de Mecklemburgo</t>
  </si>
  <si>
    <t>Cár’os de Mecklemburgo Schwerin</t>
  </si>
  <si>
    <t>…su.-ce, priva de sus servicios por algún tiempo á es.e exército. El general Sparre le substituye , y cumplirá su com sion cuarto se lo permitan las demas ocupaciones que tiene. Ei príncipe Cár’os de Mecklemburgo Schwerin ha tomado el mando del alistamiento general de aqu¿l país.</t>
  </si>
  <si>
    <t>Scif</t>
  </si>
  <si>
    <t>…os oíiciales y 10 ciñones. La perdida de los.aliados se regula en 1© muertos y heridos. Las noricias de Toplitz hasta el 20 h:cen me- cion de una em presa feliz hecha por ei mayor general Scif u b rg , que at scó y to mó á Freyberg el i83 haciendo prisionero al ge: eral Bruno y 20 oficiales de graduación , con unos 700 caballos e infantes. Un boletín francés del 26 del pasado dice que Víctor estaba en Freyberg. Espér se que Baviera y Wirtember^ se…</t>
  </si>
  <si>
    <t>Sclfulzenherm</t>
  </si>
  <si>
    <t>…con 3$ caballos á una expedición se-creta. .... , El mayor Heílwig, del cuerpo del general Bulow, ha abierto en la orilla izquierda del Elba una comunicación con la vanguardia del general Sclfulzenherm en Dessau.“ ' El feld-mariscal conde Stedingk hizo construir obras considerables' por «ncíma de Roslau, y entre el Elba y el Muida. El general barón Winzvn-</t>
  </si>
  <si>
    <t>Sclrwannenfeld</t>
  </si>
  <si>
    <t>…varios cuerpos su-* yos destacados á retaguardia dei enem go y en comunicación con las tropas austríacas del general Bubna., maniobraban con buen éxito. El mayor Falkenhausen y el capitán Sclrwannenfeld se encon traron el r ía t.° , entre Gorlltz y Bautzen, con una compañía de artillería francesa , un escuadrón dé cazadores y una compañía de infantería. Los dispersaron completamente', y les tomaron el único cañón que le quedaba á aqud exército despües de la…</t>
  </si>
  <si>
    <t>Scmp, Francisco Puig de</t>
  </si>
  <si>
    <t>Francisco Puig de Scmp</t>
  </si>
  <si>
    <t>…us s? vió obligada á retirarse con precipitación en fuerza del vivo fuego que sufría. Mientras que el centro é izquierda se ba tía de eite moco, el teniente coronel de S. Fernando D. Francisco Puig de Scmp r, á quien fe encargó el mando de las trepas de la derecha, sostuvo á toda cosía, sin perder un paso, aquella podeion, frustrando con el fuego mas ordenado y vivo cuantos avances intentó el enemigo por aqu lia parte, hí,sta que viendo Llauder que tanto á esta…</t>
  </si>
  <si>
    <t>Scopoli</t>
  </si>
  <si>
    <t>…í; conde B?rgennr^tfncBte qu¿ un correo qué acababa de llegar nardi, conde Maestri, Bargnani, L Giovio, Guasi Praga desde Viena traía la orden de que los ba-' taviilani, Bazetta , conde Scopoli, conde Tarracvitallones repartidos en l*s plazas del reino, se reunie cini, de Adda, Colle, $ant’ermo, conde Cossoni, sen pira formar un cuerpo de tropas que debía conde Pollranceschi, conde Luini, Pcdrazzini, con marchará i* Gallitzja, yqué hará parte de un…</t>
  </si>
  <si>
    <t>Scott</t>
  </si>
  <si>
    <t>…asta ser herido, recayendo el mando en el teniente Power, que cumplió hábilmeme con sü1 deber; y al espitan Fi-minton , que sucedió en el mando del 59 de infantería por muerte del capitán Scott, y lo mantuto hasta ser herido, recayendo entonces</t>
  </si>
  <si>
    <t>Se, B. I. H. P.</t>
  </si>
  <si>
    <t>B. I. H. P. Se</t>
  </si>
  <si>
    <t>816</t>
  </si>
  <si>
    <t>…lla , caballero de la de Calatrava, maestrescuela y canónigo de Sevilla. Véndese en la librería de la viuda de Quiroga, calle de las Carretas. Breve ensayo sobre el fanatismo: por D. B. I. H. P. Se hallará en la librería de Perez, calle de las Carretas. Proclama de un español a! heroico pueblo de Madrid con motivo de la venida del augusto Congreso y Gobierno á esta capital. Se hallará en la librería de Qui roga, calle de las Carretas. í ' ; EN XA IMPREN…</t>
  </si>
  <si>
    <t>Se, J. de Q.</t>
  </si>
  <si>
    <t>J. de Q. Se</t>
  </si>
  <si>
    <t>572</t>
  </si>
  <si>
    <t>…ocial: obra escrita en ingles por el Dr. Brówn; traducidaal francés, por Ja tercera edición» coa un discurso prejimiaar y notas» por el ciUdadanQlXJ- Ponnynt%\ y al castellano por D. J. de Q. Se halljirin ep las- librería^;dtí Jfptez' y Goraeg, c^lje de, l^S iC*rfír tas, y en la de Villa, plazuela de~Sto. jSommgo.r ^ &gt;m ‘/,ó. -jurun 1 LLid : / ÉN LA IMPRENTA NACIONAL.</t>
  </si>
  <si>
    <t>Se, L. A. y A.</t>
  </si>
  <si>
    <t>L. A. y A. Se</t>
  </si>
  <si>
    <t>…de S. Gines. Motes nuevos de damas y galanes para las vísperas de ano nuevo y Reyes, re fundidos é infundidos al gusto del presente tiempo, con alusión á particulares del dia: por D. L. A. y A. Se hallarán sueltos, por manos y resmas á precios equi« tativos en 1a librería de Pérez, calle de las Carretas. EN LA IMPRENTA NACIONAL.</t>
  </si>
  <si>
    <t>Se, Moreacu</t>
  </si>
  <si>
    <t>Moreacu Se</t>
  </si>
  <si>
    <t>…el. -5 ,;y los presento con la n^ayor^^ol^mnidad el conde de Paar. Heá mps tenido el sentimiento que alyeconocefr Jps atrincheramientos de Dresde haya sido herido en una pierna el general Moreacu Se espera que su herida no sea de consecuencia. A su llegada al quarrel general el Emperador .Ale— xandro le había nombrado feld-mariscal, y su presencia había hecho deser— tar mas de i82&gt; franceses, entre elfos un crecido número de oficiales. Las provincias de…</t>
  </si>
  <si>
    <t>Sé, Rogerio</t>
  </si>
  <si>
    <t>Rogerio Sé</t>
  </si>
  <si>
    <t>…rcio; al príncipe de Carini pa a la secretaría de Estado y despacho del Int ri r, nom brando al mismo tiempo d rcc:or de la propia secretaría al caballe ro D. -Cesar Airo di, y al brigadier D. Rogerio Sé timo para la se cretaría de Estado y despacho de Guerra y Marina.</t>
  </si>
  <si>
    <t>Sebas</t>
  </si>
  <si>
    <t>…e na^ío D. Manuel C-ton , que mandaba la compañía de ma rina , hab T tenido en ella 2 sargentos, 2 cabos y 7 soldados muer tos, y heridos un cabo y 3 soldados. El alférez de navio D. Sebas tian Butler herido gravemente , y el de fragata D. Juan Montaña le vemente. El valor y bizarría de esta oficialidad y su tropa, asi como el del alférez de navio D. Martin de Asas , que con 16 individuos de brigadas mandaba las dos piezas de tren volante de la…</t>
  </si>
  <si>
    <t>Sebastian</t>
  </si>
  <si>
    <t>…preferencia alguna en el orden de los mariscales mas antiguo». El barón de Wesemberg partió de )a capital de Austria para desempeñar en Londres la misión de que iba encargado. Ei general Sebastian! pasó por Francfort para Furia. El general Laurhton llegó el 10 de Febrero á Hamburgo, y el 12 pasa un correo austríaco para Copenhague. , £1 mariscal Díivoust se ha puesto en marcha por la orilla izquier da del Oder, dirigiéndose desde Stettin a Cusma. ESPAÑ…</t>
  </si>
  <si>
    <t>…er su cuartel general en Puente la Re/na, Mendigorria y Artajo na. El 20 pasaron 20G0 hombres á Avarzuza, y el 22 por la mañana , reunidos los oficiales Gorríz, Bar rena, Azuras y D. Sebastian con dos bat alienes del Pastor, sorpre*</t>
  </si>
  <si>
    <t>…r atacado á la ba yoneta , pero la del enemigo ha sido una completa derrota; de suer • te que apenas han podido llegar á Puente la Reyna unos 500 hom bres , perque los lanceros de D. Sebastian que estaban en Alteza le soipreheadieroii en la retirada. Se ha cogido á una mugar, espía, que llevaba cartas á Santa Cruz, donde había franceses, llamándoles á Estalla..— En Puente Ib Reyna han pedido los enemigos 21000 duros, y en Mendiguma 6000. En Pamplon…</t>
  </si>
  <si>
    <t>…uardia antigua, y que le arrojase hasta mas allá de la desembocadura: ai general Drouet que saliese inmediatamente con 50 cañones; y al general Nansouty que con todo el cuerpo del general Sebastian! y con la caballería de la guardia antigua atacase vigorosamente al enemigo en la llanura. Executáronse exactamente todas estas disposiciones. El general Curial destruyó varios batallones del enemigo. Los austríacos y ios bavaros queda ron aterrados con sola…</t>
  </si>
  <si>
    <t>Sebastian, Juan Pablo</t>
  </si>
  <si>
    <t>Juan Pablo Sebastian</t>
  </si>
  <si>
    <t>…te graduado de teniente coronel; á sargentos maya res de brigada á los capitanes D. Domingo de la Iglesia, D Juan Oromi, D. Antonio Ibarrola, D. Andrés Rodríguez, D Félix de Toda, D. Juan Pablo Sebastian, graduado de teniente coronel, Don Francisco Huarte y D. Andrés Arango; á capitanes á los tenientes D. Francisco Barreigua, D. Domingo Luis del Valle, D Vicente de la Encina, D. Francisco Preysler y Moreno, D José Segundo Izquierdo, D. Pedro Colmenares , D Pe…</t>
  </si>
  <si>
    <t>Sebastian, Salvador</t>
  </si>
  <si>
    <t>Salvador Sebastian</t>
  </si>
  <si>
    <t>…ente coronel D. José María de Veza á ocupar, si era posible, ía alta montaña de Larrun. «Los regimientos de Galicia y Madrid á las órdenes del coronel del primero de estos cuerpos D. Salvador Sebastian, gefe interino de 2a primera brigada de la segunda división, formaban la reserva.</t>
  </si>
  <si>
    <t>…onel D. Jbsef María de Beza, á ocupar, si era posible, la alta montaña de Larrun. . ,, Los regimientos de Galicia y Madrid , á las órdenes del coronel del primero de estos cuerpos D. Salvador Sebastian, géfe interino de la primera brigada de la segunda división , formaban la reserva. ,, A las siete de la mañana, que era la hora prevenida por V. E., se pu sieron en movimiento las cotonas; las de ataque precedidas por el batallón de cazadores reunido de cada…</t>
  </si>
  <si>
    <t>…ende á V. S. para las consideraciones de! Gobierno. 9t Por último dirijo á V. S. el oficio original y estados de ía primera bri gada de la división al mando del coronel de Galicia D. Salvador Sebastian, igualmente los de la segunda brigada de la misma, á cuya cabeza me be ha llado en estas acciones por disposición de V. S., y yo estol Heno deja ma yor satisfacción en mandar gefes, oficiales y tropas tan valientes, y de ha ber desempeñado rigorosamente las i…</t>
  </si>
  <si>
    <t>Sebastiani</t>
  </si>
  <si>
    <t>…ador llegó 2 las quatro á las alturas de Ilochkirch, mandó por la tarde volvGr sobre el enemigo, le hizo abandonar las alturas de Vochlemberg, y persiguióle el f hasta Goerliz. El general Sebastiani dio algunas cargas de"caballería en Reichembach , é hizo prisioneros. El enemigo repasó á toda priesa el Neisse y el Queisse, y nuestro exército tomó posición sobre las alturas de Goerliz mas allá del Neisse. El 6 por ia tarde el Emperador volvió á Dresde. El…</t>
  </si>
  <si>
    <t>…ente 30, á las nueve de la mañana , el Emperador montó á caballo. EL duque de Tarento marchó adelante con 5© tiradores, á las ór-d denes del general CUarpentier: la caballería del general Sebastiani, la divi-: síon de la guardia , mandada por el general Friant, y la caballería de Iaf guardia antigua los seguían : el resto del exército marchaba á retaguardia. El enemigo había situado seis batallones en la villa de Ruekeugem con</t>
  </si>
  <si>
    <t>…ovecharse de su gran número, y extendió el fuego po'r su derecha. La bfgada de 2® tiradores del segundo cuerpo, mandada por el gene ral Dubreton, estaba empeñada en batirlos, y el general Sebastiani hizo executar sobre los tiradores del enemigo en las partes abiertas del bosque varias cargas con buen.e.xíto. Dq est£- ¡nqd^jipntuvieron nuestros 5® tiradores á todo el exército enejnf«gb j ganandoííiniilwsiblemente tiempo hasta las tres de la tarde. " Luego…</t>
  </si>
  <si>
    <t>Segarra, José</t>
  </si>
  <si>
    <t>José Segarra</t>
  </si>
  <si>
    <t>«Dispuse al instante que la compañía de cazadores, á las orde nes de su capitán D. José Segarra, vadease el rio por el molino nue vo, y se situase sobre el camino para impedirles é intercepte ríes la retirada, lo que se executó con celeridad, á pesar de lo muy creci do que estaba el rio. Al momento los ataqué por el frente con el resto de la tropa; pero…</t>
  </si>
  <si>
    <t>Segcvia, Ramón de</t>
  </si>
  <si>
    <t>Ramón de Segcvia</t>
  </si>
  <si>
    <t>…Alarcon, substituto segundo. D. Vicente Puyol, substituto primero. D. Ventura López, substituto segundo. QUARTEL DE SAN MARTIN. Barrio del Sacramento. Barrio del Cdrnien Calzado. D. Ramón de Segcvia, a'calde. D. J aime Bouhde, alcalde. D. Francisco JCavier Correa , substituto primero. D. Benito Rodríguez,, substituto primero. D. ManueL Casado, substituto segundo. D. Manuel de Castro, substituto segundo. Barrio de Doña María de Aragón. Barrio de las Desca…</t>
  </si>
  <si>
    <t>Segun</t>
  </si>
  <si>
    <t>…sejo al ex-franciscano D. Manuel la nuestra entre muertos y heridos es de 16 oficiales Longarte. y 607 sargentos y soldados, habiendo muerto de Para el de Berceo al ex-franciscano D. Segun estos últimos en las acciones ó de resultas de sus do Serrano. heridas 304. Para el de Medrano al ex-agustino calzado Don Castillo de Burgos 23 de octubre de 1812.= Cecilio Samaniego. Firmado =el general comandante Dubreton. Para el de Baños de Riotobia al ex…</t>
  </si>
  <si>
    <t>Según</t>
  </si>
  <si>
    <t>…DE ABRIL DE 1813. GRAN BRETAÑA. &amp; cada pnerta so pnente levadizo, y una batería que defiende la entrada principal. Londres 14 de febrero. No obstante, se determino á asaltarlo el coronel Según varias cartas de la isla de Java, fechas Gillespie en el dia 19, y una hora antes de ama en los primeros dias del mes de junio , el Sultán de necer se dirigieron nuestras colunas, protegidas del Djocjocarta se ha puesto en estado de hostilidad fuego de nuestr…</t>
  </si>
  <si>
    <t>…o avanzase. El general Miilaradowitch cu brió la retirada del cuerpo que iba para Hochkirch, y en la noche ya estaba el exército en su posición. Tengo la honra &amp;c zz $¿ewart J* P. D. Según los informes mas auténticos que he podido adqui rir , la fuerza de los aliados ro excedía de 65® hombres ; y k del enemigo la regulo lo menos en 120®. Ha sido grande k pérdida por ámbas partes; pero mucho mayor la del enemigo; aunque n© puedo indicaría con ex…</t>
  </si>
  <si>
    <t>…igo avanzase. El general Miiíaradow iteb cubrió la retirada del cuerpo qué iba para Hochkirch, y en la noche ya ocupaba el exército su posición. Tengo la hon ra &amp;c. rr Stewart. P. D. Según los informes mas auténticos que he podido adquirir , la fuer za de los aliados, no excedia de 65® hombres; y la del enemigo la regulo lo menos en 1 2c®. Ha sido grande la pérdida por ambas partes; pero mu cho mayor la del enemigo, aunque no puedo indicarla co…</t>
  </si>
  <si>
    <t>Segur</t>
  </si>
  <si>
    <t>…la Europa ceremonias de i&gt;. M. , y por el señor D.ngainnaratz, civilizada y á sus Soberanos ae la anarquía que ayudante de ceremonias, e' introducida por S. E. amenaza. • el señor conde Segur, gran maestro de ceremonias. ,, Agradezco de . corazón los sentimientos que S. E. el señor conde de Laeepíde , presidente me expresáis eu nombre del senado." del senado y de Ja- diputación, presentó a S. M. la siguiente acta. España. Extracto de los registros…</t>
  </si>
  <si>
    <t>Segura, Mauricio</t>
  </si>
  <si>
    <t>Mauricio Segura</t>
  </si>
  <si>
    <t>…Tolqsana , D. Juan Bautista Acosta , D. Xavier Azanza , D. Juan de Ortigosa, D, Basilio Oilabarren , D. Sebastian Cortazar, D. Teo doro González, D. Juan Oyaga, D. Remigio Crespo, D. Mauricio Segura, D. I^on Landache, D. Pedro Suso, P. Hermenegildo Mendigam n, D. F&lt;-mando Gamboa. (Se continuarán.) CADIZ : EN LA IMPRENTA NACIONAL. ^</t>
  </si>
  <si>
    <t>Sehülenberg</t>
  </si>
  <si>
    <t>…eras de Rusia; su fuerza pasa de 40$ hombres de excelentes tropas. Quarteí general de Stralsund fj de junio» Entraron en Lubeck las tropas danesas el y del presente ; y el general conde Sehülenberg, quedas manda , anunció formalmente al general Tetrenborn, que empezaban las hos tilidades entre la Rusia y la Dinamarca. En la noche del 8 al 9 de este mes una partida de húsares suecos en contró tres soldados de caballería danesa, que estaban de centinela c…</t>
  </si>
  <si>
    <t>Sehvrarfzenberg, Príncipe de</t>
  </si>
  <si>
    <t>Príncipe de Sehvrarfzenberg</t>
  </si>
  <si>
    <t>…el pueblo. La multitud de hechos brillantes, la imposibilidad de hacer la jus ticia debida á la firmeza que se ha mostrado, á lo atrevido del plan del comandante en gefe , el feld mariscal Príncipe de Sehvrarfzenberg y de los demas gefes, y el poco tiempo que tengo para &lt;t&gt;cr;bir este oficio, serán , como lo espero , motivos suficientes para excusarme de no enviar detalles mas circunstanciados, que me prometo remitir den tro de poco. Envió este oficio por mi edecán Mr. Ja…</t>
  </si>
  <si>
    <t>Sehwartz-</t>
  </si>
  <si>
    <t>…cito aliado á punto de por erse en movimiento. Se juzga que todo el cuerpo de Bsnnigten u puedo-estar aquí an tes del 5 o 4 de Octubre. Ten o el honor &amp;c. ~ C Ste'wart, * P. D. El príncipe Sehwartz-. nberg acaba de saber que Platow y Thielmann reunido verificaron un ataque sobre ti enemigo en Altenberg, cerca de Leipsi k, y le hicieron 2© prisioneros. Ei primer regi miento de húsares escapó, mas se espera que sea cogióo.=:C. Ste*war£• Id. x.Q de Octubre.…</t>
  </si>
  <si>
    <t>Sehwartzenberg</t>
  </si>
  <si>
    <t>J4a del teniente general Sacken con el cuerpo del general Regnier, que fórmala retaguardia del príncipe Sehwartzenberg, las tropas aus tríacas que habían avanzado hácia Sloüim, se volvieron á ísabeüna para reforzar al general Regnier. Este movimiento otVgó al reí.lente general Sacken á retirarse á Seherenccft', á fio de ir acosa lo siem pre al enemigo, en el caso de que este…</t>
  </si>
  <si>
    <t>Selorzano</t>
  </si>
  <si>
    <t>…ro Ayala. Para evitar el es cape de ia canalla , despachó el referido Basavilvaso hácia el mis mo rumbo otras dos partidas de 30 á 40 caballos , á las órdenes del capitán Gteiza y teniente Selorzano, p. ra que se apostasen en los puestos de Chacalapa y Joioslan. Brizuela, marchando rápida mente hácia el enemigo, sin descansar ni por la noche, á pesar de la obscuridad y la lluvia, llegó á Coahuayana á las 2 de la tar de, é inmediatamente atacó á ios bandi…</t>
  </si>
  <si>
    <t>Señan, José</t>
  </si>
  <si>
    <t>José Señan</t>
  </si>
  <si>
    <t>…para noticia de todos se inserta en la gaceta del Gobierno. Cádiz 8 de Enero de 1813. Anuncio. Guia política y militar de las Espadas para el presente año de 1813, dada á luz por D. José Señan: va adornada con el re trato de nuestro augusto monarca el Sr. D. Fernando VII. Se halla de venta en Cádiz en la librería de Navarro, plazuela de S. Agustín. CADIZ : EN LA IMPRENTA NACIONAL.</t>
  </si>
  <si>
    <t>Sendels</t>
  </si>
  <si>
    <t>…iales y soldados pri sioneros y los desertores y habitantes del país convienen en valuar su pér dida en 1 fgo hombres á ló menos. Aquí se han enterrado de 700/á 800 ca dáveres. El general Sendels le causó esta pérdida con tres batallones. El ge neral Blucher avanzó con la mayor parte de su -exército desde las eércanías de Baützen hasta el Elster por una de aquellas marchas de que la historia apenas presenta exemplo, y que solo pudo sugerirle éf entusi…</t>
  </si>
  <si>
    <t>Sendr.er, Josef</t>
  </si>
  <si>
    <t>Josef Sendr.er</t>
  </si>
  <si>
    <t>…uramentetoda la colinde, ac.on de Y. S., particUme.ue c-.te'biwrro £¿fe;&gt;e en ¡os pnn.-ip.os de tajcuon fce Maye. .. . y m^nte he»ido,. v .5U sucesor ea.cL-inauuo.„cv_i^uu. ^ mena D. Josef Sendr.er». Las,de, Ls cplunas de Alccga. y Dmv:... y la de estos mistaos gefe, son 'digno, de u,do* elogio, p«e» qtw ademas de la va.e*-</t>
  </si>
  <si>
    <t>Senecal</t>
  </si>
  <si>
    <t>…ma en el ndias occidentales, y no es creíble que os resistan en Bamberg y sus inmediaciones. La segunda bri quando los ataquéis á bayoneta calada. gada, que está á las órdenes del general Senecal, y. «Ya habéis visto á lo* indios que pagan los in consiste en los regimientos 6°,y 12.0 de infantería; gleses asesinando las mugeres y los niños. Esos bár de línea, aguarda en Nuremberg á la tercera, que; baros no os podrán excitar temor, sino desprecio. man…</t>
  </si>
  <si>
    <t>Senosiain, Miguel</t>
  </si>
  <si>
    <t>Miguel Senosiain</t>
  </si>
  <si>
    <t>…ancisco Antonio Asuran D. Tomás Zubiri, D. Pedro Miguel Salvador , Don Prudencio Cortazar , D. Celedonio Gómez , D. Juan Braulio Diaz, D. Patricio Calvete, D. Serafín Zaráquiegui, D. Miguel Senosiain, D. José Echeverría;y D^ Clemente Diez de Tejada: á tenientes de fusileros á . D, VictorianoMangiron, D; Joaquín Mendiando , Don Pedro Oses* D José María Subirán , D. Miguel Tartas , D. Manuel Baztan ¿ D. Agustín Oro, D. José Joaquín Ározatena, D. Domingo Chá…</t>
  </si>
  <si>
    <t>Seoane, Valentín</t>
  </si>
  <si>
    <t>Valentín Seoane</t>
  </si>
  <si>
    <t>…Miralles, canónigo.-sSr. D. Ramón Cubells. - . ' t Suplentes.A * Sr. D. Pedro Vicente Calvo % presbítero, es El coronel D. Agustín Colomina. = Sr. D. Juan Roca Togores y Juan.sSr. D. Valentín Seoane.</t>
  </si>
  <si>
    <t>Sepúlvcda, Pedro</t>
  </si>
  <si>
    <t>Pedro Sepúlvcda</t>
  </si>
  <si>
    <t>…arques de la Torrecilla, alcalde. D. Domingo del Valle, substituto segundo. D. Pedro, Villar , substituto primeroBarrio d i Humiíl.núro. D F rancheo Sanz Ruiz, substituto segundo. D. Pedro Sepúlvcda, alcalde. Barrio de fas Niñas de L&lt;ganes. D. Manuel Valerio de ta Garata, substituto pri D. loscf Costa , alcalde. mero. D. Joset Rivero, substituto primero. D. Manuel Navarro, substituto segundo. D. ju! ¡an Burccnilla, substituto segundo. Barrio de S. Andrés…</t>
  </si>
  <si>
    <t>Sequeira, Gabriel</t>
  </si>
  <si>
    <t>Gabriel Sequeira</t>
  </si>
  <si>
    <t>…lón de infantería de Africa se ha servido promover la Regencia del reyno á teniente á O. José Olmo Zayas, y á subte niente á D. Juan Bautista Lagar. En el de Galicia á capitanes á D. Gabriel Sequeira y D. Alfonso Hernández Ea el de Navarra á ayudante á D. Juan Antonio Pardo; á tenientes á D. Francisco Lo zano y D. Pedro Fernandez, y á subtenientes á D. Bonifacio Ro dríguez , D. José Sánchez y D. Manuel de los Santos. En el de Ir landa á capitán ¿ D. Miguel Miangolarna; á ayudante…</t>
  </si>
  <si>
    <t>Ser-</t>
  </si>
  <si>
    <t>…cerca atroneraüa, que cu tros disturbios; el gobierno se ha bría su posición, sirvió para entorpecer largo rato desvelado con fruto para restaurar nuestros esfuerzos, hasta que el comandante Ser- las razas mas útiles. cognani con su batallón se apoderó de ella i bayo Caballos padres escogidos ase netazos, lo qual introduxo ya el desorden por toda guran todos los años la mejora del la línea contraria, y poco tiempo después la derrota producto de 60,000…</t>
  </si>
  <si>
    <t>Sergean, Manuel</t>
  </si>
  <si>
    <t>Manuel Sergean</t>
  </si>
  <si>
    <t>…en 8 soldados y 3 caballo- muerto?, 3 oíiciaes y 66 soldados y 7 caballos herido-: los oficiales ío son, los primeros tenientes de reales Guardias Españolas D- José Pcrez TafalU y D. Manuel Sergean., y el segundo teniente del mi mo cuer po D. Joaquín Bayona: también fue herido, y se incluye en el nú mero total, el cadete del regimi nto de infantería de Ciudad-Real D. Francisco de P¿uls Villalba.” CADIZ : IMPRENTA NACIONAL: 1813.</t>
  </si>
  <si>
    <t>Seriven</t>
  </si>
  <si>
    <t>…icano el H* raid de 18 cañones, y la fragata Southampton á la corbeta americana Yixen: Sir J. B. Warren avisa también la pre sa de 3 corsarios p -queños de lo* Estados-Unidos : el teniente Seriven, comandante de la corbeta Arrow, refiere haber atacado á un convoy francés cerca.de-Noirmoutiér, del que apreso 7 buques, y destruyó otros 3: el espitan Alexander del Coloso participa la toma del buque americano. Prii t El capitán Mounsey, de la Furiosa, da c…</t>
  </si>
  <si>
    <t>Serra</t>
  </si>
  <si>
    <t>…o rato. interes de la España debeis evitar la guerra contra . El 14 á Ja una de la noche llegó S. M. á Dresl «osEstados-Unidos! Nos hemos empeñado mui se de, y sé apeó en casa del conde Serra , su mini-tro riamente en la causa dé la España» y ahora liemos en aquella corte, y después de haber conversada llegado al momento crítico en que se trata de hacer largo rato con el Rei de-Saxonia, volvió á vo.rtíun esfuerzo: para salir triunfantes de esta lu…</t>
  </si>
  <si>
    <t>Serra, Ftahcisco</t>
  </si>
  <si>
    <t>Ftahcisco Serra</t>
  </si>
  <si>
    <t>…isarios de guerra y demas empleados en el ramo de hacienda de distribución. Se hallará en la librería de Martínez , frente de Felipe el Real, á ió.rsl cada exemplar. D ictamen del Sr. D. Ftahcisco Serra, presbítero, diputado en Cortes, sobre los tribühalés'protéctoresí dé'la^f'éligion. Se hallará en la librería de Quiroga, calle de las Carretas / cas-a dé la fótida del Angel, á 2 rs. La ciudad de Molina dé Aragón incendiada por el general fran-ces -Roquet. P…</t>
  </si>
  <si>
    <t>Serven, Timothy</t>
  </si>
  <si>
    <t>Timothy Serven</t>
  </si>
  <si>
    <t>…edicto, y les recordamos que el celo cuando no va guiado per la prudencia, perjudica á la causa que, quiere favorecer. &gt;» Dado en Berlín á 27 de Julio de 181 Federico Guillermo El teniente Timothy Serven, comandante de la goleta de S. M. el Te égrafo, ha dado cuenta al almirantazgo que el día 12 de Agos to había apresado, á 10 millas de Santander, á la goleta americana Ellen y Emeline, armada con un cañón giratorio de á 12, y con muchos fusiles. La presa liab…</t>
  </si>
  <si>
    <t>Sesé, Manuel</t>
  </si>
  <si>
    <t>Manuel Sesé</t>
  </si>
  <si>
    <t>…sco Retana, D. Agustín Men* dioroz, D. Juan Francisco Guelbenzu , D. Joaquín Diez, D. Do mingo Zaídna, D. José Buesa, D. Antonio Gastón, D. Tomas Otochoreua , D. Antonio Alvarez , D. Manuel Sesé , D Martin Martínez, D. Antonio Laso y D. José Moriones: á subtenientes de granade ros y cazadores á D. Fermín Izu , D Sebastian Echarte , D. Mariano Oliver, D Dionisio Antoñana, D. Antonio Andia, D. Eusebio Oraá , D Mariano Gayarte , D. Faustino Irigoyen , D…</t>
  </si>
  <si>
    <t>Seslavin</t>
  </si>
  <si>
    <t>…ste cuerpo distribuido en las tres aldeas de Yasvm , Lacof y Dolgomust, é inmediatamente se tomaron disposicio nes para atacarle con los tres cuerpos de partidas , mandados por el capitán Seslavin , coronel Davidow y capitán Phigner. El resul tado fi»é la total derrota del cuerpo de -Charpentier. Baraguay d’Hiiliers, habiendo oido, sin moverse, el cañoneo hacia la parte donde estaba la brigada de Augereau , solo cuido de hacer su retirada á Smolensko ,…</t>
  </si>
  <si>
    <t>Sesslavin</t>
  </si>
  <si>
    <t>…nfermos, entre aquellos muchos oficiales de todas graduaciones, y el general Pelit-Pressigny. El con de Pía lovr mandaba en este encuentro su regimiento de cos&amp;cos. El partidario, coronel Sesslavin , participa haber tenido buen éxito eT ataque de Sabrés, en el cual hizo misioneros á un general, y 11 oficiales de diferentes graduaciones. También dice que se en camina k Wdna para alcanzar al enemigo en su marcha, y atacarle al frente de sus columnas. El g…</t>
  </si>
  <si>
    <t>Seuhr.m</t>
  </si>
  <si>
    <t>…dó que saliesen por el bosque de BischoíTkverder el un décimo cuerpo-, ai mando dei duque de Tarento, el quinto, á las órdenes dei general Lauriston , y el tercero, mandado por el general Seuhr.m. El exér«tito enemigo-de‘Silesia, que se habia adelantado, se há retirado repentina mente en esta forma: La derecha, mandada por Saehen, á Cainenz; la iz quierda , á las- órdenes de Langeron, á Neustadt, en la-desembocadura de Bohemia; y el centro, a í mando…</t>
  </si>
  <si>
    <t>Severoli</t>
  </si>
  <si>
    <t>…aba llegar á Valencia el 10. «No he oido que el mariscal Suchet haya pasado de Castellón .de la Plana en su retirada, pero ha sacado de Segorve la guarnición; y según entiendo, el general Severoli voló el fuerte de Alcañiz, re tirándose por Caspe hacia Mequinenza. = Dios guarde i V. E. mu chos años. Lesaca 19 de Julio de 1813. = Wellington , duque .de Ciudad-Rodrigo. =r Excmo. Sr. D. Juan O-Donojú.” La Regencia del rey no se ha servido conferir la tene…</t>
  </si>
  <si>
    <t>…en otras ocasiones, para que se viniese á expedición con zelo é inteligencia, y los gefes de ayudarle y salvarle. batallón Dubaleu, Jeannot, Felici y Staiti se han ,, Luego que el general Severoli dexó tomadas distinguido. las disposiciones con /ementes, y el castillo en buen ,, El dia 26 de diciembre el gefe de batallón del estado de defensa, alió de Da roca el día 20 por la lió.0, enviado de noche á Ibí por el general Haniañana, y se encontró reunida…</t>
  </si>
  <si>
    <t>Shaw</t>
  </si>
  <si>
    <t>…agatas, para que desembarcasen con el fia de destruir las obras, mientras que las lanchas se apoderaban de los barcos que se hallasen en el puerto. »El destacamento mandado por el teniente Shaw del navio luntario,que por sus conocimientos locales era el mas á propó ito para dirigir la empresa, desembarcó al &amp;brigo del fuego del Redwing, y de las chalupas armadas de carroñadas : verificado esto , arrolló las fuerzas enemigas, compuestas del cuarto ba…</t>
  </si>
  <si>
    <t>Shcpetaff</t>
  </si>
  <si>
    <t>…camino, ó de marchar contra uno de sus flancos. ?,El mariscal Kutusow ha enviado un destacamento considerable, que estaba en Elnia, cerca de Smolensko, á. las órdenes del teniente general Shcpetaff, ei 1.* de Noviembre, el cual podrá retardar al enemigo. „Así el fruto de la irrupción de los franceses en Moscow, á costa de tantos valientes oficíales y soldados, parece haberse limitado á la desolación de los habitantes y de los propietarios en el camino r…</t>
  </si>
  <si>
    <t>SheaíFe</t>
  </si>
  <si>
    <t>…o una victoria- que ha dexadq en mlestr-o pódeífc 900 hombres del exército americano con su comandante el brigadier, general Wadswoith que se rindi en el campo de batalla al mayor general SheaíFe. S. M. y la patria tienen que sentir la pérdida de unode los mas valientes y mejores oficiales en la persona del.mhyor,ge neral Brock,; muerto al principio de la. acción al trente: d-e los grana'-' deros y cazadores del regimiento 49 , mientras .Jos animaba á…</t>
  </si>
  <si>
    <t>SheatVe</t>
  </si>
  <si>
    <t>…que del fuerte Jorge le venia ceden , tienen sin embargo ciertas propiedades ca al enemigo un numeroso refuerzo, mandado por el racterísticas que les son privativas. Un. escritor, general SheatVe, sucesor del general Brock én el que hace subir el origen de estos partidos á la mando, y que consistía en 600 ó 700 hombres. muerte de Mr. Pitt, atribuye su aparición á la au Viendo el general Van Rensselaer que sus tro sencia de este genio superior, que. di…</t>
  </si>
  <si>
    <t>Shniriger, Domingo</t>
  </si>
  <si>
    <t>Domingo Shniriger</t>
  </si>
  <si>
    <t>…r las fuerzas que tienen los franceses en dicha villa, mandó al coronel del regi miento de Burgos D. Rafael Casterás que con su cuerpo y unos 30 húsares de Cataluña , al mando del capitán D. Domingo Shniriger, descendiese de las posiciones de la Salud á practicar una diversión sobre la villa de Olot. En efecto, asi se verificó el dia 11, en que hecha por el señor coronel Casterás la distribución de fuerzas que tuvo por conveniente , dio la casua lidad que una pequ…</t>
  </si>
  <si>
    <t>Sí</t>
  </si>
  <si>
    <t>…eral de división . se con ¡a carta para llevarlo todo junto á Mr. FfoMalet f 1 Es la misma que os comunicó el supuesto chor. general? P. ¿Y en efecto habéis enseñado uno y otro'al D. Sí; la misma es*, la reconozco por la que señor conde Frochot? se me leyó , á lo menos en parte; pues al prin D. No estoi cierto sí le enseñé el pagaré; pero cipio , estando en la cama arropado, no la tomé en sí de que saqué de mi bolsillo los dos documentos, la…</t>
  </si>
  <si>
    <t>…onen Gplbérg. El undécimo, mandado por el duque de Tarento, et# Lowemberg. El sexto, al mando del duque de Ragusa, eri Buntzlaú. EI; óétavo, mandado por Poniatowski, én Zittau. El mariscal Sí. Cyr con el décimoquarto tenia la izquierda sobre el Elba hacia la parte de ios campos de Koenígstein» y los dos lados del camino real de Praga á Dres de , y destacó cuerpos de observación á ios desembocaderos de Mariembourgo. El primer cuerpo habla llegado á…</t>
  </si>
  <si>
    <t>Sid-</t>
  </si>
  <si>
    <t>…para au Lord Czmbden la defendió. torizar la pesquisa de las armas, aunque difiere , di Lord Liverpool defendió el bilí, que las circuns ce de él, de la opinión del noble vizconde lord Sid- tancias hacen en su dictámen, mui necesario. En mouth , que está presente, y le recuerda la mode quanto á lo que se ha dicho con tanto énfasis con ración que nos mostró en igual caso, y hace men relación á las órdenes del consejo, su señoría recor ción de ell…</t>
  </si>
  <si>
    <t>Sidmonrh</t>
  </si>
  <si>
    <t>…athurst, el conde-de Liverpool, -del aviso de lord Thuriow, quien creyó correspon el conde de Miilglave, el vizconde Melville, el diente á su carácter de hombre público dar cuenta vizconde Sidmonrh , vi"vizconde Castlereauji, el de todo á S. M ; y habiéndose dignado V. A. R. mui hoñrado obispo-de Londres, el mui -'honrado de mandarnos declarar si:en fuerza de todas las cirlord Ellenbrough, lord gefe de la justicia del tribu P .cunstancias de este negoci…</t>
  </si>
  <si>
    <t>Sidmouth</t>
  </si>
  <si>
    <t>…lord es que se rectifiquen y noble lord, proponer que la cámara hiciese al Prín cipe Regente una representación acerca de la guer corrijan estas representaciones erróneas. Ei lord vizconde Sidmouth presentó una de igual ra que ha emprendido con tanta justicia; pero si se naturaleza de parte del corregidor y del pueblo de cree necesario presentar toda la correspondencia an Leeds, la qual después de leida- se mandó pasarla á tes de hacer esta moción, pien…</t>
  </si>
  <si>
    <t>…u Sobera Habiendo recibido la orden de Vb A. R., fe no y dc¡ padre de la patria. cha el io Je febrero, para juntarse en el despacho No he dilatado un momento el presentar á la del vizconde Sidmouth, secretario de Estado, S.S. comisión ministerial establecida por 'V . M. todos dirigió á los lores que estaban presentes el discurso los actos y documentos de la información con una que signe : relación individual del conjunto de los hechos, para „ Afilores:…</t>
  </si>
  <si>
    <t>…reve se abriría el congreso; á cuyo fin habían llegado allí la mayor parte de los plenipotenciarios. Parece que no había aun nin gún ministro británico. Mr. Addington, sobrino del lord Sidmouth, se hallaba en las inmediaciones de Praga; pero á la última fecha de las noticias no se había presentado aun con carácter publico. El em perador de Austria reside alternativamente en Praga y Branders; y se asegura que intenta dirigir toda su atención á las de…</t>
  </si>
  <si>
    <t>…s americanos residentes en Londres y en los demas puertos de mar. Véase aquí la carta en que se responde á la referida representación. - \Vhitheall 1,4, de agosto de 1813. Señor : lord Sidmouth me encarga os avise el recibo de vuestra carta de 12 del corriente, en que participáis la llegada del Havío parlamentario el Robert Burns, pidiendo permiso para re gresar á América con pasageros. Decís también en la misma carta que los documentos que la acomp…</t>
  </si>
  <si>
    <t>Sier, Lázaro</t>
  </si>
  <si>
    <t>Lázaro Sier</t>
  </si>
  <si>
    <t>416 D. Francisco SáUquét con sus dipnoa oficiales y tropa, siendo muy particular la del sargento mayor interino el capitán D. Lázaro Sier ra, quien observando que algunos húsares salían de sus filas insul tando con el sable á nuestros cazadores, se arrojó sobre los dos teme rarios que vergonzosamente huyeron cuando trató de enlazar su sa ble con los suyos, valiéndose do este pérfido y execrable…</t>
  </si>
  <si>
    <t>Sierra, Jo.é</t>
  </si>
  <si>
    <t>Jo.é Sierra</t>
  </si>
  <si>
    <t>…= Pedro de la Barcena." P. D. En el numero de muertos y prisioneros se han incluido algunos que por falta de calzado no pudieron seguir, y que ya se han presentado. El subteniente D. Jo.é Sierra, que es el oficial pri sionero, es el mismo que antes había cogido al que tenenic s de los enemigos. = Es copia. = Luis La-vina. = Eí gefe de! estado mayor en comisión del cuarto exército = Estanislao Salvador. Sexto. «Exorno. Sr. *.• Desde,la'-tina y cuanto…</t>
  </si>
  <si>
    <t>Sierra, Lázaro</t>
  </si>
  <si>
    <t>Lázaro Sierra</t>
  </si>
  <si>
    <t>…la conduc ta del' comandante del esquadron de cazadores de Ubrique D. Francisco Sa— hquet con sus dignos oficiales y tropa; siendo mui particular la del sargenta mayor interino el capitán D. Lázaro Sierra, quien observando que algunos húsares salían de sus tilas,. insultando con ei sable a nuestros cazadores, se arrojó sobre los dos temerarios, que vergonzosamente huyeron quando trató de enlazar su sable con los suyos , valiéndose de este pérfido y execrable ,…</t>
  </si>
  <si>
    <t>Sierra, Nicolás María de</t>
  </si>
  <si>
    <t>Nicolás María de Sierra</t>
  </si>
  <si>
    <t>…o, y dispondréis lo necesa rio á su cumplimiento. = Pedro Agar, presidente.rsMarques de CasteJar.ss Josef Mafia Puig Samper.=rEn la real Isla de León á 11 de noviembre de 1810.rrÁ D. Nicolás María de Sierra.”</t>
  </si>
  <si>
    <t>Sil, José Mariano</t>
  </si>
  <si>
    <t>José Mariano Sil</t>
  </si>
  <si>
    <t>…nte coronel D. Francisco Noriega, su teniente D. Méiiano Portillo , y eu alférez D. Francisco del Corral : el capitán D. Jacobo Rodrí guez, e! teniente de la guerrilla de Aibancsy D. José Mariano Sil va , oficial el mas vigilante, activo é intrépido; sn segundo D. Car los Samborainy D. Casimiro Figueroa, que fué voluntario á la descubieita desde el principio de la acción. Mis ayudantes el capitán D. Mariano Flores , y el teniente D. Juan Manuel de la Fuen…</t>
  </si>
  <si>
    <t>Siles, Antónió</t>
  </si>
  <si>
    <t>Antónió Siles</t>
  </si>
  <si>
    <t>…dé cristales. Pre sidió el acto una diputación de la sociedad patriótica de Madrid (á cuyo car go háj puesto el gobierno efeuidado de este establecimiento), compuesta de los Sres. D. Antónió Siles, secretario de la sociedad y protector-de dicha escuela;• D. JoSéf;Millanova y Jordán, censor, y el socio D. Fermín de Uria Nafárrondo. El catedrático D. Francisco de Papla Martí leyó un elocuente discurso, en que probó la antigüedad de este maravilloso arte…</t>
  </si>
  <si>
    <t>Siles, Bartolomé Piñeira y</t>
  </si>
  <si>
    <t>Bartolomé Piñeira y Siles</t>
  </si>
  <si>
    <t>…egacion con la denominación de Medicina interina, que comprehende toda Cas tilla Nueva y Vieja, nombrando por sus jueces examinadores subdelegados interinos de ella á los doctores D. Bartolomé Piñeira y Siles, D. Marcelo Sánchez Reboto y D. Ramón Gcmez, en sus ausencias y enfermedades á D. Hilario Torres, y D. Ramón López Mateos; debiendo presidir el prime ro los exámenes como el.mas antiguo médico de la real familia, y el. texce-r ro de secretario vocal, actuar y…</t>
  </si>
  <si>
    <t>Silva, Eduardo</t>
  </si>
  <si>
    <t>Eduardo Silva</t>
  </si>
  <si>
    <t>…D. Kduardo Bret,' dia'. ¡Pueblos, la teoría estéril de la soberanía na-f teniente del segundo batallón de guardias Walonas, cional no os ha de libertar de las violencias del maá y D. Eduardo Silva, ayudante segundo del mismo fuerte ni de los horrores de la anarquía ! Un go cuerpo, dexado impune y aun sostenido por su bierno sólido, qtle aprecia en su justo valor este prin comandante el brigadier barón de La-Barre. Don cipio, y que por él os da una bien…</t>
  </si>
  <si>
    <t>Silvestre</t>
  </si>
  <si>
    <t>…¿ i). Juan Vülamieva, D. Felipe Navasqües , D. Angel Ros , •Don-’ José. - María Barrica!, D. L uis Arillo, D. José Erriz, O. Felipe Tule sana, XX Luis Gaitdiaga , 1). Simón Perez, D. Silvestre‘Ezcurra, D. Gregorio Durana y D. Antonio VAliivielso : á capitanesde fusileras á D. Francisco Naval, D. Fermín Esandí, D. Antonio QroD. Joaquín í duate,-D. Vicente Soravilla, IX José ítútria, IX Pedro Mayó , U. Ambrosio Seguin , D. R ímon Artica, IX Agus-* íl…</t>
  </si>
  <si>
    <t>Simón</t>
  </si>
  <si>
    <t>…rirse? Una nota del es ca. En ninguno de los añps. pjwcedentes ha sido crito que anunciamos nos dice que esta conspira esta ni tan extensa, ni tan circunstanciada, ni tan ción del general Simón no fue otra cosa mas que importante por sus resultados. En ella se considera un atdid de un dependiente del iransport-ojfice pa el imperio baxo todos los aspectos de su riqueza, ya ra hacer caer á otro empleado que estaba delante de territorial, ya agricultor…</t>
  </si>
  <si>
    <t>Simp-</t>
  </si>
  <si>
    <t>…sobre el enemigo al querer disparar á su proa, y tiró á abordarnos; pero fue rechazado por los solExtracto de una carta de Mr. Jrby, capitán de dados de marina , comandados por el teniente Simp- la fragata de S. M. la Amelia , dirigida d son y por los hombres destinados al abordage. Aun Mr. John Wilson Croker , enviada desde Spi- que me cause mucho sentimiento el gran número thead el a 2 de marzo. de muertos y de heridos de nuestra tripulación, sin T…</t>
  </si>
  <si>
    <t>Simplicio</t>
  </si>
  <si>
    <t>…do que Mr. de Krusemarck I1.1 escrito á su gobierno él deseaba dexar la tutoría, según le aconsejaba su que tenia grandes esperanzas de que se termiliaria muger, y poco menos dixo D. Simplicio ; peto muí pronto y felizmente la negociación de la alianza. lejos de eso Af crotnegas y Sotavento. Al tin el po Mr. de Hardenberg y Mr. de Goltz me manifes bre Patricio, aburrido de gritos é impertinencia', se taron aver la suma satisfacción que les han caus…</t>
  </si>
  <si>
    <t>Sin</t>
  </si>
  <si>
    <t>…los enfermos y heridos de 20 batallas, sien do así que de 60000 caballos apenas hablan podido recogerse 600 para formar un t ¿cuádren sagrado que protegiese la augusta persona del emperador Sin embargo no debe pasarse en silencio una cir cunstancia muy digna de atención, y es la ligereza con que ha he cho su viage el fugitivo emperador. Ningún correo de cuantos han traído partes ó boletines de Rusia, ha caminado con tanta rapidez, y á pesar dé esto…</t>
  </si>
  <si>
    <t>Sin, Yorck y</t>
  </si>
  <si>
    <t>Yorck y Sin</t>
  </si>
  <si>
    <t>…« El tratado y convenios concluidos en París cubren y disfrazan les pérfidos é irreconciliables ene &lt;^&gt;ara establecer la alianza. migos &lt;íe !a España. «El convenio hecho entre el general Yorck y Sin etnhargo, en Cádiz no son enteramente lo* rusos, y sus proclamas. desconocidos' los últimos sucesos de Sicilia. En el „ Las piezas concernientes á las disposiciones to Redactor general del t.° de abril, artículo Calle madas por la Prusia con motivo de la dese…</t>
  </si>
  <si>
    <t>Sinfcriauo, Manuel</t>
  </si>
  <si>
    <t>Manuel Sinfcriauo</t>
  </si>
  <si>
    <t>414</t>
  </si>
  <si>
    <t>…do in mediatamente, y pera hacerles creer que ademas del escuadrón te nia tropa dentro del pueblo, me situé en él con 8 caballos á las ór denes del comandante de húsares de Toledo D. Manuel Sinfcriauo</t>
  </si>
  <si>
    <t>Sinith</t>
  </si>
  <si>
    <t>…tarde , confirma todos los hechos que se Copia de un 1 carta escrita por un particular con acaban de referir; y según las últimas noticias el fecha en Bttjfalo á 2 S de noviembre. general Sinith se mantenía en su quartel general rodeado de izo hombres de artillería ligera, para ,,Hoi entre dos y tres de la mañana 150 solda defenderse del furor de ios voluntarios. dos y roo marinos pasaron á la otra orilla : han V¿ase-de qué modo se justifica el gener…</t>
  </si>
  <si>
    <t>Sir</t>
  </si>
  <si>
    <t>…os. Fresneda 24 de Febrero de 1813. — Welíington, duque de Ciudad-Rodrigo.— Exeme. Sr. D. José Ma ría de ^Carvajal.” Extracta del parte dirigido por el coronel Harison al teniente general Sir lio'ando Hill, fecha en Bejar á 20 de. Febrero de 1813. ,,Tengo el honor de informar á V. que esta mañana, poco éñtes de amanecer, fueron atacados nuestros piquetes, y obligados á retroceder después de un corto fuego; pero reforzados por algunas compañías del…</t>
  </si>
  <si>
    <t>378</t>
  </si>
  <si>
    <t>…pos enemigos. Todos saben que en el mediodía de E paña, Soult, con un exército numeroso , no pedia llevar é, electo 1« variedad de sus operaciones por la interposición ^el experto general Sir tluAvland HUI, que solo tenia baxo su m uido 4 ó 5000 ingleses , y unos 12 ó 14000 españoles y portugueses ; de suerte que este pequeño exércíto ha podido mantenerse en ía defensiva * desconcertando comple tamente los planes y _operaciones de Souít, y esto ba…</t>
  </si>
  <si>
    <t>…puerto de Roncesvalles. El teniente general Sir Lowry Colé, con la cuarta división de su mando , estaba en Viscarret •oa el objeto de sostener las expresadas tropas; y el teniente general Sir</t>
  </si>
  <si>
    <t>…DE AGOSTO DE 1813. GRAN-BRETAKA. Londres 20 de Julio. 0 La secretaría del Almirantazgo ha publicado los partes siguientes Primero. m Oficio del capitán Brace, del Berwick, al vice-almirante Sir . E. Pellejo, comandante en gefe en el Mediterráneo , abordo del Berwick , delante de Cavalacio, á i&amp; de Mayo. »Mi comandante : me tomo la libertad de poner en noticia de VT que por las disposiciones juiciosas del capitán Napier, los barcos de oabotage del en…</t>
  </si>
  <si>
    <t>Skereet</t>
  </si>
  <si>
    <t>…la última campaña de tuación de la Francia en aquella época era absolu España. También hemos sabido con mucho senti tamente diferente de la nuestra, y de todo estado miento que el coronel Skereet ha quedado imposi ya consolidado por largos años, ¿qué desgracias no bilitado para servir de resultas de la misma cam causó la ruina de los asignados, y quántos miles de paña. familias no se sepultaron en ella ? ~_La$ carras de Lisboa refieren todas las circu…</t>
  </si>
  <si>
    <t>Skerret</t>
  </si>
  <si>
    <t>…uraleza del terreno era imposible impedir complejamente el pa o del puen te, luego qué se hizo de dia, tuvieron que verificarlo baxo el fue go'de una gran parte 'de la brigada dei general Skerret; y la pér dida del enemigo en esta ocasión debe haber sido muy conside rable. Durante estas ocurrencias sobre la izquierda dei exército alia do el mariscal de campo D. Pedro Agustín Girón ataco les puestos enemigos en frente del puerto de Echakr en los días 3…</t>
  </si>
  <si>
    <t>Skinner</t>
  </si>
  <si>
    <t>…de aquella bargo desgracia alguna por las sabías y oportunas plaza, murió á fines de diciembre. Se dice que ocu disposiciones que tomó este magistrado para llevar pará su lugar el general Skinner. . auxilios prontos á tod«s los parages en donde po __ Parece que los ministros han formado-.ya el plan dían necesitarse; y con este fin se pusieron en la para la organización del gobierno de la India,- el parre baxa déla ciudad y en los arrabales suficien qu…</t>
  </si>
  <si>
    <t>Skioldebrand</t>
  </si>
  <si>
    <t>…de Stedíngk se reune en las inmediaciones de Orianemburgo, teniendo su frente cerca de Spandau; El quartel general está aqui. La primera división sueca, á las órdenes del teniente general Skioldebrand, y la segunda á las órdenes del mayor ge neral barón rosse. La última división y una brigada separada de la tercera forma un cuerpo mandado por el teniente general barón Sandils. Todas las fuerzas suecas forman el centro del exército aliado. La derecha está c…</t>
  </si>
  <si>
    <t>Skivlcebrand</t>
  </si>
  <si>
    <t>…Hednigk, se reúne en las cercanías de Oranicmburgo, principiando desde jumo á Spandau, y su cuartel general está aquí. La primer división sueca está baxo las ordenes dei teniente general Skivlcebrand, y la $tcun da baxo las del mayor general de Po«se. La última división', y una brigada separada de la tercera división, forman otro cuerpo, que manda el. teniente general barón ce Sundels , formando así todas las fuerzas suecas el centro del exército añado. L…</t>
  </si>
  <si>
    <t>Skoldebrand</t>
  </si>
  <si>
    <t>8’6jí&gt; la del mayor general barón de Berje en Tlildesheim. La'caballería ,* mandada por el teniente general Skoldebrand, ocupa las aldeas de los contornos de Hannóver. El exército se repara de las fatigas, y recibe vestuario y pro visiones» ha instalado el gobierno del electorado de Hannóver, y el enemigo .Se solo ocupa en, el Elba inferior á Haarburgo, Stade y el pequeño fuer…</t>
  </si>
  <si>
    <t>Skoldebrs</t>
  </si>
  <si>
    <t>I4IÍ la caballería , al mando del teniente general Skoldebrs&amp;d, ocupa las aldeas de los contornos de Hannover. El exército se repara de sus fatigas y y recibe vestuarios y provisiones. Se ha instaurado el gobierno del electorado de Hannover, y el enemigo ocupa solamente el E1&amp;3 inferior, Hamburgo, Stade, y la pequeña f…</t>
  </si>
  <si>
    <t>Skotzewsky</t>
  </si>
  <si>
    <t>…odrsky, uno de los mas ri cos hacendados de la gran Polonia, y distinguido Varsovia 1 ¡de diciembre. por su amor á la causa pública. Por real decreto de 30 del pasado se ordena El general Skotzewsky, antiguo confederado de que las ventajas concedidas á los extrangeros que Bar. Era coronel quando la primera división de la quieran establecerse en el ducado de Varsovia se Polonia. Se ha distinguido en todas las guerras que; extenderán también á los israelit…</t>
  </si>
  <si>
    <t>Skyolderbrand</t>
  </si>
  <si>
    <t>…al Sandels, está entre Gadebusch, Sclnverin y W binar. La segunda se reúne en Rostock á las órdenes del ma yor general barón de Posse. La tercera división, mandada por el teniente general Skyolderbrand , se juntará en Tribsees y Grimmen , y la reserva en Richtenberg y Frantzburgo. Los suecos esperan en estas posiciones la llega da de las tropas rusas y prusianas. Todos los amantes de la libertad de Alemania, que quieran incorporarse al exército sueco, serán…</t>
  </si>
  <si>
    <t>SlieaTambién</t>
  </si>
  <si>
    <t>…s. Por el Sv/istsure se nos ha traído la correspon Al cumplirse el término del armisticio ajustado dencia entre sir J. B. Warren y Mr. Monroe. entre el general Van-Ransselaér y el general SlieaTambién hemos recibido por un barco condu fe se h.i abierto otro, convenido entre este ultimo cido á Pliinouth noticias mas recientes de los Esta y el general Smith, estipulando que podrá hacerse dos-Unidos que llegan hasta 22 dias hace. Sabemos saber por la una ó la…</t>
  </si>
  <si>
    <t>Sliutista, Juan</t>
  </si>
  <si>
    <t>Juan Sliutista</t>
  </si>
  <si>
    <t>…Ray» mundo Marqués, D. José Gorriz, D. Dionisio Fonolitas, D. Can» dido Zunzarren * D. M:guel Quartero , D. Juan Urzaniqui, D. Ruerto Rajum, D. Manuel López, D. Agustín Munarriz, D. Juan Sliutista fnd'.iusti, D. Pedio López de Baylo, D. José García, D. Andrés Diaz y D. Félix Quitarte. Igualmente se ha servido S. A. promover en el regimiento de caballeril ligera húsares de Navarra de la misma división á teniente coronel á D. Juan José Cnlchaga; á comand…</t>
  </si>
  <si>
    <t>Slubicky</t>
  </si>
  <si>
    <t>…a de 1790. Su actividad y su patriotis der un comercio por mayor , o dedicarse á las cien mo le dieron mucha consideración. cias. En este último caso estarán obligados á presen El señor Slubicky, que hizo la campaña de tar una certificación expedida por la dirección de 1809 al frente de la tropa levantada en masa del educación , ó por el consejo general de sanidad , sí departamento de Bromberg, que habia organi fueren médicos. zado. 2. 'J Que sepan l…</t>
  </si>
  <si>
    <t>Smirh</t>
  </si>
  <si>
    <t>…. ridad. Ha destruido á los morouzis; cuvo i-ifluxO l //. n.iaigna 04 (te noviembre de 18:2. Des había producido las detérmiri.icióriés del divan: nin de el dia de la proclama del general Smirh, rela i- guna otra casa puede ya tomar el mismo predo va á los voluntarios, sé han alistado muchísimos minio. ciudadanos para servir durante cierto tiempo mas La tonia de la Meca y de Medina; que han si allá de Nia^ara. Varias compañías se han puesto do conqu…</t>
  </si>
  <si>
    <t>…general Hay, que tanto se distinguid durante ei sitio , por desgracia ha muerto después de mi último parte. «En este parte mismo omití mencionar mis obligaciones al gran celo del capitán Smirh, de la marina real, que dirigid y execnto la ardua empresa de sabir lo s cañones por la escarpada costa-de la isla á una batería, qae fue servida por marineros á sus órdenes con gran ventaja. «Ei capitán Bloye, de la Lira , desde el principio ha estado em ple…</t>
  </si>
  <si>
    <t>Smith</t>
  </si>
  <si>
    <t>…comercio con In va de un invierno mas tranquilo. glaterra nuestras fabricas prosperan, y se ponen En la noche del 25 al 20 hubo un incendio vio-, en un estado mui floreciente. El señor Smith acaba lento en las cercanías de Balat y de Fanax, y se de establecer una en Providencia , en ^ne se fabri extendió hasta Ejub , mientras , que ia víspera mis can paños de mui buena calidad. Esta actividad de ma del Beyrán hacia otro incendio sus estragos en n…</t>
  </si>
  <si>
    <t>…e presidente. Parece que los dos exércitos americanos que amenazaban al Canadá habían entrado en cuar teles de invierno , y que se habia puesto en insurrección el en qué servia el general Smith, quien tuvo que escapar para salvar la vi da. — Ha habido también algunos alborotos en la Carolina. En la gaceta ministerial del sábado 16 se ha insertado una carta del capitán Austen, del navio de guerra el Elefante, anunciando la presa del Swordfisch, corsa…</t>
  </si>
  <si>
    <t>…lardos rtiios , y'quando ata- ' "Núeva-Yorck 1.® de diciembre. queis las baterías enemigas sean vuestra reseña.esta'»3 palabras : Los cañones perdidos ea Detroit 6 la Proclama del general Smith d ¡os soldados del muerte. — Alexandro Smith , seneral de brigada. = exército del centro. En el campo inmediato á Buñalo á 17 de noviem «Compañeros: ha llegado el momento en que bre de 1812.” vais á atravesar el Niágara para conquistar el Ca PRÜSIA. nadá, y f…</t>
  </si>
  <si>
    <t>Núm. 62. 245 GAZETA DE MADRID DEL MIERCOLES 3 DE MARZO DE 1813. GRAN BRETAÑA. Aquí se mantiene el coronel Van-Ransselaér , y al general Smith está ahora confiado el mando de Londres 2$ de diciembre. las tropas que se hallan por estas líneas. Por el Sv/istsure se nos ha traído la correspon Al cumplirse el término del armisticio ajustado dencia entre sir J. B. Warren y Mr. Monroe. entre el general Va…</t>
  </si>
  <si>
    <t>…era, para ,,Hoi entre dos y tres de la mañana 150 solda defenderse del furor de ios voluntarios. dos y roo marinos pasaron á la otra orilla : han V¿ase-de qué modo se justifica el general Smith tomado por asalto la batería enemiga, clavaron los de. UQ haber verificado su tránsito al Canadá. cañones, é hicieron de 30 á 40 prisioneros. Ya las „Mis órdenes, dice el general, eran que entra demas tropas estaban embarcadas en el Darsina, se con 3© hombres…</t>
  </si>
  <si>
    <t>Núm. toó. 4*t TS** GAZETA DE MADRID DEL VIERNES 16 DE ABRIL DE 1813. SILESIA. Congreso, por el capitán Smith, que han arribado, á; aquel puerto después de tres meses de' navegación. Breslau a defebrer#. Estos buques han cruzado ál este; hasta los a a gra-' A esta ciudad llegan de continuo nuevas tropas dos de longitud, y al súd' basta los 17 grados de1 de todos los…</t>
  </si>
  <si>
    <t>…ado la fragata inglesa el Eolo, S. M. el Emperador y Reí se ha dignado rega y un brick. que venia con ella cargado de cate. lar su busto en bronce á esta ciudad. Esta distin __ El general Smith ha escrito y hecho publicar guida prueba de la benevolencia de S. M. ha sido una larga carta en que intenta justificar su conduc apreciada er« su justo valor por sus vecinos, quienes ta; pero por otro lado y con la misma publicidad la han recibido como una pr…</t>
  </si>
  <si>
    <t>Smoíensko, Kutusow de</t>
  </si>
  <si>
    <t>Kutusow de Smoíensko</t>
  </si>
  <si>
    <t>…REGENCIA ' . : - , ■: DE LAS ESPAÑAS DEL SABADO 50 DE ENERO DE 1815. •A GRAN-BRETAÑA. Zióndpes l.° de Enere, i ,,-a. ‘ ' ■ ‘ ■ ' ■ 1 , .1'-,' ; • I &gt; ' * ' ; ■ í El feld-mariscal príncipe Kutusow de Smoíensko y )dc$de la aldea de ÍAirmiki en parte de 25 de Noviembre y dice á S, M. I. lo siguiente z ,,Tengo la honra de participar á V. M. I., que el dia 20 Napo león con su guardia abandonó á Grsha tómapdo el camino, que com duce á la aldea de Koclianowa. EL 21 salie…</t>
  </si>
  <si>
    <t>Smolemko, Kutusovr</t>
  </si>
  <si>
    <t>Kutusovr Smolemko</t>
  </si>
  <si>
    <t>…e los franceses del territorio ruso; con cu yo motivo se leyó ia proclama adjunta, con la cual incluyo también la orden general dada al exército en Wilna el 2 dei corriente por el príncipe Kutusovr Smolemko. — Tengo la honra &amp;c.— Catheait” Tercero. Petersbvrgo 29 de Enero. — „Tengo la honra de remitir á V. E. un diario de les movimientos hechos por los diferentes cuerpos del exército de S. M. 1., desdé el 4 hasta el 20 de Enero. V. E obser vará que en virtud de…</t>
  </si>
  <si>
    <t>Smolenski, Kutusow</t>
  </si>
  <si>
    <t>Kutusow Smolenski</t>
  </si>
  <si>
    <t>…he ridos, y de los que háu rendido las armas.' Aianismo tiempo infor mé á V. E. de la distribución de los exércitos.;&gt;» „Ahora tengo el honor de* comunicar á Y.&gt;E. que el mariscal príncipe Kutusow Smolenski refiere con fecha dé 23 de este me£ desde la quinta de Laniky, que el 20 había salido. Bonaparle de Orsha con sus guardias tomando el camino dé dvoehanoíf; y que el 21 habían abandone do aquel pueblo las tropas restantes, dex.au,* •do 26 cañones y los hospita…</t>
  </si>
  <si>
    <t>Smolensko, Kutusdw</t>
  </si>
  <si>
    <t>Kutusdw Smolensko</t>
  </si>
  <si>
    <t>…Princesa Catalina Ilenischna: el Altísimo , á quien están sujetos todos los mortales, y contra quien no nos es dado murmurar, se ha servido sacar de esta vida á vuestro esposo el príncipe Kutusdw Smolensko, en medio de sus altos hechos y brillante gloria. Es esta una grande y sensible pérdida, no solamente para tos, sino para toda la nación. No sereis sola la que derrame lágrimas al saberla: yo mismo he lioradO.su falta, y todos los rusos la la mentan. Dios, qu…</t>
  </si>
  <si>
    <t>Smolensko, Kutusov</t>
  </si>
  <si>
    <t>Kutusov Smolensko</t>
  </si>
  <si>
    <t>Núm. 38 305 GACETA DE LA REGENCIA DE LAS ESPADAS DEL SABADO 27 DE MABZO DE 1813. RUSIA. Wilna % de Enero. Prochen* del príncipe Kutusov Smolensko ú su exercilo, „ Valientes y victoriosa» tropas: habéis llegado por fia á las fron tera s del imperio. Cida uno de vosotros es un protector de su pa tria , y la Rusia o» saluda con este nombre. La velocid d con que habéis perseguido al em migo, j las extraord…</t>
  </si>
  <si>
    <t>Smolensko, Kutusow</t>
  </si>
  <si>
    <t>Kutusow Smolensko</t>
  </si>
  <si>
    <t>…viage á Rusia). Silesia es un jardín continuado, en el que el exército halla la mayor abundancia de todo.” ESPAÑA. Cádiz iS de junio. El 28 de abril murió en Bunzlau (Silesia) el príncipe Kutusow Smolensko á la edad de 70 años. A pesar de todo el esmero y cuidado del cé lebre Hufeland, una liebre nerviosa acabó los dias de este insigne genera!, cuya reputación está bien consolidada: su nombre será inmortal por sus úN timas hazañas en haber libertado á su patria…</t>
  </si>
  <si>
    <t>…colocarlos sobre la tumba del héroe, con la siguiente inscripción: „Aqui está su cuerpo.;....... allí sus acciones.** La primera noticia oficial que sé tuvo del fallecimiento del príncipe Kutusow Smolensko en S. Petersburgo fue al propio tiempo una prueba de la munificencia del Monarca. El Emperador Alexandró escribió á la princesa, su muger, una carta, fecha en Dresde á 7 de mayo, concebida en los tér minos siguientes: : ■ Princesa Catalina Ilenischna: el Altí…</t>
  </si>
  <si>
    <t>Núm. 109. 90j GACETA DE LA REGENCIA DE LAS ESPADAS DEL JUEVES 26 DE AGOSTO DE 1813. RUSIA. Petersburgo 12 de Junio. Ayer á las 7 de la tarde llegó el cádarer del príncipe Kutusow Smolensko al lugar destinado por S. M I. para su sepultura, en la iglesia de nuestra Señora de Casan* El funeral salió de la iglesia de S. Sergio á las 11 de la mañana; y la Cámara de Petersburgo lle gó á las 3 de la tarde á las puertas de la ciudad para recibir los ve…</t>
  </si>
  <si>
    <t>Smolenskó, Kutusow de</t>
  </si>
  <si>
    <t>Kutusow de Smolenskó</t>
  </si>
  <si>
    <t>…empeñados en una acción á las inmediaciones de Cuxhaven los rusos y franceses. A la sa lida del correo un edecán del general Tettenborn Había llegado con el aviso de la muerte del príncipe Kutusow de Smolenskó, y del nombramiento del Conde Wittgenstein de general en gefe de los exércitos rusos. Ayer ha llegado el embaxador prusiano barón Jacobi-Kleist, y un ede cán del príncipe Bernadotte, que dicen trae la noticia de haberse ajustado las desavenencias entre Suecia…</t>
  </si>
  <si>
    <t>So</t>
  </si>
  <si>
    <t>…tria, como una tierna madre¡ extiende cer beneficios y de dar limosnas. Se Je habían con siempre sus brazos abiertos hácia todos sus hijos, servado todos "los honores debidos á un príncipe So y cada miembro tiene siempre derecho á unirse á la berano. familia de quien la violencia le habia arrancado. La renta de este arzobispado se regula en unos ,,Polacos! No detengamos ya por mas tiem nueve millones de florines corrientes de Viena. Se po el ímpet…</t>
  </si>
  <si>
    <t>Sobrinos, Joaqujn</t>
  </si>
  <si>
    <t>Joaqujn Sobrinos</t>
  </si>
  <si>
    <t>…de la Fuente, presbítero, de Colmenar de Oreja. ^ &lt;?* Para la diputación provincial d los señores ;Dr. D. Isidoro Alaiz y Represa, canónigo doctoral de esta santa iglesia primada. D. Joaqujn Sobrinos, hacendado, labrador y ganadero de la villa de Talavera de la Reina. ...... Lie. D. Simón de Codes, hacendado de la villa de Ocaña. D. AlfonsoPeñalver, presbítero, hacendado de la villa de Mora. Dr. D. Josef Perez de la Maza, párroco de Santiago de Talavera.…</t>
  </si>
  <si>
    <t>SOCO, WeUington</t>
  </si>
  <si>
    <t>WeUington SOCO</t>
  </si>
  <si>
    <t>…ilington hasta después de la batalla; y aunque se enviaron reclutas en gran número, tampoco pudieron reunirse hasta pasada la campaña. A*i que, hablando con exactitud solo recibió lord WeUington SOCO hombres de refuerzo entre infantería y caballería ántes dé la batalla, y 7009 después, que hacen 10000 en todo el año. ¿ Por qué, pues, en lugar de enviar estas fuerzas en tiempo oportu no , no se hizo hasta recibir la noticia de la batalla de Salamanca ? ¿ P…</t>
  </si>
  <si>
    <t>Sojo, Julián de</t>
  </si>
  <si>
    <t>Julián de Sojo</t>
  </si>
  <si>
    <t>…incipal. Asimismo se hace saber que las autoridades o personas particulares que tengan que dirigir á la junta qualquier expediente, oficio ó representación, lo hagan por medio del secretario D. Julián de Sojo, que vive en la calle de las Carretas, num. 7, quarto principal, frente á la imprenta nacional. Desde mediados de este mes saldrá del puerto de S. Sebastian el lunes de cada semana el paquete para Inglaterra. Las personas que quieran escri bir á dicho reino d…</t>
  </si>
  <si>
    <t>Sol, Gaspar</t>
  </si>
  <si>
    <t>Gaspar Sol</t>
  </si>
  <si>
    <t>…n Sainz de Tejada, alcalde. D Minie! Iisarratru'rre , alcalde. J). Pedro V arge.s, substituto primero. D. Petra Viña, substituto primero. D. Mariano Velando, substituto segnudo. . D. Gaspar Sol/veres, substituto segundo.</t>
  </si>
  <si>
    <t>Sola, Juan María de</t>
  </si>
  <si>
    <t>Juan María de Sola</t>
  </si>
  <si>
    <t>…2$ de octubre. Las señoras de la sociedad patriótica de esta ciudad tienen la satisfacción de manifestar al público la inversión del fruto de sus tareas en la forma si guiente : A D. Juan María de Sola, oficial del regimiento de dragones de Madrid, 200 camisas, 2®o pantalones y 27 chaquetas.__ A D. Pedro de la Llave, oficial de artillería, 200 camisas.__ A D. Domingo Madras, del Inmemorial del Rei, 800 botines y 800 pantalones.__Al comandante y á D. Josef V…</t>
  </si>
  <si>
    <t>Soler, Carlos</t>
  </si>
  <si>
    <t>Carlos Soler</t>
  </si>
  <si>
    <t>…ez, á D. Tirso Gil, cura de Novele. postura acuda ante S. S. y citada escribanía, en donde Para el de Vinalese, vacante por muerte de se admitirá la que hicieren siendo arreglada. D. Carlos Soler, á D. Bartolomé Gadea, actual ecónomo de Catarroja. TEATRO. Para el de S. Bartolomé de Valencia, vacante En el de la Cruz se cxecutará la comedia titulada por por fallecimiento de D. Antonio Genoves, á D. Juan Esposa y tro no a un tiempo y mágico de Astracán;…</t>
  </si>
  <si>
    <t>Soler, José</t>
  </si>
  <si>
    <t>José Soler</t>
  </si>
  <si>
    <t>1434</t>
  </si>
  <si>
    <t>…petidos. Por la noche hubo iluminación general, adornando con ella las torres de Sta.'María y Santiago hasta sus cúpulas. En este obsequio se distin guió el veciro de aquel puebio D. José Soler, quien iluminó con mu cha profusión el—f ontispicio de sh casa, colocando al lado derecho de él una cifra iluminada de los nombres de maestro muy amado mo narca Fernando yii, y de Jorge iii , rey de Inglaterra; y al iz quierdo la siguiente -inscripción: «Utre…</t>
  </si>
  <si>
    <t>Soler, Josef</t>
  </si>
  <si>
    <t>Josef Soler</t>
  </si>
  <si>
    <t>…tidos. Por la noche hubo iluminación general, adornando con ella las torres de Santa María y Santiago hasta sus cúpulas. En este ob sequio se distinguió el vecino de aquel pueblo D. Josef Soler, quien iluminó con mucha profusión el frontispicio de su casa, colocando al la do derecho de él una cifra iluminada de los nombres de nuestro mui amado Monarca Fernando vii y de Jorge m, Rei de Inglaterra, y al izquierdo la siguiente inscripción : „Utrera. Al…</t>
  </si>
  <si>
    <t>Solimi, Francisco</t>
  </si>
  <si>
    <t>Francisco Solimi</t>
  </si>
  <si>
    <t>…bteniente del de Santiago; D. Pedro Oloris, sargento mayor ; D. Francisco Lapedreza , D. José Salama , Don -Gerónimo Londoño, D. Juan del Rio y D. Francisco Mediaviila, tenientes; D. Francisco Solimi, D. Marcelo Ortiz y D. Francisco Salvador , subtenientes del primero cántabro; D. Silvestre Hidalgo, teniente coronel; D. Bernardo Alvarez, D. José Tai la y D. Manuel Mendez, capitanes; D. Vicente Noriega,D. Francisco Xavier Alva rez y D. Francisco Fresno , t…</t>
  </si>
  <si>
    <t>…ente del de San? tiago; D. Pedro Oloris , sargento mayor; D* Francisco Lapedra?a * TXtJosef Salama , D. Gerónimo Londoño;, D. Juan del Rio y D. Francisco: Median villa, tenientes; D. Francisco Solimi, D. Marcelo. Ortiz y D.. Francisco Salvador, subtenientes del primero Cántabro; D. Silvestre Hidalgo, tenien te coronel; D. Bernardo Alvarez, D. Josef Talla y D. Manuel Mendez, capitanes; D. Vicente Noriega, D. Francisco Xavier Alvarez y D. Fran cisco Fresno…</t>
  </si>
  <si>
    <t>Sologaistoa</t>
  </si>
  <si>
    <t>…emigo al primer tiro de su centinela se alarmó y montó á caballo; pero él vivo y bien dirigido fuego que le hizo el capitán Lagandara, el que emprendió por el arco de la ciudad el capitán Sologaistoa contra ios enemi gos que venían á incorporarse al campamento, y las disposiciones que tomé, dirigiéndome en persona con unas compañías por la derecha de dicho cam pamento,. mientras que con otras se ocupaban las boca-calles de la ciudad, le puso en vergonzosa…</t>
  </si>
  <si>
    <t>Sologaistoa, Pedro</t>
  </si>
  <si>
    <t>Pedro Sologaistoa</t>
  </si>
  <si>
    <t>…ue llaman el Mercadal. Fue necesario pues mudar de plan; y formando una coluna en mnsa, deter miné que todo el regimiento avanzase á paso violentó: que el capitán de gra-' naderos D. Pedro Sologaistoa con la mitad de su compañía penetrase por el arco de la ciudad:*que el de la sexta D. Atauasio Muñoz con la suya fuese á ocupar el puente que sale á Tudela por la calle que guia á la catedral; y que el resto del regimiento se echase sobre el campamento enemig…</t>
  </si>
  <si>
    <t>…ria, mas faltaría á la justicia si no particularizase al capitán de dragones de So ria D. Pedro Marc y á su alférez D. Aniceto Perez, como también á los capitanes de mi regimiento D. Pedro Sologaistoa, D. Josef de Lagandara y D. Atanasio Muñoz, y al teniente D. Mariano Tabuenca. Dios guarde &amp;c. Calahorra &amp;c. En el dia 2 del corriente la caballería aliada tuvo delante de Toro un choque con 300 dragones enemigos, de los que pocos se salvaron. El 4 se• hallab…</t>
  </si>
  <si>
    <t>Solóviano, Antonio</t>
  </si>
  <si>
    <t>Antonio Solóviano</t>
  </si>
  <si>
    <t>…quín González, subteniente del se gundo de Asturias; D. Agustín Ber.itez, teniente del de la Constitu ción,; D. Agustín Berais, espitan del de Santiago ; D-José María So ladura. y D. Antonio Solóviano, tenientes del de Laiédp. ; Asimismo ha sido herido el comandante general dé la§ tropas del centro, el mariscal de campo P. Francircp Xavier Lo’sadf*; él biigadier segundo gefe de Estado-mayor del cuarto exército Di Antonio Roselló; el de igual clase D. Feder…</t>
  </si>
  <si>
    <t>Soltyk</t>
  </si>
  <si>
    <t>…nde Beniski, nuncio del distrito tritos de Sikalmierz y de ElcbJow; Carlos Skor- de Obornieki (departamento de Po nan); howski, diputado de la ciudad de Cracovia; r ran Estanislao conde Soltyk, nuncio dei distrito de Scidlowire (departamento de Radom ); cheo Wezíck, nunciodei distrito de lítala; Cajetan Kozmian, secretario de la confederación general, Ignacio coi de Sndnicki, nuncio de Konieck. receptor de súplicas en el consejo de Estado. (departa…</t>
  </si>
  <si>
    <t>Sombell</t>
  </si>
  <si>
    <t>…tario francés ei F.i.pichó tablecimiento primitivo de la monarquía, y de los te , con 18 pasageros franceses; el Croad JitentioH, grandes sucesos que se le siguieron. Convenia tam capitán Sombell, con 28 pasageros; y los Nueuos- bién limpiar á los primeros tiempos de nuestra his amigos, capitán FiJengeii, con 64 pasageros. toria de aquella tez de barbarie que les aplicaron los escritores de Roma, y juzgar por el valor de P aimboeuf 2 de marzo. sus acc…</t>
  </si>
  <si>
    <t>Sombicla, José Antonio</t>
  </si>
  <si>
    <t>José Antonio Sombicla</t>
  </si>
  <si>
    <t>…ortes generales y extraordinarias en I» sesión de 24 del corriente á la renovación ae su presidente, vice presidente y uno de sus secretarios, salieron electos, para presidente el Sr. D. José Antonio Sombicla, diputado por Valencia; para vice presidente el Sr. D. José Antonio Navarrete, diputado por el Perú, y para secretario el 5r. D. Miguel Riesco, diputado por Chile. El Sr. duque de Ciudad-Rodrigo ha dirigido al Sr. secretario del despacho dé la Guerra el ofici…</t>
  </si>
  <si>
    <t>Somera, Lorenzo</t>
  </si>
  <si>
    <t>Lorenzo Somera</t>
  </si>
  <si>
    <t>…nio Campo?, del se gundó" de Sevilla: lo«í heridos lo son, gravemente el sargento mayor de Pravia.D. Francisco Cabrera; el segundo teniente D. Juan Ignacio Alava, y los alféreces .D. Lorenzo Somera y D. Josef de las Cuevas, del segundo bata llón de,guardias Españolas; el capitán D. Manuel Carrillo, del batallón de .Almería^ el ayudante mayor D. Manuel Baso, y el teniente D. Josef Vi•tal.,. del "regimiento segundo de Sevilla : el capitán ele cazadores. D. Josef Gar…</t>
  </si>
  <si>
    <t>Somerset, Fitz Roy</t>
  </si>
  <si>
    <t>Fitz Roy Somerset</t>
  </si>
  <si>
    <t>…i maestre general y mariscal de campo Murray , y el de la mismaclase y ayudante general Pakenhan , como también los oficiales de ,spg respectivos departamentos,. igualmente que el lord Fitz Roy Somerset, el' teniente coronel Campbell y los oficiales adictos á mi persona. ,, Remito á V E. este pliego por el coronel ayudante de estado mayor D. Gaspar de Goycoechea , y recomiendo 4 este oficial á da protección de V. E. — Dios guaide á V. E. muchos años. San Est…</t>
  </si>
  <si>
    <t>Somier</t>
  </si>
  <si>
    <t>…r las inmediaciones de Danrzick 1 &lt;¡ regimientos de infan Copia de los interrogatorios hechas el t$ y i 6 de tería para incorporarse al exército grande. octubre próximo pasado' al señor Somier, co Es tanta la cantidad de moneda de vellón que mandante de la décima cohorte, por el capitán se trae en el día para refundirla á ia casa de la mo Dehit, relator de la comisión militar encargada neda de Berlín, que el gobierno se ha visto en la de juzgar d M…</t>
  </si>
  <si>
    <t>Son</t>
  </si>
  <si>
    <t>…general Bicard para recuperarle, y lo consiguió. La batalla abrazaba una línea de dos leguas, cuoierta dé fuego, humo y polvareda. A todas partes acudian el príncipe de Moskwa, el general Son rían y el general Girard, haciendo frente á qualquier punto en que era necesaría su presencia. El general Girard, aunque herido de muchos balazos, CO En estos tres últimos períodos sacamos en consecuencia que Napoleón qui so destruir el plan de los generales…</t>
  </si>
  <si>
    <t>…icheff se ha apoderadocon su cuerpo de cosacos, de Cassel, de donde habia huido Gerónimo Bonaparte; pero no se ha recibido todavía parte suyo. Tengo el honor &amp;c. = 2L Thornton. P. D. Son las. 10 de la noche, é incluyo la carta que acabo de recibir del barón de Wetterst¿d. = Thornton. Cuartel general de Dessau 4 de Ocfutre. Según los oficios recibidos del general Blucher, tuvo una acción con ei cuarto cuerpo francés, mandado por el general Ber…</t>
  </si>
  <si>
    <t>Sonosiain, Bernardo</t>
  </si>
  <si>
    <t>Bernardo Sonosiain</t>
  </si>
  <si>
    <t>…López, D Prudencio Dallo, D. Ce lestino Ximenez , D. Fermín Al Aúnate, D. Angel Labiano, D. ber nardo ZaTo, D. Francisco Mtmuce, D. Pedro Mancho. D. Matías Ezcay, D. Félix Beroz, D. Bernardo Sonosiain , IT Mañano Ustarroz, D. Felipe Virtus, D. Joaquín Aquerreta, D. Fermín Josué, 1), Martin Ziarriz, D, Francisco Larrodé , D. Matías Alzorr z, D. J uan Ramón Arlegui, D. Bonifacio Jaso, D; Mvouel Sancho, D. Bonifacio Martínez, D. Julián Gofr , D. Justo Taiazon…</t>
  </si>
  <si>
    <t>Soravilla, Vicente</t>
  </si>
  <si>
    <t>Vicente Soravilla</t>
  </si>
  <si>
    <t>…Simón Perez, D. Silvestre‘Ezcurra, D. Gregorio Durana y D. Antonio VAliivielso : á capitanesde fusileras á D. Francisco Naval, D. Fermín Esandí, D. Antonio QroD. Joaquín í duate,-D. Vicente Soravilla, IX José ítútria, IX Pedro Mayó , U. Ambrosio Seguin , D. R ímon Artica, IX Agus-* ílu Góngora , D -Félix Miranda ,' D. FideL Boira , D. Ramón Elorrio, Jó. Joaquín Ferrér, D. Sebastian Ansa, I). Sebastian Goñi, D Fausto-* Lantler, D. Miguel Asíiz, D. José Ape…</t>
  </si>
  <si>
    <t>Soreguí, Nicolás</t>
  </si>
  <si>
    <t>Nicolás Soreguí</t>
  </si>
  <si>
    <t>…por un año. D. Bar tolomé Va!dés,8id. O. Francisco Xavier Izcue, 8 id. D. Juan Bau tista O variaba! y D. Pedro Abadía, 20 id. D. Lorenzo Tajonar, 2 id. D. Fermín de Arriaga, 2 id. D. Nicolás Soreguí, 1 id. D. Juen Bautista de Sarrata, 2 id D. Jot,é A tomo de Erna, 4 iii. D Mi guel de Garate, 1 id. D. Joaquín de Lostfa, 1 id. D. Raisuui Ven-</t>
  </si>
  <si>
    <t>Soriano, Nicolás</t>
  </si>
  <si>
    <t>Nicolás Soriano</t>
  </si>
  <si>
    <t>…D José Vinegra, D. Santos Besga , D. Joaquín Ruiz, D. Ma uel Clemente, D. Ra món Marañon , D. José Albumes, D. José Luizaain , D. Francisca Ardaiz, D. José Díaz, D Antonio Abadía, D. Nicolás Soriano, D. Bernardo Moliner, D. Manuel Llera, D. José Perulan, D. Ray» mundo Marqués, D. José Gorriz, D. Dionisio Fonolitas, D. Can» dido Zunzarren * D. M:guel Quartero , D. Juan Urzaniqui, D. Ruerto Rajum, D. Manuel López, D. Agustín Munarriz, D. Juan Sliutista fnd…</t>
  </si>
  <si>
    <t>Soroa, Miguel</t>
  </si>
  <si>
    <t>Miguel Soroa</t>
  </si>
  <si>
    <t>…e france ses muertos y prisioneros. Santiago 15 de Diciembre. En parte, que el Sr. «Táuregui da al Sr. Mendizabal, con fecha de 12 de Noviembre en Azcoytia, dice que los capitanes D. Miguel Soroa y D. Manuel Charola sorprehendierón el dia 3 á 100 infantes enemigos y 6 de caballería, degollándolos á todos, menos 28 que se entregaron , en la carretera de Andoain á Tolosa ; y que el dia 5 sor* prehendió é hizo prisionera la guardia avanzada de la villa de Vergara, compuesta…</t>
  </si>
  <si>
    <t>…e Andoain pasaba una escolta enemiga para la de Tolosa, compuesta de 100 infantes y 6 caballos : traté de la sorpresa de estos, é inmedia tamente di orden ai capitán de granaderos D. Miguel Soroa, que juntamente con D. Manuel Charola, igual capitán de la primera compañía, saliesen al enemigo. Fué tan pronta la salida de estos dos valientes jóvenes, que lograron hacer prisioneros 23 hombres , y los demas fueron degollados , por haber querido aceptar me…</t>
  </si>
  <si>
    <t>Sorzano, Valentín</t>
  </si>
  <si>
    <t>Valentín Sorzano</t>
  </si>
  <si>
    <t>314 dnvere, 100. El mariscal de. campo conde de Valle de Oselli, 100. El mariscal de campo D. Manuel de Viílasta, 100. D José Irigoyim, o'doi honorario, 100. D. Valentín Sorzano, i 00. D. Miguel Femando Rui®, 100. D. Lorenzo Tajonar, 100. 13. Faustino del Campo, 100. D. Santiago Rodríguez, 100. I). J uan Antonio Ariaiburu*, 100. D. Cristóbal Aznilcueta, 100. D. Martin Gubasola, 100. D. Ramón Azcarato, 100. D. Joaquín Lostra, 100. D J…</t>
  </si>
  <si>
    <t>Sosaca, Indalecio González de</t>
  </si>
  <si>
    <t>Indalecio González de Sosaca</t>
  </si>
  <si>
    <t>…es permanecen en Toledo , T il escás y pueblos inme diatos.— El exército tercero marcha hácia Requenahoy estará, el cuartel general en Albacete. ARTICULO DE OFICIO. •' c Parte del comandante D. Indalecio González de Sosaca al general en gefe del exército del Perú D. José Manuel de Goycnechc.. ' . i &gt; Cuando disponía yo auxiliar al exército de vanguardia árdea de ánoche con las municiones y demas útiles que file pedia el gene ral ule él 9 escolándolos con 40 hombres hsteíá encon…</t>
  </si>
  <si>
    <t>Sotavento, Benito</t>
  </si>
  <si>
    <t>Benito Sotavento</t>
  </si>
  <si>
    <t>…el jó ven Pa brería de Alexandro Rodríguez, calle de las Carretas; tricio, reconvinoá sus tutores. reunidos en ca«a del «¿virtiendo que á este último acompaña también el frag uno, D. Benito Sotavento. ¡Quién podrá pintar la mento de Ovidio sobre el arte de hermosear la cara. EN LA IMPRENTA REAL.</t>
  </si>
  <si>
    <t>Sotilt</t>
  </si>
  <si>
    <t>…nevitable. y prepararnos para el resultado; pero aclárese1 esto de modo que no quede la. aleñor duda.” (Se continuará.) , r ESPAÑA. Ségovia § de Mar%o. Ayer llegó á esta ciudad ei mariscal Sotilt con 6000 hombres, y sale mañana para Francia. Se espera aquí al rey intruso pasado ma ñana, y aseguran que después dé permanecer algunos días en VaBadolid establecerá su cuartel general en Vitoria ó Burgos, siendo mas probable-q.ue sea en esta ciudad. El exér…</t>
  </si>
  <si>
    <t>Soto, Cayetano-de</t>
  </si>
  <si>
    <t>Cayetano-de Soto</t>
  </si>
  <si>
    <t>…D. Josef Carranza , alcalde. mero. D. Manuel Martínez , substituto primero. D. Mariano Yoldi, substituto segundo. D. Antonio González , substituto segundo. Barrio ae Bueña-Vista. D. Cayetano-de Soto, alcalde. CUARTEL DE SAN GERONIMO. D. Gieg&lt;’;¡,&gt; Sánchez, substituto primero. D. Joaquín Giardoni , substituto segundo. Barrio de las Trinitarias. Barrio a l Hospicio. D. Martin Enseña , alcalde. D. Bernardo Delgado, alcalde. D. Ramón González Quitos, substit…</t>
  </si>
  <si>
    <t>Soto, Fernando de</t>
  </si>
  <si>
    <t>Fernando de Soto</t>
  </si>
  <si>
    <t>…ada por la tefeuille, núm. 23, y en las librerías principales de descripción de la Florida durante un viage de quaParís, de los departamentos y de países extrangeros, to años, por D. Fernando de Soto: memoria escri é igualmente en todas las direcciones de postas. ta en portugués por un hidalgo de Yelves, y tra ducida al ingles por Hakluit. Londres 1609. II. 12. El descubrimiento de las islas Bermudas, Acabt de publicarse en Londres la obra siguien llamada…</t>
  </si>
  <si>
    <t>Soto, Lázaro</t>
  </si>
  <si>
    <t>Lázaro Soto</t>
  </si>
  <si>
    <t>…Andatuce, substituto primero. D. Tomas Perez , alcalde. D. Manuel Pardo, substituto segundo. D. Pedro Brugada, substituto primero. Nuestros ministros de la Policía general, de la D. Lázaro Soto, substituto segundo. Justicia y de lo Interior quedan encargados de la execucion del presente decreto. = Firmado = YO QUARTEL DE AFLIGIDOS. EL REI. = Por S. M., el ministro secretario de Barrio de Legdnitos. Estados Firmado = Mariano Luis de Urquijo.” D. Alfo…</t>
  </si>
  <si>
    <t>Soto, Serafín</t>
  </si>
  <si>
    <t>Serafín Soto</t>
  </si>
  <si>
    <t>…rios de Navarra D. Barto lomé Estívin; el herido el subteniente de Galicia D. Matías Vallesteros, y el contuso el primer teniente dc4 segundo batallón de reales guardias Españolas D. Serafín Soto. 1 . ' * , ' , ;j ^Núm. 4.0 Parte del general en gefe del qiiartó exército D, Manuel Freyre. »Excmo. Sr.: Tengo la fortuna de poder manifestar á V. E. pa ra ^ue se sirva ponerlo en noticia de $. A., que ayer ha sido ataca do e'1 exército de mi maiidó por él c…</t>
  </si>
  <si>
    <t>Soto, Seralin</t>
  </si>
  <si>
    <t>Seralin Soto</t>
  </si>
  <si>
    <t>…&gt;N3Varfa ^ Bar tolomé Estivin; el herido el subteniente de Galicia D. Matías Ballesteros, y ebcontuso el' ptíniep teniénre*del‘ segündo batallón de reales Guardias Espa ¡ -• ñolas D. Seralin Soto.? •T, ■ • ;; ' &lt; ! v ífoiSr. 14% ;W vííU; -í.n:-; ,, Excmo, Sr.: tengo’ la fortuna de poder manifestífr-rá '^‘jTEíJpára sirva ipoóerio&gt;eo&gt;nMÍci;odé Sé A.,-que; ayér-ba sido -atacado* él exéréito de miimaudó prm-ehfcent.ro de'su línea á lá vista de Trun *;• ha…</t>
  </si>
  <si>
    <t>Sotomayor, Joaquín Alvarez</t>
  </si>
  <si>
    <t>Joaquín Alvarez Sotomayor</t>
  </si>
  <si>
    <t>…a uno de un tratado de trigonometría y geometría práctica poj* su aprovechamiento en aritmética y álgebra : á les c,: de tés D. José Beltran , D. José María Gormayo, D. José Ruiz, D. Joaquín Alvarez Sotomayor y D. Vísente Alba, tina obra de. .táctica á padá uno £01* haberse distinguido en la geometría: á los cadetes D,.¡Rafael de ara, D. Alonso Carrasco y D. Juan María-Muñoz, un estuche de: matemáticas, como mas adelantados en fortificación’; y por ultimo^ á los cadetes D. Rafael d…</t>
  </si>
  <si>
    <t>Sotomayqr, Luis de</t>
  </si>
  <si>
    <t>Luis de Sotomayqr</t>
  </si>
  <si>
    <t>…nacional ha tenido á bien la Regen cia del reyno promover á coronel de él á D Joaquín de Cisma, te niente coronel, del mismo ; y pata esta resulta al c&amp;pit&amp;n de artille ría ligera D. Luis de Sotomayqr^</t>
  </si>
  <si>
    <t>Sottlfc</t>
  </si>
  <si>
    <t>413 el mariscal Sottlfc. Venia acompañado de unos 2?)0 caballos , y traía unos 150 prisioneros de la partida de Marquinez , cogidos en Mel gar, que aun permanecen aquí, j Boyer salió para su campo. To dos dicen que saldrán pronto para el libro. ARTICULO DE OFICIO. JLa Regencia del r…</t>
  </si>
  <si>
    <t>Sou.lt</t>
  </si>
  <si>
    <t>…istribuidos en 6 divisiones, compuestas cada una de 4 piezas de campaña y 2 de reserva: su totál 36 piezas. Movimientos hechos por los franceses en el mes de Abril. Las tropas del general Sou.lt que abandonaron á Toledo el 10, Ge dirigieron hiela Mr.dríd, conserve ndo fuerzas en Id escás. El general L svai, comandante de las fuerzas en Madrid y su» inmediaciones, reconcentró sobre aquella capital tolas las tropas de su mando. Hizo este movimiento cre…</t>
  </si>
  <si>
    <t>Souham</t>
  </si>
  <si>
    <t>…barcas que hai delante de esta ciudad, ya pa pasó revista á la división Souhatn, y la hizo ma ra facilitar las conducciones de los trenes y demas niobrar: en seguida comió con el general Souham, electos que hayan de entrar y salir de la fortaleza, y salió por la noche para Hanau. como para atender A las necesidades de los habitan tes; siendo por otra parte mui importante á to GRAN DUCADO DE BERG. da la linea de operaciones este medio de comunica ció…</t>
  </si>
  <si>
    <t>…á medio día por esta ciu amado Soberano exigen que la segunda dase de ia dad con dirección á Wurtzbu.-go. guardia nacional participe el cuidado de mantener La, división'del señor general Souham,-que ha la seguridad interior con el militar que está en ser-r estado acantonada aquí unos 15 dias, ha salido hoi vicio activo. Ningún bávaro es de esperar que oíga para dirigirse á sn ulterior destino. con indiferencia un apellido tan honroso, y dexe de resp…</t>
  </si>
  <si>
    <t>Souharn</t>
  </si>
  <si>
    <t>…su quartel general á Magdeburgo, adonde va llegando el cuerpo de observación del París 28 de enero. Elba, que manda este general. SS. MM. salieron de aquí el martes 19 para ir El general Souharn está pasando el Rin con la á .azar á Grosbois. vanguardia del cuerpo de observación del Rin, y Aquella noche fueron á dormir á Fontaincbleau, se dirige á Francfort. donde no se tenia noticia de su venida. S. M. ha dado al general Bertrand el mando del Al lleg…</t>
  </si>
  <si>
    <t>Soulí</t>
  </si>
  <si>
    <t>838</t>
  </si>
  <si>
    <t>…00 hombres. = Por au sencia del ayudante general en gefe del estado mayoi^A/uome Puzg, ayudante primero.” 'Fuente rabía 24 de Julio. El intruso José salió de Bayona para Paris: el mariscal Soulí se halla en el otro lado del Bidasoa con mas de 50® hombres, con tando en este numero los paisanos que han tomado las armas. Todos los jóvenes de la undécima división militar han recibido orden de incorporarse en sus respectivos regimientos sin distinción alg…</t>
  </si>
  <si>
    <t>…tesón el día 26, en cuya noche debía repetirse al asalto coa esperanzas de posesionarse de la plaza, pues tal era la orden terminante del lord. Los franceses, baxo las órdenes de mariscal Soulí, que ha vevino del Norte sin refuerzos, atacaron. ei dia 25 la línea, y fueron rechazados: su objeto era, según parece, reconocer la línea de los aliados, y distraer la atención del sitio de S. Sebastian. Pamplona sigue bloqueada; y luego que se concluya con…</t>
  </si>
  <si>
    <t>Soulier</t>
  </si>
  <si>
    <t>…MERp VI. zados por las actas de la última sesión. La totalidad Copia del interrogatorio hecho el aj de octubre de la suma obtenida en pago de préstamos asciende próxima pasado' al señor Soulier, comandante actualmente á t i millones de dolars, el qual residuo, de la décima cohorte , por el gefe de la primera habiéndose debido recibir después del 30 de setiem división del ministerio de la Policía general. bre último, agregado á las rentas corrientes,…</t>
  </si>
  <si>
    <t>…ai público que no se reem bolsarán las sumas de los:recibos hasta pasados dos •• Retirado el reo Guídal, hicimos comparecer ea meses de haber sido entregados. nuestra presencia al señor Soulier, suelto y Sin gri Las últimas relaciones del cuerpo de exército llos , á quien hicimos los recargos siguientes: prusiano que está en Curlandia contienen las noti ¡Preguntado¿ ¿Quál es vuestro nombre, apelli-' cias siguientes: do, edad, lugar dé nacimiento, pr…</t>
  </si>
  <si>
    <t>…ción un impreso compuesto, de nueve páginas, que la afirmativa. contienen copia de los interrogatorios Hechos el dia 3.* ¿Mr. Frochot aguantó violencia, ó sufrió 23 de octubre al señor Soulier, comandante de la amenazas para dar esta orden ? décima cohorte, por el gefe de la primera división Recogidos tes votos, todos unánimes están por del ministerio de la Policía general, y de otros que la negativa. en los días 25 y 26 del mismo mes le hizo el ca…</t>
  </si>
  <si>
    <t>…acordó. connivencia entre el prefecto del Sena y los. autores de la conspiración, y que no basta para fixar una Continuación cid dictamen de la sección. sospecha la orden dada al comandante Soulier para En vista del artículo 87 del cócTigo penal, que ponerse de acuerdo con él. castiga con pena de muerte y de la confiscación de 5 Ia ' Que el prefecto no tuvo conocimiento del los bienes el atentado ó la conspiración que tuviese proyecto de los conspirador…</t>
  </si>
  <si>
    <t>Soult</t>
  </si>
  <si>
    <t>…, que/ Ítaises, inspirarán á los habitantes la obediencia á las. había hecho inútilmente todo quanto había podido eyes, y una íinne adhesión á la constitución, de para molestar al mariscal Soult en su marcha. . la que depende tanto tiempo hace la gloria y la "■ Sabemos con dolor por las cartas que tenemos prosperidad de la Gran Bretaña. presentes que «1 general Maitland, habiéndose que dado metido en Alicante, los cuerpos que están ba Reflexiones sob…</t>
  </si>
  <si>
    <t>…ovimiento alguno. ,,Ayer salieron de Liria, para hacer efectivas las contribuciones de varios pueblos, 90 caballos y 20 infantes de las compañ as de guias jurados del exército del mariscal Soult, que de Andalucía vi nieron con él á Valencia, y ahora están incorporadas al de Suchet: á las 9 de la noche tuve aviso de que habian llegado á Alcublas po co ántes de anochecer , y que eran tantos los males que iban cau sando en su marcha ,, que ademas de atr…</t>
  </si>
  <si>
    <t>…y para la retirada están haciendo gran des acopios de galleta; llegando hasta el extremo de carecer de la mitad de las raciones de pan, carne y cebada. El 24 de Diciembre tuvo el mariscal Soult un gran bayle en la casa arzobispal. Parece que dio orden de que todas las personas, de ambos sexós , que con currieron al bayle del general Ilill, lo debían verificar al suyo. El único convento que había quedado ileso., que es el del Cármen. 1« han arruinado…</t>
  </si>
  <si>
    <t>…anecas de trigo y 30 mu- as, ó en su lugar 3000 rs. vn. por cada una. De esta suerte se en riquecen nuestros crueles opresores: el comandante de esta fuerza, que es un hermano del mariscal Soult, ha recogido en dinero y alha jas un botín que nadie hace baxar de 15 millones. Escriben de Madrid con fecha del 3 de este que según los mo vimientos y preparativos de palacio, parece indudable que el rey intruso abandonará en breve la capital. Entre tanto qu…</t>
  </si>
  <si>
    <t>…á Pe* ñafie1. Escoltaban también el convoy 900 infantes, los que salieron el 7 con parte de él y ranchos empleados españoles para Segóvía y Madrid. El 9 al anochecer liego aquí el mariscal Soult. Traía en su comitiva á los generales de artillería Leri y Riiti, al general de caballería Uloh, al de infantería DaVobil, y al intendente de su exército. Le acompañaban 20 coroneles y 40 gefes de batallón de varios cuerpos, 396 oficiales , inclusos los de 47…</t>
  </si>
  <si>
    <t>…o , desde donde se dice que serán conducidos á Francia. Este mismo dia salió un gran convoy con equipages, con duciendo ademas el resto de los enfermos y 90 prisioneros. Dia 14 El general Soult, que tiene sn división acantonada en Getafe, Leganes, Fuenlnbrada y pueblos inmediatos, llegó aquí esta mañana, y ha vuelto á marchar esta tarde. Pero no obstante la inmediación de estas fuerzas respetables, las partidas recorren in cesantemente el terreno qu…</t>
  </si>
  <si>
    <t>…is toria natural. Cou el último convoy iba el mayordomo de palacio y muchos comandantes franceses, escoltados por 200 infantes, 30 ca ballos y 3 cañones. Id. 20. Hoy ha entrado el general Soult con 60 caballos; venia de Getafe. Ayer á las 12 de la noche llegaron avisos de estar el Empecina do en Alcalá y amenazados los enemigos; y sin tardanza han salido en s corro de estos 500 hombres con 3 es ñones. Id. 21. La tropa de Fueníabrada, Mostoles, Getaf…</t>
  </si>
  <si>
    <t>4Ó8 aun en Madrid un cuerpo qne manda el general L&amp;val, y la cabaHería del general Soult está en Getafe , Leganés &amp;c. ,,Entre tanto el exército del n3ediodia tiene ocupados casi to dos los puntos que hasta aquí ocupaban las tropas del de Portugal sobre los ríos Duero y Termes; y según parece este exército «e ha reunido en Patencia y sus inmediaci…</t>
  </si>
  <si>
    <t>…eí Arzobispo, segun le kabian avisado. Tie ne orden esta gañera] de mantenerse en Madrid hasta que le obli guen á abandonarlo fuerzas superiores. , Las patrullas de caballería del general Soult hacen frecuentes reconocimientos hriela Escalona, el Albsrche y Añober del Tajo, porque Leval recela que el ejército del general Hill haga por aüí algún movitaienío. llí conde fie G z?.n tenia su cuartel general en Arévalo, y su. exército ocupaba i Salamanca,…</t>
  </si>
  <si>
    <t>…tesón el día 26, en cuya noche debia repetirse el asalto con esperanzas de posesionarse de la'plaza, pues tal era la orden terminante del Lord. Los franceses, baxo las órdenes del mariscal Soult, que ha venido del Norte sin refuerzos, atacaron el dia 2 5 la línea,' y fueron rechazados: su objeto era * según parece, reconocer la línea de los aliados, y distraer I2 atención del sitio de S. Sebastian. Pamplona sigue bloqueada; y luego que se concluya co…</t>
  </si>
  <si>
    <t>…ente, no coa el objeto de desacreditarse, sino'con el de contribuir;,, á porfía á la destrucción del enemigo. Ultimamente, lo que hace mas gloriosas estas acciones es saber que el mariscal Soult estaba resuelto á la victoria ó á la muerte ; pues quan do emprendió sus primeras operaciones arengó.á su exército en estos tér minos Soldados: los que pelearon el dia 21 de junio no eran franceses: ahora se os presenta ocasión de acreditarlo: ftéjresuelto so…</t>
  </si>
  <si>
    <t>…e habéis puesto en mis manos para abatir las orgullosas pretensiones del enemigo, y iacilitar con mis aliados el logro de una paz segura y honrosa.” ESPAÑA Tolosa jo de Julio.. El mariscal Soult^al frente de 40® hombres, trataba de socor rer á Pamplona, y á favor de una marcha rápida, pudo llegar hasta</t>
  </si>
  <si>
    <t>…provincias libres. Madrid ó" de Agosto. Hl dia 2 7 del mes próximo pasado atacaron los franceses por Vera al exéreito aliado con una fueren de jo á 60® hombres, á las órdenes del mariscal Soult. Su objeto era facilitar la salida déla guar nición de Pamplona, y poner en salvo un precioso convoy que habla en esta [daza. Pero ei gran ,Lord determinó espetarlos en Ugaríe , adonde penetraron los franceses para sufrir el oprobio de una completa derrota. L…</t>
  </si>
  <si>
    <t>…on las órdenes para que fuese atacada en la ma ñana del 25, y me es muy sensible haber de decir á V. E. que se malo gré esta tentativa. „Por un decreto imperial de l.° de Julio el mariscal Soult fué nombrado lugar-teniente del emperador, general en gefe de los exércitos franceses en España, y comandante general de las provincias del sur de Francia: se in corporo y tomó el mando de ellos el 13 del mismo, reuniéndosele casi al mismo tiempo lps cuerpos…</t>
  </si>
  <si>
    <t>…ejoñi *■' * tropas de Ve mariscal de mando cubría ql camina real deS- Sebastian áBayona: y el conde del Abis mal con las tropas. de su cargo bloqueaba la plaza de Pamplona. ,, Til mariscal Soult reunió el dra 24 de Julio el ala derecha é izquierda de su exército, dos divisiones del centro y dos de caballería en S. juán dé Pie de Puerto; y el 25 atacó el puesto del general Wing en Róncesvalles con el número de 30 á 40© hombres. El teniente general sir…</t>
  </si>
  <si>
    <t>…á solo el castillo. Una bomba, que cayó en este, incendió un al macén de pólvora , y produxo un estrago considerable. Es de esperar ten gamos pronto la noticia de su rendición. El mariscal Soult, á quien se ha incorporado el general Paris con hombres, reúne todas sus fuerzas disponibles en las inmediaciones de S. Juan del Puerto; pero sus movimientos no imponen á los aliados, cuyas fuerzas sen mui superiores. Estos se hallan bien fortificados y lleno…</t>
  </si>
  <si>
    <t>…al éxito de las combinaciones de- aquel dia; con haber detenido su marcha á un cuerpo de exército que los prisio neros aseguran no baxaba de 15 á 20© hombres, y que traía el mismo mariscal Soult á su frente. «Llegan diversos partes anunciando que toda la prolongación del' camino, defendido por nuestras tropas al frente de Yanci, está cubierto de efectos abandonados por los enemigos, y de bastantes cadáveres; y que han caído la mayor parte de sus tran…</t>
  </si>
  <si>
    <t>9*4 ■ ¡ . Madrid i.° de Setiembre; El mariscal Soult , á quien se ha incorporado el general Parte ; con 3® hombres, reúne todas sus fuerzas disponibles en las inmedia ciones de S.Juan de Pie de Puerto; pero sus movimientos no impo nen á los aliados, cuyas fuerzas son muy superiores. Estos se hallan bien fortifi…</t>
  </si>
  <si>
    <t>…Operación de esta hrigada.habri contribuido mu cho al éxito de las de aquel día, pues que una cclmnra, según las noticias de los prisioneros &gt; de 15 a 2c@ hombres, mandsda por el mariscal Soult en persona, fué detenida mas de cuatro horas por una fuerza que no pasaba de 1500 hombres* «Lá pérdida del enemigo ha debido ser: precisamente muy con siderable; mas no tengo bastantes datos para valuarla. = Dios guar de á V. E. muchoaños. Cuartel general de…</t>
  </si>
  <si>
    <t>…un impreso del quinto boletín al coronel co mandante del segundo batallón de Vizcaya D. Josef María de Quintana, quien dirigió á dicho general un detalle de la última derrota del mariscal Soult. Dos batallones de Vizcaya y tres de Cantabria, cuya fuerza toral es de 4® hombres, forman el bloqueo de Santoña y Laredo; pero aunque el valor y entusiasmo de estas tropas séa bastante para imponer al enemigo por la parte de tierra, es sensible no suceda otr…</t>
  </si>
  <si>
    <t>5í« . • ' Salamanca $ de octubre. El mariscal Soult ha marchado llamado por el Emperadóf. ' : J X^frahcdcs^BfiílB^o ^F^ódmíe.iTtó dé 'fo$5é*éféitos aliá'ddsVháin*ífetíra— "Eo stf ia.Mféría á!íJ£ ^üi^íá^lfhéáiTarte'déJ exdré^fr áfiádb va # &lt;Dájj?ál;tiña. Trés^dfdsibhes de 'esta deí^spiañolés^ jybrttfg'aesesce i…</t>
  </si>
  <si>
    <t>…va á sumergir la Frai cía en los hor rores de la revolución, particularmente si la paz no se luce pronto, y se quiere llevar á efecto la última conscripción, lo que no se dud?. El general Soult está todavía en S. Juan ce Luz *, su mal humor le hace insufrible; habla muy poco, y solamente de lo que pertene ce al servicio. Los dos generales arrestados de resultas de la acción de 7 del cor riente son Villate y Taugin: se dice que este último se ha tir,…</t>
  </si>
  <si>
    <t>Soült</t>
  </si>
  <si>
    <t>…ción de servir la causa de la Alemania y de su patria. Se ha recibido de In glaterra la noticia oficial de haberse tomado por asalto lá plaza dé S. Sebas tian el 31 de agosto. El mariscal Soült atacó el 31 de dicho mes y i.° desetiembre las posiciones del éxército ingles, españóly portugués á lo largo del Vidasoa, y fue rechazado con pérdida considerable á la orilla opuesta. ‘ BOLETIN 21DEL PRINCIPE BERNADOTTE. (i) Quartelgeneral i$e D/ssau 6’de oct…</t>
  </si>
  <si>
    <t>…e Andalucía del mando del mariscal ' de campo 1). Pedro Agustín Girón. JEI exercito combinado, á las órdenes del Excmo. Sr. duque de CiudadXodrigo, atacó el dia 10 al exército del mariscal Soult, y lo batió comple tamente , arrojándolo de sus fuertes posiciones, tomándole la mayor parte de la artillería que tenia en sus obras. El exército de Andalucía atacó el flanco izquierdo del campo y pueblo de Zara al propio tiempo que los aliados cañoneaban y s…</t>
  </si>
  <si>
    <t>…ción de servir á la cansa de Alemaaia y de su patria. Se ha recibido de Inglaterra la noticia de oficio de haberse toma do por asalto el 31 de Agosto la ciudad de S. Sebastian. El mariscal Soult atacó el 31 de Ago to y el i.° de Setiembre á las posiciones del exército ingles, español y portugués á lo largo del Bidasoa , y fué rechazado al otro lado con pérdida considerable. \ .v ARTICULO DE OFICIO. La Regencia del rey no se ha servido dirigir el decr…</t>
  </si>
  <si>
    <t>…sición que ocupaban el dia anterior ; y mandando á las tropas avanzasen en la direc ción de Bayona, se puso cuidadosamente á ob¡Serfvar :los movimientos del enemigotemiendo que el mariscal Soult, aprovechando las ventajas que de proporcionaba? el puente de Bayona , y la facilidad de pasar sus tropas dei uno al otro lado , atacase á las nuestras de la izquierda del Nive, viéndolas separadas de la derecha, y con comunicaciones mui difíciles por estar l…</t>
  </si>
  <si>
    <t>…ciembre. / - Estos últimos días hán llegado de Bayona millares de familia*, que vuelven á ocupar sus casas, que abandonaron á la llegada de las tropas aliadas. Parece que el mismo mariscal Soult se ha visto precisa do á consentir que así se verificase en virtud de haber recibido oficios del lord Weilington , en los cuales le expresaba que si los habitan tes pacíficos que habían abandonado sus hogares no volvían á ocupar los de nuevo, le seria absolut…</t>
  </si>
  <si>
    <t>…sde el dia 9 hasta el 18 del corriente; pero como hemos hablado ya de las ocurrencias hasta el 12 inclusive, nos limitaremos á las de los siguientes. Parece que el dia 13 atacó el mariscal Soult desesperadamente al cuerpo del general sir R. Hill, haciendo el último esfuerzo por dominar el rio Nive: para este efecto presentó en fuego 25© hombres, é hizo avanzar colunas in mensas sobre los dos flancos del camino real; mas no logró otro resultado que pe…</t>
  </si>
  <si>
    <t>Sousa, Gerardo Josef de</t>
  </si>
  <si>
    <t>Gerardo Josef de Sousa</t>
  </si>
  <si>
    <t>…ESP AÑAS. ECTECA IC.PAL Madrid Felizmente se han transigido las desavenencias ocurridas entre este go bierno y el pabellón español. Con esta fecha se ha ajustado un tratado entre D. Gerardo Josef de Sousa , cónsul general de España, y este baxá. Por él se ha estipulado solemnemente que se respetarán mutuamente ambos pabellones, indemnizándose igualmente de los daños que hayan sufrido ios vasallos de ambas naciones, y entregándose los buques en el estado que te…</t>
  </si>
  <si>
    <t>Sparre</t>
  </si>
  <si>
    <t>…rio france* por el marques Wellmgton. rLa enfermedad del general Lagerbring, gefe d i estado mayor del exército su.-ce, priva de sus servicios por algún tiempo á es.e exército. El general Sparre le substituye , y cumplirá su com sion cuarto se lo permitan las demas ocupaciones que tiene. Ei príncipe Cár’os de Mecklemburgo Schwerin ha tomado el mando del alistamiento general de aqu¿l país.</t>
  </si>
  <si>
    <t>Sparré</t>
  </si>
  <si>
    <t>…retaguardia , y se le han hecho algunos prisioneros. Se^nece sitan cinco ó seis dias para concluir las obras dé Roslau. Sé han trazado en un hermoso plano , y hacen mucho honor al general Sparré. El tercer cuer po prusiano, mandado por el general Bulovv, debe pasar mañana el Elba, como, también el general Tauenzien con. el suyo. El general Thumen que dará al frente de Wittemberg. Este general debe continuar el sitio de aque lla plaza con el mismo vig…</t>
  </si>
  <si>
    <t>tos. Son necesarios 5 ó 6 días para completar las obras de Rosiau. Fueron delineadas por en excelente plano, y hacen mucho honor al general Sparre. El tercer cuerpo prusiano, mandado por el general Bulow, debe atravesar el Elba mañana, como igualmente el general Tauenzien con su cuerpo. El general Thumen se quedará en frente de Wirttemberg. Este general debe continuar el sitio de aquella plaza con el mi…</t>
  </si>
  <si>
    <t>Spcnccr</t>
  </si>
  <si>
    <t>…amen de Jas personas siguien Grenvillc, lord Ellenboroug, el señor secretario YVindtes: el lord canciller, el lord presidente, el lord del hain, M. T. Grenville. sello privado, el conde Spcnccr, el conde de Moira, el</t>
  </si>
  <si>
    <t>Spencer</t>
  </si>
  <si>
    <t>…encia, dando esto motivo á. murmuraciones en la del Rei. casa, porque creo que los demás criados formarían Comisionados: lord Erskine, lord Grenviile, las mismas sospechas que yo. lord Spencer y lord Ellenborough. La princesa tomó un niño, que, según me d¡xeron, habia traído á |a Casa Stiltcman. Yo servia Vedaración de Roberto Bidgoo(l. una semana cada tres, y no me tocaba de servidum En el mes de setiembre próximo se cumplirán bre quando virio él…</t>
  </si>
  <si>
    <t>Spry</t>
  </si>
  <si>
    <t>…a la «brigada portuguesa j y la señalada valentía del coróne! DeRegoa, y el 15 regimiento portugués de su mando y y del ’cojroiiél Maerai con el 3.° regimiento portugués. El mayor general Spry elogia al teniente coronel.Heiii, que manda Ios- cazador es , y al ma yor C. Stewart Cajnpbclí, que manda el tercer regimiento en au sencia del coronel Me. Raí, y al mayor Fitz Gerald, y a sú ayu dante de campo él capitán Brachenburg del 61. El mayor-general…</t>
  </si>
  <si>
    <t>…200 voluntarios de la cuarta división á las del mayor Rose del 20 de infsrtena,. llevando de reserva el res to de la quinta divbion , compuesta de la brigada portuguesa del mayor general Spry, y de la primera brigada del mando del ma yor general Hay, como también el quinto batallón de cazadores de la brigada del mayor general Brsdford á las órdenes del ma yor Hill: todas estas fuerzas esti ban bsxo la dirección del teniente general Sir James Leith…</t>
  </si>
  <si>
    <t>Spult</t>
  </si>
  <si>
    <t>424</t>
  </si>
  <si>
    <t>…dentro de la misma penínYyla, ¿qué asenso merecerán las noticias auet comuniouen, del Norte! ,;No les, esiatia,, mejor guardar si ienfió sobre una accicn que cubrió de oprobio al mariscal Spult y á sus soldados! ¿Serán capaces ellos ni sus secuaces de desmentir los memorable* triunfos de las armas'airadas! Mal que les pese tienen que confesarlas: la Euro P* Jps proclama. Ya se acabacoo para.la .Francia aquellos dias de ^gloria en qud su Ertil perado…</t>
  </si>
  <si>
    <t>Srnith</t>
  </si>
  <si>
    <t>…tienden las fronte 'nia el viernes próximo pasado. Sus resoltas son del ras occidentales» y ha sido nombr.id?&gt;¡$uee'íor suyo 'mejor auspicio para la importante causa de! repit— ci general Srnith, inspector general del ejército. blicntiúmo en la ciudad de Filádelfia y en el con dado. La -robusta democracia de la -Pensilvania ha Del 6. rá sentir al enemigo que la América., no sólainen- Combate de Queenstown. 'Ve aprueba la justa guerra en que -nos hemo…</t>
  </si>
  <si>
    <t>St</t>
  </si>
  <si>
    <t>…s destinos. «Gradualmente fué arreciándose la pelea en los montes, donde el enemigo se escudó con una línea formidable de artillería. Las divi siones del príncipe Wirtemberg y del general St. Priest, pertenecien tes al cuerpo del general Miilaradowitch, combatieron allí bizarra mente, y ademas se dio una fuerte carga de caballería contra algu nos cañones del enemigo, uno de los cuales fué tomado. «En este tiempo vimos á Bonaparte en un sitio elev…</t>
  </si>
  <si>
    <t>…stinos. ,, Gradualmente fue interesándose la pelea en los montes, donde el ene migo se escudó con una línea formidable de artillería. Las divisiones del prín cipe Wittemberg y del general St. Priest, pertenecientes al cuerpo del ge neral Millaradowitch, combatieron allí bizarramente, y ademas se dio una fuerte carga de caballería contra algunos cañones del enemigo, con tan buen éxito, que uno de estos quedó en poder de los aliados. ,, Entonces se…</t>
  </si>
  <si>
    <t>…vió á tomar á Hamburgo á viva fuerza. El príncipe de Eckmiih! alaba particularmente k conducta del.gen.erai Van da m me. Hamburgo se perdió en:_la .campaña pasada por cobardía del general St. Cyr, y se debe ai vigor que el general Vandanime mostró.quando llegó á la 32.a divi sión militar el haber conservado á Bremen, y el haber vuelto á tomar ahora á Hamburgo. Cogimos varios prisioneros: hallamos en la ciudad 200 ó 300 piezas de artillería, de la…</t>
  </si>
  <si>
    <t>…ruso, prusiano y austríaco se -hallaba? al frente de esta ciudad, y coronaba todas las alturas que rodean á Dres-* de por la orilla izquierda á la distancia de una legua ¿orta. El mariscal St. Cy r con el décimoquarto cuerpo y la guarnición dé Dresde ocupaba: el campo atrincherado, y formaba en todas las fortificaciones de los arrabales de la ciudad una línea guarnecida por los cazadores. Al medio dia todoestaba^ien &lt;sosiégó j. p¡er&lt;&gt; para tíña ¿v…</t>
  </si>
  <si>
    <t>…rusos, prusianos y austríacos, y el $ ae setiembre mar charon sobre Hotteadorf, el 6 hacia Gieshubel, ye 1 7 hacia Pirna._El 8 ai medio día el Emperador fue hacia Dahma, mandó al mariscal St. Cyr que acometiese lá vanguardia enemiga, que fue arrojada de las alturas de Dahraa por el general Bonnet. Durante la noche los franceses quedaron en el campo de Pirna (1)------El día 9 el exército francés marchó hacia Borna y Fumenwalde. El Emperador tenia…</t>
  </si>
  <si>
    <t>…alturas de Weissig. El octavo cuerpo, mandado por el príncipe Poniatowky, ha vuelto á pasar -á la orilla izquierda. El conde Lobau ocupa aun á Grieshuheí con el primer cuerpo. El mariscal St. Cyr ocupa á Pirna y la posición de Dohna. El duque de Bellune se mantiene en la posición de Freiberg. El duque de Ragusa, con el sexto cuerpo y la caballería del general Latour-Maubourg, estaba mas allá de Grossenhayn: había rechazado al enemi go á la orilla…</t>
  </si>
  <si>
    <t>…o, así como ’.e la que ocupaba mas abaxo de Grillenberg, cerca de Ob rsedliíz, donde es taban apostadas las divisiones de Doroc, Clapareáe y parte de la de Bonnet, mandadas por el mariscal St. Cyr, y las habla cbli¿ado á retirarse á Dresds con precipitación y des- rden. . El 26 un cuerpo explorador, bastante numeroso, tuvo orden de acercarse á Drerde para reconocer las obras construidas en las entra das de aquella ciudad, y al misino ti mpo tomar…</t>
  </si>
  <si>
    <t>…vuelta por la izquierda de bía forzar la pesieion del enemigo en Lindenthai. Los guardias rusas y ía vanguardia debida adelantarse sebre el camino real de Leipsick. El cuerpo del general St. Priest, partiendo de M.rseburgo, debía seguir al cuerpo del general Lsngcron La caballería y las diferentes reservas se formaron en el terreno abierto entre los pueblos. Ya era *€rca del medio día ántes que las tropas se colocasen en sus posi ciones respecti…</t>
  </si>
  <si>
    <t>…exel c&amp;nsta que las tropas dinamarquesas se sublevaron contra Davoust, y que el general Walmioden, aprovechándose de este suceso, le derrotó completamente. También-se decia que el mariscal St. Cyr se había pasado á los aliados; y finalmente que Bonaparte salía de París para Holanda, donde reúne un exército de óo© hom bres, inclusas las guardias. _Por noticias de Milán de 4 de noviembre se sabia que el virei de Italia.se había retirado á Bassano, r…</t>
  </si>
  <si>
    <t>…ánica. Los Emperadores AJexandro y Francisco entraron en Francfort sobre el Mein. Al retirarse los franceses de Hanau perdieron i hombres entre muer tos, heridos y prisioneros. El mariscal St. Cy r y ió® hombres que quedaron en Dresde se han ren dido al general austríaco Klenau. Davoust e*tá cercado en Hamburgo. La flota del Scheldt se ha rendido. Toda la Istria y la Croacia están en armas contra los franceses, y sus habitantes han jurado seguir e…</t>
  </si>
  <si>
    <t>…j t]ue marchó contra el general conde Langeron. Este ge neral, que manifestó con sus tropas el mayor valor en la toma de la aidea de Shoufeld , creyó necesario proteger ai general conde St. Priest, que no tenia artillería. Veinte cañones suecos, mandados por el general Ofcrdell, llegaron prontamente. Se aseguró el punto» y el vivo y acertado fuego obli gó al enemigo á retirarse precipitadamente. ; Como se adelantaba la noche, el exército quedó…</t>
  </si>
  <si>
    <t>…l júbilo que reina en Holanda con motivo del restablecimiento de su antiguo gobierno. El rio Meu&lt;e está libre de franceses. Dicen que el general Bulovtf ha llegado á Amersfort. Ei mariscal St. Cyr y el conde Lobau, que mandaban la guarnición francesa en Dresde, compuesta de 16® hombres, se han entregado á discre ción prisioneros de guerra, porque el genera! Kíenau no quiso admitirles ca pitulación. La toma por asalto de las líneas deHoekheim, por…</t>
  </si>
  <si>
    <t>…onia, Dresde, á las armas abadas del mando dfel general Kleoau, quedando en su poder una gran cantidad de artillería, equipages, carros &amp;c., y hechos prbioxeros ió$ hombres con el mariscal St. Cyr, varios generales, y multitud de oficiales gefiíerales; y Filiarse libre todo el Hannóver. en cuya capital tenia en cuartel general el príncipe real de Suecia el di* *6 dei njismo mes; y esta noticia se lubla hecho una salva ce artillería en Loadres</t>
  </si>
  <si>
    <t>St, Carra</t>
  </si>
  <si>
    <t>Carra St</t>
  </si>
  <si>
    <t>…ocuparon ias tropas rusas la ciudad deMunster, haciendo 600 ■prisioneros al enemigo en su retirada. El'general Tettembcrn con su cuerpo ha mantenido en respeto á la di visión dei general Carra St. Cy r, y á las tropas que vinieron de Holanda pa ra recobrar á B remen. El Príncipe Real está -mui satisfecho con Ja actividad de aquel general. - : . , ’ . El mariscal Davoust ocupa aun su antigua posición en Stignitz, y no puede retirarse á Franja. El gener…</t>
  </si>
  <si>
    <t>St, Gouvion</t>
  </si>
  <si>
    <t>Gouvion St</t>
  </si>
  <si>
    <t>…; pero el de seo de ias tropas de adelantarse á encontrar al enemigo fué causa de una acción eon el cuerpo de la derecha en la mañana del 22. Los franceses estaban mandados por el general Gouvion St. Cyr (que aca baba de llegar con el exército desde Wurtzburgo), y sus fuerzas pasaban de 15© hombres; estos fueron apoyados por Ies tropas de Konlgstein y por las del campo Liliensteia, que eran lo menos ó©, al mando de Bormet. Después de un encuentro de cons…</t>
  </si>
  <si>
    <t>Stadion</t>
  </si>
  <si>
    <t>…mas que él cuerpo auxiliar aus el Tenesséa, Kenméki, ;0hio, Vermont i la ma tríaco se completase inmedia^smente, y que el se yoría de Mífriland y trida la Pensilvanía han esta ñor conde Stadion pasase desde luego ai exército do en favor de Mr. MaddiSíbn, y los otros siete se con ¿1 título de comisario iú1jVér]á\ , pira proveer á han pronunciado por Mi*. VV itt-Clinton. De 218 las necesidades qué-padece «fe résuftas «ie las fangal electores que repre…</t>
  </si>
  <si>
    <t>…armisticio, anunciado en tos papeles franceses como pro puesto, el 23 por un parlamentario de los aliados, se reduce en los papeles alemanes á que un enviado austríaco, llamado el conde Stadion, permanecía en el quarte! general de los aliados desde el 18, y que tenían continuas con* herencias con él. Incluimos el contenido de dichos papóles. ¡ / Sabemos por avisos particulares de Heligoland qtie los suecos habían evacuadb a Hamburgo. Fueron reemplaz…</t>
  </si>
  <si>
    <t>…n los avisos mas recientes»/ estaba en Hertzberg, sobre el camino de Torgau. Aqui se da por mui cierto que mañana 26 de'mayo se hará pública la ac cesión del Austria á la liga. El conde Stadion, que hace algunos dias llegó al quartél general del exército aliado ha tenido frecuentes conferencias con los ministros. .1 Mr. Thorriton, ministro de Inglaterra cerca de la corte de Suecia» ha llegado á Stralsund. El Cuerpo de exército ruso mandado por el ge…</t>
  </si>
  <si>
    <t>…y que el Príncipe Real de Suecia va á Berlín. Por un itinerario del viage de este Príncipe se sabe que en el camino re vistó las tropas rusas que estaban baxo su mando , y que el conde Stadion, ministro de Estado y de las conferencias del Emperador de Austria, lord Cathcart y Mr. Thornton , ministros de S. M. cerca del Emperador de Rusia y del Reí de Suecia, estaban en Trachemberg. Por medio del telégrafo se supo en Lónares desde Plimouth el 10 del…</t>
  </si>
  <si>
    <t>Stadiótr</t>
  </si>
  <si>
    <t>…esertores, y la pérdida quede esto resulta ál enemigo es mui considerable. . . . . . Wissemburg {entre Bxizen y Xjoerlitt) 2# de mayó. Eí: fhhustro im perial austríaco nombrado el conde Stadiótr ha llegado * 'aquí 1 hace áiguños</t>
  </si>
  <si>
    <t>Staeí</t>
  </si>
  <si>
    <t>…festó retirarse ha cia Magdeburg. El mayor barón de Essen, ayudante de campo del Príncipe Real, y el capitán ruso Krasnakutky ifujerén con un regimiento de cosacos" á Delitsch. El coronel Staeí perseguía vigorósamenté al enemigo, y se di$-; tin guió por su gallardía y pericia'en el cómbate Frente de Dessau del diá 26 de octubre. La expedición del general1 CzcrnicHeff há sido coronada de f©s mas brillantes sucesos. Jamas se han manifestado tanto como…</t>
  </si>
  <si>
    <t>Ste'wa</t>
  </si>
  <si>
    <t>n6S GRAN-BRETAÑA. Léndres jo de Setiembre Q&amp;nclusion de los oficios repiitidos; /r/ vizcondeí Castléreagk por el general Ste'wa? t.. y Toplitz- J-T j¿?/j. Mi lord ; La brillante y bien sos tenida a-cion de* 30, en que las guardia* rusas se cubrieron de glo ria, ha sido se. uida de una victoria general y decisiva contra la parte del exórcitv enemigo que se adelantó desde Pírna y Konigs…</t>
  </si>
  <si>
    <t>Ste'wart</t>
  </si>
  <si>
    <t>…GACETA DE LA REGENCIA DE LAS ESPAÑAS DEL MARTES 26 DE OCTUBRE DE 1813. GRAN-BRETAÑA. Londres jo de Setiembre. Continuación de los oficios remitidos al vizconde Castlereágh -por el general Ste'wart. Ctiartel general de S. AI. I. el emperador de Rusia en Altenberg 29 de Agosto de i8ig. Mi lord: habiendo el 27 abandonado el enemigo el campo inmediato á Dresde , llamado Gíossen Garden, y refugiádose en sus obras avanzadas, y en los arrabales, se tuvo por c…</t>
  </si>
  <si>
    <t>Ste, Cathcart y Sir Carlos</t>
  </si>
  <si>
    <t>Cathcart y Sir Carlos Ste</t>
  </si>
  <si>
    <t>…útn. 137. GACETA DE LA REGENCIA DE LAS ESP AÑAS DEL JUEYES 21 DE OCTUBRE DE ISIS. GRAN-BRETAÑA. Londres de Setiembre. SECRETARIA DE NEGOCIOS EXTRANGEROS. Oficios de Mr. Thorneton, lord Cathcart y Sir Carlos Ste*wartt remitidos al vizconde CastUreagh, ministro de estado , de ¿de Juterbock a 31 de Agosto, i.° y 8 de Setiembre. OFICIO PRIMERO. Juterbock 8 de Setiembre. n Mi lord: A poco rato que os remití el oficio de ayer desde Bruck, partí de este pueblo porque el ba…</t>
  </si>
  <si>
    <t>Steáinck</t>
  </si>
  <si>
    <t>…77 de Junio. El principe real (Bernadotte) emprendió el 6 del corriente su ♦¡age á Trachenberg baxo el título de conde de Upland. S. A. R. llevaba en sp comitiva al feld 'mariscal conde Steáinck, ai teniente gobernador príncipe Putbos, al canciller de la corte barón Wetterstedt, al chambelán del gabinete conde Brahe , al teniente coronel Camps, y á los barones Stiercona &gt; Essen Scc. £1 general barón Adlercreutz ha tomado el mando en ge fe del exércit…</t>
  </si>
  <si>
    <t>Stedii</t>
  </si>
  <si>
    <t>…. El mayor Helhvjg, del cuerpo del general BnIo«r, se abrió en la orilla izquierda del Elba una comunicados con la vanguardia del general ¿chulzenheim en Des¿au. El fdd. -mariscal conde Stedii gk hace construir obres considera bas cerca de Roslau, y entre el Elba y el Muida. El general ba rón Wiazingerode hace del pueb'o de Acken ux¡a-fortaleza. El gobierno miLer entre el Oder y el Vístula pene todo el alis tamiento general y el de la orilla derech…</t>
  </si>
  <si>
    <t>Steding</t>
  </si>
  <si>
    <t>…res entre muertos y heridos. Después recibimos noticias de que el enemigo había recibido refuerzos en De ssau, y marchaba avanzando contra la cabeza del puente. El feld- maris cal conde Steding envió contra él al coronel Bjornstierna con 1® infantes, algunos caballos y dos cañones. El enemigo se retiró precipitadamente á la ciudad, y cerró las puertas. Algunos oficiales y soldados jóvenes, llevados de demasiado valor, aperar de la lluvia de balas de…</t>
  </si>
  <si>
    <t>Stedingk</t>
  </si>
  <si>
    <t>…ros cuerpos del enemigo para acometerlos al misrriQ tiempo. El general Winzingerode se hallaba á la cabeza de 10® caballos, el conde Woronzow al frente de la infantería rusa, y el conde Stedingk mandaba la línea sueca, formando su reserva la caballería.__ La aldea de Ruhlsdoríf, situada al frente de este Campo, fue guarnecida por la infantería para mantener comunicación con el general Bulow, No habiendo salido tos otro's cuerpos de los bosques, el ex…</t>
  </si>
  <si>
    <t>…mayor Heílwig, del cuerpo del general Bulow, ha abierto en la orilla izquierda del Elba una comunicación con la vanguardia del general Sclfulzenherm en Dessau.“ ' El feld-mariscal conde Stedingk hizo construir obras considerables' por «ncíma de Roslau, y entre el Elba y el Muida. El general barón Winzvn-</t>
  </si>
  <si>
    <t>i34i potros tuvimos un oficial muerto, to heridos, y como unos 300 sol dados entre muertos y heridos. £1 feid mariscal, conde Stedingk , quería pasar la noche en la cabeza del puente, y fué necesario todo el poder de la persuasión de S. A. R. para que desistiese de su resolución. El teniente coronel Murwitz , que había s do destacado como par tidario para proteger las operaciones del general…</t>
  </si>
  <si>
    <t>Steele, Roberto</t>
  </si>
  <si>
    <t>Roberto Steele</t>
  </si>
  <si>
    <t>…rvido de mocho, condu ciendo ef regimiento de Sevilla para sostener mi ataque ai reducto. ■ ■ Suplico á V. S. haga presénte al general en gefe la bizarra conducta de -mi edecán el capitán D. Roberto Steele, que me ha acompañado durante toda la acción, comunicando órdenes, á pesar de .haber llevado su caballo tres balazos, dando un exemplo digno de toda recomendación. Las noticias de los lieridós y muertos las remitirá ¿ V. 5. el gefe del es tado mayor. Dios gua…</t>
  </si>
  <si>
    <t>Steenhouwer</t>
  </si>
  <si>
    <t>…tán, no culpado de com ■-«-Ya sea excitar á los ciudadanos ó habitantes á plicidad, por la suficiente mayoría de tres votos; » que tomen las armas contra la autoridad imperial, Al señor Steenhouwer, capitán, culpable de «Serán castigados con la pena de muerte y compacidad con el ex-general Malet, unánimemente. « confiscación de bienes.” Al señor Fessajt, teniente, culpable de compli art. Lxxxvni. «Hai atentado luego que un cidad con el.ex-general Malet,…</t>
  </si>
  <si>
    <t>Stein</t>
  </si>
  <si>
    <t>…ton-House l.° de Pebrelo de 1813, presente S. A. R. en el consejo. —Jos. Buller.” Idem 9 de Marzo. En Konisgberg se ha instalado una regencia prusiana, cuyo pre-, aidente es el ex-ministro Stein. Ei general D’York ha sido nombra do por la nueva regencia comandante en gefe del exército patriótico que está formando &gt; compuesto de las tropas que tenia ántes baxo su mando aquel general, y de un gran número de paisanos que corren á alistarse para rescatar…</t>
  </si>
  <si>
    <t>Steinheil</t>
  </si>
  <si>
    <t>' 5 acción de Folotsk, este general destacó un cuerpo para observar á Macdonald ^ y al mismo tiempo envió al general Steinheil al cami no de Wilna ^ quien después de haber cortado el cuerpo bávaro del de St Cyr , dispersándole enteramente , y tomándole varios ca ñones y banderas , se volvió á reunir al conde Wittgenstein , el cual se puso en marcha para atacar los franceses que resta…</t>
  </si>
  <si>
    <t>…bailaba en estado de hacer una larga y vigoresa resisten cia. Por el mismo conducto escriben , que los rusos están SO le guas mas acá del Vístula; que un cuerpo á las órdenes del’general Steinheil se halla enNeusteüa, en el ducado de Cassubia. Wittgenstein en Kugenwalde en la Pomerania prusiana; que Piatow con lo* _____. . ’ Y| .V • ..•» .i • •- ) ■, .-i*.'' • •vm- &gt; .V N. . ' • (1) En otra gaceta se publicarán los oficios del emb&amp;xaáor inglesen Pelers…</t>
  </si>
  <si>
    <t>Steinheit</t>
  </si>
  <si>
    <t>…an desde D&amp;ntzick á Tapia km y Weblaw, probablemente con intento de reforzar á Macdonald y cubrir su relirada, se dirigió con tra ellas con su cuerpo, y el 3 de Enero estaba ya ei conde Steinheit en Taplakin y Welñaw. También envió una fuerte partida de caballería al territorio adyacente á Konigsberg y hácia Eibuiga con el objeto de quitar al enemigo todos los medios de acopiar provisio nes , por cuanto, segan noticias, estaba acarreando grano de vari…</t>
  </si>
  <si>
    <t>Steinnet, Von</t>
  </si>
  <si>
    <t>Von Steinnet</t>
  </si>
  <si>
    <t>…o el enemigo un encuentro con un cuerpo prusiano, el qué se retiró en buen orden después de haber hecho un vivo fuego de artillería. En esta acción se distinguió con su brigada el brigadier Von Steinnet; el general prusiano St. Priest atacó á los franceses por el flan co mui acertadamente, con lo qual se decidió el combate. El enemigo per dió 400 hombres entre muertos y heridos ; nuestra pérdida fue de dos oficia les y de 150 soldados; entre los primeros es…</t>
  </si>
  <si>
    <t>Steivart</t>
  </si>
  <si>
    <t>…os prusianos, á las órdenes del general Bulow, sobre Minden; y Jos suecos sobre Hannóver. Es inexplicable ei entusiasmo y lealtad de los bannoverianos, sobre lo que se extiende el general Steivart: felicita á S. M. Británica por la entrada de Jas tropas aliadas eii los estados electorales*, observa que á pesar de la destrucción de todos los monumentos ,y aun con las nuevas autoridades , per manece intacto en la universidad el busto de S. M., que la Rei…</t>
  </si>
  <si>
    <t>Sterling</t>
  </si>
  <si>
    <t>…n las lanchas del navio Garland, apostado en Jamayca, al corsario americano el Poor Sailor, que te nia un cañón de á 6 y 50 hombres: mandaba las lanchas el teniente Brake. El vice-almirante Sterling, comandante de! apostadero de Ja mayca , ha remitido dos cartas de Mr. Boss, capitán de la chalupa de S. M. el Rodiano , con fecha de 13 y 1€ de Setiembre, dando cuenta de haber apresado dos corsarios americanos, nombrados el uno el Dash, con un cañón y 50 ho…</t>
  </si>
  <si>
    <t>Sterling, Franci-co Severo</t>
  </si>
  <si>
    <t>Franci-co Severo Sterling</t>
  </si>
  <si>
    <t>…e envío d sde S. Feliú de On dinas el coronel Lesen :e , gefe de U primera bridada de la primera división-á las ór ‘enes del gefe de estado mayor de la misma, el ayu dante segundo D. Franci-co Severo Sterling. La oportunidad con que fueron destacadas y sostenidas estas tropas, hace honor ¡d expresado coronel Lesenne , así como el .modo con que se portaron manifiesta la oportuna y conducente dirección que supo darles el ayudante Ster ling, y la bizarra con que este…</t>
  </si>
  <si>
    <t>Sterling, Francisco</t>
  </si>
  <si>
    <t>Francisco Sterling</t>
  </si>
  <si>
    <t>…ueasen impunemente este miserable pueblo, dispuse que las compañías de cazadoras y gra naderos del regimiento de Baza , y ías de la misma c ase del "de mi mando, á las órdenes del capitán D. Francisco Sterling, ge e de: es tado mayor de la brigad*, emprendiesen una rápida y precipitada marcha para caer sobre ellos con anticipación, destruir sus id,as, y llena? ea na todo mi objeto. Por mas rápida y veloz que fué nuestra marcha, ya Ins enemigos, temerosos del movimi…</t>
  </si>
  <si>
    <t>…junto estado, siendo muy superior ia suya, respecto i que solo en el campo han dexado mas de 40 muertos. . «Vivo* muy satisfecho de la conducta militar que ha cbservsdo el espiran D. Francisco Sterling, cuyos conocimientos mi;¡tares y valor hm contribuido en grande manera al feliz éxito de nuestra jornada; igualmente recomiendo á V. E. los oficiales de granadero* y cazado res de ambos tejimientos, quienes han acreditad &gt; su acendrado va lor ; son dígaos de…</t>
  </si>
  <si>
    <t>Stevvart</t>
  </si>
  <si>
    <t>…cañones, y algunos miliares de prisioneros.Qtros dos, generales, y^gnnoj mi llares de soldados, que se habían refugiadoájps montes, se han empegado esta mañana en Piterswalde. (El general Stevvart en su.oficio.dice quq adegi^ts.dft los dos generalesméferidos se cogid prisioneros al general Gipt;,.Itiajijbergi al.;prjncipé,de. Reuss, todo el estado mayo^de Varyáflmme y con 6b pie?as; de artillería y seis banderas, ): Las guardhts ru^tó yr lo caba lee rí…</t>
  </si>
  <si>
    <t>Stew</t>
  </si>
  <si>
    <t>…á 50 piezas y algunos millares de prisioneros. Otros dos generales, y algunos miles de soldados que se habían refugiado en los montes se entregaron esta mañana en Peterswalde. (Eí general Stew&amp;rt dice en su oficio que fueron hechos prisioneros, ademas de los generales mencionados, el general Giot, Itimberg, el príncipe d« Reus; y que se cogieron 60 piezas, ioS prisioneros, 6 banderas, y todo ei estado mayor de Vandamme quedó también prisionero.) La…</t>
  </si>
  <si>
    <t>Stewart</t>
  </si>
  <si>
    <t>…do casi todo su interes por la conclusión del armisticio-----La acción del 26, de que Bonaparte habló tan ligeramente, parece haber sido mui de nodada por parte de los aliados. El general Stewart la caracteriza como uno de los mas distinguidos ataques que se han visto de caballería contra quadros macizos de infantería. Por el despacho del 26 tenemos la satisfacción de saber que van llegando á tos aliados diariamente refuerzos. Por el segun do despacho…</t>
  </si>
  <si>
    <t>…arte alguna de esta; con todo fué incomodada considerablemente en su marcha por uu cañón de á 9 y un mortero. n Ordené inmediatamente á la segunda división que mandaba el teniente general Stewart que subiese al monte por el camino que ocupábamos, mientras que la columna del conde Dalhousié atacaba por otro mas á la derecha. n El enemigo tomó una fuerte posición en la extremidad del paso con una multitud de tiradores al frente. El ataque por nuestra pa…</t>
  </si>
  <si>
    <t>…perseguía por el otro, y ambas divisiones ganaron la altura casi al mismo tiempo, y el enemigo se retiró después sufriendo una pérdida muy considerable. »La conducta del teniente general Stewart, del mayor general Pringle, y de todos los oficiales y soldados en general fué sobresa liente , y siento que una densa niebla nos impidiese aprovecharnos de las ventajas que ofrecía la situación del enemigo, las cuales hu biéramos conseguido sin aquel obstácu…</t>
  </si>
  <si>
    <t>…s del 38 de infantería y y de todos los oficiales y soldados empleados, y se confiesa particularmente obligado al celo, inteligencia é intrepidez del mayor de brigada Tailor y del capitán Stewart de reales escoce ses,* que hizo de su ayudante de campo. »E1 mayor general Hay se manifiesta asimismo muy satisfecho déla conducta bizarra y; juiciosa del teniente coronel Cooke, co mandante del destacamento de guardias, dél teniente coronel Hont, comandante…</t>
  </si>
  <si>
    <t>ioi6 panto tan interesante en ía costa y cercano á k frontera, ademas de cansar al enemigo la pérdida de una guarnición, compuesta en su ortgen'de 3400 hombres. «El capitán Stewart, ayudante de campo del mayor general Hay, que tanto se distinguid durante ei sitio , por desgracia ha muerto después de mi último parte. «En este parte mismo omití mencionar mis obligaciones al gran celo del capitán Smirh, de la marina real, que dirigid y exe…</t>
  </si>
  <si>
    <t>…ornémos lo mismo «de* otras tantas le giones luego que las operaciones dmtós aliados pasen á la'orilla izquierda del Elba, y les puedarñservir de apoyó,cpues según los oficios del general Stewart el exército grande de Bohemia asciende á 100© hombres, y con faci lidad podra maniobrar en la orilla izquierda del Elba. Finalmente los asun tos del continente minea nos han prometido tan brillantes esperanzas. Los papeles de París llegan hasta' 10 dp octubre…</t>
  </si>
  <si>
    <t>…\ Del j\ ’de nqf\efhbrey Cartas escritas por S. M.el Emperador Aíexándroalord Catkcart y d 1 srr Cárlos Smvari enviándoles las insignias de la orden militar dier S. Jorge. , ^ Al general Stewart. , [ ’ . t Señor general Stewart : hepresenciado con todo eí exerdtcr.élllifadgabíé^ zeloque Habéis mostrado en está campaña, dónde, sieihpré p'fésédfe, én.'lóürj campos del honor, tanto os habéis distinguido por vuestra preo icia de espí c_p ritu y brillante…</t>
  </si>
  <si>
    <t>…1. Ei emperador ha tenido hoy otrjiconsejo privado en St. Cload. _ GRAN-BRETAÑA. Lóndres jo de Noviembre. Cartas del emperador de Rusta al hrd Cathcart y dS. C. Stewarf. nTeniente general Stewart: He sido testigo, así como todo el</t>
  </si>
  <si>
    <t>…su salud, mui alterada con las fatigas del viage.GRAN BRETAÑA. Idoficias de Londres hasta 26 de noviembre. jDel 24. Es digno de notarse que ninguno de los ministros británicos el general Stewart, el conde Cathcart ni el lord Aberdeen hagan mención en sus oli dos del puente que hizo volar el cabo de esquadra francés: este suceso, á que Bonaparte atribuyó todos sus reveses, no se hubiera ocultado, si.fuese cierto, á la conocida veracidad de aquellos mi…</t>
  </si>
  <si>
    <t>Stewart, C.</t>
  </si>
  <si>
    <t>C. Stewart</t>
  </si>
  <si>
    <t>…almente se supo la victoria del general Blucher.__ Por noticias de Hamburgo de 1 j de setiembre se sa bia que el general austríaco Nugent ocupó á Fiume el 25 de agosto. ; teniente general C. Stewart en su oficio de 29 de agosto cal cula ja pérdida, de* los aliados*en las acciones del 26, 27 y 28 de agosto de lantero Dresde en 11© hombres entre muertos y heridos: la del enemigo fue mayor, y ademas se le hicieron muchos prisioneros.___Según noticias diq Ai…</t>
  </si>
  <si>
    <t>Stewart, Sir C.</t>
  </si>
  <si>
    <t>Sir C. Stewart</t>
  </si>
  <si>
    <t>…AÑAS DEL SABADO 24 DE JUDIO DE 1813. GRAN-BRETAÑA. Londres go de Junio. El vizconde jCastlereagh, secretario de estado de S. M. B., ha recibido los siguientes oficios del teniente general Sir C. Stewart, ministro plenipotenciario cerca de la corte de Prusia: i.° Cuartel general de Reichenbach 6~ de Junio de l8ig. »»Milord : En el espacio de pocas semanas han sostenido los exércitos aliados dos sangrientas batallas contrá el enemigo, muy superior en numero; s…</t>
  </si>
  <si>
    <t>Stewartr, Carlos</t>
  </si>
  <si>
    <t>Carlos Stewartr</t>
  </si>
  <si>
    <t>…vir á este trastorno, aunque se ha de confesar que sus fatales consecuencias se sintieron por todas par Londres • de febrero. tes en este país. También la república francesa pu El general Carlos Stewartr sucederá á Sir Sta- do resistir al vay ven'ocasionado por la total de pleton Cotton , que se retira del servicio de resultas cadencia del papel-moneda; pero ademas que la si de las heridas que recibió en la última campaña de tuación de la Francia en aquella é…</t>
  </si>
  <si>
    <t>Stfige.lí</t>
  </si>
  <si>
    <t>…ministro de Guerra , conde Fonranelii; el Hurembrrg ty de enera. ministro del Tesoro, conde Barago; el consejero La* cartas de. Bohemia ¿¡conque se aseguraba secretario de Estado, conde Stfige.lí; conde B?rgennr^tfncBte qu¿ un correo qué acababa de llegar nardi, conde Maestri, Bargnani, L Giovio, Guasi Praga desde Viena traía la orden de que los ba-' taviilani, Bazetta , conde Scopoli, conde Tarracvitallones repartidos en l*s plazas del reino, se reun…</t>
  </si>
  <si>
    <t>Strangways</t>
  </si>
  <si>
    <t>…to capitán Bogue , honor de su profesión, y cuya muerte es una gran pér dida para sus amigos y su país, recibió un balazo en la cabeza , que privó al exército de sus servicios. El teniente Strangways, que le sucedió en el mando de la brigada, ha recibido del Príncipe Real pruebas de gratitud por los servicios de la brigada. Mientras la acción se pasaron á nosotros dos regimientos de húsares de Westfalia, y dos batallones saxones con 22 cañones de esta mis…</t>
  </si>
  <si>
    <t>Streerh</t>
  </si>
  <si>
    <t>…. se ignoran las resultas. Dícese sin embargo que ya S. M.-acaba de hacer una numerosa promoción se hart comunicado á los gobiernos de los cantones ' en el exército. Los generales barón Streerh y con que dependen de esta diócesis. de Spaur han sido nombrados gobernadores milita S. hajfusa 11 de marzo. res de Munich y de Saltzburgo; y los coroneles Schlosber y ¿lein de Bayreuth y de Anspacb. . . Ei-dia ó del presente mes llegó á esu ciudad el'</t>
  </si>
  <si>
    <t>Strelitz</t>
  </si>
  <si>
    <t>…u sianos fueron los únicos que entraron en acción, y tanto estos como los franceses fueron mandados por sus respectivos soberanos. Bona parte perdió 2 mariscales; los prusianos al príncipe Strelitz, que dando dueños del campo. El general prusiano Hunerben perdió un brazo, y fueron asimismo heridos los generales Scharnhorst y Blu cher. La caballería prusiana no pudo maniobrar por la mucha arti llería que tenia el enemigo. Un cuerpo de 600 franceses que i…</t>
  </si>
  <si>
    <t>…e entraron en ella, y los dos exércitos francés y prusiano fueron manda dos por sus respectivos Soberanos. Bonaparte perdió dos mariscales : los pru sianos lamentan la pérdida del príncipe Strelitz; pero quedaron dueños del campo de batalla. Los generales prusianos Hunerben, Scharnhorft y Blucher fueron heridos: el primero perdió un brazo. La caballería prusiana no pudo maniobrar á causa de la mucha artillería dé los enemigos, un cuerpo de 6co franceses…</t>
  </si>
  <si>
    <t>Strougolli, Vicente Pignatelli</t>
  </si>
  <si>
    <t>Vicente Pignatelli Strougolli</t>
  </si>
  <si>
    <t>…ebidamente los documentos justifi El barón Domon ha sido nombrado teniente ge cativos de ella. neral y capitán de la guardia real. Mr. Cárlos Grantdixo que no tenia interes por El señor Vicente Pignatelli Strougolli y el se que se llevase adelante la propuesta hecha á los in ñor Cattaneo, mariscales de campo y edecanes de teresados, y que estaba persuadido de que lo mis S. M., han sido nombrados tenientes generales: el mo dirian todos los directores; solo sí deseaba la a…</t>
  </si>
  <si>
    <t>Strvart</t>
  </si>
  <si>
    <t>…a perdieron 4 cañones portugueses el día 25 de Julio. El genere! Pringle , que mandaba quando se empezó el ataque, dispuso que se retirasen hacia Maya , y quando llegó el teniente general Strvart mandó que volviesen, y se retirasen por el camino de la montaña á Eüzondo : ínterin lo verificaban , el enemigo se apoderó del puerto perdién dose la comunicación con aquel camino, y de consiguiente no pudieron re tirarse.. ,, Incluyo á V. E. los estados de l…</t>
  </si>
  <si>
    <t>Stuart</t>
  </si>
  <si>
    <t>3&lt;S Del 3 de mayo. Con satisfacción anunciamos la rendición de Thorn, que el general Stuart participa desde Berlín con fecha del 23 último. Componíase su guar nición de franceses y bávafos: quedaron aquéllos prisioneros , y a estos se íes concedió volver á sus hogares baxo palabra de honor. Se embarcan en nuestros puertos destacamentos de todas arma…</t>
  </si>
  <si>
    <t>Stuvart</t>
  </si>
  <si>
    <t>…ación , de 36 cañones, está agresión mas grave , se ba visto reducido el baxá ya en actividad y ha salido al mar, mandada por de Bagdad á venir á una composición •, confirmando el capitán Stuvart. igualmente esta listo e! Adam, á Abdurahinau- baxá en el gobierno de Solimanié, de 32, que mandara el capitán Morris, teniente y obligándose á pagar al Rei de Persia una suma que fue del capitán Hull; v que ha merecido esta ele 60© toinanes , ( 4.800© reales…</t>
  </si>
  <si>
    <t>Stward, Guillermo</t>
  </si>
  <si>
    <t>Guillermo Stward</t>
  </si>
  <si>
    <t>…alle de Bastan. Habiéndose d rígido la fuerza del ataque contra las brigadas de la segunda división del cargo de los mariscales de campo Pringle y Walker, mandadas por el teniente general Guillermo Stward , se vieron ob!igadas á ceder; pero habiendo silo reforzadas por la brigada de la séptima division del mando dei mariscal de campo Barne, recuperaron la parte de su puesto que forma la llave de él , y lo hubieran vuelto á tomar totalmente si el teniente gener…</t>
  </si>
  <si>
    <t>Stycuur</t>
  </si>
  <si>
    <t>…iendo que mis débiles (esfuerzos en-nada-podian rontribuir ya erir un asunto en que la ca sualidad me había hecho jugar:un papel inesperado, me despedí á las nueve dé la noche del conde Stycuur, de Mr.¡ Hogendorp, y deL valiente jpue blo que t an animósamenté lia&gt;rotó las cadenas que hace : años Je habla im puesto el monstruo Bonaparté. / Oxaiá el cielo- bendiga-rsus nobles esfuerzos, y les permita gozar la felicidad* á que son acreedores! jü:) (^ou…</t>
  </si>
  <si>
    <t>Suar, Antonio</t>
  </si>
  <si>
    <t>Antonio Suar</t>
  </si>
  <si>
    <t>…ad, habiénlose aprovechado mi exército de ia mayor parte por represalia. Me ha sido muy sensible, así como á todo3 mis compañeros, la pérdida del d gao comandante del real de Lima D. Antonio Suar=z, muerto en la acción, y la del valiente coronal de Cotibnmb?.s O. Müfiano de Peralta, que de 3U* heridas pereció en la ciudad demostrando hasta su úiúmo aliento su honor, entusiasmo y firms carácter. ^Reconocido por mí el campo de la acción , y poT raes órd…</t>
  </si>
  <si>
    <t>Suarez, Francisco</t>
  </si>
  <si>
    <t>Francisco Suarez</t>
  </si>
  <si>
    <t>…ntre los patriotas que se distinguieron en tan reñida acción, se recomienda al señor Negrete, al teniente Brizuela, al párroco de dicho pueblo I). Pedro José Borja, al subdelegado D. Francisco Suarez y otros. Por nuestra parte no hubo ni un herido. 33. Según oficio del gobernador de Durango al teniente coro nel D. Mariano Urrea ; comandante de una división de Sonora, ei 4 de Junio acometió el alferez D. Miguel Casanova con 40 solda dos de Nueva-Vizcaya á…</t>
  </si>
  <si>
    <t>Suarez, Julián</t>
  </si>
  <si>
    <t>Julián Suarez</t>
  </si>
  <si>
    <t>…nte , acompañado de los se ñores auditor general de guerra D. Manuel Santurio, el secretario de S. E., los individuos del ílutre ayuntamiento constitucional D. An gel de la Riba y D. Julián Suarez , y el médico D. Juan Camiña; recorrió detenidamente todas las piezas de tan inmunda zahúrda, re cogiendo los memoriales que le presentaron ios infelices presos, dán doles las mas seguras esperanzas de alivio en cuanto sea compatible con la ju ticia de sus ca…</t>
  </si>
  <si>
    <t>Subne, B. Jaan Manuel</t>
  </si>
  <si>
    <t>B. Jaan Manuel Subne</t>
  </si>
  <si>
    <t>«dente el Sr. D, Manuel Yalcarce Saave-’ra, diputado por Galicia; y para secretario el Sr. B. Jaan Manuel Subne , diputado ñor la provincia de J acn. Parte dirigido ai presidente interino del Cuíco por el general D. Jeté Manuel de Goyeneche desde su cuartel general de Potosí ^ á 6 de Octubre del año pasado. ,,Desde que comuniqué á V. S. los últimos partes que dio mi ma…</t>
  </si>
  <si>
    <t>Suchet</t>
  </si>
  <si>
    <t>…s operaciones. «Posteriormente he oido que el general París llegó á Jaca el T4, llevando consigo la guarnición de Ayerve, Huesca ,&amp;c..; y que .tra taba de retirarse á Francia. »K1 mariscal Suchet evacuó la ciudad de Valencia el 5 del cor riente, y el general Elío, á la cabeza del segundo exército, entró en ella el 7. Lord Guillermo Bentinck, desde S. Felipe, me dice con fe cha de 7 , que esperaba llegar á Valencia el 10. «No he oido que el mariscal Su…</t>
  </si>
  <si>
    <t>…para un repentino movimiento. ,,Desde que el teniente general Sir Juan Murray hizo el moví* miento detallado en el paite que inclní á V\ E. en mi último despa cho , parece que el mariscal Suchet ha reunido; sus' tropas sobre la derecha del Júcar, estableciendo su cuartel general en S. Felipe de ■ L ■. . ...o t ..Xátiva. . s' i: í ' : • ...i „La división de trepas españolas del .mando del mariscal de campo Whittingham habia forzado la vanguardia enemi…</t>
  </si>
  <si>
    <t>4m mariscal Suchet ha reforzado bu derecha, y tiene ahora una fuerza grande en Obteniente, Moxente y Fuente de la Higuera. Después r que tuve el honor de escribir ¿ V. E. la última vez, ha habido varias acciones ligeras con- el enemigo» El general Whittingham lo ha for zado. 4…</t>
  </si>
  <si>
    <t>…es, y de que acompañe las adjuntas copias ccr h s números l.° y S.° „Cuando esto sucedía en Yecla , se hallaba ya en Yilleua el batallón de infantería ligera de Ye!ez Málaga, y el mariscal Suchet estafen á menos de una legua de aquella ciudad coa una fuerte divi sión , compuesta de las tres armas. En todo el dia no se atrevió á emprender co&amp;a alguna; pero habiendo hecho el general en gefe del exército británico adelantar su caballería para reconocer a…</t>
  </si>
  <si>
    <t>…mo nocido sus hierros y su precipitación quieren des se le habia prometido, y obró una diversión pode hacer lo que han hecho. ( Morning-chronide.) rosa é importante, impidiendo al mariscal Suchet __ El Courrier hace una débil tentativa para jus el que enviase refuerzos de tropas, ai Reí en el tificar el nuevo ataque que los ministros han diri mes de julio último (1). (The Courrier.) gido contra Dinamarca. No pudiendo negar lo que se los opone, respond…</t>
  </si>
  <si>
    <t>…igo en el dia es exigir eontaibucioBes exorbitantes , y £ nublarlo todo.. Escriban de Madrid que el intruso habla salido de Valladolid el 15 dei pasado- con dirección á Burgos. El general Suchet se hallaba de.;de Valencia hasta Xátiva con 13 á 15000 hombres. Siruela 7 ch Mayo. El dia 2 permanecían los franceses en Madrid de donde debía salir el dia siguiente un gran convoyy con éi Arribas y Angulo, para cuya escolta había en las Rozas 3000 hombres. E…</t>
  </si>
  <si>
    <t>…, caballería á lo largo de la línea, amenaa^nd(0 , .an,nquei sin fruto , el ala derecha., Quando. este cuerpo había c^si Ig.v mitadfde la linca de infantería de los- aliados,, ,eL mariscal Suchet avanzó, sus colunas hasta el pie d&amp;Ms alturas;,, las. que seguramente hq.r hieran sido tomadas, si no hubiesen sido" tan bien defendidas como atacadas. La pérdida, de- los* franceses , rechazados en todas-parres , fue mui consi derable.; y l¿i&amp;, tropas aliada…</t>
  </si>
  <si>
    <t>…rago na, fueron esparcidas por un bergantín ingles que arr bó al puerto de Ali cante. Pero según avisa el gefe político dé la provincia de Cuenca con fecha de 15 del corriente, el mariscal Suchet se ha retirado con su tropa al castillo de S. Fernando de Murviedro , dexando en Valencia una guarnición de soios 300 hombres. También anuncia que el dia 13 de este mes á las dos de la mañana quedó evacuado Requena, cuya guarnición, con 4$ enemigos que se hab…</t>
  </si>
  <si>
    <t>…ones de Fabara, y en sn retirada á lortosa se ha lle vado las guarniciones de Batea,, Pinel y Qitá, cuyos acontecimientos^ com binados con las desgracias del exército que manda el mariscal Suchet, bor ran toda Confianza;, baxo este concepto á las 12 de este dia voi á volar la primera, sino tratáis de rendiros»:^Ya os, saluda con la consideración mas distinguida» | r / &gt; Número 2°__ Contestación, det comandante delfuerte. Sr. D. Ramón Gayan ,, comandan…</t>
  </si>
  <si>
    <t>…el mando de él el dia 17 en el Coll de Balaguer, lo había hecho retirar á Alicante, donde el mismo lle gó el 23 , y estaba preparándose para executar mis instrucciones. «Cuando el mariscal Suchet marchó á Cataluña, el duque del Par que se íiabia adelantado y establecido su cuartel general en S. Fe lipe de Xátiva, y sus tropas sobre el Xucar, donde todavía per manecían el día 24. = Dios guarde á V. E. muchos años. Cuartel general de Ostiz á 3 de Julio…</t>
  </si>
  <si>
    <t>74$ migos.— Parece que el mariscal Suchet se encamina á Cataluña; y esperamos que no tardará en ser perseguido por el exército anglohispano, el cual entrará aquí de lioy á mañana* ARTICULO DE OFICIO. Al señor secretarlo del despacho de la Guerra se ha comunicado r por los secretarios de las Cortes ge…</t>
  </si>
  <si>
    <t>…general sir John Alurray levantó el sitio de Tarragona (no sé el dia), y-embarcó sus tropas, dexando en las baterías una gran parte de la artillería y municiones. ,, Parece que el mariscal Suchet con un cuerpo considerable de tropas ha bia marchado desde Valencia porTortosa, y el general Alaurice Mathieu con otro cuerpo desde las inmendiaciones de Barcelona, con el objeto de em barazar é impedir las operaciones de sir John Murray; lo que consiguieron,…</t>
  </si>
  <si>
    <t>…salvado en ia sierra de Alcubierre (1); se dirigió á Jaca, adonde llegó con su tropa, empleados de Zaragoza,y algunos de los que habían venido de Andalucía y Madrid. Parece que el mariscal Suchet con su división pone su quartel general en Caspe, lo que tiene con algún cuidado á los habitantes de Zaragoza. Los últimos papeles de Cádiz dicen que el Nuncio Monseñor Gravina. ha recibido del gobierno sus pasaportes para trasladarse á Sicilia á bordo de la…</t>
  </si>
  <si>
    <t>…er escuadrón de húsares, y el oficio de V. S. fecha 5 del corriente, pensé en apoderarme de las grandes cantidades de harina que tenia el enemigo en S. Sadurní, y hacer conocer al mariscal Suchet, que y 00 infan tes y 12 caballos no están á cubierto de la intrepidez de las bizar ras tropas que componen mi brigada, aunque tengan aun ahora un exército de muchos millares de hombres. »A las 12 del día 6 se puso en marcha mi brigada para la Be- ' guda alta…</t>
  </si>
  <si>
    <t>…JósefManso, comandante déla segunda brigada de la primera división, siguiendo las instrucciones del señor general en gefe, ha derrotado completamente un batallón del exército del mariscal Suchet en la villa-de S. Sadurní ayer por la mañana. Quedan en nuestro poder 250 prisioneros, y del resto del batallón solo se salvaron unos 20 ó 30. El señor general en gefe ha mandado adelantar al público esta plausible noticia, ínterin recibe los detalles de tan…</t>
  </si>
  <si>
    <t>…aborreci dos de franceses y españoles. Valencia io de Agosto. El general en gefe del segundo exército participa al comandante general de esta provincia la noticia siguiente: *&gt;El mariscal Suchet ha sido batido, con una pérdida de enti dad, cerca de Molins de Rey por las tropas nacionales al mando del general del primer exército D. Francisco Copons y Navia. Se esperan los pormenores de este importante suceso.” Idem. jg. Esperamos por momentos la notic…</t>
  </si>
  <si>
    <t>…nacional. — El señor general en gefe, habiendo1 hecho oficiar per el estado mayor al general enemigo, preguntán dole si con motivo dé la venida, á esta provincia, dei exérciio del mariscal Suchet, te continuaría en observar el tratado relativo á hos pitales militares que subsiste desde 1809» en ciuc 1° entablaron y ar reglaron los señores generales Reding y Gouvion Saint-Cyr, ha te nido en el día de hoy la contestación siguiente:. Cuartel general de B…</t>
  </si>
  <si>
    <t>…a dirección de sus dignos gefes en los momentos de mas peligro. Su tenor á la letra es como sigue*. Quartel general de Amposta 20 de agosto« ,,Consecuente á los movimientos que el mariscal Suchet hacia en los días 13 y 14 con sus fuerzas en número de 24© infantes y isoo caballos, el exército anglo-sicilíano, al mando del Excmo. Sr. Lord Ben inck , que se hallaba sobre el Coll de Santa Cristina de Haro, emprendió su marJia re trógrada sobre los puntos…</t>
  </si>
  <si>
    <t>…ovira al general en .gefe deteste primer : exército. . - . ¡ „Excmó. Sr.: Observando la orden que V. E. me comunicó de perma necer en el Ampurdan para observar los movimientos del mariscal Suchet por esta parte de la Junquera, me vi en el dia 2 t atacado por 2© infantes y 300 caballos, á las órdenes del general Gaudln: Dispuse mis tropas, e&amp;yo número inferior no componía sino 800 iníame-s y '-130 caballos, cdñ el ob jeto de retirarme; mas no me fue po…</t>
  </si>
  <si>
    <t>…eva cuación de Tarragona por los enemigos, y de su rápida retirada al Panadcs, tiene en este momento el aviso de que las autoridades es pañolas están ya en Tarragona, y de que el mariscal Suchet sé ha lla á la izquierda del Llóbregat con todo su exército después de haber enteramente evacuado á Vil la franca.' El mismo señor general ha recibido noticias (aunque no oficiales) del tercer exército» las cuales expresan que ló guarnid, n ele Tortosa, habie…</t>
  </si>
  <si>
    <t>…siones en quedarles golpes duros y lec ciones humillantes, con respeto al orguiio con que tan querido des preciar al resto de los militares europeos. Tal es el que ha cometi do el mariscal Suchet en la colocación de su exército^ en el Llobregat; pues por el descuido con que estableció su tropa en esta línea ha experimentado la mas completa sorpresa i tiro de canon de su exército numeroso. Salí el 9 á las 5 de la tarde de este pueblo para sorprt hender…</t>
  </si>
  <si>
    <t>…odo in útil, no había otro recurso que hacer la paz, y que él debía procurársela. Hai quien cree que el senado ó varios de los senadores están en inteli gencia con los aliados. El mariscal Suchet salió de Barcelona en la noche del 12 de este mos para el Ampurdam, de donde se marchó el 10 el general Decaen á otro des tino, El mariscal Suchet regresó inopinadamente á Barcelona anteayer, dia 14, con motivo, según se dice, de haberse encontrado en el cami…</t>
  </si>
  <si>
    <t>SucHet</t>
  </si>
  <si>
    <t>…unda brigada, priniera división y hallándose con seis soldados del mismo en las inmediaciones, de S. Vicens. d'ís f/(9/'/j‘, scrprehendió un des tacamento francés del exército del mariscal SucHet, córhpuesto de 18 hom bres del regimiento 116.0 de líneay mató-un cabo y cinco .soldados'france ses;, hizo:tjfes prisioneros-, y tomó seisr mqehij^s, .tres fusiles ¿ algunas ollas y otros efectos. El señor!general en gefe ^ia tn,artdadó se publique én la orde…</t>
  </si>
  <si>
    <t>…quel á capital. Desde el i.° deí mes actual hasta el 23 del mismo han llegado á este cuartel general 70 individuos pasados del exército enemigo con 8 caballos. En una proclama del mariscal Suchet, fecha en el cuartel general de Barcelona ¿15 del mes actual, sé lee que el general Decaen es llamado por el gobierno francés á un nfievo destino, y que los exéreitos franceses de Aragón y de Cataluña quedan reunidos desde la citada fecha baxo del mando del m…</t>
  </si>
  <si>
    <t>…siderable por la parte de Granollers, con dirección, según parece, hácia la frontera; y da motivo para creerlo asi el nombramiento de coronel general de la guardia en perso na del mariscal Suchet, anunciado en el monitor del 2t de noviembre últi mo, á consecuencia del fallecimiento del duque de Istria (Bessieres). De la frontera de Francia se anuncian grandes novedades favorables á nuestra causa, sin individuarse en qué consisten. Se dice que Morder v…</t>
  </si>
  <si>
    <t>…1813. = Ei ccrorel comandante de la segunda brigada de la primera división. = Jo sé Manso. = Sr. gene ral en gefe de este primer exército. = Es c* pía. = Cabants. La situación del mariscal Suchet e-i la plaza ce Barcelona se ha ce cada día mas aparade, por irle escapeando Ies víveres, y demas re cursos de defensa; pues no pediendo, sacarlos dejas iemediaciones, ya por el destrozo que en ellas has hecho sus destructores tropas-, y ya porque las nuestra…</t>
  </si>
  <si>
    <t>…n. Idítn 8. Ayer se presentaron los enemigos por la parte de Grancllers , al parecer con dirección á la frontera d; Francia. Este movimiento na cería sin duda del nombramiento del mariscal Suchet á coronel de la guardia imperial de Napoleón. — Dícese que Morder reemplazará ea el mando de este exército á cqutl mariscal. Corima 8 de Diciembre. Se hallan ya reunidos aquí los tres batallones del regimiento impe rial Alexandro, compuesto de soldados cuyo e…</t>
  </si>
  <si>
    <t>Sucíes, Juan</t>
  </si>
  <si>
    <t>Juan Sucíes</t>
  </si>
  <si>
    <t>…cazadores de Tarragona; y un coracero herido, un caballo muerto y 3 heridos. .Los oficiales y sol dados ilición todos héroes : solo añadiré que mandaba-la partida de coraceros el capitán D. Juan Sucíes, á quien he visto casi quemado el uniforme de balazos: y I?, de húsares el teniente D. Lorenzo Lo* pez. Apelo íl la generosidad de! Gobierno por medio de V. ’E. para la debida recompensa de sóida,dos en tan alto grado beneméritos; y reciam.) la plaza vacante…</t>
  </si>
  <si>
    <t>Suelto, Manuel Sinforiano García</t>
  </si>
  <si>
    <t>Manuel Sinforiano García Suelto</t>
  </si>
  <si>
    <t>…inmediata mente; y-para hácerles creer que ademas del esquadron tenia tropa dentrp sdel pueblo, me situé en él con ocho caballos á las órdenes dci comandante de húsares de Toledo D. Manuel Sinforiano García Suelto, extendiendo guer‘rillas hásta-la salida del pueblo con dirección á Orgaz, haciendo venir orde¿natizas¡a escape, para persuadirles que el que dirigía la acción estaba en ¿si pueblo, y por consiguiente Óebia tener tropas dentro de él: estas reflexionas ^milita…</t>
  </si>
  <si>
    <t>Suescan, José</t>
  </si>
  <si>
    <t>José Suescan</t>
  </si>
  <si>
    <t>…muertos , la hace mas sensible la de haber cabi do esta'suerte al bizarro capitán D. Matías Ilzarbe, joven digno de eterna memoria, que ha sido llorado de todos. También ha muerto.Don José Suescan , que por su afición á la artillería se liaIIaba de agregado á esta arma, al tiempo mismo-que iba á aplicar una camisa embreada á la puerta de una casa contigua al fuerte , que después fué abrasada, así como dos mas por estar ocupadas del enemigo. Los tejados…</t>
  </si>
  <si>
    <t>Suso, Pedro</t>
  </si>
  <si>
    <t>Pedro Suso</t>
  </si>
  <si>
    <t>…. Xavier Azanza , D. Juan de Ortigosa, D, Basilio Oilabarren , D. Sebastian Cortazar, D. Teo doro González, D. Juan Oyaga, D. Remigio Crespo, D. Mauricio Segura, D. I^on Landache, D. Pedro Suso, P. Hermenegildo Mendigam n, D. F&lt;-mando Gamboa. (Se continuarán.) CADIZ : EN LA IMPRENTA NACIONAL. ^</t>
  </si>
  <si>
    <t>Sutton</t>
  </si>
  <si>
    <t>…e forzarlos á retirarse con el ña de des truir el puente. Fueron rechazados en ámbas tentativas, y el ma riscal elogia la cenducts del regimiento portugués núm. 9 , del man do del coronel Sutton, en la primera operado», y la del nám. ix de cazadores del mando del teniente coronel Drobaeh en ámbas. «Los últimos partes que he recibido de Cataluña so» de fecha de 3 del corriente, y según ellos, nada importante había ocurrido por aquella parte. Dios guar…</t>
  </si>
  <si>
    <t>Sweedland</t>
  </si>
  <si>
    <t>…de los dos na vios que han llenado completamente mis deseos, y no -tengo otra pérdida que sentir que ia de un hombre muerto y de otro extraviado. «Solo haré particular mención del teniente Sweedland y del ca pitán Matdiew, de este navio; de Mr, Sandilands , primer teniente del Euryalus, y de los dos guardias Mr. John Monck del J3ertwick&gt; y de Mr. Crawford, del Euryalus.. Tengo la honra &amp;c. = E\ Hace, capitán.” Segundo, Oficio del capitán Adams del navio…</t>
  </si>
  <si>
    <t>Swetchin</t>
  </si>
  <si>
    <t>…ación de las tropas francesas. También apresó 3 correos con des pachos de importancia, y libertó al general Wihziugerode que lle vaba prisionero el enemigo , como también al mayor general Swetchin, al capitán Maryschkin del regimiento de húsares de Isnm, y á otros que hoy envió á Petera burgo. El almirante TckitckagofF de bía llegar ayer á Minsk. „La exeeucion acertada y feliz de una expedición tan arriesgada, y de tanta utilidad para nosotros, particu…</t>
  </si>
  <si>
    <t>Syd-</t>
  </si>
  <si>
    <t>…ismo al ecónomo; pero habiendo encontrado ai Carlton-House ei mensage de la cámara de los pa llamado Beliois, operario agregado á la casa de la res. Después dio S. A. audiencia al vizconde Syd- ciudad, le dijte que pusiese en la sala grande una</t>
  </si>
  <si>
    <t>Szodrsky, Víctor</t>
  </si>
  <si>
    <t>Víctor Szodrsky</t>
  </si>
  <si>
    <t>…udi barcaciones que se hallaban en ellos se han prepa catura. rado para salir. El señor Alexandro Walewsky, primer nuncio del departamento de Cracovia. GRAN DUCADO DE VARSOVIA. El señor Víctor Szodrsky, uno de los mas ri cos hacendados de la gran Polonia, y distinguido Varsovia 1 ¡de diciembre. por su amor á la causa pública. Por real decreto de 30 del pasado se ordena El general Skotzewsky, antiguo confederado de que las ventajas concedidas á los extranger…</t>
  </si>
  <si>
    <t>T, S. M.</t>
  </si>
  <si>
    <t>S. M. T</t>
  </si>
  <si>
    <t>…ristianos, les servirá mas que muchos y voluminosos predicables. Se vende en la librería de Sojo, calle de las Carretas*, su precio 10 rs. Fundamentos de la libertad nacional, por D. S. M. T., fundados sobre la Cons titución de las Españas. = El Mono de Granada , papel instructivo y curioso, alu sivo á las circunstancias del dia. Se hallarán en la librería de Calleja, calle de Ma jadericos. Un consejito prudente á los «eñores liberales por nn refo…</t>
  </si>
  <si>
    <t>T., M.</t>
  </si>
  <si>
    <t>M. T.</t>
  </si>
  <si>
    <t>…dos tomos en 4.® 1 Se hallarán en el despacho de la imprenta nacional. ^ Reflexiones al señor público para que suplique á las Cortes generales la extin ción de los frailes por H. D. M. T. En esta obrita se exponen con sencillez y cla ridad las razones que exigen la extinción de los frailes: Se hallará en la librería de Perez, calle de las Carretas. Centinela contra Francs-Masones, discurso sobre su origen, instituto, secreto y juramento, con una…</t>
  </si>
  <si>
    <t>Taboada, Manuel</t>
  </si>
  <si>
    <t>Manuel Taboada</t>
  </si>
  <si>
    <t>…ferino Arau/o, subteniente del de Benaveate; Don Félix Carrera, coronel, y D. Alberto Gutiérrez , teniente del de Rivero ; D. Esteban Rodríguez y D. Alberto Rodríguez , capitanes, D. Manuel Taboada , D. Juan Hevia y D.-Francisco Lema , sub tenientes del de Oviedo ; D. José María Novoa , sargento mayor; D. Francisco Xavier Toral, espitan de cazadoresí/Q.Bedro Zuluaga, capitán; D. Francisco Moreno y D. Pedro Bonet, tenientes; D. Manuel María Saliquet, íde…</t>
  </si>
  <si>
    <t>Tabú, Mariano</t>
  </si>
  <si>
    <t>Mariano Tabú</t>
  </si>
  <si>
    <t>…e guia á la catedral; y que el resto del regimiento se echase sobre el campamento enemigo, auxi liando esta operación las tropas del capitán Lagandara y del teniente de granaderos D. Mariano Tabú enea (los que ya estaban sobre el enemigo)*' mientras qué otros soldados ocupaban las calles de la ciudad.. El enemigo al primer tiro de su centinela se alarmó y montó á caballo; pero él vivo y bien dirigido fuego que le hizo el capitán Lagandara, el que empr…</t>
  </si>
  <si>
    <t>Tabuenca</t>
  </si>
  <si>
    <t>…, quando apenas habia tiempo para prepararla. El cura párroco, animado siempre de los sentimientos de un corazón verdaderamente español , quiso solemnizar aquel acto, invitando al coronel Tabuenca á que le franquease la música de su cuerpo, ofreciendo ocurrir &amp; los gastos que esto ocasionase. Señalado el dia 29 de 'agosto para la función, se reunieron al ayuntamiento, el cabildo : eclesiástico y las personas mas; visibles dé la villa. Entre tanto se ha…</t>
  </si>
  <si>
    <t>Tabuenca, Juan Antonio</t>
  </si>
  <si>
    <t>Juan Antonio Tabuenca</t>
  </si>
  <si>
    <t>…, vecino de Alustante. 2.0 Sr. Lie. D. Pedro Josef Ibarrola, vecino de Mondejar. 3.0 Sr. Lie. D. Manuel Sabroso, vecino de Valdearenas. Madrid 26" de julio, Extracto del parte del coronel D. Juan Antonio Tabuenca al mariscal de campo D. Josef Joaquín Duran sobre la acción del dia 8 en Zaragoza. Mi general : el 7 á las n de ía mañana recibí en Boyar la orden de V. S. para que me pusiese en marcha con dirección al pueble de Muel, adonde se dirigía V. S., con el objeto d…</t>
  </si>
  <si>
    <t>…cabeza en Torrero: di lugar á que llegase mi infantería que venia desde Alagon, y consistía en los re gimientos primero y tercero, y primero de Rioja, al mando de su comandante el coronel D. Juan Antonio Tabuenca, que por el puen • te de Cíaveria tenia orden de flanquear la derecha del enemigo, y posesionarse de Torrero, mientras que yo le obligaba á desalojar del todo las posiciones que ocupaba; en efecto, así se verificó, y el enemigo manifestó replegarse algún tant…</t>
  </si>
  <si>
    <t>Tabuenca, Mariano</t>
  </si>
  <si>
    <t>Mariano Tabuenca</t>
  </si>
  <si>
    <t>…agones de So ria D. Pedro Marc y á su alférez D. Aniceto Perez, como también á los capitanes de mi regimiento D. Pedro Sologaistoa, D. Josef de Lagandara y D. Atanasio Muñoz, y al teniente D. Mariano Tabuenca. Dios guarde &amp;c. Calahorra &amp;c. En el dia 2 del corriente la caballería aliada tuvo delante de Toro un choque con 300 dragones enemigos, de los que pocos se salvaron. El 4 se• hallaba en la Mota el quartel generar de lord Wellington; el 5 estaba en Rioseco, y…</t>
  </si>
  <si>
    <t>Tabuettca, Juan Antonio</t>
  </si>
  <si>
    <t>Juan Antonio Tabuettca</t>
  </si>
  <si>
    <t>7&amp; Copia del parte que el coronel del regimiento de infantería ligera Volun tarios de Riojct D. Juan Antonio Tabuettca comunicó eny del corriente al general de la sexta división del segundo exército D. Josef Joaquín Duran y BarazabaL Mi general: con fecha del 6 oficié á V. S. -desde Soto de Cameros, comu nicándole que en el siguiente d ía mudaba mí posición á Tudelllla, con e…</t>
  </si>
  <si>
    <t>TachabKtz</t>
  </si>
  <si>
    <t>…omándole 31 piezas de artillería, se apoderó de los arrabales. ^ El 11 de Diciembre estaba el cuartel general en Oscbnisaai. v El mismo almirante participa que el dia 10, el mayor general TachabKtz desalojó de Wilna al enemigo, desando este un giaa nú mero de cañones y almacenes de mucha consideración* Cu rtei general de Wilna 12 de Diciembre. El conde Wittgensieia participa con fecha del í0 q'ie el general Kntusow hizo prisionero un cuerpo bávaro de 12…</t>
  </si>
  <si>
    <t>Tacón, Francisco</t>
  </si>
  <si>
    <t>Francisco Tacón</t>
  </si>
  <si>
    <t>…s. ARTICULO DE OFICIO. Habiendo procedido las Cortes á la renovación de su presidente, vice-pre.íd;nte, y del mas antiguo de sus secretario'., han sido cleg dos pa-a presidente el Sr. D. Francisco Tacón , diputado por Mur cia; para vice-presidente el Sr. D.Jisí Cayetano Fonce-rada dipu tado por Nueva-España, y para secreta: i o el Sr. D. José María Gu tiérrez de Tera.ii) diputado suplen .e por Nueva- España. La Regencia del rey no se ha servido e espedir ios…</t>
  </si>
  <si>
    <t>…la. ARTICULO DE OFICIO. Habiendo procedido las Cortés á la renovación de su presidente, vice presidente, y del mas antiguo de sus secretarios, han sido elegidos para presidente el Sr. D. Francisco Tacón ¿diputado por Murcia; para vice-presidente el Sr. P. Joséf Cayetano Foneerrada, diputado por Nueva-España, y para secretario el Sr. Jpscf María Gutierres de Teran * diputado suplente por Nueva-España, La Regencia del reino Je ha servido expedir el decreto sig…</t>
  </si>
  <si>
    <t>Tafalla, Juan Miguel Perez</t>
  </si>
  <si>
    <t>Juan Miguel Perez Tafalla</t>
  </si>
  <si>
    <t>…ente: cinco tomos en 8.°, á 80 rs. en pasta. Se hallarán en la librería de la viuda de Quiroga, calle de las Carre tas , núm. 9. Idea de las órdenes militares y de su consejo: por D. Juan Miguel Perez Tafalla , caballero de la de Calatrava, maestrescuela y canónigo de Sevilla. Véndese en la librería de la viuda de Quiroga, calle de las Carretas. Breve ensayo sobre el fanatismo: por D. B. I. H. P. Se hallará en la librería de Perez, calle de las Carretas. Proclama…</t>
  </si>
  <si>
    <t>Tafavera, Andrés</t>
  </si>
  <si>
    <t>Andrés Tafavera</t>
  </si>
  <si>
    <t>…armas con geroglífico alusivo á sus gloriosos hechos ; y el de otro de distinción con el mote de Constancia de Coro, acordado »or la Regencia á los capitulares el alcalde primero D. Andrés Tafavera, alcalde segundo D. Francisco Cuba, alférez real D. José Zavala, alguacil mayor D. Pablo Ignacio Arca? a, alcalde provisio nal D. José Míralles, y regid* res D. Manuel Uibina, D. Francisco Xavier Irsniguin, D. Miguel Gil y D. Ignacio Xavier de Emasabel; el cu…</t>
  </si>
  <si>
    <t>Tai, José</t>
  </si>
  <si>
    <t>José Tai</t>
  </si>
  <si>
    <t>…iaviila, tenientes; D. Francisco Solimi, D. Marcelo Ortiz y D. Francisco Salvador , subtenientes del primero cántabro; D. Silvestre Hidalgo, teniente coronel; D. Bernardo Alvarez, D. José Tai la y D. Manuel Mendez, capitanes; D. Vicente Noriega,D. Francisco Xavier Alva rez y D. Francisco Fresno , tenientes ; D. Sebastian Sánchez, Don Félix Arenal, D. Juan José Paz y D. Luis Ortiz Falla, subtenientes dei de Laredo; D. José Castrejon, teniente, y D.…</t>
  </si>
  <si>
    <t>Taiazona, Justo</t>
  </si>
  <si>
    <t>Justo Taiazona</t>
  </si>
  <si>
    <t>…. Fermín Josué, 1), Martin Ziarriz, D, Francisco Larrodé , D. Matías Alzorr z, D. J uan Ramón Arlegui, D. Bonifacio Jaso, D; Mvouel Sancho, D. Bonifacio Martínez, D. Julián Gofr , D. Justo Taiazona, D. José María Munuce, D. Antonio Longis, D. José Canoras, D Cele Io nio Lerruz, D. Juan Macáya, D, Luis A lamo, D Francisco íturralde, D. Miguel Ube’za , D. Xavier Mariotegni, D Fermín Adrián, D. Francisco Miranda, D. laucas Zubkta, D. Vicente Larraga, D. M…</t>
  </si>
  <si>
    <t>Tailor</t>
  </si>
  <si>
    <t>…uedado en su puesto largo rato después de heri do. Ei capitán Jones le sucedió en el mando dé la brigada , y la conduxo con mucha habilidad* »También particulariza Sir J. Leith al capitán Tailor del 48 de infantería, mayor de brigada de la séptima brigada, y al teniente Leblanc del 4.0 de infantería, que dirigió la compañía ligera de in fantería del regimiento hasta la ¡dura, y es el único oficial que que dó vivo de los que avanzaron hasta' all^ »H1…</t>
  </si>
  <si>
    <t>Tajonar, Lorenzo</t>
  </si>
  <si>
    <t>Lorenzo Tajonar</t>
  </si>
  <si>
    <t>…ampo conde de Valle de Oselli, 100. El mariscal de campo D. Manuel de Viílasta, 100. D José Irigoyim, o'doi honorario, 100. D. Valentín Sorzano, i 00. D. Miguel Femando Rui®, 100. D. Lorenzo Tajonar, 100. 13. Faustino del Campo, 100. D. Santiago Rodríguez, 100. I). J uan Antonio Ariaiburu*, 100. D. Cristóbal Aznilcueta, 100. D. Martin Gubasola, 100. D. Ramón Azcarato, 100. D. Joaquín Lostra, 100. D Juii To nas Senoseain , 100. D. Jom B ufhta Garate, 100.…</t>
  </si>
  <si>
    <t>…da soltíaao. D. Antonio Alvarez de Villar, 10 hombres por un año. D. Bar tolomé Va!dés,8id. O. Francisco Xavier Izcue, 8 id. D. Juan Bau tista O variaba! y D. Pedro Abadía, 20 id. D. Lorenzo Tajonar, 2 id. D. Fermín de Arriaga, 2 id. D. Nicolás Soreguí, 1 id. D. Juen Bautista de Sarrata, 2 id D. Jot,é A tomo de Erna, 4 iii. D Mi guel de Garate, 1 id. D. Joaquín de Lostfa, 1 id. D. Raisuui Ven-</t>
  </si>
  <si>
    <t>Talíeyrand</t>
  </si>
  <si>
    <t>…ed ss con el i.° , 8.° y 19 regimientos franceses de cazadores de á caballo, y. los atacaron sucesivamente de manera que apenas escaparon 30 hom bres de estes tres regimientos. El coronel Talíeyrand , 2 tenientes coroneles, otros 16 oficiales y 500 hombres fueron hechos prisione ros, y los restantes muertos ó heridos. Una circunstancia digna de observarse, y que solo puede atribuirse á ia falta de unión que pre valece entre las tropas enemigas , es que t…</t>
  </si>
  <si>
    <t>Talla, Josef</t>
  </si>
  <si>
    <t>Josef Talla</t>
  </si>
  <si>
    <t>…villa, tenientes; D. Francisco Solimi, D. Marcelo. Ortiz y D.. Francisco Salvador, subtenientes del primero Cántabro; D. Silvestre Hidalgo, tenien te coronel; D. Bernardo Alvarez, D. Josef Talla y D. Manuel Mendez, capitanes; D. Vicente Noriega, D. Francisco Xavier Alvarez y D. Fran cisco Fresno , tenientes; D. Sebastian Sánchez , D. Félix Arenal ; D. Juan Josef Paz y D. Luiz Ortiz Falla, subtenientes del de Laredo; D. Josef Castrejon , teniente, y D. Vicente de la Tór…</t>
  </si>
  <si>
    <t>Tamo.vski</t>
  </si>
  <si>
    <t>…a deli- Mateo YVüdzinski, nuncio del distrito de Brzersk (departamento de Bretnberg); beracion será de cinco miembros. xii. El secretario genera! tendrá voz deliberativa, Ladislao conde Tamo.vski, nuncio del distri xin. Todas las autoridades administrativas, ju- to de Lubartow (departamento de Lublin); Y el conde Alexandrowick, nuncio de Siedie» diciarias y militares continuarán en et exércicio de (departamento de Siediec). sus túncion.s. . i n • xxv.…</t>
  </si>
  <si>
    <t>Tanego, Joaquín de Fuelles</t>
  </si>
  <si>
    <t>Joaquín de Fuelles Tanego</t>
  </si>
  <si>
    <t>…a que S. A, disponga su cumplimiento.” En atención á los distinguidos servicios y mérito que ha con traído en la reconquista de Caracas y demas puntos de aquella costa el teniente coronel D. Joaquín de Fuelles Tanego, comandante y gobernador que fué del castillo de S. Córlos del Pampater en la isla de Margarita, segundo gefe del exército del general Monteverde, se ha servido S. A. nombrarle para el gobierno y comandancia mi» litar de la plaza de Puerto Cabello. r" ' CADIZ…</t>
  </si>
  <si>
    <t>Tannehii</t>
  </si>
  <si>
    <t>…sus ( Mercantile-Adver User.) fusiles si la perspectiva, no les complace, ó deserta enteramente si un dia le faltan las raciones. Del 14. „ Setecientos, hombres de la brigada del general Tannehii desertaron en el espacio de 24 horas. Una carta de Champlain, con fecha del 23 de ,,Tengo.algunos fundamentos para creer que la noviembre, anuncia que el dia xy del misino por prudencial habia dictado el consejo que me dieron la noche el coronel Fike con un d…</t>
  </si>
  <si>
    <t>Tapia</t>
  </si>
  <si>
    <t>…er ofrecido considerable cantidad de dinero na die se ba atrevido á arriesgarse , por lo que no he podido envkr los partes de la acción que ahora incluyo, añadiendo á Y. S. que el cura Tapia murió de bara de cañón, según declaración que he to mado en esta hacienda. Después de la acción seguimos nuestra mar cha hasta Perote sin novedad, adonde llegamos el 20 ; descansé el 21, y el 22 salió escoltado el convoy por el batallón de Zamora, 16Ó artille…</t>
  </si>
  <si>
    <t>Tapia, Eugenio</t>
  </si>
  <si>
    <t>Eugenio Tapia</t>
  </si>
  <si>
    <t>…o de Arequipa D. Pedro Chaves de la Rosa, D. José Miguel Ramírez y D. Martin de Navas: por el secular á D. Miguel Moreno, D. Manuel Quinta na, D. Felipe Bauza, D. Manuel de Llano, D. Eugenio Tapia y D. Vicente »Sancho ; y para suplentes á D. Pablo Lailave por lo eclesiástico, y D. José Revollo y D. Juan Aeevedo por lo secular. —■ Lo tendrá entendido la Regencia del reyno para su cumplimiento, y lo hará imprimir, publicar y circular. = Florencio Castillo, pre sident…</t>
  </si>
  <si>
    <t>…. Josef Miguel Ramírez y á D. Martin de Navas por el ramo ecle siástico; y por el secular á los señores D. Miguel Moreno, D. Manuel Quin tana, D. Felipe Bauzá, D. Manuel de Llano, D. Eugenio Tapia y D. Vi cente Sancho. Los suplentes son D. Pablo Lallave por lo eclesiástico , y Don Josef Revollo y D. Juan Acevedo por lo secular. El Mercurio Lusitano de 7 del corriente inserta una carta, cuyo conte nido, sacado de un periódico ingles , es digno de atención, ya p…</t>
  </si>
  <si>
    <t>Tarancc, Antonio</t>
  </si>
  <si>
    <t>Antonio Tarancc</t>
  </si>
  <si>
    <t>…Cristóbal Aznilcueta, 100. D. Martin Gubasola, 100. D. Ramón Azcarato, 100. D. Joaquín Lostra, 100. D Juii To nas Senoseain , 100. D. Jom B ufhta Garate, 100. D. Angd Alfar*, 103. D. Antonio Tarancc, 100. D. Fernando Mazo, 100. O. J &gt;aqnlu M^ría Ferror, 100. D Ignacio Sobrado, 100. D. Juan del Valle Ponga, 100. D. J ose Correa, 100. D. Juan Bautista Sarraoa, 103. D. S ¡bidíaa Ugardza, 100. D. Manuel Vállate, 100. D. Juan Gil , 100. D Lo renzo Machiianda,…</t>
  </si>
  <si>
    <t>Tarín, Joaquín</t>
  </si>
  <si>
    <t>Joaquín Tarín</t>
  </si>
  <si>
    <t>…y bizarría de los oficiales y soldados, particular mente el denuedo del teniente D. Francisco Míller, que con los ca bos Pablo Berdoy y Pascual Benedicto , el soldado distinguido Don Joaquín Tarín , y los soldados Manuel Casan y Antonio Galvez, persiguió al resto fugitivo hasta las mismas puertas de Liria, cu ya guarnición , lejos de salir á socorrer á los que desesperadamente i batí cargados, se alarmó, retiró sus avanzadas, y se encerró en la fortale…</t>
  </si>
  <si>
    <t>Tarracvitallones</t>
  </si>
  <si>
    <t>…nr^tfncBte qu¿ un correo qué acababa de llegar nardi, conde Maestri, Bargnani, L Giovio, Guasi Praga desde Viena traía la orden de que los ba-' taviilani, Bazetta , conde Scopoli, conde Tarracvitallones repartidos en l*s plazas del reino, se reunie cini, de Adda, Colle, $ant’ermo, conde Cossoni, sen pira formar un cuerpo de tropas que debía conde Pollranceschi, conde Luini, Pcdrazzini, con marchará i* Gallitzja, yqué hará parte de un con- sejeros legislativo…</t>
  </si>
  <si>
    <t>Tarríus, Bernardo de Borjas y</t>
  </si>
  <si>
    <t>Bernardo de Borjas y Tarríus</t>
  </si>
  <si>
    <t>…s meses; y la humanidad doliente vierte lá grimas de gratitud por lo mucho que ha mejorado su situación. [Carta par ticular. ) Proclama del gefe político de la provincia de Avila. D. Bernardo de Borjas y Tarríus, gefe político superior en comisión de esta ciudad y su provincia, á los habitantes de esta capital. Ciudadanos: el hospital general, único asilo que ha quedado á la huma nidad doliente y desvalida, no tiene en la actualidad con que dar el necesa rio sustento…</t>
  </si>
  <si>
    <t>Tartas, Miguel</t>
  </si>
  <si>
    <t>Miguel Tartas</t>
  </si>
  <si>
    <t>…iguel Senosiain, D. José Echeverría;y D^ Clemente Diez de Tejada: á tenientes de fusileros á . D, VictorianoMangiron, D; Joaquín Mendiando , Don Pedro Oses* D José María Subirán , D. Miguel Tartas , D. Manuel Baztan ¿ D. Agustín Oro, D. José Joaquín Ározatena, D. Domingo Chávame, D. Agustín Mora, D. Juan Cruz Larrondo, D. Fran cisco Peralta, D. Manuel Salaberri, D. Dámaso Landa, D. Atanasio Diez, D. Bartolomé Comas, D. Ildefonso Mayo, D» JVLguql Ormach…</t>
  </si>
  <si>
    <t>Tarvast</t>
  </si>
  <si>
    <t>…ingleses. - ' - :'f; V- .-r... -*v - ,*** ES general barón Aldreuitz es gcfe del estado mayor del exército aliado del norte de Alemania,* y tiene á sus órdenes al mayor gfenfcrai barón Tarvast y al conde Gustavo Lowínteselr como ayudantes genéralls encargados de recibir y comunicar las órdenes. Se han tomado las disposiciones de modo que en el espacio de dia y me dio pueden presentarse en línea mas de 80® hombres. El 11 de este mes, á tiempo_que S.…</t>
  </si>
  <si>
    <t>Tattischefd</t>
  </si>
  <si>
    <t>…guna de importancia: habló solamente de lo que ya hemos: publicado. Ha llegado á Cádiz con una combion de su gobierno el Sr. D. Henrique J. de WaÜenstein, despachado por el Excmo; Sr. Tattischefd, ministro nom brado de Rusia cerca de nuestra corte. Su llegada, y el saberse que dicho señor ministro se prepara á trasladarse cerca demuestro gobierno, son prue bas nada equívocas de la bueñas-armonía que reina entre Rusia y España. El conductor del último…</t>
  </si>
  <si>
    <t>Tauencien</t>
  </si>
  <si>
    <t>…ón Vegesack 'for ma parte de este cuerpo de exército, teniendo á sus órdenes 3© suecos, 3® prusianos y 3© mecklemburgueses. Los cuerpos separados que forman parte del exército del conde Tauencien bloquean á Custrin y Stettin.</t>
  </si>
  <si>
    <t>Tauent</t>
  </si>
  <si>
    <t>…ste general, después de una valerosa resistencia, se retiró para unirse con el general Tauentzien que había repasado el Elba. El enemigo marchó inmediatamente á RoiHau, y atacó al general Tauent zien, que, según las instrucciones que tenia, hizo un movimiento retrógrado para cubrir á Berlín. Los enemigos se dirigieron á Ackén cdn el intento de destruir el puente. Las tropas apostadas á la orilla derecha defendieron los aproches de algunas baterías ap…</t>
  </si>
  <si>
    <t>Tauentzien</t>
  </si>
  <si>
    <t>…para evacuar á Drcsde. Alegaran los desertores qué sé quemáronlos almacenes militares de aquella ciudad, y qae asta» expuestos los habitantes á la mas horrible miseria. El general conde Tauentzien destacó inmediatamente su caballe ría ligera en alcance del enemigo; y se destinaron destacamentos na • merosos á la orilla izquierda del Elba. Este general de infantería se Unid oportunamente al cuerpo del general Blucher, y el cuartel general de este se tra…</t>
  </si>
  <si>
    <t>…cito á Wittemberg , é hizo atacar al general Thumen , que mandaba el blo queo de aquella fortaleza. Este general, después de una valerosa resistencia, se retiró para unirse con el general Tauentzien que había repasado el Elba. El enemigo marchó inmediatamente á RoiHau, y atacó al general Tauent zien, que, según las instrucciones que tenia, hizo un movimiento retrógrado para cubrir á Berlín. Los enemigos se dirigieron á Ackén cdn el intento de destruir el…</t>
  </si>
  <si>
    <t>Tauenzicn</t>
  </si>
  <si>
    <t>…ientos sobre Dr. sdeper i ulendo las tropas francesas en su retirada. Ayer se recibieron noticias del gene ral Wobeser, que se halla en Falkenbtrg , delante de Herzberg,. donde el general Tauenzicn tiene su cuartel general ; dos cuerpos de exército enemigo, al mando del rey de Ñápeles, con 13 regi mientos de caba'l ría, e taba 1 á la derecha del Elba, Lrs patrullas avanzaban h cíu la posición del general Wobeser, é intentaron in terceptar un ccnvoy de p…</t>
  </si>
  <si>
    <t>Tauenziejt</t>
  </si>
  <si>
    <t>El Príncipe real vió desfilar ayer por esta ciudad el tercer ccerpo de exército pnisiatio á las ordenes del general Bsíew, y hoy tolo el cuarto cuerpo , mandado por el general conde Tauenziejt. S. A. R. volvió á ver segunda vez con placer estas valientes tropas, y quedó muy satisfecho de ellas. FRANCIA. Parts 7 cis Novism ure. El 25 de Octubre el emperador salió de Brfuri : su exército marchó hácia el Mein. El 29 la vanguardia del exército nustro-b…</t>
  </si>
  <si>
    <t>Tauenzien</t>
  </si>
  <si>
    <t>…lemania, que está i. las órdenes de S. A., ocupa las posiciones si guientes: Parte del quarto cuerpo del exército prusiano que forma la reserva, á las órdenes del teniente general conde Tauenzien, tiene su quartel general en Muncheberg, y su ala derecha se extiende hacia Berlín. El quarto cuerpo del exército prusiano, á las órdenes del teniente gene■ral Von Bulow, tiene su quartel general en Berlín, y en unión con el cuer po del conde Tauenzien forma…</t>
  </si>
  <si>
    <t>…ó este bizarro oficial en ocasión tan señalada. El general Bulow tenia el 27 su cuartel general en Elsholtz ; el general Borstell estaba en las inmediaciones de Luckeiiwalde; y el general Tauenzien estaba el 27 en Baruth con su cuartel general, te niendo apostado su cuerpo entre aquella ciudad, y los puebíes de Golzen y Luckau; el primero dio pruebas de su gran destre2a reuniendo prontamente su reserva, y de mucha actividad arrojando al enemi go de los…</t>
  </si>
  <si>
    <t>…2© hombres. Según los partes de los generales se han hecho 7© prisioneros, entre los cuales hay 250 oficiales, inclusos varios coroneles y tenientes coroneles. El teniente general conde Tauenzien destacó al general Wobeser para que se apoderase dei pueblo de Luckau. Este intimó ayer al comandante la rendición, y Habiéndose resistido bombardeó la plaza. Al tiempo de dar el asalto capituló el comandante, dexando en nuestro poder 9 cañones, 1© prisionero…</t>
  </si>
  <si>
    <t>…E ALEMANIA* Cuartel general de Zerbsi 22 de Setiembre. Hl general Howsisky con sus cosacos , y el general Dobschuss con 4 escuadrones, que hacen parte de la vanguardia del general conde Tauenzien , encontraron ei 19 entre Borack y Schwed ss con el i.° , 8.° y 19 regimientos franceses de cazadores de á caballo, y. los atacaron sucesivamente de manera que apenas escaparon 30 hom bres de estes tres regimientos. El coronel Talíeyrand , 2 tenientes coronel…</t>
  </si>
  <si>
    <t>…D resde. Los desertores nos afirman que ios almacenes militares de aquella ciudad han sido quemados, y que los habitantes se hallan reducidos á la mas horrible miseria. El general conde Tauenzien destacó sin la menor demora su caballería ligera en persecución del enemigo: se destinan varios fuertes-destacamentos á la orilla izquierda del Elba. La infantería, de este general se ha unido ya felizmente al cuerpo de exórcito de Blucher. El quarteí general…</t>
  </si>
  <si>
    <t>…Sé han trazado en un hermoso plano , y hacen mucho honor al general Sparré. El tercer cuer po prusiano, mandado por el general Bulovv, debe pasar mañana el Elba, como, también el general Tauenzien con. el suyo. El general Thumen que dará al frente de Wittemberg. Este general debe continuar el sitio de aque lla plaza con el mismo vigor que mostró en Spandau. En el caso de caer Wittemberg en poder de ios aliados, serán.estos dueños del Elba.-, pues esta…</t>
  </si>
  <si>
    <t>…cipe de lá/Cprooa-vjp desfilar ayer por esta , ciudad el tercer cuerpo deí éxército prusiano , ¿ las órdenes del general BuloW ^y hoi todo eí quarto cuerpo, mandado por el general conde Tauenzien. S. A. R. volvió i ver con-placer estas yaliisntes :t-rópds, y quedó mui satisfecho de su buen esCa4o .y aire militar. , . - . ' 1 ''Extracto de los papeles,franceses. _ Fronteras de Saxonia 6 de octubre. Nos aseguran que el cuerpo de partidarios de Thielman…</t>
  </si>
  <si>
    <t>…a derecha del Elba, por Magdeburgo (en caso de hallarse apurado, lo que co es probable aunque no imposi ble marcharse con todas sus fuerzas sobie Berlín} y retirarse al apo yo cel general Tauenzien, que con re© hombres debe quedar en Dessau , y según las circunstancias, ó maniobrar en la orilla derecha oponiéndose á los esfuerzo* que el enemigo pueda hacer, ó reforzar á marchas forzadas, siendo preciso , el exército combinado del Saale. El general Taumz…</t>
  </si>
  <si>
    <t>…elineadas por en excelente plano, y hacen mucho honor al general Sparre. El tercer cuerpo prusiano, mandado por el general Bulow, debe atravesar el Elba mañana, como igualmente el general Tauenzien con su cuerpo. El general Thumen se quedará en frente de Wirttemberg. Este general debe continuar el sitio de aquella plaza con el mismo vigor que mostró en Spandau. Si los aliados se apoderan de Wirttemberg queda segura la línea del Elba; porque esta plaza,…</t>
  </si>
  <si>
    <t>Tauenzien, Von</t>
  </si>
  <si>
    <t>Von Tauenzien</t>
  </si>
  <si>
    <t>…os distritos no esperan mas que la señal para juntar sus fuerzas; y este momento no está distante: : 7 ' El,general Blucher hizo avanzar á Ivónigsbruck un grande destacamen to. El conde Von Tauenzien ha tomado, posesión de Líevenwerd y Elsfer-r werd i.yi deila línea del lado de acá del. Elster. En la noche del 19 al 20 el ^nemigo levantó su campo He Stubzenkagen, inmediato á Elsferwerd. Se cree que tiene una fuerza de 4© hombres. Segun las ultimas noticia…</t>
  </si>
  <si>
    <t>Tauenzlen</t>
  </si>
  <si>
    <t>…e Au'tria. Ya estaba en movimiento, y d.bia tener 25© austríacos baxo su mando. El por tador de esta noticia interesante , Mr. Gordon pasó por Berlín el 16 de este mes , cuando el general Tauenzlen con-12&amp; hombres se liiíbia retirado para cubrir aquella capital, porque el enemigo ha bla mandado que pasase el Elba un cuerpo de 'Wüttenherg: la. tarde del ió aun no se habicn aproximado los franceses a Beslin, para cu ya defensa estaban reunidos 40© hombres…</t>
  </si>
  <si>
    <t>Taumzien</t>
  </si>
  <si>
    <t>…ncias, ó maniobrar en la orilla derecha oponiéndose á los esfuerzo* que el enemigo pueda hacer, ó reforzar á marchas forzadas, siendo preciso , el exército combinado del Saale. El general Taumzien debe ser auxiliado por el alistamiento general y por algunos cortos destacamentos. Hemos recibido la noticia de que el general Platow estaba en Pegan ccn sus cosacos; el general Kleist y Wittgenstein con la vanguardia del exército giande de Bo hemia se aproxi…</t>
  </si>
  <si>
    <t>Taupin</t>
  </si>
  <si>
    <t>…r,r X). Francisco Xavier Castaños-” Sexto* wEI coronel comandante del tercer regimiento me dice lo si guiente. = Mi general, concebí el designio de desalojar del pueblo de Mucz el general Taupin, que con 3© infantes y ico caballos lo . ocupaba. Ayer tuve la satisfacción de ver puesto en planta mi pro yecto ; en efecto, salí de Zuña con el regimiento de mi mando á las 11 de la noche del 21, siguiéndome los regimientos cuarto, quinto y primero de Guipú…</t>
  </si>
  <si>
    <t>…Espese y Mina,. Undécimo. wEl mismo comandante me dice haber recibido del teniente co ronel del quinto regimiento de su mando D. Marcelino Orda el si guiente parte. Mi coronel: el general Taupin con 4© infantes, 60 caballos y 2 cañones, discurría las Amescoas, y noticioso del fuego que tuvo ayer nuestra tropa en las inmediaciones de Vitoria, se di rigid hacia Salvatierra: como que no ignoraba las tentativas que aca bábamos de hacer contra esta plaza,…</t>
  </si>
  <si>
    <t>Tavencien</t>
  </si>
  <si>
    <t>…siones entre Ernersdortf y Klein-Beren. Una división ocupaba también áMittenwalden y otra á TreSbin para encubrir todos los movimientos. El quarto cuerpo prusiano, mandadovpor el general Tavencien, estaba reunido en Blankenfelde. El exército sueco salió de Postdam con dirección á Saarmunda, atravesó los desfiladeros, y tomó posición en RuhlsdorfiF: el exército ruso siguió al sueco, y se alojo en Gutergatze: el general Czernicheíf guardaba á Beletz y Tr…</t>
  </si>
  <si>
    <t>Taveneien</t>
  </si>
  <si>
    <t>…de la escolta , y mató ó dispersó los restantes. -El quartel general del general Bulow estaba el día 2*7 en Elshoiz ; el general Borstell en las inmediaciones de Lakenwalde, y él general Taveneien en Bareuth, y sus tropas situadas sobre aquella ciudad* Golzen'y Lukau. Este general ha manifestado grande pericia en reunir su reserva, .y arroja* al enemigo fuera dé los bosques* El Príncipe Real ha inandado se Je -den las gracias. El general Wobser, despué…</t>
  </si>
  <si>
    <t>Tavenzien</t>
  </si>
  <si>
    <t>…emigo marchaba hacia Zahme. El 4 de setiembre por la tarde atacaron fuerzas mui superiores aquel punto, ocupado por la divi sión del general Dobschutz, perteneciente al cuerpo del general Tavenzien, y.fue sostenido cbñ gran bizarría. Rechazado él enemigo en varios ataques volvió á entrar en sus atrincheramientos1 frente de Wittemberg. Al dia-siguíen^ te 5 se renovaron ios mas obstinado^, afaqpes contra Zahme, y á pesar del valor .del general Lfobschutzy…</t>
  </si>
  <si>
    <t>…idas de la guarnición se limitan ahora á cortar leña en el bosque de Bruieritz, lo que executan solo por destruir aquella propiedad del Reí de Prusia. Las avanzadas del cuerpo del general Tavenzien están en Senftemberg, Elsterwerdy Rulland: se envían partidas á hacer reconocimientos hasta IIoyerswerd y las cercanías de Grossen Hayn: las tropas ligeras prusianas están por las orillas del Elba hasta Muhlberg, y bloquean á Torgau á una peque ña distancia:…</t>
  </si>
  <si>
    <t>…iguiendo.á las tropas francesas en su retirada. Por los avisos que comunicó ayer el generalW.obeser, que está en Falkemberg, delante de Herzberg, donde tiene su quarteí general el general Tavenzien , se sabe que dos cuerpos enemigos , á las ór denes del Rei de Ñapóles con 13 regimientos de caballería, estabas, ene la orilla derecha del Elba. Las patrullas avanzaron hasta la .posición-dei general Wobeser, y quisieron interceptar un eonvoi de provisiones,…</t>
  </si>
  <si>
    <t>El general conde Tavenzien se preparaba para perseguirlos. El gene ral wirteinburgues Fronquemont se quejo al general Delot, gefe del estada mayor general del quarto cuerpo francés, de que sus tropas estaban siem pre en vanguardia quando avanzaban , y en retaguardia quando se retiraban…</t>
  </si>
  <si>
    <t>…or el * coronel conde Talleyrand Perigord, á quien, hicieron prisionero los aliados el 19 del mismo mes en un ataque de algunos regimientos de caballería con tra la vanguardia del conde Tavenzien. GRAN BRETAÑA. Noticias de Londres hasta 10 de noviembre. El general austríaco Nugent ha pedido que se le enviase del depósito de Malta una buena porción de cohetes incendiarios de Congreve j los quales se le remitieron, y deben servir para el ataque de Tries…</t>
  </si>
  <si>
    <t>Tavenzin</t>
  </si>
  <si>
    <t>…as de srdilería y 400 carros*, su pér- dída ademas en muertos y heridos debe ser inmensa. La mit d de ía guardia de Ney fué muerta. Oudinot acometió en persona á la infantería de: general Tavenzin. La pérdida de los prudanos ascien de á 4 6 5© hombres entre muertos y heridos. El rebultado de este día debe ser muy lisonjero á todo buen pa'nota, porque verá ase gurado el triunfo de la causa de su patria por la muerte de estos va lientes. Lis ?ropac rusas…</t>
  </si>
  <si>
    <t>…parres dados por los puestos avanzados anunciaban que el enemigo marchaba para Zahrne. Eife pumo estaba ocupado por ía división del general Dobschutz , perteneciente al cuerpo del general Tavenzin , la cual fué acometida por fu rzas muy superiores en la tarde del 4 de Setiembre, la que se sostuvo con mucha bi zarría. Rechazado el enemigo en varios ataques , se volvió á sos atrincheramientos en frente de Wittcmberg. El dia siguiente 5 se renovaron los a…</t>
  </si>
  <si>
    <t>Tavenzlen</t>
  </si>
  <si>
    <t>…Beeren, el duque de Reggio marchó hácia Wittemberg------El 3 de setiembre el príncipe de Mosfcow tomó el mando del exército, y se dirigió á Insterburg. El 5 acometió y destrozó al general Tavenzlen ; pero el dia 6 fue acometido por el general Bulow. Algunas cargas de caballería desorde naron en su'retaguárdia Ene'Obligado á retirarse hacia Torgau. Perdió 8© hombres muertos, heridos ó prisioneros, y 12 piezas de artille ría. La pérdida del enemigo fue ig…</t>
  </si>
  <si>
    <t>Tavira, Agustín</t>
  </si>
  <si>
    <t>Agustín Tavira</t>
  </si>
  <si>
    <t>…Muelas, alcalde. D. Bernardo Rodríguez-, substituto segundo. D. Manuel Martínez, substituto primero. Barrio de las Niñas de Monttrri. D. Francisco Monteagudo, substituto segundo. D. Agustín Tavira, alcaide. D. Alfonso Luceño, substituto primero. Barrio de la pinza de S. Juan. D. Ramón Lancha alcalde. D. Domingo Cabezón, substituto segundo. Barrio de Monserrat, D. Juan .Adan, substituto primero. D. Félix Montexo, substituto segundo. D. Miguel Parte-arro…</t>
  </si>
  <si>
    <t>Tayíor</t>
  </si>
  <si>
    <t>884 ta de te conducta que han observado cuantos se han empleado en ía acción. Tengo la honra &amp;c.z=i?. II. Monbray Cuarto. »ÉI capitán Tayíor, del navio Apolo, participa en oficio de 1-6 de Febrero último- al contra-almirante Freemantie la toma de las islas Augusta y Curzola, en el Adriático, por un destacamento de tropas á las, órdenes del coronel Robertson, sostenidas por los mari neros y soldado…</t>
  </si>
  <si>
    <t>Taylcr</t>
  </si>
  <si>
    <t>…obediente servidor. =:Fir mados: Tomas Graham. = A $. E. el feld-mariscal marques de Weiling— ton. = P. D. He omitido citar que el mayor general Hay confiesa estar mui obligado al capitán Taylcr del regimiento 48.°, que sirve de su mayor de brigada. Del 4. Algunas cartas de Italia escritas por personas fidedignas con fecha de ya de mayo y 19 de junio se explican en los términos siguientes: El pretendido concordato entre el Santo Padre y eí Emperador…</t>
  </si>
  <si>
    <t>Taylor</t>
  </si>
  <si>
    <t>.les y un canon. El' ftaví'ó de S. M. Británica el Jasan ancló' eirlír macana del 2 frente de Scheveling, trayendo á bordo al mayor general Taylor, y .tina parte de las armas destinadas para el servicio de Holanda. En el mismo dia se recibió la noticia de haberse declarado en favor de S. A. el Príncipe de Oran ge el fuerte de Brille..—. Según av^a de .oficio con fecha 2$ de no viembre el gobernador de H…</t>
  </si>
  <si>
    <t>TcbernichefF</t>
  </si>
  <si>
    <t>445 Lentzen juntamente con el cuerpo del general TcbernichefF. Estos dos generales Llegaron á marchas forzadas á Luneburgo, justamente cu and - mis cosacos estaban empeñados con el enemigo. Las puertas del pueblo fueron abiertas á bayonetazos, y en seguida hubo una saT guenta pelea en las calles. No tardó en decidirse l…</t>
  </si>
  <si>
    <t>Tcbicbagcff</t>
  </si>
  <si>
    <t>…e encaminará , según las cir cunstancias , ó á Sobra ó á BerézinofF. ; ,.E1 general Wittgenstein participa desde la aldea de CheTai en £4 del corriente , que en este día estaba el almirante Tcbicbagcff en BorisefF; desde donde le informa el general Largeron en oficio del 22 , que el general conde I.ambert había derrotado el 21 eñ Boriscff todo el cuerpo de Dombrovísky , tomándole 6 cañones , 2 banderas y SOCO prisioneros , y habiéndole perseguido en el cami…</t>
  </si>
  <si>
    <t>Tchaplitz</t>
  </si>
  <si>
    <t>…k. „Los últimos pliegos del almirante Tchichagoff están firmados en Bre sHíoff el 22 tle Octubre, y en ellos da cuenta de la ventaja con seguida por un destacamento mandado por el general Tchaplitz, que el 20 de Octubre hizo prisionero al general polaco Konotkoff, con todo el tercer regimiento de huíanos de la guardia francesa. „E1 principe Schwartzenberg habia pasado el Bog sin dar al al mirante ocasión de medir sus fuerzas. „El almirante Tchichagoff y…</t>
  </si>
  <si>
    <t>TchÉcliagcíF</t>
  </si>
  <si>
    <t>…embrc. ,,Después de una corta re rsteocia, el enemigo se vio obligado ayer a abandonar la ciudad de Wilna, de que tomaron inmediatamen te posesión las tropas de Y. M. ai mando del almirante TchÉcliagcíF. Jil enemigo no tuvo tiempo de destruir sus grandes almacenes, de los cuales nos hemos apoderado, como también de un gran número de cañones. Toda la vanguardia del almirante TchichagoíF va persi guiendo al enemigo. Yo estoy á 20 werstas de Wüna; pero no dexar…</t>
  </si>
  <si>
    <t>Tchernicheff</t>
  </si>
  <si>
    <t>…2 de Junio, manifiesta que fue Bonaparte quien pidió el armisticio. La noticia de este suceso habia causado gran descontento en Berlín y Petersburgo. — Los rusos , mandados por el general Tchernicheff, se han unido al príncipe Bernadotte: la legión ruso-alemana, compuesta de 15© hombres , llegó á Rugen, y debe igualmente reunirse á aquel príncipe. — Dicen que se concluirá en tratado de comercio entre la Prusia, Rusia y la Gran-Bretaúa. El príncipe Bérnadot…</t>
  </si>
  <si>
    <t>Tchicbagólf</t>
  </si>
  <si>
    <t>…hallan cerca de Smolensko, hacen ©tro tanto. Probablemen te habrá mandado Bonaparte adelantar sus guardias escogidas , las divisiones polacas y paite de las itálianas; pero si el almirante Tchicbagólf ha llegad ó á su posición , parece imposible que^éstos cuer pos puedan escapar hasta la frontera. El nuevo movimiento que hizo Víctor contra el general Wittgcnstein, después del ataque en qué fue rechazado , tenia sin duda por' objeto entretener á aquel gener…</t>
  </si>
  <si>
    <t>Tchichagoff</t>
  </si>
  <si>
    <t>…onde Wittgenstein. Ha biendo visto que la posición del enemigo era buena, la ha ocupado por s mismo , destacando un cuerpo para tomar posesión de Witepsk. „Los últimos pliegos del almirante Tchichagoff están firmados en Bre sHíoff el 22 tle Octubre, y en ellos da cuenta de la ventaja con seguida por un destacamento mandado por el general Tchaplitz, que el 20 de Octubre hizo prisionero al general polaco Konotkoff, con todo el tercer regimiento de huíanos de…</t>
  </si>
  <si>
    <t>TchichagofF</t>
  </si>
  <si>
    <t>…ayudante general Oirloff DenizofF acometió al enemigo en el discurso de su marcha á Krasnoi, le mató ¿00 hombres, é hizo 400 prisioneros el 12 de este mes. 14 de Ni Vierabre. — El almirante TchichagofF comunica que el 11 deteste mes dexó en el principado de Varsóvia un cuerpo al man do del general Sachen. El almirante marchó con el resto de su exército á Preyan, con intención de llegar á Minsk por el camino de Slonim y de Nesvichí, y contaba estar én Minsk…</t>
  </si>
  <si>
    <t>…w marchaba contra el cuerpo principal del enemigo Iricia Totilochinow; de donde resulta que este se halla cercado por tres partes; pues el general PJatow está á su retaguardia, el almirante Tchichagoff i vanguardia , y por el flanco,el conde Wittgenstein.: , h „Ayer ha llegado parte con la noticia de haber sido hecho pri sionero otro oficial general, de cuyo nombre no me acuerdo, y tam bién parece que se ha recibido aviso de haber llegado á Egoumeoel genera…</t>
  </si>
  <si>
    <t>…eguimiento. Este general participó con fecha de 2 de Diciembre que había derrotado la retaguardia del enemigo, haciendo 1C00 prisio neros entre los que habla 20 oficiales. Como el almirante Tchichagoff persigue á los enemigos por Moldetcheno , enviaré los cosacos á cortarles la retirada en Nestauiski, mientras que cooperando yo en Nemoncbina con el almirante Tchichagoff, amenazamos á Macdonald. El enemigo perdió en el paso del rio , y en tres dias de retira…</t>
  </si>
  <si>
    <t>…marse al exército del almirante Tchichüg íFhi mudado su cuartel general á Kosino. l)icitmbre 5. E general conde Platovr comunica , e! dia l.°, ha berse reunido á la vanguardia del almirante Tchichagoff, y que esta ba en Chotínisschí E mismo din cogió al enemigo un cañón y 1000 prisioneros. Los t finíales franceses prisioneros confirman la noticia de que el de. Noviembre fueron heridos de peligro los generales Ott* dinot, D mbrowski, Sayontschsck y varios ge…</t>
  </si>
  <si>
    <t>…de las columnas enemigas le obligó á abandonar aquel sitio y dirigirse hácia la izquierda , á ha de retardar todo lo posible la marcha del enemigo. Habiendo flan queado ú este el almirante Tchichagoff, el l.° de Diciembre, entró</t>
  </si>
  <si>
    <t>…ros ; habiéndo se encontrado en los caminos un gran número de muertos , á censa del frió excesivo, entre los que había muchos de la guardia de Na poleón. Con beha del 8 r fiere el almirante Tchichagoff, que su vanguardia, persiguiendo muy de cerca al enemigo, le había obligado á abandonar -ó l piezas de artillería. Un edecán del mariscal Davoust y 2000 so idados quedaron prisioneros en este reencuentro. El cami no de Smorgonia á Oschírisany estaba casi intr…</t>
  </si>
  <si>
    <t>Tchichagoff'</t>
  </si>
  <si>
    <t>…as; en cuya acción se pasó todo el dia. Hoy le he obligado á pasar el rio por cerca de Studenzie , cuyo puente ha quemado en seguida; pero habiéndome llegado pontones de parte del almirante Tchichagoff', le estoy reparando, y pienso pasar inmediatamente el rio y obrar juntamente con el general Piatow. Ayer les tomamos á los ene migos un cañón de campaña y 1500 prisioneros : hoy nos hemos apo derado de !2 cañones, sin contar los muchos que ellos mismos han ec…</t>
  </si>
  <si>
    <t>Tchíchagoft’n</t>
  </si>
  <si>
    <t>…tes, cuando pensó apoderarse de Toula y Kalouga; y cuando contaba con tomar posición desde Smolensko á Wilepsk para establecer sus cuarteles de invierno en las orilla del Duna. El general Tchíchagoft’n© solo ocupe á Minsk, sino que avanzó hasta el Berezina ocu pando todos sus pasos, Al fin marchando y contramarchando en las orillas de este rio por espacio de algunos dias, en cuyo tiempo cayó en poder de los rusos toda una división francesa, pasó el rio la m…</t>
  </si>
  <si>
    <t>TchichagoíF</t>
  </si>
  <si>
    <t>28 quien había sido destacado por el almirante TchichagoíF, con un cuerpo pequeño de caballería ligera para descubrir la posición del general Wütgensteim En su marcha tuyo el coronel la felicidad de rescatar al general barón Winzingérode y a su ayudante Narishkin, entre Wilna y Minsk , los Cuales se encaminaban á las…</t>
  </si>
  <si>
    <t>…ow que se citan en el oficio anterior. Primero, desde el cuaitel general de Radaschkewitsch el l.° de Dici embre. ^Habiendo pasado el exército francés el Berezina, le persiguió el almirante TchichagoíF sin interrupción . consiguiendo repetidos triunfos , y los franceses se retiraron hácia Wdua per Pietcbeimza, Molodetschno y Smorgonia. El mayor general Lanskuy , que había «ido destacado el 26 de Noviembre por FouricíFá Pletchemtza, des pués de haber andado…</t>
  </si>
  <si>
    <t>…te TchÉcliagcíF. Jil enemigo no tuvo tiempo de destruir sus grandes almacenes, de los cuales nos hemos apoderado, como también de un gran número de cañones. Toda la vanguardia del almirante TchichagoíF va persi guiendo al enemigo. Yo estoy á 20 werstas de Wüna; pero no dexaré de envú r á Y. M. I, una relación circunstanciada luego que lle gue á la ciudad. — K.xtMow.n Por el último correo de Gottemburgo se ha recibido el siguiente boletín oficial que acaba d…</t>
  </si>
  <si>
    <t>…so desde el 2 al 13 de Diciembre de 1812. El teniente general SchepeseíF comunica con fecha del 2, que el conde Goudowitch marchaba á Mohilow con 74000 hombres de la» milicias. El almirante TchichagoíF participa , el dia 1°, que iba persi guiendo al enemigo en dirección de Sembini y de Flamen á Plestchenitza, mientras que el cuerpo enviado por él á destruir los puen tes le molestaba por el flanco. El enemigo perdió, el 30 de Noviem bre , 7 cañones, y el l.°…</t>
  </si>
  <si>
    <t>…Slonim. Después de las batallas, que se dieron el lg, 14, 15 y 16 en Gornostai z y Wilkowisk, el ala derecha de dicho general ocupó á Koule y Kolka, y la izquierda á Loubomié. El almirante TchichagoíF participa el 13 que llegó con sn exército á Jeszno, y que el mayor general Eandskoy, á quien habla en viado con un destacamento de tropas ligeras desde J eszno á Prenp, cargó al enemigo en este pueblo , le atacó por do3 lados, le arrolló, é hizo prisioneros 5…</t>
  </si>
  <si>
    <t>Tchichagolf</t>
  </si>
  <si>
    <t>…o podrán alcanzarla. El enemigo tiene delante de sí al valiente y activo conde Wittgenstein , cuyo carácter atrevido es tan notorio; y sobre el camino de Minsk se halla también el almirante Tchichagolf con el exército de Moldavia, que tendrá probablemente tiempo y orden, ó de reunirse al conde Wittgenstein para esperar á los franceses en el camino, ó de marchar contra uno de sus flancos. ?,El mariscal Kutusow ha enviado un destacamento considerable, que est…</t>
  </si>
  <si>
    <t>Tchichagqff</t>
  </si>
  <si>
    <t>Núra. 11. 85 GACETA DE LA REGENCIA DE LAS ESPAIJAS DEL MARTES 26 DE ENERO DE 1813. GRAN-BRETAÑA. Londres 30 de Diciembre de 1812. Parte del almirante Tchichagqff fecho en el camino de Osiachow el 20 de Noviembre. HMe aprovecho de la ocasión que se me presenta de dirigir eti derechura pliegos á Petersburgo para participar á Y. M. cuanto ha sucedido después de mi último parte. Él día siguiente al de mi Hel gada á Minsk…</t>
  </si>
  <si>
    <t>Tchichagrff</t>
  </si>
  <si>
    <t>…r y Oudinot se retiraban de mi frente hácia Borisow : en consecuencia partí de Tschtuga y me puse á perseguirlos. El general Plat'vw se guía al exércitó grande enemigo mientras el almirante Tchichagrff debía recibir al enemigo en Borisow , pues el proyecto era cercarle or tres lados. Según esto, mandé á mi vanguardia, á las órdenes S«1 rnuyor general W!as:ow , que persiguiese al enemigo. Este gene ral desbarató la división del general Dintiin cerca de la ci…</t>
  </si>
  <si>
    <t>Tchichüg</t>
  </si>
  <si>
    <t>…mayor general Toutsehik íf comunica, el dia 2, haber llegad© de B ¿brinsk á Golinki cosí su cuerpo El mariscal principe Kutusow Stnoler.sko, queriendo aproximarse al exército del almirante Tchichüg íFhi mudado su cuartel general á Kosino. l)icitmbre 5. E general conde Platovr comunica , e! dia l.°, ha berse reunido á la vanguardia del almirante Tchichagoff, y que esta ba en Chotínisschí E mismo din cogió al enemigo un cañón y 1000 prisioneros. Los t fin…</t>
  </si>
  <si>
    <t>Tchitchagoff</t>
  </si>
  <si>
    <t>…ido á Bonaparte por uno de los caminos que conducen á W lina. Ultimamente, participa lord Cathcart con fecha del 7 de Diciem bre, que acababa de pasarle aquella corte un parte del almirante Tchitchagoff de 29 de Noviembre en que da cuenta de sus opera* ciones desde el 21 del mismo, y dice que de acuerdo con los generales Wittgenstein y Platow iba persiguiendo á los franceses, cuya fuer za regulaba en 70000 hombres, comprehendiéndose entre ellos los cuerpos d…</t>
  </si>
  <si>
    <t>TchitchagoíF</t>
  </si>
  <si>
    <t>…endo en su marcha mu chos carros de bagages y una gran cantidad de provisiones que el enemigo tenia acopiadas , fué el primero que dió noticia de los mo vimientos del ejército del almirante TchitchagoíF, y del estado y si tuación de las tropas francesas. También apresó 3 correos con des pachos de importancia, y libertó al general Wihziugerode que lle vaba prisionero el enemigo , como también al mayor general Swetchin, al capitán Maryschkin del regimiento de…</t>
  </si>
  <si>
    <t>TchítchagoíF</t>
  </si>
  <si>
    <t>…uego que .recibiese pontones ó pudiese restablecerse el puente. ,,'El general Platow estaba ya en la milla derecha y probablemen te en Berisoff. „Parece que el cuartel general del almirante TchítchagoíF no es taba á grande distancia; pero no ha llegado noticia de la distribu ción y movimientos de este cuerpo desde la acción ocurrida con el conde Lambert. Sin embargo el conde Wittgenstein da á entender en su ultimo, parte que contaba con la cooperación del al…</t>
  </si>
  <si>
    <t>Tchitschakotf</t>
  </si>
  <si>
    <t>…el principio de esta obra; pero si el res to corresponde ¿ esta muestra, será sin duda de la¿ Posen g de dicumbre. inas importantes, y nada dexará que desear en la El exército del almirante Tchitschakotf está materia. enteramente falto da víveres. Después de la derro Una biblioteca completa de los escritores alema ta y fuga del general Sacken, que mandaba 2 nes desde 1700 hasta 18x0, recopilada por Mr. Heinhombre* de buenas tropas, debilitado aquel cuerpo siu…</t>
  </si>
  <si>
    <t>Tchoghokoíf</t>
  </si>
  <si>
    <t>…a á la bayoneta, y perseguidos hasta Erenina por la caballería ligera al mando del general Piatow. En este ataque el regimiento de infantería de Pernoff, guiado por su co ronel el general Tchoghokoíf, y por el mayor general Paskvitch, formando la cabeza de la Golumna, entró en el pueblo acometiendo á tambor batiente y banderas desplegadas. „La pérdida del enemigo entre muertos y heridos en esta acción se regula en 6000 hoiñbres por la parte mas corta, y 2…</t>
  </si>
  <si>
    <t>Tchrchagoff</t>
  </si>
  <si>
    <t>…ad cu ceder la, posesión de esta citifiad „ es un efec to de íao victorias conseguidas por les armas de Y. 3VL imperial du rante los dos últimos meses. El general Wiügensíein y el almirante Tchrchagoff persiguen al cuerpo-de Macdonald por camines dia gonales.” Segundo. Cuartel general de Alerces , 13 de Enero.—„Segun los estados reciíbídos dei exércíto ,/ han sido extraordinarias las "pérdidasr^ ^ fc •*.«. v udélosv w*j franceses en las fronteras de Rusia d…</t>
  </si>
  <si>
    <t>TciiichtfgofF</t>
  </si>
  <si>
    <t>…n dirección ¿ Varsovia; y que éi se halla con su destacamento en Menshenin. Éi general conde Platow continua su marcha á Insteiburgo con les regimientos de los cosacos de! Don. El almirante TciiichtfgofF ha remitido tres partes de 1.® de Ene ro. En el primero dice, que destacó de la vanguardia ¿1 mayor ge neral Lanakoy con ios regimientos de húsares Alejandrino y Rusos blancos, con el regimiento de dragones de Livonia y el regimiento tercero de Vral, mandándo…</t>
  </si>
  <si>
    <t>TckitckagofF</t>
  </si>
  <si>
    <t>…de que lle vaba prisionero el enemigo , como también al mayor general Swetchin, al capitán Maryschkin del regimiento de húsares de Isnm, y á otros que hoy envió á Petera burgo. El almirante TckitckagofF de bía llegar ayer á Minsk. „La exeeucion acertada y feliz de una expedición tan arriesgada, y de tanta utilidad para nosotros, particularmente con respecto á las noticias de las operaciones del exército mandado por el almirante TchitchagoíF, y del estado del…</t>
  </si>
  <si>
    <t>Tcliichagoff</t>
  </si>
  <si>
    <t>…ción, y sirve de nueva prueba para acreditar la ruina de su exército, como igualmente los demas sucesos que se han publicado.” Tercero. Cuartel general de Li/ch 18 de Enero. — „E1 almirante Tcliichagoff me dice con fecha de 14 del corriente que el enemigo fuá ar rojado mas allá del rio Nogat, y que las tropas de V. M. I. se han apoderado de Elbinga, Marienberg y Marienwerder. El conde Platow persigue al enemigo por el camino que conduce de Marienbsrg á Dantz…</t>
  </si>
  <si>
    <t>Tcliichagolf</t>
  </si>
  <si>
    <t>…stado. Petesburgo 31 de Diciembre. — „Milord: Participo á V. E con el iíias profundo sentimiento la muerte del conde de Tyrconnel. Mi litando en el exército ruso á fas órdenes del almirante Tcliichagolf, su celo y'deseos de presenciar todas las operaciones del aquel exér cito, le expusieron ai frío y fatigas superiores á sus fuerzas; en es pecial mientras fueron perseguidos los franceses desde el Berezina á Wilna. „Parece que ya padecía ántes del pecho, y lo…</t>
  </si>
  <si>
    <t>TcMchsgofF</t>
  </si>
  <si>
    <t>…Konigsberg y hácia Eibuiga con el objeto de quitar al enemigo todos los medios de acopiar provisio nes , por cuanto, segan noticias, estaba acarreando grano de varias especies. El almirante TcMchsgofF refiere que el 3 de Enero entraron sus partidas avanzadas en Iirsteib rg; la vanguardia del teniente general Tscbarditz en Gumbianen, y el mayor general conde Woroezow mar chó á NemesdoifF. Eí teniente general Tschiplitz comunica que el mayor general conde Ur…</t>
  </si>
  <si>
    <t>Tcutschcoff</t>
  </si>
  <si>
    <t>…el alcance á los principales cuerpos austríacos por Pinsk y Slonim, y pensaba estar en Rugana el 24. „ El cuerpo que antes mandaba el generel Ertle, y ahora está á las órdenes del general Tcutschcoff, reunido á otro destacamento, habiendo pasado por Minsk, llegó el 21 á Cándanoff, que está en el camino de este pueblo á Slonun. ,,Parece que todos los pueblos situados en 3a orilla derecha del Niemen estaban llenos de almacenes, y abundante de recursos el te…</t>
  </si>
  <si>
    <t>TEATRO</t>
  </si>
  <si>
    <t>…o. tenciario de S. A. R. el gran duque de Badén, el barón de Leutruin , chambelán de S. A. R. Por S. E el gran maestre de ceremonias S. A. el príncipe Bernardo de Saxonia V\eimar, teniente TEATRO. coronel de la guardia del Rei de Saxonia; el conde En el de la Cruz se ejecutará la comedia titulada el de Ed'mg , chambelán de S M. saxona; el conde Católico Recaredo , con tonadilla y sainete , interme de Beust, cambelau de S. M. saxona; el conde de diado…</t>
  </si>
  <si>
    <t>Techapliz</t>
  </si>
  <si>
    <t>…etos necesarios senado al Emperador, y que se han comprado en para poner un sitio, intentaron hacer con amenazas Alemania. al general comandante que evacúasela plaza. El te niente general Techapliz hizo esta tentativa el 8 de IMPERIO FRANCES. febrero; pero recibióla respuesta que merecía. Des Florencia 26 de marzo.de entonces la guarnición hace frecuentes salidas. S. A. I. la gran duquesa ha recibido de oficio B A VIERA. la noticia de un combate mui viv…</t>
  </si>
  <si>
    <t>Tehischagoff</t>
  </si>
  <si>
    <t>…r á Y. M. por esta victoria, y de poner á sus pies todos los trofeos ganados en ella. Nuestra pérdida no es considerable. Hoy voy atacar á Napoleón en la ciudad de Stu» dintzi. £1 almirante Tehischagoff y el conde Platow atacarán dé ]a otra parte del Berezina.” ESPAÑA* t ,• '•&lt; ■ : 1 t Lima 18 de Julio de 1812. i '■ Partes dirigidos al general Goyeneche que cita en su ejido , de 6 de Junio 9 al Sr. vire# (1). DEL CORONEL DON JUAN DE IMAZ. Núm. l.# „E1 exérci…</t>
  </si>
  <si>
    <t>Teítenbprn</t>
  </si>
  <si>
    <t>…é Hamburgo qup akayzan basta 23; ael pasado , y . en los cuáles sie. ¿onfirraa 3a noticia.- de .la Regada de los süee'os a acuella ciudad. El 2,1, entraron dos-’Jbajtállo^ nes; el general Teítenbprn con la legión anseática salió , á esperarlos, y fueron recibidos en la puerta; de la ciudad por la guardia cívica. Su aspecto es muy marcial, y están muy bien equipados: todas las clases del pueblo los han recibido con grandes aclamaciones.,Uno de los periódi…</t>
  </si>
  <si>
    <t>Tej'ada, Nicolás Martínez de</t>
  </si>
  <si>
    <t>Nicolás Martínez de Tej'ada</t>
  </si>
  <si>
    <t>…de Fuencarral¿ ^ 2.0 ; D. Josef Rodríguez Maqueda, natural de S. Martín de Valdeiglesias, y residente en ella. 3.0 D. Agustín González Sanz, natural y residente en Miraflores^ 4.0 D. Nicolás Martínez de Tej'ada, presbítero, natural y residente en Madrid.’ j.° D. Manuel de la Torre y Rauri , natural y residente en Madrid. 6.° D. Leandro Rozalen, natural y residente en Colmenar viejo. 7.0 D. Antonio Villanueva y Collado, natural de Madrid, y cura de Majadahonda. -</t>
  </si>
  <si>
    <t>Teja, Francisco Crespo de</t>
  </si>
  <si>
    <t>Francisco Crespo de Teja</t>
  </si>
  <si>
    <t>…o el acto se retiro la diputación con la misma ceremonia, y despidiéndola una comisión del ilustre ayuntamiento hasta el pie de la esca lera Se habilitó por secretario interino al Sr. D. Francisco Crespo de Teja da, individuo de la diputación; lo que se avisa al público para que todos los que tengan que dirigir recursos o noticias lo executen por su medio. ARTICULO DE OFICIO. Continúa la instrucción para el gobierno económico-político de las pro vincias. CAPITULO II.…</t>
  </si>
  <si>
    <t>Tejada, Antonio Saenz de</t>
  </si>
  <si>
    <t>Antonio Saenz de Tejada</t>
  </si>
  <si>
    <t>…id. D- Antonio Her rero, 1 id. D. Vicente López y U. Manuel del Valle, 1 id. D. To mas de la Casa y Piedra, 6 id. D. Martin de Guisasola, 6 id. D. Jo sé Matías de Elizalde, 2 id. D. Antonio Saenz de Tejada, 2 id. D. Manuel de Santiago, 1 id. D. Martin y D. Felipe Osambela., 10 i'd. D. José Ramón de Idiaquez, 8 id. D Ignacio de Santiago, 6 id. D- Andrés Reboredo, 6 id. D, Antonio Baras, 6 id. D. Manuel de Urlonagoena y Aramburu, 5 id. D Francisco Marta Zuloaga,…</t>
  </si>
  <si>
    <t>Tejada, Diego Crespo de</t>
  </si>
  <si>
    <t>Diego Crespo de Tejada</t>
  </si>
  <si>
    <t>…. Martin D. Jác’obo Manuel Manrique, D. Tomas Púertolas y D!. Manuel.Centurión; por la de S. Gi líes D Pedro Marcelino Blanco; pot la 4e Santa Cruz D Francisco An tonio Rucabado y D. Diego Crespo de Tejada; por la de S. Sebastian Don Juan Antonio de Urraza, D. Joaquín Almazan y D. Juan Josef de Ojanguren; por la de S. Lorenzo D. Miguel de* Áxpe y D. Vicente Montene gro; por la de S. Miguel y S. Justo L&gt;. Manuel Segundo Martínez; per la de S. Andrés D. Domingo F…</t>
  </si>
  <si>
    <t>Tejada, Francisco Crespo de</t>
  </si>
  <si>
    <t>Francisco Crespo de Tejada</t>
  </si>
  <si>
    <t>…tación próvii ' r.l -* K; o i." D. Emeterio Algete, labrador y vecino de Chinchón. . 2.0 D. Antonio Marte!, abogado de los tribunales nacionales en el cole gio de Madrid. f5,. 3.0 D. Francisco Crespo de Tejada, del comercio por mayor y giro en Madrid... . .. ,-,:r ■ ’. 4»0 IX Domingo Puta ri, presbítero. ^ : V $«° D. Josef López. Alonso, labrador, y alcalde constitucional d* Cienpozuelos. 6.° p. Francisco Fernandez Gaseolabrador y ganadero, vecino de Da-? ganzo de…</t>
  </si>
  <si>
    <t>Tejada, Ignacio Sánchez de</t>
  </si>
  <si>
    <t>Ignacio Sánchez de Tejada</t>
  </si>
  <si>
    <t>…ones de segundo y tercer nocturno para su dia octavo. Don Casimiro Saenz de S. Pedro y compañía, vecino de la villa de la Guar dia, provincia de Alava , desea saber el paradero de D. Ignacio Sánchez de Tejada, secretario mayor que fue del viretnato de Sta. Fe de Bogotá, nuevo reino de Gra* nada, en la América. Espera de la persona que lo sepa el favor de comunicárselo á dicha villa de ia Guardia. Historia de Bruce y Emilia: dos tomos en 8®, con una estampa fina en…</t>
  </si>
  <si>
    <t>Tejada, José</t>
  </si>
  <si>
    <t>José Tejada</t>
  </si>
  <si>
    <t>…enientes; D. Manuel María Saliquet, ídem del de cazadores; D'. Pedro Solis y D. Juan Martínez, subtenientes de granaderos; D. José Heros, ídem de cazado res ; D. Esteban Islaíoyo, D. José Tejada, D¿ José Caña y D. Francisco Vargas, subteniente del segundo de Asturias; D. José Rico , capitán; y D. Juan de Oüoqui, teniente del de Gaadalaxara; D* Juan Loarte, coronel; D. Antonio Villegas y D. Antonio Martínez, tenientes ; Don Luis Alcalá, subteniente de…</t>
  </si>
  <si>
    <t>Tejada, Josef</t>
  </si>
  <si>
    <t>Josef Tejada</t>
  </si>
  <si>
    <t>…ientes;: D. Manuel Mana Saliquet, ídem del de cazadores ; D..Pedro S.olis y D. Juan Martínez, subtenientes de granaderos,; D. Josef Heros» ídem,de ca zadores; D. Esteban Islafoyo, D. Josef Tejada, D. Jdsef Caña y.D. Fran cisco Vargas, subteniente del segundo de Asturias; I&gt;. Josef Rico, capi tán, y D. Juan de Odoqui, teniente del de Guadalaxara; D. Juan Loarte* coronel; D. Antonio Villegas y D. Antonio Martínez, tenientes; D. Luis •Alcalá, subteniente…</t>
  </si>
  <si>
    <t>Tejada, Pedro González de</t>
  </si>
  <si>
    <t>Pedro González de Tejada</t>
  </si>
  <si>
    <t>…demia de la Lengua, y ministro de la junta de.Censura de la provincia. 2.0 . D. Mateo ^Norzagaray, abogado de ios tribunales nacionates y del colegio de Madrid. - . - r. ; . : 3.0 D. Pedro González de Tejada, presbítero', catedrático de institución oes canónicas, y rector del colegio de los Manriques de Alcalá de Henares» Suplente. I&gt;. Josef de Vargas y Ponce, académico de la Historia, é individuo de la comisión , de Instrucción publica» . ' \ m diputación próvii…</t>
  </si>
  <si>
    <t>Tellez, Francisco</t>
  </si>
  <si>
    <t>Francisco Tellez</t>
  </si>
  <si>
    <t>…to primero. D. Antonio Arnesto, alcalde. D. Santos Antolin , substituto stgundo. D. Josef Rodas, substituto primero. Barrio de S. Marcos. D. Ventura González , substituto iegundo. D. Francisco Tellez, alcalde. Barrio de la Trinidad. D. Sebastian de Echestia, substituto primero. D. Santiago Ubon , substituto segundo. D. Carlos Avanciny, alcalde. D. Juan de Dios de la Pena, substituto primero. D. Josef Vinuesa , substituto segundo. QUARTEL DEL BARQUILLO. Ba…</t>
  </si>
  <si>
    <t>Tena, Manuel de</t>
  </si>
  <si>
    <t>Manuel de Tena</t>
  </si>
  <si>
    <t>…niente insertarla á la letra. Dice asi : „E1 8 del actual dispuso el general en gefe que pasaran á reconocer las alturas inmediatas á la plaza de Tortosa los ayudantes primeros el coronel D. Manuel de Tena y D. Cayetano María Degrés, al qüe, por hallarse en fermo, substituyó Don Josef María Araujo. Aquella noche se dieron en la Ga lera las órdenes competentes á fin de que al dia siguiente antes de la madru gada se hallase el batallón de Cuenca y 80 caballos d¿ Guádalaxára en la in…</t>
  </si>
  <si>
    <t>Tenet, Josef</t>
  </si>
  <si>
    <t>Josef Tenet</t>
  </si>
  <si>
    <t>…nio Mesa, substituto segundo. Barrio ae ¿Mortana. D. Rafael de Yarza, alcalde. QUARTEL DE SAN FRANCISCO. D. Juan Antonio Cuervo, substituto primero. Barrio de la puerta de Toledo. D. Josef Tenet, substituto segundo. I&gt;. Manuel de Manzaneque, alcalde. Barrio de S. Lu:... D. Mariano Vi!l.'c;ñor, substituto primero. El marques de la Torrecilla, alcalde. D. Domingo del Valle, substituto segundo. D. Pedro, Villar , substituto primeroBarrio d i Humiíl.núro…</t>
  </si>
  <si>
    <t>Tenorio, Miguel</t>
  </si>
  <si>
    <t>Miguel Tenorio</t>
  </si>
  <si>
    <t>…al que Esta esperanza endulza las amarguras de la muer exerce las fundones de la sala de alcaldes y junta te, y es la postrera felicidad que gozamos en el criminal de esta corte á D. Miguel Tenorio, Don postrer instan re.” Pablo Pérez Seoanes, D. Andrés Campos v Don „¡ Infortunado! ¡Oxalá que esta tierna verdad, Francisco Fernandez; y de conferir por ahor.; el revestida de los encantos de tu estilo, haya substi encargo del juzgado de primera instancia d…</t>
  </si>
  <si>
    <t>Tenreiró</t>
  </si>
  <si>
    <t>…ticipación y artificio por el partido ecle duzca. Cádiz 10 de febrero de i8i3. = Josef Mo siástico , que en ella al fin prevaleció. Han salido reno de Guerra.” electos los señores conde Tenreiró , arzobispo Muz,,Nota. Nadie mas constante que nosotros en quiz , penitenciario de esra santa iglesia Roda, sostener la representación nacional; pero nadie tam agente de su cabildo González Montaos, y cura de poco mas zeloso que nosotros por la justicia , he…</t>
  </si>
  <si>
    <t>Teo</t>
  </si>
  <si>
    <t>…uca, D. Agustín Apezteguia, D. Martin Benuza, D. Miguel Tolqsana , D. Juan Bautista Acosta , D. Xavier Azanza , D. Juan de Ortigosa, D, Basilio Oilabarren , D. Sebastian Cortazar, D. Teo doro González, D. Juan Oyaga, D. Remigio Crespo, D. Mauricio Segura, D. I^on Landache, D. Pedro Suso, P. Hermenegildo Mendigam n, D. F&lt;-mando Gamboa. (Se continuarán.) CADIZ : EN LA IMPRENTA NACIONAL. ^</t>
  </si>
  <si>
    <t>Teran, Jpscf María Gutierres de</t>
  </si>
  <si>
    <t>Jpscf María Gutierres de Teran</t>
  </si>
  <si>
    <t>…elegidos para presidente el Sr. D. Francisco Tacón ¿diputado por Murcia; para vice-presidente el Sr. P. Joséf Cayetano Foneerrada, diputado por Nueva-España, y para secretario el Sr. Jpscf María Gutierres de Teran * diputado suplente por Nueva-España, La Regencia del reino Je ha servido expedir el decreto siguiente; Pon Fernando vil* por la gracia de Píos y por la Constitución de la monarquía-Española, Rei de las Espadas * y en su ausencia y cautividad la Regencia del…</t>
  </si>
  <si>
    <t>Terart, Joaquín de</t>
  </si>
  <si>
    <t>Joaquín de Terart</t>
  </si>
  <si>
    <t>…, ¿ cuánto menos lo será en una campaña en que se disputan tan importantes intereses? (Se continuará.) ESPAÑA. Montevideo 31 de Diciembre de 1812. Partes del capitán de infantería D. Joaquín de Terart, encargado del diario militar de esta plata. Dia 30 de Noviembre. Se ha visto en la descubierta una partida de 12 hombres de caballería que amaneció en la aguada, á la que tiró el cubo del N. un cañonazo, con el que la puso en fuga, habiéndose dirigido hacía…</t>
  </si>
  <si>
    <t>Tercero, Juan José</t>
  </si>
  <si>
    <t>Juan José Tercero</t>
  </si>
  <si>
    <t>…co íturralde, D. Miguel Ube’za , D. Xavier Mariotegni, D Fermín Adrián, D. Francisco Miranda, D. laucas Zubkta, D. Vicente Larraga, D. M ¿mano Onnaeckea, D. Victoriano Iribarren , D. Juan José Tercero, D. Ignacio Lasa, I), Tomas Faudiño, 1). Gregorio .Eche» garay, D. A n Ionio Arzola, D. Jacinto O na , D José Vinegra, D. Santos Besga , D. Joaquín Ruiz, D. Ma uel Clemente, D. Ra món Marañon , D. José Albumes, D. José Luizaain , D. Francisca Ardaiz, D. José…</t>
  </si>
  <si>
    <t>Tere, José Fernandez</t>
  </si>
  <si>
    <t>José Fernandez Tere</t>
  </si>
  <si>
    <t>…cercanos. . - y 13.. Piedad 24 de Abril de 1812. Los patriotas de este pueblo se cubrieron de gloria en la mañana de este día. Auxiliados de una compañía de Toluca al cargo de su capitán D. José Fernandez Tere do , y unos cuantos soldados de Atotonilco y la Barca , resistieron ú unos 3© bandidos , mandados por Francisco García, hermano de ■Alvino, todos montados, que con un cañón y mas de '200 fusiles los atacaron. Duró obstinadamente la acción desde las 7 y media…</t>
  </si>
  <si>
    <t>Terreiro, Temas</t>
  </si>
  <si>
    <t>Temas Terreiro</t>
  </si>
  <si>
    <t>…exércitos nacionales, plazas y fronteras ,á f), Joa quín Junoy , D. José Otero , D. Benito Canales , D. Tomas Cortés, D. Francisco Melero, D. Tomas Bao darán, D. Epifanio Esteban, D. Temas Terreiro, D. Manuel Ubiña, D. Juan Jaldon , D. Alexandro Buitrón , D. Gabriel Lobo , D. Femando Castro, D. Juan Areliano y D. Antonio Matamoros. También han sido examinados por la referida brigada, y promovidos á subtenientes del propio cuerpo, D. J03Ó Roldan, guardia…</t>
  </si>
  <si>
    <t>Terres, Valentín</t>
  </si>
  <si>
    <t>Valentín Terres</t>
  </si>
  <si>
    <t>…ugona; el maes— trante D. N. Miro, catalan; un texedor, y un cabo de artillería. Parece que todos estos habían promovido el alboroto y persecución que sufrió el doctor «n medicina D. Valentín Terres, regidor constitucional, á quien los indi cados sugetos habian querido hacer odioso al pueblo poi haber íinnado la fe licitación hecha al supremo Congreso nacional con motivo de la supresión de la inquisición (1). (O La sabia Constitución que nos gobierna no…</t>
  </si>
  <si>
    <t>Térrico</t>
  </si>
  <si>
    <t>…y acudiendo al ins Ja pérdida de siete lanceros y ocho Caballos muer tante con algunas fuerzas el gefe de batallón Stan- tos, mucho mayor número de heridos, y conside r zani y el coronel Térrico , fue el enemigo rechazado rable porción de armas y maletas. Habiéndose re con pérdida» dexándose sus heridos en nuestro po unido de nuevo el enemigo en una montaña defender. Aquella misma noche ocupó á Mainar el ge aiaa1 po r un barranco profundo, el coronel…</t>
  </si>
  <si>
    <t>Terrier</t>
  </si>
  <si>
    <t>…y . ‘ : ■ . orSAXQKLA. ', V' ' /;’/' .;' ’ / /Dtht'de i6r^e*'seile'úbrei Se mánda á los'habitante^ de JÍ)résdé qtte' inmediatamente detwnden al comandante de la.plaza, el coronel barón Terrier, los prisioneros y deser tores enemigos que pudiesen habersé Escondido en sus casas. Se Ies ha pro hibido también comprar arttíaSi y conservar aquellas que pudiesen haber Irá liado sobre ¿1 campó dé batalla: sé les ha dado orden de presentarlas den tro del'té…</t>
  </si>
  <si>
    <t>Testertborn</t>
  </si>
  <si>
    <t>…oficiales y 4 cañones, sin coMarlo» saldados, de los cua'es llegan 1000 prisioneros diariamente. Ei general conde Wittgemtein participa el 23, que el ¿estáca me' tu r el teniente coronel Testertborn, enviado por el ayudante ge neral Gatenistsch ff KutusoW, dió con dos escuadrones de húsares prusianos delante ríe Tdsit; los arrolló y persiguió , atravesando el j utblo, una milla rras allá de él. Ei enemigo perdió en esta ocasión 40 prisioneros, ademas de…</t>
  </si>
  <si>
    <t>Tetenban</t>
  </si>
  <si>
    <t>…istancia de Dokohití. In formado en Lepel de que los bávaros se habian adelantado por Dolginoff y Wileske para reunirse con el grueso del exército en Smorgonia destacó al teniente general Tetenban para que marchase en su seguimiento. Este general participó con fecha de 2 de Diciembre que había derrotado la retaguardia del enemigo, haciendo 1C00 prisio neros entre los que habla 20 oficiales. Como el almirante Tchichagoff persigue á los enemigos por Mold…</t>
  </si>
  <si>
    <t>Tetienborn</t>
  </si>
  <si>
    <t>…ibidas las tropas rusas con igual cor dialidad que en Prusia, y lo mismo ha sucedido en Mecklembu/go. ,,Por las relaciones imcresas verá V. E. como fueron recibidos en Hamburgo el general Tetienborn y su destacamento. El mismo celo han manifestado los habitantes de Lauenburgo * donde en un momento fueron destruidas las armas francesas. Todos los puertos del Báltico y el de Hamburgo se han abierto con publicación de proclamas. x,.Continúa el bloqueo de Da…</t>
  </si>
  <si>
    <t>Tetíenborn</t>
  </si>
  <si>
    <t>…sparo algunos tiros, cuando cayeron los cosacos sobre ellos , y aprisionaron todo lo que no fué acuchillado. Las tropas que estaban en la ciudad con tinuaron la resistencia , y el general Tetíenborn hizo arrojar alga zos cohetes^ que cayeron ea diferentes sitios. Muchos ciudadanos quisieron hacer abrir las puertas; pero las patrullas francesas nos obligaron á encerrarnos en nuestras casas. En este tiempo, no que riendo el general Tettenbora reducir la ci…</t>
  </si>
  <si>
    <t>…mentos enemigos en su marcha á Wesel y Dusseldorf?. El dia 5 las tropas rusas ©coparon la ciudad de Muaster, haciéndole al enemigo en su retirada de este punto 6oo prisioneros. El general Tetíenborn con las tropas de su mando coatuvo la división del general Carra-Saint- Cyr, y las tropas que habían venido de Holanda para recobrar á Bremen. El Príncipe real ha manifes tado la mayor sathfaccion por la actividad de este general. El mariscal Davoust, que ocu…</t>
  </si>
  <si>
    <t>Tetíeoborn</t>
  </si>
  <si>
    <t>…poder de la persuasión de S. A. R. para que desistiese de su resolución. El teniente coronel Murwitz , que había s do destacado como par tidario para proteger las operaciones del general Tetíeoborn, entró en Brunswick donde hizo 400 prisioneros enemigos entre oficiales y soldados. EL capitán roso Bsrotzi Fuá acometido en Halle por tropas su periores en número á las suyas; pero se portó tan bien este valiente oficial, que rechazó al enemigo é hizo alguno…</t>
  </si>
  <si>
    <t>Tetrenborn</t>
  </si>
  <si>
    <t>…s tropas. Quarteí general de Stralsund fj de junio» Entraron en Lubeck las tropas danesas el y del presente ; y el general conde Sehülenberg, quedas manda , anunció formalmente al general Tetrenborn, que empezaban las hos tilidades entre la Rusia y la Dinamarca. En la noche del 8 al 9 de este mes una partida de húsares suecos en contró tres soldados de caballería danesa, que estaban de centinela cerca de Lubeck: inmediatamente estos centinelas hicieron f…</t>
  </si>
  <si>
    <t>Tett</t>
  </si>
  <si>
    <t>I 2 c 6 desorden sobre B'ockede, perseguidas por los cosacos, al ma^do del general Tett nborn. Nuestra pérdida cor¿sis‘e en 30 oficia’es y 400 h mbr. s heridoi y muertos. Los mayores Lutzow , Fíaks y Schass r e t.n he idos. Toda i las tropas del teniente gen. ral conde Wal m. d.n han mostrado su emulación en celo y valor este día. El tercer regi…</t>
  </si>
  <si>
    <t>Tette</t>
  </si>
  <si>
    <t>…mí en todos estos acontecimientos, y podrá dar á V. S. mas extensos detalles.—Tengo el honor $ec. C. Stewart, P. D. Del campo de batalla ha llegado hoy un oficial con plie gos del general Tette iborn, anunciando la conquista de Bremen por las tropss de su mando : traia las llaves de la ciudad que el Príncipe real ha presentado al emperador de Rusia. CADIZ : IMPRENTA NACIONAL; 1813.</t>
  </si>
  <si>
    <t>Tetteabcrn</t>
  </si>
  <si>
    <t>…rses puntos para f rmar el círculo en que se d:xó encerrar Bonaparte por tema en conservar á Dresde: que la mayor parte del exército aliado estaba en la izquitrda del Sanie &amp;c. El general Tetteabcrn tomó la ciudad de Bremen el 14 de Octu bre----Cas'el filé temada por el general CzernichefF el 30 de Setiem bre; pero después fué abandonada, y- dicen los papeles franceses que entró en ella el rey de We:s:fa ia el dia 16 de Octub e. —Unos pasage os reci.n.ll…</t>
  </si>
  <si>
    <t>Tettembcrn</t>
  </si>
  <si>
    <t>…v otros destacamentos del enemigo en el camino de Wessel y DusseldorflT El í ocuparon ias tropas rusas la ciudad deMunster, haciendo 600 ■prisioneros al enemigo en su retirada. El'general Tettembcrn con su cuerpo ha mantenido en respeto á la di visión dei general Carra St. Cy r, y á las tropas que vinieron de Holanda pa ra recobrar á B remen. El Príncipe Real está -mui satisfecho con Ja actividad de aquel general. - : . , ’ . El mariscal Davoust ocupa au…</t>
  </si>
  <si>
    <t>Tettemborn</t>
  </si>
  <si>
    <t>…abiendo recibido re fuerzo , fue repuesto en su antigua posición por el general Buliow. Los franceses se han apoderado de Cuxhaven, y han hecho tentativas contra Hamburgo; pero el general Tettemborn y la legión anseática, que se ha adelantado' hasta Haarbúrgo, los han rechazado bizarramente. Se confirma de oficio la muerte del general Kutu.sow, príncipe de Smolensko. Este general, acometido de una fiebre nerviosa, espiró en Baunte— lau el día 28 de abril…</t>
  </si>
  <si>
    <t>…nglaterra del 30 de abril trae las siguientes noticias. El go bierno ha recibido pliegos de Mr. Cocklourn , ministro de S. M. B, en Ham burgo, con fecha del 23 , anunciando que el general Tettemborn había reci bido del conde Witgensrein, actual general en gefe de los ¡exércitos rusos por fallecimiento de Kutusow, la noticia de la rendición de Dantzick por. ca pitulación, y ofrecia enviar los detalles apenas los recibiese. * El príncipe de Orange conferen…</t>
  </si>
  <si>
    <t>…equivocación fue causa de que 500, franceses tomasen posesión de Oschenwerder. Los suecos ncf procuraron socorrernos en tan crítica situa ción. Ayer por la mañana mui temprano el general Tettemborn informó al senado que ya no había modo de defender 4 Hamburgo, y dexó á dicho cuerpo el cuidado de buscar; los/medios,de defender la ciudad, de la qual salió el expresado general con sus .cosacos alas tres de la farde. Al medió dia entraron los dinamarqueses…</t>
  </si>
  <si>
    <t>cia, donde hai on numeroso partido opuesto al sistema que sigue actualmen te el gabinete de Stockolmo. 'Dícese que el: general Tettemborn ha dexado el servicio de la Rusia para entrar en el de Inglaterra (i). GRAN BRETAÑA. Londres 27 de julio, ' En un artículo de Tolon de 28 de junio se dice lo siguiente : „E1 príncipe de Esling tiene frecuentes conferencias con el vice-almirante Emeriau, coman…</t>
  </si>
  <si>
    <t>…í fué á Domitz, donde hizo construir un puente para pasar el Elba, en caso de que el enemigo destacase pane de su tuerza para el ludo iz quierdo del rio. Los puestos avanzados del general Tettemborn estaban junto á</t>
  </si>
  <si>
    <t>…erá á unos 1800 hombres. El general Pecheux perdió su caballo, y escapo á pie. Los restos de su división se retiran en desorden á.Bíeckede perseguidos por los cosacos al mando del general Tettemborn. Nuestra pérdida"consiste en 30 oficiales y 400 soldados muertos y heri dos. Los mayores Von Lutzou, Fuks y Scafter fueron heridos: el mayor Devauk murió. Todas las tropas al mando del teniente general conde Von "Walmoden se esmeraron en acreditar su zelo y v…</t>
  </si>
  <si>
    <t>…muestra que no solo desertan diariamente los soldados de esta débil guarnición, ,sino también ios sargentos y oficiales. Ei general conde Walmoden refiere con fecha del 19, que el general Tettemborn había perseguido al enemigo en su fuga hasta, Bleckede, Brackede, Limenburg, Wjnsen, y aun,hasta Haarburg: por .todas partes hemos cogido soldados que se habian quedado rezagados. El general Pecheux es capó con 500 ó 600 hombres que reunió en Lunenburg, adond…</t>
  </si>
  <si>
    <t>…ia toda la persuasión de S¿ A. R. para hacerle desistir de esta resolución. El teniente coronel Marwitz, que había sido destacado como partidario para proteger las operaciones del general Tettemborn, entró en Brunswick, «orprehendió las tropas que habia allí , é hizo prisioneros 400 hombres entré oficiales y soldados. ■ ■ - 'J *v; ‘ • ' ‘ ' * ' ';! El capitán ruso Barotzi fue atacado en Halle por -tirOpas superiores en número á las suyas; pero se portó t…</t>
  </si>
  <si>
    <t>…s de tropas austríacas, rusas y prusianas, de modo que no se ha dexado á Napoleón comunicación alguna con los países que están á su reta guardia. Después de la batalla de Gorde el general Tettemborn guarneció á Luneburg: dos dias después de haberse apoderado de la ciudad se presentó junto á la puerta Nueva un oficial francés, que venia en una silla de posta, enviado por el conde Salín, que hace correrías por el país, á fin de ponerse en comunicación c?&gt;n…</t>
  </si>
  <si>
    <t>7** P. D. Ho» ha llegado a! campo de batalla un oficial que viene del exér cito del general Tettemborn, y trae la noticia de haberse rendido Bremen al cuerpo del mando de aquel general, y que las llaves de la ciudad las ha presentado el Príncipe Real al Emperador de Rusia. S. Petersbitrgo 15 de setiembre. S. M. I. queriendo perpetuar la memo ria de las hazañas…</t>
  </si>
  <si>
    <t>…doméstica de la Francia. Del 10 de noviembre. Extracto de la nueva gazeta de Bremen de vy de octubre. Ayer al medio dia entró en esta ciudad en medio de los aplausos del pueblo el general Tettemborn á la cabeza de sus tropas. Su marcha al Wesser, después de haber atravesado el Elba en Boitzemburgo el dia 9, fue tan rápida, que el 13 se vio inesperadamente nuestra ciudad rodeada de tropas aliadas. Quando llegaron aquí las primeras noticias de que los cosa…</t>
  </si>
  <si>
    <t>…nos tiros, quando los cosacos se arrojaron sobre aquellas tropas, y el que no fue muerto quedó prisionero. Las tropas de dentro de la ciudad aun continuaban ^ resistiéndose , y el general Tettemborn mandó que se arrbjaseá álgunos cohetes incendiarios* los quales.cayéron ea varios parages. Gran parte de los habitantes deseaba con ansia que se abriesen las puer tas; pero la$ patrullas francesas les obligaron á retirarse á sus casas. El ge neral Tettemborn…</t>
  </si>
  <si>
    <t>…donde se dirige él genéral Bennigsen para obrar con todo vigor. , Según noticias: el general Molitor avanza á Holanda con un cherpo de id® hombres*. Habiendo evacuado á Bromen el general Tettemborn, la ocu pó de nuevo el general Carra S. Cyr; pero pronto estará otra vez libre.</t>
  </si>
  <si>
    <t>Tettenbera</t>
  </si>
  <si>
    <t>…franceses intimándoles que tratasen á los himnoveriaios según las leyes de la guerra, pues cuanto practicaban estos era con arreglo á órdenes de su soberano , c instrucciones del general Tettenbera; y que de lo contrario mandaría pasar por las armas á todos los franceses que tie ne en su poder y los que cogiese en lo sucesivo. — Las tropas que manda el general francés St. Cyr, se retiraron á la parte de Bremen que está á la izquierda del Weser, habiendo…</t>
  </si>
  <si>
    <t>Tettenbora</t>
  </si>
  <si>
    <t>…iferentes sitios. Muchos ciudadanos quisieron hacer abrir las puertas; pero las patrullas francesas nos obligaron á encerrarnos en nuestras casas. En este tiempo, no que riendo el general Tettenbora reducir la ciudad á cenizss con ios co hetes &gt; hizo preparativos para escalar las puertas. El mayor Devallant, que tomó d mando de la ciudad, después de la muerte del coronel Thui.íbr, como viese asios preparativos, y no estuviese en estado de hacer resistenc…</t>
  </si>
  <si>
    <t>Tettenborn</t>
  </si>
  <si>
    <t>444 gensteín han pasado ya el Elba; el uno por el centro á las órdenes del mayor general Dor berg, que se mueve con dirección á H-nnover; el mayor general Tettenborn por la derecha en camino de Bremen ; y por la izquierda el mayor gener&amp;l Czchernicheff con di rección á Bmr.swñ k , Lord WApele es el portador de estos pliegos : de aquí marcha á B rlin , y no dudo que podrá pasar sin diñaultad á Cuxhaven para embarcarse. „Ya…</t>
  </si>
  <si>
    <t>34</t>
  </si>
  <si>
    <t>…ición á no servir contra la Prusia y aliados por determinado tiempo. El dia 18 de marzo próximo pasado entraron los rusos en Hamburgo, en donde fueron recibidos con entusiasmo. El barón Tettenborn dirigió enton ces i los habitantes de aquella ciudad la siguiente proclama: „ Hamburgueses; vosotros habéis destruido las autoridades establecidas por el gobierno francés aun antes de la entrada de las tropas rusas en vues tro territorio, y restablecisteis á…</t>
  </si>
  <si>
    <t>Tettenbórn</t>
  </si>
  <si>
    <t>…onve nio de que no molestarían la orilla derecha del Elba, con tal que los rusos obcervíisen una neutralidad recíproca en la otra oriiía; pero este convenio no fué aceptada por el-general Tettenbórn * en conse cuencia de lo cual el tn^yor Hoífner volvió baxo la misma bandera parlamentaria:á Harburgo , de donde, no ha vuelto todavía y por consiguiente no sabemos la respuesta. , . • - ‘ j. . : ~ Antes de ayer por la mañana hicieron los franceses una .nueva…</t>
  </si>
  <si>
    <t>…proteger la línea de las barcas y la puerta de Franken. Es digno de notarse que al mismo tiempo en que el presidente Kaas ne gociaba con el príncipe de Eckmuhl, hacia informar al general Tettenborn y al general sueco que el Rei de Dinamarca estaba pronto á reunir al exército de Suecia 25® hombres para concurrir á la paz general y disminuir el poder de Napoleón. Los regimientos de Upland y Sudermanra con la artillería enviada de Estockolmo, los coraceros…</t>
  </si>
  <si>
    <t>…igoland de 10 de junio refieren que allí se habia reci bido la noticia de haber derrotado los aliados al enemigo en Halberstadt: le cogieron 14 piezas, y entraron en Brunswick. EL general Tettenborn, cuyo cuerpo es de 10® hombres, tenia su quartel general en Boitzenburgo , y es taba en comunicación con los suecos. Los franceses pidieron á Hamburgo una contribución de 4S millones de francos. Del 2$. Los últimos pliegos que hemos recibido hasta el 2 del co…</t>
  </si>
  <si>
    <t>Tetténborn</t>
  </si>
  <si>
    <t>…on grandes proyectos, y que apenas hizo mi iñage desdé Stralsund. hastar Reichetnbaeh en la Silesia, y el general Doianberg. Dicen que este último se desavino completamente con el general Tetténborn. El duque de'Cumberland se; halla en Stralsund después dé haber estado en el quartel general de los rusoís. Mientras permaneció- en. Alemania‘casi siémpré-ha estadio fea Strelitzv - - ¿A ; ' - Del ja. _ • / El 28” de julio mandó el gobierno fletar todos los b…</t>
  </si>
  <si>
    <t>io72 mente 10$ hombres hacía Schwerin, y el resto los siguió en breve. Tomaron una fuerte posición entre el lago grande y el peqneño : el general Tettenborn con 4 reg'mientos de cosacos , sostenido por el cuerpo de Lutzen y de Reiche los observaba por todas partes . y Ies cortó su comunicación. Estas tropas han interceptado ya muchos co/reos despachados por el gobierno francés, y han cogido muchos carros de munic…</t>
  </si>
  <si>
    <t>…in; pero se dirigió á Domitz, donde hizo construir un puente para pasar el Elba en el casa que el enemigo destacase parte de su fuerza al lado izquierdo del rio. Las avanzadas del general Tettenborn están cerca de Boitzemburgo. Los dinamarqueses han cometido algunas violencias en Mecklemburgo. Es mui digno de notarse que estos están inandados por un príncipe de Hesse, á cu ya familia ha confiscado los bienes el Emperador Napoleón; y asimismo que dicho Pr…</t>
  </si>
  <si>
    <t>128) tremen 1$ de Úctubre. Ayer al medio dia entro el general Tettenborn en esta ciudad al frente de sus tropas entre los aplausos del pueblo. Después de ha ber pasado el Elba el 9 en Boitzenburgo hizo una marcha tan rápi da por el Wesser, qué ¿1 diavi3 se vid nuestra ciudad cercada re pentinamente por las tropas aliadas. Cuando s…</t>
  </si>
  <si>
    <t>Texada, Francisco Crespo de</t>
  </si>
  <si>
    <t>Francisco Crespo de Texada</t>
  </si>
  <si>
    <t>. . Secretario. D. Francisco Crespo de Texada , del comercio de Madrid. ¡ Escrutadores. D. Pedro Aznar, cura párroco de Hortaleza. / D. Antonio Martel, vecinp y.abogado;del colegio de Madrid. : Eiebtores* D. Pedro Aznar, cura de Hortaleza. D. Antonio Martel, vecino y abogado del colegio de Madrid. D. Man…</t>
  </si>
  <si>
    <t>Texada, Francisco Saenz de</t>
  </si>
  <si>
    <t>Francisco Saenz de Texada</t>
  </si>
  <si>
    <t>…lcalde mayor juez Eí motivo de esta parada era la entrega de las de primera instancia de ia viiia de llíescas y su dis bandereáis , que cada batallón ha de considerar co trito ; á D. Francisco Saenz de Texada alcalde ma mo su estandarte propio, mientras que toda ¡a bri yor y juez de primera instajicia de la villa de Vigada no merezca mayor muestra de confianza. naroz y su distrito; á D. Felipe tlernandez alcalde El señor barón Je Sant-Cvr, general de divi mayor ju…</t>
  </si>
  <si>
    <t>Texeyra, Lorenzo José Limpo Cuello</t>
  </si>
  <si>
    <t>Lorenzo José Limpo Cuello Texeyra</t>
  </si>
  <si>
    <t>…itán de granaderos del re gimiento iufimtepa, de Jaén,, actualmente mayor del detall en él d*j Prayia: á capitanes, á D. Alberico Manpoey, ayudante mayor del regimiento de Zamora, D. Lorenzo José Limpo Cuello Texeyra, teniente del de voluntarios de Madrid , D. Manuel Fuentes de Toro, ayudante del de voHuitarios de Mérida, y D. Cayetano Oiloqái^ te niente del de Lean?: á ayiidauté niayor segundo, a, IX Vicente Goyanes, teniente del primero de Sevilla : á tenientes, á D, Ju…</t>
  </si>
  <si>
    <t>Thamen</t>
  </si>
  <si>
    <t>…resalto en la retaguardia enemiga. Herschfeld hizo un r ápido movimiento con orden de dirigirse desde las inmediaciones de AÍagdeburgo, Brandemburgo y Potsdam. Ei enemigo atacó ai general Thamen en Trebbin, y este se vio precisado, por la superioridad de fue'zas, á evacuar aquel punto. Avanzó después el enemigo, y ocupó todo el espacio emre Mitiemwalde y el Saale, cubierto por pantanos y bo ques. El 23 ei cuerpo de Bcrtrand se dirigió contra Tauenzie…</t>
  </si>
  <si>
    <t>Theremin</t>
  </si>
  <si>
    <t>…e mes expidió S. M. el decreto resante. siguiente: Con efecto, un número considerable de Piló Napoleón 8tc. &amp;c. teos subyugados por los Reyes de Persia y Lidia Considerando que el señor Theremin, nuestro forman el proyecto de buscar á la otra parte dei cónsul en Leipsick, ha abandonado su puesto sin mar una patria independiente; pero ; qué país ha necesidad , y precisamente al momento en que su llarán que pudiera hacerles olvidar el que dexan ? prese…</t>
  </si>
  <si>
    <t>Thi</t>
  </si>
  <si>
    <t>…ntre ellos el general Kreutzer. W Se asegura que los aliados se hallen dueños de Leipsíck. Es tal la f.-.ita de krrages que hay en Dreíde que mueren algu nos días 200 cabaiks.. El general Thi. Imán, que se halla á l:t retaguardia- de los enemi gos mo estándolos de mil modos , les ha hecho reclentemente 1200 prisioneros, entre e’los un general con toco su bagage £kc. El mal estado de las rentas publicas en Austria y Prusfa es tal por las consecuenc…</t>
  </si>
  <si>
    <t>Thi-elman</t>
  </si>
  <si>
    <t>…destacamento. Una par te de esta caballería se unió ya al exército grande de Bohemia, y marchó sobre la retaguardia del general Lefebre, quien ha tenido varias escaramu zas con el general Thi-elman. En Leipsick reina la mayor confusión: la ciu dad HO1 puede dar quanto se la pide sin cesar, ya dinero, ya víveres y caballos. El pueblo está reducido á tal miseria, que las autoridades que gobiernan allí re hallan en gran riesgo. Los soldados están cansados…</t>
  </si>
  <si>
    <t>Thidmanri</t>
  </si>
  <si>
    <t>…rtidarios del exérciro grande de Boh mia. El capitán ruso Fabeck, de¿ cuerpo de5 general C ernicheíF, que había ya pasado el Elba, se adda: tó has-a Naumbi rgo, dende en contró al general Thidmanri con unos i© caballos. El capitán Fabeck, que solo teniu consigo So cosacos , atacó al enemigo en Querfurth , é hizo prisioneros á un corone’ b.varo, un teniente coronel francés, 40 oíi iales y 500 h rabíes. E.-tregó los soldados á un re gimiento de coicos del…</t>
  </si>
  <si>
    <t>Thie'mann</t>
  </si>
  <si>
    <t>…Leipsísck el hospital de campaña de Dresde, y aun había pasado una parte de él á Merseburgo. La falta de forrsge ea Dresde es tan grande que morían 200 ca ballos algunos dias. El general Thie'mann ha hepho prisioneros en Weissenfels á un general y 1200 hombres. El 14, los co acos cogí:roa en Wurtzen un convoy de carros cargados de grano, de tinados para la guarni ción de Torgau; iba escoltado por un baralíon de saxones. El coroHel Mentzdorf ha iarercep…</t>
  </si>
  <si>
    <t>Thieimann</t>
  </si>
  <si>
    <t>…un des tacamento. Una pane de esta caballería se linio ya al exérclto grande de Bohemia, y marceó sobre la retaguardia del general Desnouetes, quien tuvo varias escaramuzas con el general Thieimann. Rey na en Leipsick la mayor confusión: la ciudad no puede dar cuento sin ce sar se le'pide de dinero, víveres y caballos. ” í? El pueblo está reducido á sal miseria que las autoridades que go biernan allí corren mucho riesgo. Los soldados están cansados de u…</t>
  </si>
  <si>
    <t>Thiéíraann</t>
  </si>
  <si>
    <t>2’%% todo lo concerniente 4 nuestro exército. El tenien los qnales 60® pasarán el Rin por Strasburgo, 60® te general barón Thiéíraann ha sido_nombr»do ge por Maguncia , y-60® por frente de WtWjelsr neral de la caballería en lugar del teniente general de Funck, á quien S M. ha admitido su dimisión GRAN BRETAÑA. en vista del mal estado de su salud. El mayor ge LÜndres 13 de enero. neral de Li…</t>
  </si>
  <si>
    <t>Thielmaa</t>
  </si>
  <si>
    <t>…alizadas, para lo El dia 23 de este mes creció tanto el Danubio, qual se han cortado 14© árboles en los bosques mas que no solamente se necesitaban barcos para acer inmediatos. El general Thielmaa tendrá el mando, carse á las casas inmediatas á sus orillas, sino tam mientras no pueda desempeñar las funciones de go bién para entrar en las que están situadas á consi bernador el general Lecoq. derable distancia de ellas. Estando todavía inmóvil el hielo e…</t>
  </si>
  <si>
    <t>Thielman</t>
  </si>
  <si>
    <t>…es Aschaffemburga de marzo. tá perfectamente fortificada , y por fuerzas france sas mui considerables. El gobernador de Torgau , el Ayer al medio dia entró aquí el señor mariscal general Thielman, ha conservado hasta aquí el puen duque de E'chíngen, príncipe del Moskowa. S- E. te de barcas que hai delante de esta ciudad, ya pa pasó revista á la división Souhatn, y la hizo ma ra facilitar las conducciones de los trenes y demas niobrar: en seguida comió…</t>
  </si>
  <si>
    <t>…e no ser admitidas, el Austria penetrará- con 50© hombres en Italia y 8o© por el Rin, dando Saxonia un contingente de 14© soldados.. CIUDADES ANSEATICAS. 'Hamburgo yo de abril. El general Thielman con 10© saxones se ha incorporado con los rusos._¿¿» Spandau capitulo, según cartas de Berlín del 25, obligándose la guarnición á no servir contra la Prusia y aliados por determinado tiempo. El dia 18 de marzo próximo pasado entraron los rusos en Hamburgo, en…</t>
  </si>
  <si>
    <t>…ican libre mente , mientras que los de Bonaparte pueden tener interceptadas las comu nicaciones con Francia por las partidas sueltas que á su retaguardia manda en la actualidad el general Thielman. En tal estado de cosas Bonaparte 6 se ha dé retirar necésariamente'al Mein, 6 se ha de sujetar á una batalla donde los aliados quieran. En este último caso Bonaparte se expondría tanto como «n Móskow; y estamos persuadidas de que seguirá el primer partido. E…</t>
  </si>
  <si>
    <t>…do trasladado deDresde á Leipsick, y parte del misino había ido á Meseburg. Es tan grande la falta de Forrages en Dresde, que ya tiempo ha morían allí diariamente 200 caballos. El general Thielman hizo prisioneros en Weissenfeis á un general, 37 oficiales y 1200 hombres. El 14 los cosacos cogieron en Wurtzen un convoi de carros cargados de grano destinados para la guarnición de Torgau, y escoltados por un batallón saxen. El coronel Von Menzdorff ha int…</t>
  </si>
  <si>
    <t>…aparté *á dexar á Dresde&gt; atacándole siempre por la? reta guardia; por tanto en breve oiremos grandes sucesos en Ja oriila izquierda del Elba, pará1:1o''qual h,a /concurridoya el, general Thielman, quien ha in terceptado con sus guerrillas la comunicación principal de Bonaparre, co giéndole convoyes, .correos, .y haciéndole generalmente, una guerra nueva y temible en los caminos deÓFréybúrg, Altemburg y Zeist. Bó'naparte se vid obligado á ir á Weissig…</t>
  </si>
  <si>
    <t>…en Bernburg. El mayor Von Rosenstern en Rosemburg, y el mayor Czerzensky en Zoerbig. Las partidas destacadas han penetrado hasta Halle, donde se han puesto en comunicación con el general Thielman , y desde allí hasta el pie de Deistsch y BÍÜ2rfeld, y en la orilla izquierda hasta Egeln y Wautziehen. Solo han podido hacer un pequeño número de prisioneros, pues que no en cuentran al enemigo con fuerza considerable. El mayor Von Lowenstern cogió un convoi…</t>
  </si>
  <si>
    <t>Thielmann</t>
  </si>
  <si>
    <t>…ayor Rosenstern en el Pequeño Roseaburgó, y el mayor Czeczensky en Zorb'g. Algunas partidas sueltus destaca das han penetrado ya hasta Halle, donde se comunican con él cuer po del general Thielmann , y desde allí se han adelantado también hasta cerca de Delitsch y Bitlerfel i, y por el lado izquierdo hasta Egeln y Wantzíeben. No han podido hacer mas que un corto nú mero de prisioneros por no haber encontrado mas enemigos. El ma yor Lowenstern ha cogido…</t>
  </si>
  <si>
    <t>Thlelman</t>
  </si>
  <si>
    <t>…ecos. Según noticias de Riga del 20 último, había pasado por allí con dirección i Alemania un fuerte cuerpo de rusos. Del /£. " Según noticias de Heligoland de 2 del corriente, el general Thlelman con 10© saxones ha desamparado á Torgau, y se ha unido á los rusos para combatir por su patria, y es de esperar que todos los alemanes sigan su exemplo: las tropas de Weimar y Gotha han hecho lo mismo. El mariscal Davoust con 9® hombres, Sebastiani con 7© y V…</t>
  </si>
  <si>
    <t>Thorn</t>
  </si>
  <si>
    <t>…infantería, una parte del regimiento.dear Nueva-Vorck j de noviembre. tillería de los Estados-Unidos, un.baiailon dél re Ayer jueves llegó á Washington el secretario gimiento del coronel Thorn , un destacamento ,de de la Tesorería, y hoi viernes se espera al secreta caballería y otro de cazadores. Por el lado de Ver— rio de Estado. ' mont hai en Svvantos 400 hombres, en Burlington El si-miente extracto de una carta de San Luis, 2©, adonde van mucho…</t>
  </si>
  <si>
    <t>…»Habiendo executado de este modo las órdenes dé V. E., re tiré mi columna del paso, y la moví sobre ASmandoz. »El mayor general Pringle alaba la conducta del capitán Heisse y del capitán Thorn en este ataque. »Creo que el teniente general Stewart desea informar sobre la buena conducta de algunos otros oficiales; pero su herida se lo im pide por ahora. Tengo la honra &lt;kc,=z R. HUI, teniente general/* Idem *3 de Agosto. Por los periódicos de Londres…</t>
  </si>
  <si>
    <t>Thui.íbr</t>
  </si>
  <si>
    <t>…l Tettenbora reducir la ciudad á cenizss con ios co hetes &gt; hizo preparativos para escalar las puertas. El mayor Devallant, que tomó d mando de la ciudad, después de la muerte del coronel Thui.íbr, como viese asios preparativos, y no estuviese en estado de hacer resistencia, propuso on3 capitulación, que se con cluyó entre él y el coronel Pfuel. La guarnición disminuida coa ía pérdida de 300 hombres entre muerto;, heridos y prisioneros salió con los ho…</t>
  </si>
  <si>
    <t>Thuiílier</t>
  </si>
  <si>
    <t>…vi3 se vid nuestra ciudad cercada re pentinamente por las tropas aliadas. Cuando se recibid aquí la no ticia de que se acercaban los cosacos por Wenkn, creyó nuestro comandante el coronel Thuiílier poder rechazarlos. Tenia 300 hom bres de un batallón suizo que llego pocos dias ántes, y estaban en los arrabales de la parte de levante por donde los cosa ;os debían en trar ¿pero apenas la artli ería del cuerpo anseático disparo algunos tiros, cuando cayero…</t>
  </si>
  <si>
    <t>Thuillier</t>
  </si>
  <si>
    <t>…damente nuestra ciudad rodeada de tropas aliadas. Quando llegaron aquí las primeras noticias de que los cosacos se iban acercando desde Werden, se lisonjeaba nuestro comandante el.coronel Thuillier de que los rechazaría. Tenia 300 hombres de un batallón suizo, que había entrado aquí algunos dias antes viniendo de Hamburgo , y estaban apostados en los arrabales de la puerta oriental por donde los cosacos habían</t>
  </si>
  <si>
    <t>Thum</t>
  </si>
  <si>
    <t>…poco después el séptimo cuerpo del exérci expedición ha sida mui corta; consiste por lo queto grande , que venia de Brzesc con la trigésima se toca á los dragones de Riesch en el capitán Thum,gunda división francesa. La división Trautemberg marchó por el camino de Kossow, y ambas llega un sargento, dos soldados y cinco caballos muer tos ; dos soldados heridos y dos estraviados. La ron el dia 6 á Slonim y Holinko. Pero para incomodar la espalda y f…</t>
  </si>
  <si>
    <t>Thumen</t>
  </si>
  <si>
    <t>…ramente nobles y puros, ¿á cuál poder de la tierra, por grande que fuese, no podrían vencer los alemanes uni dos combatiendo por la independencia é integridad de su territorio? Ei general Thumen manifestó gran valor en las acciones que pre cedieron á la de Gro\-Beeren; y aunque fué herido siguió mandan do en persona. El generar O'Rourke mostró en tedas las acciones que tuvo con el enemigo gran serenidad y pericia. Desde el rompi miento del armisticio…</t>
  </si>
  <si>
    <t>…, y hacen mucho honor al general Sparré. El tercer cuer po prusiano, mandado por el general Bulovv, debe pasar mañana el Elba, como, también el general Tauenzien con. el suyo. El general Thumen que dará al frente de Wittemberg. Este general debe continuar el sitio de aque lla plaza con el mismo vigor que mostró en Spandau. En el caso de caer Wittemberg en poder de ios aliados, serán.estos dueños del Elba.-, pues esta fortaleza servirá no solo para c…</t>
  </si>
  <si>
    <t>…ado y debea ser destruidos, si fu.se nece sario, y que se han construido nuevos puentes mas abaxo de Magdeburgo para en caso de n-xesidad. El cuerpo de cbservacion man dado por el general Thumen de ó® hombres, en frente de \Vmemberg, tiene orden, si el enemigo llegcse á forjaraiíí el paro, de vol ver, alejándose por la orilla derecha del Elba, por Magdeburgo (en caso de hallarse apurado, lo que co es probable aunque no imposi ble marcharse con todas…</t>
  </si>
  <si>
    <t>…hacen mucho honor al general Sparre. El tercer cuerpo prusiano, mandado por el general Bulow, debe atravesar el Elba mañana, como igualmente el general Tauenzien con su cuerpo. El general Thumen se quedará en frente de Wirttemberg. Este general debe continuar el sitio de aquella plaza con el mismo vigor que mostró en Spandau. Si los aliados se apoderan de Wirttemberg queda segura la línea del Elba; porque esta plaza, cubriendo á Berlín, puede servir…</t>
  </si>
  <si>
    <t>820 Dessau, de las obras y puente de Roslau, destacó dos cuerpos de su exér cito á Wittemberg , é hizo atacar al general Thumen , que mandaba el blo queo de aquella fortaleza. Este general, después de una valerosa resistencia, se retiró para unirse con el general Tauentzien que había repasado el Elba. El enemigo marchó inmediatamente á RoiHau, y atacó al general Tauent zien, que, segú…</t>
  </si>
  <si>
    <t>Thuriow</t>
  </si>
  <si>
    <t>…al parecer me el lord Jd seüo privado,el conde de Btickingharus- recieron la atención de V. A. R., á consecuencia hire; el conde de Bathurst, el conde-de Liverpool, -del aviso de lord Thuriow, quien creyó correspon el conde de Miilglave, el vizconde Melville, el diente á su carácter de hombre público dar cuenta vizconde Sidmonrh , vi"vizconde Castlereauji, el de todo á S. M ; y habiéndose dignado V. A. R. mui hoñrado obispo-de Londres, el mui -'ho…</t>
  </si>
  <si>
    <t>Thurlovv</t>
  </si>
  <si>
    <t>…roaci de los-SStnÜhas- ' tampoco es el tribunal conveniente para resolver se y en esto no hizo este mas que seguir el consejo de mejantes cuestiones. Por otra parte , bien sea que lord Thurlovv. Creyó luego S. A. R. que era obliactualmente «bise impfi'je grimen hfmgtinqrt á lar 3 : oqcüEin suya dat Jparte Á Rei’su .Jiadrede las acuprincesa de Qaltís, dibiemse cQSridáe.sufc^uctv 1 • ^¡siínes , .desde J|l quat ínó’megfo' comeñzó á de culpada desde la…</t>
  </si>
  <si>
    <t>Thuvrau</t>
  </si>
  <si>
    <t>…tado Hiillon y medio de;Ía suma que falta que pagar. El general francés Rey , que manda "en'la plaza de S-. Sebastian , era fraile antes de Ja revolucione sirvió á las órdenes del general Thuvrau en el Ven ded , donde sus haz añáS'ie-limitaron á presentarse en público, llevando col gadas en los botones áfe^Fcasaca algunas orejas de realistas. • á Por un barcS procedente de Mórkúx‘ á Pbwey sabemos que ya era pú blica en Francia la derrota del exército-…</t>
  </si>
  <si>
    <t>Tí</t>
  </si>
  <si>
    <t>…sobre ella hiciese nuestra tropa un--establecimiento; lo que se efectuó en la .noche del 26, quedando prisionero de guerra él des tacamento -enemigo que allí.había. * . . , ' „El capitán Tí. Cameron, del regimiento 9.0, mandó el destacamento que tomó la expresada isla; y el teniente general sir Tomas Graham aplau de particularmente su conducta y la del capitán del real cuerpo de itigenieros Henáerson. .. i - ....... „ El honorable teniente de la…</t>
  </si>
  <si>
    <t>Tí.ttenborn</t>
  </si>
  <si>
    <t>…nd escriben con fecha de 11 de Jij~ nio que las tropas dinamarquesas entraron en Lubek el 3 del mismo; y que el general conde de Schuitmberg que las manda notílic© for malmente al general Tí.ttenborn haberse comenzado las hostilidades entre Rusia y Dinamarca. De Petersburgo avisan lo siguiente con fecha de it de Junio. Si gue marchando con dirección al Vístula un exerciio oe refuerzo que p*isa de 4Qáí hombres j .perfectamente equipado.</t>
  </si>
  <si>
    <t>Ticbsen</t>
  </si>
  <si>
    <t>…os manuscritos de la de Woílranceses tienen 20 navios de línea enTolon, a&gt; tenbunei , cuya traslación se encomendó al cuida en el Escalda, nueve en el Texel, seis en Brest, do del profesor Ticbsen. Una gran porción de obras quatro en Cherburgo y cinco en Rochelbrt prontos raras ¿ im¡ oreantes de la biblioteca de la universi ¿ hacerse á la vela. dad suprimida de Heünsteu se ha pasudo también á Gottinga. Lo,' tres profesores Pott, Fehul/e y SAXONIA. Lucd…</t>
  </si>
  <si>
    <t>Tieman</t>
  </si>
  <si>
    <t>…brillante ataque , hecho sobre un quadro formidable, defendido por 14 piezas de artillería, excedió á mis esperanzas , y cubrió de gloria á los húsares de Iscum , mandados por el coronel Tieman, y á dos regimientos de dragones de Riga: les cosacos ayu daron admirablemente los esfuerzos de los 400 hombres de caballería. En un instante tomamos las baterías , y entraron mis valientes soldados dentro del quadro. Entonces fue horrorosa la carnicería ; el…</t>
  </si>
  <si>
    <t>Tíeredia, Benito Iniguez de</t>
  </si>
  <si>
    <t>Benito Iniguez de Tíeredia</t>
  </si>
  <si>
    <t>…a la natividad de nuestro Salvador Je sucristo. Véndese á 2 rs. en la librería de la viuda de Quiroga, calle de las Car retas. Letrilla sagrada al nacimiento del Hijo de Dios, por D. Benito Iniguez de Tíeredia , presbítero, capellán de número de S. Gines. Se hallará en las librerías de Perez, calle de las Carretas, y de Villa, plazuela de Sto. Domingo: y los dias festivos en la mesa que se pone en e1 atrio de la parroquia de S. Gines. Motes nuevos de damas y galane…</t>
  </si>
  <si>
    <t>Til, FnnAVDO</t>
  </si>
  <si>
    <t>FnnAVDO Til</t>
  </si>
  <si>
    <t>…ayme Cronzah. = Mariano Sigue riza, as Joaquín Barbéron. =s El barón de Alcalde ARTICULO DB OFICIO. La Regencia del rey no se ka servido eapedir los decretos siguiente si Primero. D. FnnAVDO Til, por 1» gracia de Dios y por la Constitución de la monarquía española, rey de las Espolias, y en su ausencia y cautividad la Regencia del rey na nombrada por las Cortes generales y extraordinarias, á todos los que las presentes vieren y entendieren, sabed: qu…</t>
  </si>
  <si>
    <t>Tilly</t>
  </si>
  <si>
    <t>…e se dirigen en el dia á esta ciu- * dad. Compónese sin duda este convoy del todo ó parte de los 10000 hombres que salieron de Madrid, y pasaron el 7 y el 8 por Villacasiiu con el general Tilly. No será de extrañar que el intruso vuelva á Madrid, según las disposiciones que están temadas, y el no haberlo verificado ya con- : siste en los ministros, que le han hecho ver la necesidad de regresar &lt; sin dilación aquí. Parece que de todas las tropas que…</t>
  </si>
  <si>
    <t>Tilman-Suys</t>
  </si>
  <si>
    <t>283</t>
  </si>
  <si>
    <t>…enerosidad de los bretones, la que no puede me han ganado poco há los premios superiores de pin ros de excitar hasta el mas alto punto la considera tura y escultura en Paris, y el señor Tilman-Suys, ción de todas Jas circunstancias. ¿Por qué ha invadido de Ostende, que acaba de ganar el premio supe la Francia á la Rusia ? Porque la Rusia no ha queri rior de arquitectura, y está dispuesto á hacer el do adherir al sistema continental, porque no ha que via…</t>
  </si>
  <si>
    <t>Tinoco, José</t>
  </si>
  <si>
    <t>José Tinoco</t>
  </si>
  <si>
    <t>…s varias penas ; se ha •servido ía Regencia de las Espaúas., conformándose con el dictamen del tribunal especial de Guerra y Marina , declarar inocentes y li bres de todo cargo al coronel D. José Tinoco . gobernador de dicha plaza, que por su grave enfermedad dexó el mando de ella ántes ;que lo; enemigos se presentasen; al capitán del regimiento de tira dores de Doy le D Domingo de Medina,, y al comisario de guerra é intendente en comisión que fue de los par…</t>
  </si>
  <si>
    <t>Tir</t>
  </si>
  <si>
    <t>…déla Torre, 1 id. D. Manuel Garbea y Bulillo, 2 id. D. Ma nuel de Aramburu, í id. D. Miguel de Ezcurra, 1 id. D. Ramo* Martínez de Bartolomé, 1 id. D. Santiago Cachonfajro, 1 id. D. Tir so Estevanez, 1 id. D. Francisco Bosano , 2 id. D. José Gambini, 1 id. D. Juan de Perlica, 8 id. D. Dimaso de Arias, 6 id. D. Jacinto Xiraeno, 6 id. D. Manuel Ortiz de Villate, 4 id. D. José Rodolfo, 4 id. D. Antonio León, 4 id. D Paulino Domínguez, 3 id. D.…</t>
  </si>
  <si>
    <t>Tissot</t>
  </si>
  <si>
    <t>…insertará la instrucción anexa á este decreto.) ^Enfermedades de nervios producidas por el abuso de los placeres del amor, y excesos del onanismo. Obra escrita, en francés por el señor Tissot, y traducida, al castellano y aumentada en esta segunda impresión: un temo en 8.® en pasta. Se . ñaliará en la librería de Ranz, calle de la Cruz, á 12 rs. Manifiesto de los oficios que los prelados regulares de esta villa de Madrid han pasado al caballero in…</t>
  </si>
  <si>
    <t>Tittenfcorn</t>
  </si>
  <si>
    <t>…ff. El cuerpo del exército fra tsces que bebía avanzrdo á Schverin, permanecía allí el 2 del corriente, y había destacado ura di visión dinamarquesa para cubrir su retaguardia. El general Tittenfcorn continuó incomodándola c: municaciones del en migo, y ate morizando sus pu_stot avanzados: junto á Gadebusch sespcd*e?ó de un transporte de 40 cirros cargados de víveres y municiones , des pués de haber muerto ó disperso á su fsco'ta. Las consecuencias de la…</t>
  </si>
  <si>
    <t>TiváHerV, Bérnardiño</t>
  </si>
  <si>
    <t>Bérnardiño TiváHerV</t>
  </si>
  <si>
    <t>…o dé Hore ine recomienda particularmentédh bizarría de Ibs gefes, el comandante dét batallón del Ge neral D. Fermín de Mendialdua, y el teniente corohel del regimiento de Ordenes* D. Bérnardiño TiváHerV y á todos los dignos oficiales de ambos cuerpos,1 sin atreéersé á par ticu lanzar algfunóV ’pbr jué1 seria ofender el distin guido éniiftíoiíaiiilentñdé Wdbs. o ■?. *, Mé .feo ¿rOiifüsd'para :defi filfa Vi^.'JósdistlilgnidossérVícios , bizarría y coIródtñTeií…</t>
  </si>
  <si>
    <t>Tivailer, Berrtardino</t>
  </si>
  <si>
    <t>Berrtardino Tivailer</t>
  </si>
  <si>
    <t>…de Hore me reco mienda particularmente la bizarría de los gefes,el comandante del ba tallón del General D. Fermin de Mendialdua, y el teniente coronel ,deh regí miento de Ordenes D. Berrtardino Tivailer, y a todos ios dig nos oficiales de ambos cuerpos , sin atreverse á particularizar alguno porque seria ofender el distinguido comportamiento de todos. »Me veo confuso para definir á V. S. los distinguidos servi dlos, bizarría y conocimientos que ha desplegado…</t>
  </si>
  <si>
    <t>Tizón, Gerónimo L</t>
  </si>
  <si>
    <t>Gerónimo L Tizón</t>
  </si>
  <si>
    <t>…e ha habido mo tivo para reprehender y castigar; él numero de que constaba es de 1800 infantes y 500 caballos- A raí me matarou un caballo; y pu de caer prisionero con el teniente coronel D. Gerónimo L Tizón, ei capitán mi secretario D. Blas de Arahuetes y alguno otro ; pues ocu pados en reunir el batallón de Guadálaxara , mandábamos y reñía mos algunos enemigos, creyéndolos soldados de aquel cuerpo; las respuestas se dexan ver como serian : la uniformidad del tr…</t>
  </si>
  <si>
    <t>TjiieLrrjan</t>
  </si>
  <si>
    <t>…nemigo en Querfurt, y cogió prisioneros un coronel bávaro , un teniente coronel francés, 40 oficiales y ^co soldados, jintregó los soldados af regimiento de cpsacos del cuerpo del general TjiieLrrjan, y envió los oficiales .á e¿ta orilla del rio. . . Las noticias de Cassel,.refieren que. reipa U.mayor^ cpn^ternaeiqg^ep aqu^!-</t>
  </si>
  <si>
    <t>TJ’hielman</t>
  </si>
  <si>
    <t>…en retirada fue atacado y perseguido por el destaca- mentó del coronel Figner, que le mató mucha gente, le hizo mas de i® prisioneros, y cogió la mayor parte de su equipage.__ El general TJ’hielman, reunido á 80 cosacos del capitán Fabeck, hizo junto á Querfurth prisionesñeros á un coronel bávaro, á un teniente coronel francés, 40 oficiales y 500 soldados___ El exército de Blucher continuaba persiguiendo á los franceses según se iban retirando.----En la…</t>
  </si>
  <si>
    <t>Tlistan, Pío</t>
  </si>
  <si>
    <t>Pío Tlistan</t>
  </si>
  <si>
    <t>207 puesta de 4000 hombres, 10 piezas de artillería volante, y un cuerpo de reserva de 1000 hombres á las órdenes del coronel D. Pío Tlistan, mayor general del exércitoquien habiéndose movido desde Sinpacha en busca de los enemigos , que en nú mero de 2200 hombres á las órdenes de un tai Belgrano, gene ral que se decia de las huestes revolucionarias, se hallaban en el pueblo de Humahuaca, tomaron…</t>
  </si>
  <si>
    <t>TMelraan</t>
  </si>
  <si>
    <t>GRAN-BRETAÑA. Isé&amp;drcs 15 ie Mayo. Según noticias de Heligoland de 2 del corriente, el general TMelraan con 10600 tazones ha desamparado á Torgau, y se ha unido í los ruaos pera combatir por su patria, y •« de esperar que todos los alemaues sigan su exemplo : las tropas de Weimaar y Gotha han hecho lo mismo. El mariscal Davoust con @600 hombres, Sebastiaai con…</t>
  </si>
  <si>
    <t>To</t>
  </si>
  <si>
    <t>…Manuel Antonio del Portillo, 6 id. D. Santiago Rodrí guez, 2 id. D. Francisco Medina, 1 id. D. Martin de Almerza, 5 id. D. José de Aristnendi, 10 id. D. Gerónimo de Urriza, L id. D. To mas Gallegos, 6 id. IL Agustín Caldas, 1 id. D. Blas Camino, 1 id. D. Domingo Urquijo, 1 id. D. Francisco Falconi, I id. D. Francis co de Sagastaveitía„ id. D Francisco Valles, 2 id D. Francisco Ba llesteros, 1 id. D. Gregorio Fernandez* 1 id D. Julián García…</t>
  </si>
  <si>
    <t>…ia injusticia el particularizar á nn cuerpo mas que á otro; pero la suerte hizo que las compañías de granaderos y cazadores de As turias , una guerrilla de Guanaxuato al mando del capitán D. To mas Haro, 45 hombres de marina al mando del teniente de fragata D. José Tr vesi, mayor de órdenes, con los oficíales de su cuerpo D. Joaquín Santaolaíla, D. Rafael Dias y D. Ignacio Martínez, y ios escuadrones de caballería de Puebla, S. Luis y México, consi…</t>
  </si>
  <si>
    <t>Tobar, Manuel</t>
  </si>
  <si>
    <t>Manuel Tobar</t>
  </si>
  <si>
    <t>En el testamento y última1 díspOsjtcloti baxo la que falleció1 en da ciudad" dé Córdoba D. Manuel Tobar^lpridtier teniente de Guardias Españolas, destina al-i gtinps-d,e- sus:,b.ienes*pará: p3go de jas desdas legítimas que resulten, contra su niadcér Doña María frígida Colmenares , condesa ybida-qpé fue de Cancelada, que tajn-í bien falleció en esta,corte ¡en e…</t>
  </si>
  <si>
    <t>Tobin</t>
  </si>
  <si>
    <t>…el viento que ia Werer. La Trave fue demubi.rta desde luego por el bergantín arm;do el Acates, capitán Morrlson , que entró en coi».b?te con ella, hasta que la fragata Ajsdrómsca, capitán Tobin, y el Priamo, capitán Dun das, se pre emaron. La Ándrómaca liego la primera, y el enemigo se rindió á pocos minutos de combate. Lo? regimientos que estaban en Stralsuad se han dtbido embar car para eí Weser. El dja 29 dd pasado se embarcaron varios destccimen…</t>
  </si>
  <si>
    <t>Toi</t>
  </si>
  <si>
    <t>…ará certificación, y acreditará efl su hoja de servicio. • , • . Los caballeros cadetes premiados son D. Josef dJe la Torre por preferen cia en las clases de geometría y táctica;, D. Toi»as Benitez, en la de táctica;. I)., Dionisio Gisbert y D. Martin de Villota en las de aritmética,y álgebra; T&gt;é Francisco de Lara en las de aritmética y ordenanzas, y D. Juan Sabor!do por su extraordinaria aplicación en ordenanzas y, aritmética. Valencia de a…</t>
  </si>
  <si>
    <t>Toily, Barclay de</t>
  </si>
  <si>
    <t>Barclay de Toily</t>
  </si>
  <si>
    <t>…arecía de ellos por los esfuerzos hechos en pasar las montañas dos veces con mal tiempo, y así pudieron ponerse las tropas en movimiento.—-Los rusos y prusianos, á las órdenes del general Barclay de Toily y del conde Wittgenstein , con varías di visiones austríacas, han vuelto á entrar en baxonia por Peterswalde y Marienberg , y sus puestos avanzados están otra vez á vista de</t>
  </si>
  <si>
    <t>Tolfy, Barclay de</t>
  </si>
  <si>
    <t>Barclay de Tolfy</t>
  </si>
  <si>
    <t>…echa de la posición. Por el extremo de esta el terreno era llano, cubierto de árboles, y cortado por los caminos que conducen á Bober y al Oder. «Aquí estaba situado el cuerpo del general Barclay de Tolfy, que debia considerarse mas bien como un cuerpo de maniobras des tinado á inutilizar las tentativas del enemigo contra la derecha y re taguardia de los aliados, que como parte integrante del exército que debia ocupar la posición principal. La extensión de tod…</t>
  </si>
  <si>
    <t>Tolíy, Barclay de</t>
  </si>
  <si>
    <t>Barclay de Tolíy</t>
  </si>
  <si>
    <t>…osiciones de los ¿liados, de cuya fuerza y , verdadera situación parece no se hallan mui bien instruidos los franceses, gracias á la actividad de los cosacos, era la que sigue: «1 general Barclay de Tolíy sobre el Vístula en observación de Dantzick. El general Sachen observa él cuerpo austríaco con dirección á Cracovia. Al Emperador Alexándro con sus guardias y al mariscal Kutusow con unos 20® hombres se les supone en el Oder. Los saxones en Torgau. El general…</t>
  </si>
  <si>
    <t>Tolly, Barclay de</t>
  </si>
  <si>
    <t>Barclay de Tolly</t>
  </si>
  <si>
    <t>…al general Mettcrnich: Bar clay de Tolly se lisonjea de que me obligará á tomar el camino de, Moscow, creyéndome tan insensato que he de ir á sepultarme en los hielos. Pero no; el Sr. Barclay de Tolly no me1 llevará á Mosoow ; pues antes que él ocupe el camino de esta capital, estará ya decidido el asunto.*' Frustráronse por esta vez las esperanzas y vaticinios del tirano. Fué atraído á Moscow, y al encontrarse con un raonton de ruinas, en vez de las cómod…</t>
  </si>
  <si>
    <t>…ellas llega ar tillería gruesa en gran cantidad. Rapp ha ofrecido capitular baxo la condición de que se le permita volver con la guarnición á Francia; Jo que le ha sido negado. El general Barclay de Tolly mandará el exército sitiador. Siguen pasando por este pueblo, como igualmente por Polonia, nuevos cuerpos rusos para incorporarse con el exército grande. Se lia puesto en marcha la legión alemana, cuya fuerza consiste en unos 30© hombres, de los cuales quedan…</t>
  </si>
  <si>
    <t>…illería tuvo gran acierto,rechazando todos los ataques del enemigo. El cuerpo del general Lauriston se presentó procurando envolver nuestra ala derecha; pero fue conte nido por el general Barclay de Tolly, quien se hallaba apostado en Gottamilde para observar a| enemigo, hasta que el cuerpo del general Kleist y las brigadas de Klus y Roeder cayeron sobre la retaguardia del enemigo con un fuego mui vivo de fusilería, causándoles gran perdida, y obligándoles á r…</t>
  </si>
  <si>
    <t>tenidas por un fuego terrible, mientras otras desfilaban para apode rarse de nuestra derecha. El general Barclay de Tolly fué atacado por fuerzas muy superiores, mandadas por el mariscal Ney y el ge neral Lauriston; y á pesar del mas bizarro esfuerzo se vio obligado á abandonar las aldeas de Klutz y Cannewitz. Barclay de Tolly te nia orden, en caso de ser atacado por fuerzas sup…</t>
  </si>
  <si>
    <t>…esta plaza. «El conde Vittgenstein ha hecho dimisión del mando de los exércitos aliados, que por muerte del mariscal Kutusow le cupo mien tras se hacia un arreglo definitivo : el general Barclay de Tolly lia sido nombrado para exercer el mismo cargo. Con este moávo se Ira hecho una nueva desmembración; á saber, el conde Wítiger..-tcm mandará los rusos, y el general Blucher los prudanos. Ti gemral Milaradowitch lia cedido el mando al conde Pahlin por indisposi…</t>
  </si>
  <si>
    <t>…archa ría el 19 con 9® hombres á reforzar las tropas mencionadas, los generales Barclay de Tolly y York pasaron con un grueso cuerpo á interceptar y aco meter á aquel general. „E1 general Barclay de Tolly encontró al enemigo en las cercanías de Konigswerde, donde hubo una acción mui reñida, que no se acabó hasta entrada la noche, y en la qual quedaron victoriosos los aliados. Estos arro jaron al enemigo de todos los puntos, tomándoles mas de t^oo prisioneros,…</t>
  </si>
  <si>
    <t>IÓ2 ,, Aquí estaba situado el cuerpo del general Barclay de Tolly, que debía considerarse mas bien como un cuerpo de operaciones destinado á inutilizar las tentativas del enemigo contra la derecha y retaguardia de los aliados, que como parte dé la línea que ocupaba la posición. La extensión de toda la línea seria de unas qu…</t>
  </si>
  <si>
    <t>…emigos ; y aunque se consiguieron ventajas parciales, el éxito general quedó aun indeciso. ,, Obtenidas por el enemigo algunas ventajas momentáneas en razón de los movimientos del general Barclay de Tolly, se esforzó en sacar todo el partido posible, renovando al mismo tiempo su ataque contra nuestro flan co izquierdo, y asaltando las baterías que cubrían las alturas cónicas, como también las de Krechwitz en la derecha. Se apoderó de estas últimas y de una de…</t>
  </si>
  <si>
    <t>…esta plaza. ,, El conde Wittgenstein ha hecho dimisión del mando de los exércitos aliados, que por muerte del mariscal Kutusow le cupo mientras se,hacia un arreglo definitivo: el general Barclay de Tolly ha sido nombrado para exercer el mismo cargo. Con este motivo se ha necho una nueva desmembra ción; á saber, el conde Wittgenstein mandará los rusos, y el general Blticher los prusianos. El general Miliaradowitch ha cedido el mando al conde Pahiin por indispo…</t>
  </si>
  <si>
    <t>…e Prusia han puesto su quartel general en las casas de campo inmediatas á esta ciudad. En Schweidnitz y sus cercanías están los cuerpos de los generales Wittgenstein y Blucher. El general Barclay de Tolly se halla en esta ciudad con su quartel general. Parece que el enemigo poco antes del armisticio habla destacado un cuer po contra Borstel y Bulow: después de una fuerte acción se retiró un corto trecho el primero , á causa de ser las fuerzas del enemigo mui s…</t>
  </si>
  <si>
    <t>…marchado para las fronteras , habiendo sido relevadas por las guardias nacionales ; y se decía que hasta el 18 de Judo ocuparían las guarniciones que se les tenían designadas. Ei general Barclay de Tolly escribe lo siguiente al ministro de la Guerra desde su cuartel general de Reicheiibach con fecha de 20 áe Junio. «Tengo por conveniente informar á V. E. que los txércitos aliados de ámbas naciones, á pesar de las perosas marchas y mo vimientos rr, pidos que h…</t>
  </si>
  <si>
    <t>…onti nuar la guerra. Al pasar por Lissa dicho príncipe mandó al gene ral ruso Winzmgerode, que está baxo sus órdenes, que inmedia tamente marchase con su exército hácia Berlín. El general Barclay de Tolly da á entender en uno de sus oficios, que de las confe rencias de Praga no habrá resultados pacíficos. El general Benningsea marcha coa grandes refuerzos para el exéiciio ruso. El general</t>
  </si>
  <si>
    <t>…me por la retaguardia luego que las otras tropas atacasen por el frente. Ei dia 30 se reunieron á estas tropas las divisiones austríacas, Coloredo y Bianchi, mandadas todas por el general Barclay de Tolly. El emperador y el rey estaban en una ahura junto al campo, y Ies acompaña ei príncipe de Schwartzenberg. El enemigo estaba alo jado junto á Cuírn» en la casa de campo de la familia de Thum, y en los bosques. El ataque fué hecho con vigor á las 10 de la mañan…</t>
  </si>
  <si>
    <t>…o nes ofensivas por el flanco y retaguardia si aun conservaba el ene migo su posición en Losada, y permanecía á la orilla derecha del Elba. El principal exército ruso al mando del general Barclay de Tolly, inclusos los cuerpo* de Wittgenstein y MiLaradowitch, el ecerpo prusiano del general Kíeisc y e! exército austríaco debían obrar ofensivamente desde Bohemia, i las órdenes del general enVefc príncipe Schwartzenberg. El cuerpo de exército del general Blucher,…</t>
  </si>
  <si>
    <t>…de los rasos prodaxo el efecto de p derse hacer disposi ciones para atacar ai dia sig.i nte al enemigo. El-feldmariscal príncipe de Schwartzenb rg , comandante en gvfe, ordenó al general Barclay de Tolly que atacase, lo que execu.ó con fu acostumbrada talento. El dia 30 por la mañana , lis divisiones de Colloredo y BUrrchi, y la brigada rusa del general Knorrng en volvieron la izquierda d i enemigo, al paso que los ru os íe a aca ban la derecha; y el gtneral…</t>
  </si>
  <si>
    <t>Tolqsana, Miguel</t>
  </si>
  <si>
    <t>Miguel Tolqsana</t>
  </si>
  <si>
    <t>…uiberalde, D- Antonio Ugarte, D. Ignacio "Echeverría, D. Pedro Echegoyen , D. José María Gurrea, D. Francisco Erdozain , D. Ma nuel Sauca, D. Agustín Apezteguia, D. Martin Benuza, D. Miguel Tolqsana , D. Juan Bautista Acosta , D. Xavier Azanza , D. Juan de Ortigosa, D, Basilio Oilabarren , D. Sebastian Cortazar, D. Teo doro González, D. Juan Oyaga, D. Remigio Crespo, D. Mauricio Segura, D. I^on Landache, D. Pedro Suso, P. Hermenegildo Mendigam n, D. F&lt;-m…</t>
  </si>
  <si>
    <t>Tolsíoy</t>
  </si>
  <si>
    <t>…s; á saber, del de reserva que manda el general príncipe Lobanoíf Rostofky, del cuerpo de exár£ito formado de diferentes regimientos de milicia, á las ordenes del teniente general conde Tolsíoy, y últimamente de las tropas que estan á las ordenes del general Doctorow. Ei comandante en gefe de los exércitos, y general de infantería Barclay de Toliy, publicó el io de Junio en su cuartel general de Reicheubach la siguiente orden general. ••Aunque conoz…</t>
  </si>
  <si>
    <t>Tolstoi</t>
  </si>
  <si>
    <t>…a cerca de la corte de Suecia» ha llegado á Stralsund. El Cuerpo de exército ruso mandado por el general Labanoff, que está en marcha de Posen para el Oder , es de 20© nombres. El conde Tolstoi avanza sobre el Waíthe á la cabeza de otro exército de 40© hombres. El duque de Brunswick llegó aqui de Haniburgo el día 2 iy partió el el 23 para el exército. ;v Solo de aqui se han enviado á los depósitos anteayer 224 prisioneros franceses » y ayer llegaron…</t>
  </si>
  <si>
    <t>…e de los exércitos siguientes: el de reserva que mandaba el príncipe Lobanoff Roslofky: el cuerpo formado por diferentes regimientos de(mivUcías á las órdenes del teniente general conde Tolstoi, y las tropas que man-* daba el general Doctorow. . r .-a Dicho generaL barón Bennigsen publicó en su quartel general de Reichembach la siguiente orden del dia: „ Habiéndose dignado S. M. el Era-* perador conferirme el mando en gefe de los exércitos rusos y a…</t>
  </si>
  <si>
    <t>Tolstoy</t>
  </si>
  <si>
    <t>1298 plaza por el general Tolstoy, tomó las aldeas de la derecha del Keutschove : el general Giulay há maniobrado con 25© austríacos en la iz quierda dei Elster :los cuerpos de ios generales Thielmann y del prín cipe Mauricio Licht¿nstein se han dirigido sobre el mismo rio; y ei resultado de…</t>
  </si>
  <si>
    <t>…mberg y P¿nig. El exército del general Bennigsen debía adelantar desde Colárit* sobre Grimma y Wurtzen. El cuerpo del general Buba* había sido reemplazado delante de DresJe por eí general Tolstoy. Durante teda la • jornada del ?6, el exército grande sostuvo un fii ego co: siderabie. Ei venera i Blacher recibió por ia noche un parte diciénáole que Bonnparte en persona había atacado toda la línea de los aliados , y formando su caballería en el centro ha…</t>
  </si>
  <si>
    <t>…que, según detallé en jni último oficio, sostenian á aquellos puntos, lograron por fin arrollarle por todas partes. El general Bennigsen, acompañado del general Bubna (á quien el general Tolstoy reemplazó en el bloqueo de Dresde), tomó las aldeas que Jvai á la derecha del Keutschove. El general Giulay con 25® austríacos ma niobró en la orilla izquierda del Elster. Las tropas que mandan los generales Thielman, y el príncipe Mauricio Lichstenstein se d…</t>
  </si>
  <si>
    <t>Tóltstoy, Ostermann</t>
  </si>
  <si>
    <t>Ostermann Tóltstoy</t>
  </si>
  <si>
    <t>…nemigas que venían de Smolens ko, se retiraron nuestras tropas tres millas de Krasnoy á la hacien da de Kulkoff. En este combate cogimos un coronel y soldados. El teniente general conde Ostermann Tóltstoy participa, que ha llándose el dia 14 con su división de infantería en la aldea de Kovisoff, y teniendo aviso de que el enemigo estaba á distancia de mi14a y media, destacó un escuadrón del regimiento de Kahnopolskyy que mató parte del destacamento enemigo, é…</t>
  </si>
  <si>
    <t>Toma, Sir</t>
  </si>
  <si>
    <t>Sir Toma</t>
  </si>
  <si>
    <t>97* , : regimiento 9, ht experimentado el servicie de S. M. B. une grande perdida. «Tengo el honor de iueluir el parte detallado que de esta ope ración me ha dirigido el teniente general Sir Toma» Graham (*), por el cual verá V. E. con gusto un nuevo exemplo de la distinguida bizarría y perseverancia que han manifestado los oficiales y tropa de S. M. B. en superar las grandes dificultades con que se encon traron. Todas las relaciones concurren en elog…</t>
  </si>
  <si>
    <t>Tomas, Manuel</t>
  </si>
  <si>
    <t>Manuel Tomas</t>
  </si>
  <si>
    <t>…despejado dia por las muchas y vistosas luces con que los habitantes adornaron sus casas. Llegado el dia, resolví intimarles la rendición, y io verificó el oficial de caba llería D. Manuel Tomas; por medio del cnal me contestó el coman dante drí castillo, no ser tiempo de capitular miefitras durase su abundante provisión de municiones de boca y guerra. «No me he resuelto á dar un asalto, por saber positivamente que la mayor parte de sus víveres están…</t>
  </si>
  <si>
    <t>Tomasa, Buenaventura</t>
  </si>
  <si>
    <t>Buenaventura Tomasa</t>
  </si>
  <si>
    <t>…enal ; D. Juan Josef Paz y D. Luiz Ortiz Falla, subtenientes del de Laredo; D. Josef Castrejon , teniente, y D. Vicente de la Tórnente, subteniente del de tirado res de Cantabria; D. Buenaventura Tomasa, teniente corone!; D. Guimeriudo Cliurruca, teniente, y D. Josef Manuel Carril, subteniente del se gundo de Guipúzcoa, y D. Josef Albun , subteniente del primero del mis ino nombre. ! « Los contusos son D. Ruperto Otero, teniente del de Rivero; D. Josef María…</t>
  </si>
  <si>
    <t>Tomasich</t>
  </si>
  <si>
    <t>…te de caballería ligera húngara. Se aguardan algunos destacamentos de Moravia y Gallitzia, y todo lo manda rá: el fe Id mariscal conde VYartensleben. JDel n.dt navlmbre El general barón Tomasich escribe que en la noehé del 29 de octubre había tomad© por asalto la ciudad baxa de Rnin en JáoPkimac|a.iEl ímerte de dicha ciudad se rindió el dia 31 , y ios franceses consiguieran-, que1 se les concediese volver á Francia. JU .üoqdq, de. Nasboa&amp;e, gobernado…</t>
  </si>
  <si>
    <t>Tomp-</t>
  </si>
  <si>
    <t>…vivían de este trabajo estaban casi todos en la in momento debe marchar el general Harrisson con digencia y á cargo de sus parroquias, porque no 14© hombres sobre el estrecho- El general Tomp- ganaban mas que 12 sehelines á la semana, y nin kins debe entrar en el Canadá por el lado de Nía- gún hombre puede subsistir con esta suma. Quan gara con fuerzas no menos respetables. do el marido, la muger y los hijos se dedicaban U11 diario de lo interior c…</t>
  </si>
  <si>
    <t>Tonga</t>
  </si>
  <si>
    <t>…taban ocupados por fuerza de consideración, cor mo cabezas de puente para defender los que hay sobre el Zadorra en estos lugares. El brigadier Pack con su brigada portuguesa, y @1 coronel Tonga cón su división española, sostenidos por la brigada del general Anson, y la quinta división de infantería del mariscal de campo Osibaid , destinado á mandar todas estas tropas, tuvieron ofi cien de envolver y ganar las alturas. „E1 teniente general Sir Tomas…</t>
  </si>
  <si>
    <t>Tonga, Francisco</t>
  </si>
  <si>
    <t>Francisco Tonga</t>
  </si>
  <si>
    <t>«El brigadier D. Francisco Tonga me acompaño constante mente y con utilidad por el conocimiento práctico que tiene del terreno: el de igual clase D« Federico Castañon, gefe de la brigada, que sosituvo la acción, se portó con la bizarría que le caracteriza, baxanvdo al puente al frente de las…</t>
  </si>
  <si>
    <t>Tor, Ana</t>
  </si>
  <si>
    <t>Ana Tor</t>
  </si>
  <si>
    <t>…lo Interior, D. Manuel de Ga contralor.................. .......................... 300 IO vina............................................ ........... 22990 Por otra que entregó Doña Ana Tor En el de otras 120 fanegas que libró res á D. Roque de los Ríos............ 60 el señor prefecto central D. Fran Por la que se lia -recogido en la de cisco Teran á cuenta de las que manda del jubileo de las Quarenta corresponden á los hospitales en las horas y c…</t>
  </si>
  <si>
    <t>Toral, Francisco Xavier</t>
  </si>
  <si>
    <t>Francisco Xavier Toral</t>
  </si>
  <si>
    <t>…. Esteban Rodríguez y D. Alberto Rodríguez , capitanes, D. Manuel Taboada , D. Juan Hevia y D.-Francisco Lema , sub tenientes del de Oviedo ; D. José María Novoa , sargento mayor; D. Francisco Xavier Toral, espitan de cazadoresí/Q.Bedro Zuluaga, capitán; D. Francisco Moreno y D. Pedro Bonet, tenientes; D. Manuel María Saliquet, ídem del de cazadores; D'. Pedro Solis y D. Juan Martínez, subtenientes de granaderos; D. José Heros, ídem de cazado res ; D. Esteban I…</t>
  </si>
  <si>
    <t>…riguez. y' D; Alberto^Rad'figaiéz, capitanes vD.l MánueLLLfoada , L)t Juan .Hevüaqy* D. Francisco Lema, subtenientesedei dec Oviedo;) f):4 Joí é&amp;&gt;Mufí a¿ eMowíoí»* sargento mayor; D. Francisco Xavier Toral, capitán de cazadores; D. Pe1) Omi'tmr&gt;s insertar el parte que la gazeta^3e fa Regenera1 publicó btxo elr c. tiúaí?C aíV^pophíaiiePSe iifiaii'tadú ya^en la gazitá'ds 'Jiiixlridijdsni e de este mes. ,</t>
  </si>
  <si>
    <t>Torija, Mariano</t>
  </si>
  <si>
    <t>Mariano Torija</t>
  </si>
  <si>
    <t>…oficiales muertos son D. José Melendez, D. Juan José Vidal y D. Benigno Hernández , capitán , teniente de cazadores, y teniente del regimiento de infantería segundo de Asturias ; D. Mariano Torija, capitán del de la Constitución; D Manuel Pardo, subteniente del de la Corona; D . Fernando Miranda, coronel del de voluntarios de Asturias; D. Pedro Albuerne, D. Mateo Torraiba, D. Tomas Caneja y D. Antonio Fernandez, capitanes los dos primeros , y tenientes…</t>
  </si>
  <si>
    <t>Tormasou</t>
  </si>
  <si>
    <t>…resultas quedaron los aliados'dueños del campo y de las posiciones de que desalojaron al enemigo durante la acción. Habien do pasado el Elba el 28 de Abril la ultima división del general Tormasou , se encaminó al Elster á marchas dobles con todas sus fuerzas. S. M. I. y el rey de Prusia llegaron á Boma en la mañana del i.° de este mes con la reserva, y en las inmediaciones de este pueblo se reunieron otras muchas partidas del exército. El mariscal prí…</t>
  </si>
  <si>
    <t>Tormasow</t>
  </si>
  <si>
    <t>…enemigo Tengo &amp;c. Fuerte Jorge 13 de Octubre de 1812. —r R. U. Shetffl», mayor general.” Id 8 de Diciembre. Según varias cartas de Riga, el cuerpo austríaco, empleado con» tra el general Tormasow, fué derrotado con pérdida de 5000 hom bres. Esta batalla pudiera muy bien ser á la que aluden los perió dicos franceses en un articulo de Nuremberg, en que se dice que el general polaco Dembrousky había conseguido una victoria contra los rusos, obligándoles…</t>
  </si>
  <si>
    <t>de 80 á ZOOÜOO hombres, después de haber destrozado á Víctor; y eo el segundo se halla Kutusow con el exército grande. Ademas de esto es natural que el general Tormasow se haya opuesto á la reunión del cuerpo de reserva del mariscal Augereau, Platow, que con la rapidez de un rayo, acomete y acuchilla á los enemigos , pasó últimamente el Dniéper rodeando y estrechando al exército frailees por el sor; y de todo resulta que Nap…</t>
  </si>
  <si>
    <t>…n pérdida de 21 cañones y 6000 prisioneros, y se ha dispersado el resto de este cu rpo. „E1 ai mí ran te Tchichagc íF ha marchado á Ghetzno, despejando las dos orillas del rio. El general Tormasow se ha situado en Grodno , donde se estableció el 20 el coronel Davidow. „Los austríacos se retiran , y el general Sacken los sigue pGr Slomin , y debía estar el 24 en Ruzana. ,,Se han encontrado grandes almacenes en todos los pueblos in mediatos al Niemen. „C…</t>
  </si>
  <si>
    <t>153 í* vanguardia se encaminó á Colvary y Wilcoviteh, para reunirse con el general Platow en Gumbinnen. „E1 general Tormasow con la columna que había mandado el feid-mariscal en persona, se movió hacia Grodno; y V. E observa rá que el conde Ogeroffsky con su destacamento tomé posesión de aquella plaza, en la que había entrado el coronel Davidow en 20 del corriente. Los austríacos s…</t>
  </si>
  <si>
    <t>…yor general ToutschkofF refiere que habiéndose reunido con su cuerpo al destacamento del coronel Kuorrir.g, saldría de Minsk el 18 de este mes para dirigirse á Novoswerschenne. El general Tormasow dice con fecha del 13 que los cuerpos cuar to , sexto y octavo , y la vanguardia del ayudante general Wa&gt;iltschikoff se acantonaba en los distritos de Wilna, Licia Oschoniani y Wilkomirsk, habiendo situado los puestos avanzados de cabulle ría del último puebl…</t>
  </si>
  <si>
    <t>…, después de la qual los aliados quedaron dueños de! campo de batalla y de aquellas posi ciones de donde durante el dia habían desalojado al enemigo,.__ La división del cuerpo del general Tormasow atravesó el Elba el dia 28 de abril, y to da ella avanzó á marchas forjadas, hacia el Elster.__S. M. I. y el Reí de Prusia llegaron á Borna en la mañana de i.° de mayo con la reserva; en el mismo dia se habia reunido la mayor parte dei exército en las inmedia…</t>
  </si>
  <si>
    <t>Tormazow</t>
  </si>
  <si>
    <t>…ometer el grueso del exército francés. Para realizar este plan sé vio precisado á ocultar sus movi mientos , y durante la noche del dia illamó á sí toda la caballería que manda el general Tormazow. Con esta reunión quedó expedito para echarse en masa sobre el enemigo en aquel mismo punto en que los franceses nó le podían su poner en estado de combatir, ó quando mas presumían que podría inquietar sus flancos. Se dio principio á la acción; y el ardor y e…</t>
  </si>
  <si>
    <t>Toro, Bernardo Rodríguez de</t>
  </si>
  <si>
    <t>Bernardo Rodríguez de Toro</t>
  </si>
  <si>
    <t>…............................... . 485,000 {Mercurio Lusitano.) ESPAÑA. Badajoz $ de setiembre. Se ha impuesto á los alcaldes de Alcántara y Piasencia D. Manuel Her rero Barrigón y D. Bernardo Rodríguez de Toro la multa de 50 ducados á cada uno por su culpable omisión en dar cumplimiento á la orden del gobierno, que manda la correspondencia de oficio, y previene su forma, ( Sincero amigo del pueblo.) Cortina 7 de setiembre. Se ha recibido un parte de Vigo, fecha 2 d…</t>
  </si>
  <si>
    <t>Toro, Manuel Fuentes de</t>
  </si>
  <si>
    <t>Manuel Fuentes de Toro</t>
  </si>
  <si>
    <t>…detall en él d*j Prayia: á capitanes, á D. Alberico Manpoey, ayudante mayor del regimiento de Zamora, D. Lorenzo José Limpo Cuello Texeyra, teniente del de voluntarios de Madrid , D. Manuel Fuentes de Toro, ayudante del de voHuitarios de Mérida, y D. Cayetano Oiloqái^ te niente del de Lean?: á ayiidauté niayor segundo, a, IX Vicente Goyanes, teniente del primero de Sevilla : á tenientes, á D, Juan Cam pos, subteniente del regimiento infantería del Rey, D. José…</t>
  </si>
  <si>
    <t>Torqitato</t>
  </si>
  <si>
    <t>…ancisco de Paula Marti, tesorero. Don Ped^o Arícente deSqldeviüa, bibliotecario. D. Antonio Sandalió Arias , archi vero. ÍL Claudio Boutelou, secretario deja clase de agricultura. D. Torqitato lorio de la Riba, secretario ce U clase de industria. D. Francisco de Pauia Martí, secretario de ia clase de artes y oficios. .. Todo lo que se hace saber al público para-.inteligencia de los que tengan que hacer alguna solicitud en dicho cuerpo patriótico, c…</t>
  </si>
  <si>
    <t>Torraiba, Mateo</t>
  </si>
  <si>
    <t>Mateo Torraiba</t>
  </si>
  <si>
    <t>…; D. Mariano Torija, capitán del de la Constitución; D Manuel Pardo, subteniente del de la Corona; D . Fernando Miranda, coronel del de voluntarios de Asturias; D. Pedro Albuerne, D. Mateo Torraiba, D. Tomas Caneja y D. Antonio Fernandez, capitanes los dos primeros , y tenientes los segundos del propio cuerpo; D. Andrés González, teniente del de Oviedo; Don Manuel Suarez Campa , capitán de la compañía de obreros; D. Ra món Lozano, D. Juan Ruvi, D. José…</t>
  </si>
  <si>
    <t>Torralba, Mateo</t>
  </si>
  <si>
    <t>Mateo Torralba</t>
  </si>
  <si>
    <t>…. Mariano Tprija, capitart del de la Constitución; D. Manuel Pardo, subteniente del de la Corona? D. femando Miranda , coronébdel. de voluntarios defAsturias; De Pedro Albuérne:,1 D. Mateo Torralba, D.. Tomas Caneja-y.D. Antonio; Fernandez^ capitanes los dos primeros, y tenientes los segundos del.propio cuerpo ; Dou Andrés González, teniente del de Oviedo; D. Mantel.Suanez Campa, ca pitán de-la compañía de obreros; D.. Ramón L.Qza6b,; D. Juan:Ruvi, Don…</t>
  </si>
  <si>
    <t>Torre, Juan</t>
  </si>
  <si>
    <t>Juan Torre</t>
  </si>
  <si>
    <t>…D. Josef Cañedo, alcalde. D. Fr..neÍsco de 1 ruegas, alcalde. D. Félix Bener, substituto primero. D. Francbco L..yin , 'substituto primero. D. Manuel Urbina , substituto segundo. D. Juan Torre , substituto segundo. Barrio de ¡a Encarnación. Barra de les ring. íes D. Ramón García Muñoz , alcalde. D. Manuel Cardeñoso Herrczueto, alcalde. D. Pedro Monfort y Viergol , substituto pri D. T ornas Tordesillas, substituto primero. mero. t D. Santiago Conde,…</t>
  </si>
  <si>
    <t>Torres</t>
  </si>
  <si>
    <t>…ría, mientras que un cuerpo de inaire, y experimentando la profunda indignación observación, compuesto de 2® hombres al mando que ha excitado en el ánimo de todos los vasallos del coronel Torres, ocupaba á Encina corba y el fieles de S. M. la perfidia y alta traición del gene desfiladero del puerto de Cariñena. El general Se ral d¿ Yorck^ei consejo municipal del común de vero!! pasó desde la AÍmunia á Cariñena el día 17, Fucecchio ha querido en estas…</t>
  </si>
  <si>
    <t>de teniente coronel D. José Mondely, y á todos los demas gtfes, oficiales y tropa que se hallaron en ella. Sírvase V. S. trasladarme el parte que le haya pasado el coronel Torres. = Dios guarde á V. S. muchos años. = Tarragona 18 de Setiembre de 1813. = W. R entine k. — St. D. Pedro Sarsfield. = Lo que se hace saber en la or den de la división para satisfacción de los interesados. = Ramírez, gefe de e.tado mayor. Madrid i.° de Octubre…</t>
  </si>
  <si>
    <t>Torres, Francisco</t>
  </si>
  <si>
    <t>Francisco Torres</t>
  </si>
  <si>
    <t>…e 1812. Una partida de pa triotas de Zamora, auxiliados dé )Q húsares, y destacada poi el te niente coronel D. Rafael Ortega, á las ordenes del teniente _de dra gones de Patzcuaro D. Francisco Torres, contra las gavillas de Xa— xera y Reínaga3 «atacó á esfcas con denuedo en el pueblo de Tanguan- . cicuaro, y los dispersó completamente dando muerte a 24 iebe*des, entre ellos á Reinaga.</t>
  </si>
  <si>
    <t>Torres, Hilario</t>
  </si>
  <si>
    <t>Hilario Torres</t>
  </si>
  <si>
    <t>…r sus jueces examinadores subdelegados interinos de ella á los doctores D. Bartolomé Piñeira y Siles, D. Marcelo Sánchez Reboto y D. Ramón Gcmez, en sus ausencias y enfermedades á D. Hilario Torres, y D. Ramón López Mateos; debiendo presidir el prime ro los exámenes como el.mas antiguo médico de la real familia, y el. texce-r ro de secretario vocal, actuar y certificar los actos de la subdelegacion. Habiéndose instalado, previo el cumplimiento y auxilio…</t>
  </si>
  <si>
    <t>Torres, José de</t>
  </si>
  <si>
    <t>José de Torres</t>
  </si>
  <si>
    <t>…carecer la serenidad, gallardía é intrepidez con que por tres veces rechazaron al enemigo á la bnyoneti. Rue go á V. S. se sirva darles las gracias en mi. nonobre á los coro neles D. José de Torres y E&gt;. Antonio Bray, al capitán graduad#</t>
  </si>
  <si>
    <t>Torres, Josef</t>
  </si>
  <si>
    <t>Josef Torres</t>
  </si>
  <si>
    <t>497</t>
  </si>
  <si>
    <t>…gazeta extraordinaria dé Valencia de 23 del eerriente el buen suceso de la acción sostenida-por -la van guardia dej erxército combinado de Catatiiña se debió ai coronel de Aragón D. Josef Torres^ en quien-reca&gt; yo «l triando; luego' que fue herido ebcoronel dngles Adams. 'bhidgefe -de Ta tercera división detinfantería del segundo exércitov vCÚyar relación extracta mos , dice, que el acierto y bizarría con que sostuvo Torres la posición que ocupaba di…</t>
  </si>
  <si>
    <t>Torres, Josef de</t>
  </si>
  <si>
    <t>Josef de Torres</t>
  </si>
  <si>
    <t>…encarecer la serenidad, gallardía é intrepidez con que por tres Veces rechazaron al enemigo á la bayoneta. Rué* go á V*. S. se sirva darles las gradasen mi nombre á los coroneles D. Josef de Torres y D. Antonio Bray, al capitán graduado de teniente coronel Don Josef Mondely, y á todos ios demás gefes, oficiales y tropa que se hallaron en ella, ssSírvase V. S. trasladarme el parre que le haya pisado el cóconet Torres.= Dios guarde&gt;á ! S. muchos años.=Tarragona 18 de setie…</t>
  </si>
  <si>
    <t>Torres, Juan Bautista</t>
  </si>
  <si>
    <t>Juan Bautista Torres</t>
  </si>
  <si>
    <t>…contemplado preciso dar esta idea circunstanciada. Y habiendo- dispuesto que por ahora se despachen en esta capital los billetes de la lotería nacional én la tienda de comercio de D. Juan Bautista Torres, calle del Carmen, he acordado se haga saber al público para su in teligencia. ^Francisco Antonio de Góngora. ' El dia 21 de setiembre próximo se celebra la antigua feria de Consuegra» suspendida solamente-por la ocupación de los enemigos. Dictamen de las com…</t>
  </si>
  <si>
    <t>…de una caxa de oro guarnecida con 128 brillantes, tasada en 120© reales , han dispuesto remitir á esta capital una porción de dichos billetes, los que se despacnan en la tienda de D. Juan Bautista Torres, del comercio de la calle del Carmen, frente la Inclusa. El producto de esta^ifa está destinado á la impresión de la táctica militar para la instrucción de nuestros exércitos. Se halla vacante la plaza de médico de la villa de Torrecilla de la Orden, de! part…</t>
  </si>
  <si>
    <t>Torres, JuaU Bautista</t>
  </si>
  <si>
    <t>JuaU Bautista Torres</t>
  </si>
  <si>
    <t>366</t>
  </si>
  <si>
    <t>…bse ..rifa, eu,:.Cádiz, con licencia del gobierno , para invertir, su productora la ¡ impresión de la táctil ca militar para ía-instmcqion: d0.1 exército, se; hallarán éil casa de D. JuaU Bautista Torres, delcomercio de la; calle del;Cármen/al precio de 5 rs. ca da una. . .: • \.’ -r • - V ■; . V , Memorias para la historia de la virtud, sacadas del diario de^ una ;sefíciritain glesa: quatror tomos en'8L°;Ss :vendé én la librería dé’ Aftñbaái cálle-de lis Car…</t>
  </si>
  <si>
    <t>Torresuer</t>
  </si>
  <si>
    <t>…hos años.” -(Se concluirán.) Pl&amp;smtia 6 de Mayo. Estado del exército francés del mediodía á mediados de Abril» General en gefe el conde de Gasan. Gofa del estado mayor el co ronel barón Torresuer. General en gefe de artillería ®1 general de briga da Bouckn. General en gefe de ingenieros el general de briga da Gar?e. — Infantería: primera división alas órdenes del general Leva!, 4500 hombres, en Madrid. 4í ?gurqla á las del general Daricau, 7500, dé Ma…</t>
  </si>
  <si>
    <t>Torter</t>
  </si>
  <si>
    <t>…nduc apreciada er« su justo valor por sus vecinos, quienes ta; pero por otro lado y con la misma publicidad la han recibido como una preciosa prenda que les le acusa de cobarde el general Torter. asegura la suerte mas feliz en lo venidero. Ya un _„Quando en el congreso se discutió el bilí sobre decreto imperial, con fecha de 8 de enero, había el exército temporáneo, pronunció Mr. Clay un permitido la importación de los algodones en rama discurso mui…</t>
  </si>
  <si>
    <t>Tosini</t>
  </si>
  <si>
    <t>…de Orange. " ,V.;ve;g SUIZA. .AKíAiaa: Zurich j 7 de noviembre. Los ministros de Brtlém jr de Wittemberg ha5 llegado aquí el día 14, y el 15 el encargado de negocios de Italia el barón Tosini. S. E.,.ei conde lalleyrandi'havMleglcíoVebi^1.sA .v¿. , ¿ . .v\ v ¡■.¿r, sirios 'Sehuffiísa a 8 de noviembre. : . ■: -f: Ú' , r. 'O:' r-'.';.: ■' ■_ , . ', ; El decreto relativo á mantener la neutralidad dé nuestro país ha pasado $in - contradicción en la di…</t>
  </si>
  <si>
    <t>Tostado</t>
  </si>
  <si>
    <t>…ana» 38. En 20 de Junio, el comandante de patriotas de Xalostotit*^ laa D José Julián Gutiérrez destacé contra les bandidos , que in festaban la comarca 5 una partida al mando del teniente Tostado, quien la dividió en tres trozos, uno á su cargo, y los otros dos al de los alféreces Bonilla y Herrera, emboscándose todos en los para— ges mas convenientes para sorprehender á los ladrones. Noticiosos Eor un espía de que una partida de ellos se dirigía al p…</t>
  </si>
  <si>
    <t>Tostado, Alonso</t>
  </si>
  <si>
    <t>Alonso Tostado</t>
  </si>
  <si>
    <t>…eraciones y semblanzas, de 15 años pasó de Córdoba, su patria, á la universi Alonso de,Cartagena, del Doctrinal de caballeros, y dad de Salamanca, donde compuso sus excelentes poe D. Alonso Tostado, obispo de Avila. sías líricas: la segunda tiene la fecha desde su viage á El marques de Villena, al paso que escribía su Ar la corte de Madrid, á la qual acababa de llegar dei otro te citoria y varios tratados de astronomía y geometría, lado de los Alpes y P…</t>
  </si>
  <si>
    <t>ToutschkofF</t>
  </si>
  <si>
    <t>…stencias tendré la honra de presentarlos á V. M. I.— KutUSüW.” Continúa el diario de las operaciones milite res del exército ruso desde el 17 al 25 de l icitmbre de 1812. El mayor general ToutschkofF refiere que habiéndose reunido con su cuerpo al destacamento del coronel Kuorrir.g, saldría de Minsk el 18 de este mes para dirigirse á Novoswerschenne. El general Tormasow dice con fecha del 13 que los cuerpos cuar to , sexto y octavo , y la vanguardia del a…</t>
  </si>
  <si>
    <t>ToutsclikofF</t>
  </si>
  <si>
    <t>…ñía de artillería vokmte, para que avanzasen hasta Grodno, á fin de descansar de tan largas y pe* nosas marchas ; y que él mismo iba con las cosacos á Bialystock. Id, 21. El mayor general ToutsclikofF llegó á Kaídanow el 2 con su cuerpo, y el destacamento del coronel KnoTring que se le había reunido. El coronel Grekoff hallándose en Holbzach con dos regi mientos de cosacos, destacó una partida, que hizo prisioneros 4 sol dados de una patrulla enemiga de lo…</t>
  </si>
  <si>
    <t>Toutsehik</t>
  </si>
  <si>
    <t>…e cadáveres y caballos muertos : hemos hallado en Chotinisschi 30 caxones de artillería y varios carros. El cuerpo principal del-exército ha hecho alto en Ravenitza el 4. El mayor general Toutsehik íf comunica, el dia 2, haber llegad© de B ¿brinsk á Golinki cosí su cuerpo El mariscal principe Kutusow Stnoler.sko, queriendo aproximarse al exército del almirante Tchichüg íFhi mudado su cuartel general á Kosino. l)icitmbre 5. E general conde Platovr comuni…</t>
  </si>
  <si>
    <t>Town, Carlos</t>
  </si>
  <si>
    <t>Carlos Town</t>
  </si>
  <si>
    <t>….x, que es la desgracia está en que la mitad del tiempo 110 ocu llave del Canadá por el lado del rio Sorel. pamos á los operarios ; de manera que generalmen El corsario el Rápido, capitán Carlos Town, te hablando , no ganan m.is que la mitad. habiendo apresado en dos días dos corsarios^ bien bi número de operarios que de esta manera se ai «nados y equipados , quedó cargado de prisione hallan la mitad del tiempo sin trabajo asciende á eo ros. Para canjearl…</t>
  </si>
  <si>
    <t>Tprija, Mariano</t>
  </si>
  <si>
    <t>Mariano Tprija</t>
  </si>
  <si>
    <t>…oficiales muertos son D. Josef Melendez, D. Juan Josef Vidal y D. Benigno Hernández, cápitan, teniente de cazadores, y teniente del re gimiento de infantería segundo de Asturias; D. Mariano Tprija, capitart del de la Constitución; D. Manuel Pardo, subteniente del de la Corona? D. femando Miranda , coronébdel. de voluntarios defAsturias; De Pedro Albuérne:,1 D. Mateo Torralba, D.. Tomas Caneja-y.D. Antonio; Fernandez^ capitanes los dos primeros, y tenie…</t>
  </si>
  <si>
    <t>Tr, José</t>
  </si>
  <si>
    <t>José Tr</t>
  </si>
  <si>
    <t>…o que las compañías de granaderos y cazadores de As turias , una guerrilla de Guanaxuato al mando del capitán D. To mas Haro, 45 hombres de marina al mando del teniente de fragata D. José Tr vesi, mayor de órdenes, con los oficíales de su cuerpo D. Joaquín Santaolaíla, D. Rafael Dias y D. Ignacio Martínez, y ios escuadrones de caballería de Puebla, S. Luis y México, consi guiesen este día afianzar su anterior reputación , adquiriendo nuevos derec…</t>
  </si>
  <si>
    <t>Tragia, Domirfgcr</t>
  </si>
  <si>
    <t>Domirfgcr Tragia</t>
  </si>
  <si>
    <t>…o .. r *- Zaragaza-28.de octubre*. , . .,, . Lista de los señores diputados propietarios electos por Aragón. i¿° Sr. D. J&amp;aqui^Páfaclh, dekáh^cjfe la Ráta, míúraPde Barbástro. 2.0 Sr. D. Domirfgcr Tragia , marqués- dci Palacio,-teniente general de los exérckos nacionales, natural de Zaragoza. 3.0 Sr. D. Vicente;Héredia&gt; caballero de la!.drdéR dé Cá’rios 111, veci no de Graus. 4.0 - D? Juan Francisco Martínez,, arcediano de I&gt;aropa* (natura! de Zaragoza. 5.0 D…</t>
  </si>
  <si>
    <t>Traumansdorf</t>
  </si>
  <si>
    <t>…y gusto—_Es mui crecido el numero de personas que acompañan al Emperador de Austria. Entre otros personajes vendrán aquí el mayordomo mayor, conde de Urbna; el caballerizo mayor., conde Traumansdorf; el general de artillería, barón Duka; el teniente fe Id* mariscal Kutscher; el conde Metternich, secretario de Guerra; el barón Bmder; Mr. de Floret; lord Aberdeen, embaxador ingles; el barón HumboJdt, enviado prusiano; el barón Bildt, enviado sueco; el cond…</t>
  </si>
  <si>
    <t>Trella</t>
  </si>
  <si>
    <t>…de S. M.: el marques de Saint-Julien, tensión del comercio de importación á los puertos edecán de S. M., ha sido nombrado coronel. El exteriores, equivocándose el honrado miembro, coronel Trella, primer page de S. M., ha sido nom porque nada se trató de eso al principio de la dis- brado subteniente en la caballería de la guardia Ínna. Tratábase de exáminar entre el gobierno y real. os directores si ocupándose del derecho de impor El Reí ha conferido…</t>
  </si>
  <si>
    <t>Treskcw</t>
  </si>
  <si>
    <t>…e to de ver despedazada por las facciones la patria á ría lisera prusiana hizo su fuego con la mayor cuya prosperidad habia consagrado toda su vida, energía y acierto. El teniente coronel Treskcw ha y murió con el desconsuelo de no dexarla todavía dado nuevas pruebas de su bizarría; y ha tefiido la en el estado de tranquilidad que su patriotismo le desgracia de perder á Mr. Maustin, capitán mui hacia desear; pero en tan críticas circunstancias, en val…</t>
  </si>
  <si>
    <t>Triarte, Vicente Irañeta de</t>
  </si>
  <si>
    <t>Vicente Irañeta de Triarte</t>
  </si>
  <si>
    <t>…á esta : ordené que las tres compañías de ca zadores de la brigada, y la de granaderos del regimiento de Baza, que &lt;e hallaba de reten, á las órdenes del teniente coronel graduado D. Vicente Irañeta de Triarte, capitsn de la compañía de cazadores de Baza, tomasen posesión en las altaras inmediatas á la entrada de la villa, y la tropa restante de granaderos y fusileros en los para petos que se hallan á la espalda de esta. hEstando en esta disposición, se rompió el f…</t>
  </si>
  <si>
    <t>Trigueros, Silvestre</t>
  </si>
  <si>
    <t>Silvestre Trigueros</t>
  </si>
  <si>
    <t>…an salido electos diputados por esta provincia para las cortes generales extraordinarias El limo. Sr. Obispo de Plasencia. Sr. D. Vicente de la Llave. Sr. D. Juan Gerónimo Chacón. Sr. D. Silvestre Trigueros. Sr. D. Juan Josef Montero. Sr. D. Nicanor García Santos. Sr. D. Victoriano Sánchez. Y por suplentes Sr. D. Justo Peñalver. Sr. D. Simeón Palomino. Guadalaxaraj 8 dejulio* La junta electoral de esta provincia, en cumplimiento de lo prevenido en la constitució…</t>
  </si>
  <si>
    <t>Trina</t>
  </si>
  <si>
    <t>…an todavía las ori- conde Captara el gran juez ministro de la Jus &lt;jei Prcgel. ticia, conde Lnóri i el ministro .de lo Interior, GAVIERA. conde Vaccari ; -el ministro de Hacienda, conde Trina; el ministro de Guerra , conde Fonranelii; el Hurembrrg ty de enera. ministro del Tesoro, conde Barago; el consejero La* cartas de. Bohemia ¿¡conque se aseguraba secretario de Estado, conde Stfige.lí; conde B?rgennr^tfncBte qu¿ un correo qué acababa de llegar…</t>
  </si>
  <si>
    <t>Truxillo, Torcuato</t>
  </si>
  <si>
    <t>Torcuato Truxillo</t>
  </si>
  <si>
    <t>…s ginetes, de los que el uno se cree sea o Chito Vi IIagran, ó uno de sus primos. Los rebeldes asesinaron á una muger, y fué la única pérdida que sufrió en gente el pueblo. 70. El brigadier D. Torcuato Truxillo escribió desde Valladolid el 27 de Setiembre á D. Pedro Retis, administrador de correos de Qaerétaro, y entre otras cosas le decía: «hoy hace ocho dias batió el activo D. Pedro Celestino Negrete á Verdusco, pretendido vocal de la ridicula junta, y otros cabec…</t>
  </si>
  <si>
    <t>TruxiUo, Tórcuato</t>
  </si>
  <si>
    <t>Tórcuato TruxiUo</t>
  </si>
  <si>
    <t>…iempo en. Veracruz, y ha cer entender á los rebeldes que- no hay obstáculo insuperable al va lor , constanciasufrimiento y buena voluntad de las tropas del rey. Id- 5 de Marzo. El brigadier D. Tórcuato TruxiUo, con fecha de i.° del cor riente ha entregado á este superior gobierno el parte que le dirigió el teniente coronel D. Antonio Linares, comandante interino de la provincia de Valladolid , relativo á la acción gloriosa que sostuvo el 31 de Enero pasado contra l…</t>
  </si>
  <si>
    <t>Tscbarditz</t>
  </si>
  <si>
    <t>…noticias, estaba acarreando grano de varias especies. El almirante TcMchsgofF refiere que el 3 de Enero entraron sus partidas avanzadas en Iirsteib rg; la vanguardia del teniente general Tscbarditz en Gumbianen, y el mayor general conde Woroezow mar chó á NemesdoifF. Eí teniente general Tschiplitz comunica que el mayor general conde Ururk, á su entrada en la aldea de Stalopenen faé recibido con extraordinario regocijo por ios habitantes, ios cuales grit…</t>
  </si>
  <si>
    <t>Tscbenysckew</t>
  </si>
  <si>
    <t>…el 1,5. En la batalla de ayer perdimos 18 oficiales y mas de 1000 soldados.” 2* Tschaschnike i 8 de Noviembre. — ,,Dirijo respetuosamente á V. M. copia de un oficio que remitió el coronel Tscbenysckew, ayu dante de V. M., por el cual se ve que habiendo sido destacado por el almirante Tschitchagoíf con un regimiento de cosacos para descu brir el cuerpo que mando , venció todos los peligros y dificultades! haciendo este servicio importante con puntualidad. „…</t>
  </si>
  <si>
    <t>Tschablitz</t>
  </si>
  <si>
    <t>…no teniendo bastantes fuerzas para apoderarse do la ciudad, tuvo que esperar á que llegase la vanguardia del almiran te Tchichagoff. Ed.e participa en 10 de Diciembre que el mayor general Tschablitz , aprovechándose de la fuga y desorden del enemigo , le persi guió hasta Wilna, y tomándole 31 piezas de artillería, se apoderó de los arrabales. ^ El 11 de Diciembre estaba el cuartel general en Oscbnisaai. v El mismo almirante participa que el dia 10, el ma…</t>
  </si>
  <si>
    <t>Tschemoaubovv</t>
  </si>
  <si>
    <t>…arte relativo á la toma de Konigs berg , que el enemigo fué arrojado de aquella ciudad por los é regi mientos de cosacos; á saber, el del mayor general Radiénovr ; el del teniente coronel Tschemoaubovv ; el de Loschischilia; y el del ma« jror Selhvanow, todos al mando del coronel Riediger. Estos obser vando los movimientos del enemigo , á pe9ar de la obscuridad de la noche, se aprovecharon con ventaja de todas las disposiciones que tomaba aquel pará su reti…</t>
  </si>
  <si>
    <t>Tschiplitz</t>
  </si>
  <si>
    <t>…ero entraron sus partidas avanzadas en Iirsteib rg; la vanguardia del teniente general Tscbarditz en Gumbianen, y el mayor general conde Woroezow mar chó á NemesdoifF. Eí teniente general Tschiplitz comunica que el mayor general conde Ururk, á su entrada en la aldea de Stalopenen faé recibido con extraordinario regocijo por ios habitantes, ios cuales gritaban vivei el emperador Alcxandt o t y sea el protector de una nación inocente que está padeciendo. (…</t>
  </si>
  <si>
    <t>Tschitchagoíf</t>
  </si>
  <si>
    <t>…8 de Noviembre. — ,,Dirijo respetuosamente á V. M. copia de un oficio que remitió el coronel Tscbenysckew, ayu dante de V. M., por el cual se ve que habiendo sido destacado por el almirante Tschitchagoíf con un regimiento de cosacos para descu brir el cuerpo que mando , venció todos los peligros y dificultades! haciendo este servicio importante con puntualidad. „Despues de pasar por entre las tropas enemigas de dia y de no che, atravesando á nado 4 ríos, y de…</t>
  </si>
  <si>
    <t>Tschitschakoff</t>
  </si>
  <si>
    <t>…de Schwartzembcrg ha sostenido desde el ellos mismos, &lt;podrán pasar y mantenerse á esta 14 hasta el 17 de este mes. orilla del Duna y del Borístenes? Esta es la cuestión Quando el almirante Tschitschakoff se adelanto dei día. hacia Minsk: se dexó detras un cuerpo considerable DINAMARCA. baxo el mando de los generales Sachen y Essen, con Copenhague ij de noviembre. orden de atacar al príncipe de Schwartzemberg por la espalda, si intentaba este reguir á Mr. de S…</t>
  </si>
  <si>
    <t>…or hallarse este sumamente minorado por é! resentando al coronel Russel la ocasión de sorpre- frió, las fatigas y las enfermedades, y tomó el del ender y destruir sus poblaciones. almirante Tschitschakoff, pues aunque es'te exército' se halla también reducido á menos de’la mitad, ti¿MOLDAVIA. ne no obstante mas fuerza que el grande. Sebéela que el almirante tendría que retirarse .dél exército, Jassi a 6" d¿ noviembre. pues los rusos no le perdonan el hab'érsé…</t>
  </si>
  <si>
    <t>Tu, Josefa</t>
  </si>
  <si>
    <t>Josefa Tu</t>
  </si>
  <si>
    <t>…de este asunto. ( Diario de la Cortina.) Por providencia del Sr. D. Francisco de Assin, juez de primera instancia de. ésta villa,-se cita, lumia y emplaza al marques de Almenara, Doña Josefa Tu fió, Dóiía Plácida Urquijo, D. Severino Riezu, D.- Francisco Amorós, D. Juan Bau tista Guítart y D. Silvestre Perez, fugados con el gobierno intruso, para que en el término de 20 citas, que por único y perentorio se les señala, comparezcan por &lt;sí, ó por proc…</t>
  </si>
  <si>
    <t>Tulioh</t>
  </si>
  <si>
    <t>…Amhtdn; una división española i las órdenes del general Murüio; una brigada de caballería al mando del coronel Grant; una brigada de artillería portuguesa mandada por el teniente coronel Tulioh, y tres caño nes de montaña á las órdenes del teniente Bobe; estas tropas ata caron la posición del enemigo situado á la espalda de Ainhoue. ,„E1 mariscal Sir Guillermo Beresford dirigió los movimientos de la derecha del centro , que se componía de la tercera…</t>
  </si>
  <si>
    <t>Tulloh</t>
  </si>
  <si>
    <t>…lton; una .división española á las ©jdenes del general Morillo; una brigada de caballería al man do del coronel Grant; una brigada de artillería portuguesa mandada por el teniente coronel Tulloh , y tires cañones de montaña á las órdenes del tenien te Bobe. Estas tropas atacaren la posición del enemigo situado á la espalda de Ainhoue. ,, El mariscal sir Guillermo Beresford dirigió los movimientos de la de recha del centro, que se componía de la terce…</t>
  </si>
  <si>
    <t>Tuo</t>
  </si>
  <si>
    <t>…illería, todos los equipages, y hasta el tren que tenian en sus mismos campamentos, juntamente con los de los afran cesados. Se han hecho multitud de prisioneros, y entre ellos el gobernador Tuo venct y muchísimos afrancesados. Nuestra pérdida no ha sido de la mayor consideración en comparación de la de los enemigos. El general Morillo se dice ha recibido tres balazos; pero se ha inmortalizado la primera división que está á su mando. Creo que el resu…</t>
  </si>
  <si>
    <t>Tupper</t>
  </si>
  <si>
    <t>…s infames aceptaron la comisión, recibieron algún premio anticipado, y salieron déla capital. El conducto y la exactitud del aviso, no nos permiten du dar de esta nueva baxeza. El Sr. Tupper, cónsul de S. M. B., adop tó las medidas propias de su actividad y patriotismo para frustrar este proyecto atroz; pero anunciamos un intento tan alevoso, para que en el desgraciado caso de que fuesen insuficientes las precau ciones adoptadas , y se&gt; colmase e…</t>
  </si>
  <si>
    <t>…emer se cuenten en el número de muertos los seis millas- de distancia1; pero ames que llegaran las coroneles Lewis y Alien. . : demas tropas (el regimiento deOhio, mandado por „E1 general Tupper se ha puesto en cami el coronel Andrene) tuve noticias positivas de que no para incorporarse con el general Harrison, a la derrota habia sido completa, y los generales Pay- quien hace algún tiempo se juntaron .ya las bri ne y Perkili con los oficiales de líne…</t>
  </si>
  <si>
    <t>…e Bocayrente, y toman su nombre de estos puntos. Han tenido ya varios encuentros, escarmentando siempre al enemigo. La de Benisa, al mando de X). Josef Catalá (8), ha recibido del señor Tupper fusiles y pertrechos. / Relación de la sorpresa verificada por nuestras tropas, al mando del brigadier D. Francisco Rovira, contra la plaza de Prats de Afollo (dentro ~de Francia) en la madrugada del 20 de marzo. Extracto del parte de oficio de dicho señor Ro…</t>
  </si>
  <si>
    <t>Tupper, Pedro</t>
  </si>
  <si>
    <t>Pedro Tupper</t>
  </si>
  <si>
    <t>…) Pues si es asi, á los respetables obispos y pár »so valenciano del órden de S. Francisco, que auxilia rocos que las guardan, y no han abandonado el cuidado ndo por el benemérito Don Pedro Tupper, cónsul de de sus ovejas en los.tiempos de calamidades y de bor • S. M. británica, ha logrado reunir una partida in rasca, ¡ por qué se Ies ultraja y persigue ’ stantes y lanceros. El zelo, actividad, inteligencia jr (7) Otra inconsecuencia. Lor clírigos prof…</t>
  </si>
  <si>
    <t>Turpin</t>
  </si>
  <si>
    <t>…aba en Jas inmediaciones de Bilbao: el general Clausel , que mandaba el exército i del norte, estaba cerca de Logroño con una división del exército de Portu-o gal , mandada por el general Turpin , y. la división del general Bandermafien del del norte. ' „ La sexta división del exército aliado, del mando del honorable maris</t>
  </si>
  <si>
    <t>TURQUIA</t>
  </si>
  <si>
    <t>…s corsarios de señores Keminichki y Sokolnitzki; de Fischer, geBaltimore y de Charlestown. fé del estado mayor general, é inspector general de infantería, y de Kowiezki, inspector general TURQUIA. rde caballería; de diez y siete generales de brigada, de cinco ayudantes comandantes y de cinco ede CoHStantimojrlá so de octubre. canes del Aei. El exército del gran ducado de , Los funestos progresos de la peste on esta capi Varsovia forma quatro divisione…</t>
  </si>
  <si>
    <t>Turtosv</t>
  </si>
  <si>
    <t>…da sé arriesga con el trastorno meditado. No. visa de su importancia. hubieran pensado asi los primeros hombres del es Til congreso consintió Ja segunda lectura, y tado: Mr. Pité, lord Turtosv r lord Caurden y otros luego que se hizo, dirigiéndose el presidente á los de su mérito hubieran declarado Inmediatamente interesados, les dixo que los papeles que acababan que no podia darse al gobierno el derecho de nom de leerse se imprimirían, y podrían d…</t>
  </si>
  <si>
    <t>TVeVington</t>
  </si>
  <si>
    <t>…n comparación de la del enemigo, pues consiste solo en 2 muertos y 7 heridos. Quedo &amp;c. — M. Hall.” PORTUGAL. Lisboa 27 de Abril. Oficio del mariscal general duque de la Victoria (lord TVeVington) á JJ. Miguel Pereyra Forjan, de su cuartel general de F¿ esneua a 21 de Abril de 1813. „E1 enemigo ha retirado todas las tropas que tenia en la izquier da del Tajo, evacuando a Toledo el 10 del corriente; pero conserva</t>
  </si>
  <si>
    <t>TVhíchagoff</t>
  </si>
  <si>
    <t>…robable que lógre rendir á Daotzick. ,,Ei conde V/cronzow se ha apoderado de Rromberga con sus co piosos almacenes en la orilla izquierda del Vístula entre Thern y Graudentz; y ei almirante TVhíchagoff se mueve en. la misma di rección con el resto de la fuerza que tiene baxo su mandó. ,,La guarnición de Graudentz es toda prusiana, y según los par tes parece que en el primer movimiento del cuartel general ocupa rán ios rusos toda la orilla derecha del Vístul…</t>
  </si>
  <si>
    <t>Tyrconnel</t>
  </si>
  <si>
    <t>…nes, y ha procurado verlo por sí: sus últimos pliegos sen de Viasma el 4 de Noviembre , y sus relaciones están conformes con los boletines de oficio que se han publicado aquí. „El lord Tyrconnel está con el almirante Tchichagoff, quien le ha recibido con las demostraciones mas afectuosas; sus cartas del 22 de Octubre las ha recibido Sir Roberto Wilson eñ Viasma, y yo tam bién las que me ha dirigido. Da una razón exacta de todos los cuer pos de exérci…</t>
  </si>
  <si>
    <t>…á su cadáver todos los honores militares, y que se erija un monumento en la iglesia protestante para perpetuar su memoria. „En obsequio de la verdad y la justicia debo decir, que lord Tyrconnel mientras estuvo empleado en esta embaxada, se conduxo con el mayor celo y exáctitud . grangeándose la estimación de cuantos le conocieran en Suecia y Rusia. Tengo la honra &amp;c. — Cathcart” Las dos suscripciones abiertas en Lóndres para socorrer á los ru aos qu…</t>
  </si>
  <si>
    <t>Tyvenzicn</t>
  </si>
  <si>
    <t>…general de Zerbst 22 de /jsétinrlb*e‘. ' Él'gé/iér-al StoWarsky con sus cosacos y el gener.al Von Dobscjiuss con quatro escuadrones, que ha cían parte de la vanguardia,del general conde Tyvenzicn, se encontraron el día 19 con los regiiítiéntos franceses' i.9, 8 ° y 19.0 de cazadores de á caballo, y ios atacaron coiPtdn-ta felidfdád y q’tíé‘apenas escaparon jo hombres de estos tres regimtf*rirrrc; oíSroneí Talfe^aúd . dos tenientes coroneles este suces…</t>
  </si>
  <si>
    <t>Ube’za, Miguel</t>
  </si>
  <si>
    <t>Miguel Ube’za</t>
  </si>
  <si>
    <t>…artínez, D. Julián Gofr , D. Justo Taiazona, D. José María Munuce, D. Antonio Longis, D. José Canoras, D Cele Io nio Lerruz, D. Juan Macáya, D, Luis A lamo, D Francisco íturralde, D. Miguel Ube’za , D. Xavier Mariotegni, D Fermín Adrián, D. Francisco Miranda, D. laucas Zubkta, D. Vicente Larraga, D. M ¿mano Onnaeckea, D. Victoriano Iribarren , D. Juan José Tercero, D. Ignacio Lasa, I), Tomas Faudiño, 1). Gregorio .Eche» garay, D. A n Ionio Arzola, D. J…</t>
  </si>
  <si>
    <t>Ubiña, Manuel</t>
  </si>
  <si>
    <t>Manuel Ubiña</t>
  </si>
  <si>
    <t>…s, plazas y fronteras ,á f), Joa quín Junoy , D. José Otero , D. Benito Canales , D. Tomas Cortés, D. Francisco Melero, D. Tomas Bao darán, D. Epifanio Esteban, D. Temas Terreiro, D. Manuel Ubiña, D. Juan Jaldon , D. Alexandro Buitrón , D. Gabriel Lobo , D. Femando Castro, D. Juan Areliano y D. Antonio Matamoros. También han sido examinados por la referida brigada, y promovidos á subtenientes del propio cuerpo, D. J03Ó Roldan, guardia del real cuerpo…</t>
  </si>
  <si>
    <t>Ubon, Santiago</t>
  </si>
  <si>
    <t>Santiago Ubon</t>
  </si>
  <si>
    <t>…bstituto primero. Barrio de S. Marcos. D. Ventura González , substituto iegundo. D. Francisco Tellez, alcalde. Barrio de la Trinidad. D. Sebastian de Echestia, substituto primero. D. Santiago Ubon , substituto segundo. D. Carlos Avanciny, alcalde. D. Juan de Dios de la Pena, substituto primero. D. Josef Vinuesa , substituto segundo. QUARTEL DEL BARQUILLO. Barrio de S. Antón. QUARTEL DE SAN* ISIDRO. Barrio de Mira el Rio. D- Josef Miñones, alcalde. D. P…</t>
  </si>
  <si>
    <t>Üdonell</t>
  </si>
  <si>
    <t>…l, mili velas con semejante temporal; viraba muchas veces tar y político i y como no puede ser olvido, coma He -bordo, -jr&lt; forzándome ¿ imitarle para seguir allá en marras lo del general Üdonell en Mallor le, inutilizaba de este modo lo que; podía adelantar ca, ya porque, según dicen, son amigos y cono hácia él, porque mis movimientos mucho mas len cidos , y a porque yo desde su principio manifes- • tos.que los suyos en.ia razón de. nuestras longitu…</t>
  </si>
  <si>
    <t>Ufan</t>
  </si>
  <si>
    <t>…la Emperatriz regente ó el regente. consejo de Estado,-ha decretado, y Nos mandatñog viii. Tara poder exercer la regencia, y para lo qué sigue: ¿nrrar en el Consejo de regencia un príncipe Ufan ees, debe tener A lo menos 21 años cumplidos. Extracto de lot registros del senado conservador tx. Todos los actos de la regencia se harán i del viernes 5 de febrero de 1813. J nombre del Emperador menor. El senado conservador, reunido el número de TITULO IIm…</t>
  </si>
  <si>
    <t>Ugalde, Martin</t>
  </si>
  <si>
    <t>Martin Ugalde</t>
  </si>
  <si>
    <t>…de Arequipa: vice-presidente el Sr. D. Manuel Quintana: secre tario en propiedad el Sr. D. Francisco Martínez de la Rosa; y se cretario interino, por ausencia del propietario, el Sr. D. Martin Ugalde. CADIZ; IMPRENTA NACIONAL; 1813.</t>
  </si>
  <si>
    <t>Ugarte</t>
  </si>
  <si>
    <t>…Dabskt; haciéndole al mismo de invierno, y que han desembarcado una gran par tiempo consejero íntimo. te de vu« tripulaciones, tanto marineros como sol Por una circular del señor conde Ugarte , minis dados. Se cree al mismo tiempo que intentarán sa tro de lo Interior y supremo canciller, se ha man lir del Texal quatro navios de línea, destinados pa dado venir á Viena á todos los gobernadores de las ra Ja América. Ei almirante Yung manda actualmen…</t>
  </si>
  <si>
    <t>Ugarte-Mendia, Juan</t>
  </si>
  <si>
    <t>Juan Ugarte-Mendia</t>
  </si>
  <si>
    <t>…fe de estado mayor dc*l cuarto exér— cito, y D. Antonio Rosefló; y de los coroneles Fuentes-Pita, co mandante de ingenieros, D. Juan Loarte , del regimiento de la Cons titución, y D. Juan Ugarte-Mendia. El mariscal de campo Ingiis, y los regimientos de su brigada de la séptima división, se coadnxeron señaladamente bien. El regimiento 51 del mando del coronel Mitcheíl, y el 68 de el dei teniente coro— Fiel Hawkins cubrieron el movimiento de las tropas que oc…</t>
  </si>
  <si>
    <t>UgarteMendia, D Juan</t>
  </si>
  <si>
    <t>D Juan UgarteMendia</t>
  </si>
  <si>
    <t>…resente á V. E., que considerando oportuno reforzar la izquierda ¿e la línea, dispuse que viniesen tres .batallones- de voluntarios de Gui púzcoa , de nueva creación, al mando dei coronel D Juan UgarteMendia, y en efecto lo verificaron, teniendo parte en la última carga de los enemigos, y habiéndose portado con igual valor que los demas, ,,Creo de mi deber recomendar á V. E., para las recompensas que S. A. estime oportunas, el mérito del general Losada, que fué h…</t>
  </si>
  <si>
    <t>Ugartemendia, Juan</t>
  </si>
  <si>
    <t>Juan Ugartemendia</t>
  </si>
  <si>
    <t>…á V. E. que considerando oportuno el reforzar la izquierda de la línea, dispuse que viniesen tres ba tallones de voluntarios de Guipúzcoa, de nueva creación, ai mando del co ronel D. Juan Ugartemendia, y en efecto lo verificó, teniendo parte en la* última carga de los enemigos, y habiéndose portado con igual valor que los. demás. Creo de mí deber recomendar á V. E. para las recompensas que S. A* estime oportunas el mérito del general Losada, que fue herido…</t>
  </si>
  <si>
    <t>Uibina, Manuel</t>
  </si>
  <si>
    <t>Manuel Uibina</t>
  </si>
  <si>
    <t>…ro D. Andrés Tafavera, alcalde segundo D. Francisco Cuba, alférez real D. José Zavala, alguacil mayor D. Pablo Ignacio Arca? a, alcalde provisio nal D. José Míralles, y regid* res D. Manuel Uibina, D. Francisco Xavier Irsniguin, D. Miguel Gil y D. Ignacio Xavier de Emasabel; el cual se hará extensivo a los regidores D. Martin José de Echave y D Manuel Quintano y Valera, al síndico procurador ge neral D. Juan Eitéban de Cueto, al regidor provisional D.…</t>
  </si>
  <si>
    <t>Uihn.g</t>
  </si>
  <si>
    <t>Gaceta de Madrid n.º 105</t>
  </si>
  <si>
    <t>420</t>
  </si>
  <si>
    <t>…ón ; y á esta palabra desconocida no solo á nues suerte que la de éstar-sujeta á arbitrarios, apáticos tros rústicos, sinoá la mayor parte de los que saben y serviles.’’ (Redactor general Uihn.g rr.) leer, se le atribuye un poder mágico, y se hace de listé artículo necesita poco comento; y su con ella una especie ae talismán. tenido no será extraño á los habitantes de Madrid Ahora bien, ; y esta constitución, sea qual fíle y otras poblaciones del rei…</t>
  </si>
  <si>
    <t>Ulzurran, Ramón</t>
  </si>
  <si>
    <t>Ramón Ulzurran</t>
  </si>
  <si>
    <t>…se ha servido la Regencia del rey no hacer la promoción siguiente ; á coroneles efectivos á O. José Gorriz y D. Se bastian Fernandez: á teniente coronel y comandante de batallón á D. Ramón Ulzurran y D. Joaquín de Pablo : á primeros sargentos mayores á D. Benito'irigoyen , D. Manuel Arvilla , IX Marcelino O. rea y IX Fermín Argaiz : á capitanes de granaderos y cazadores a¿ i). Juan Vülamieva, D. Felipe Navasqües , D. Angel Ros , •Don-’ José. - María Barrica!, D. L uis Arillo…</t>
  </si>
  <si>
    <t>Un, Czernicheíf</t>
  </si>
  <si>
    <t>Czernicheíf Un</t>
  </si>
  <si>
    <t>…ya familia ha confiscado los bienes el Emperador Napoleón; y asimismo que dicho Príncipe sirve á este Monarca baxo el mando del mariscal Davoost. Wittemberg está bloqueada por el general Czernicheíf Un cuerpo de tro pas observa á Magdeburgo por la orilla derecha del Elba. Las salidas de la guarnición se limitan ahora á cortar leña en el bosque de Bruieritz, lo que executan solo por destruir aquella propiedad del Reí de Prusia. Las avanzadas del cuerpo del g…</t>
  </si>
  <si>
    <t>Unas, Martin Bel</t>
  </si>
  <si>
    <t>Martin Bel Unas</t>
  </si>
  <si>
    <t>…nel Liauder tenia ya hecho un reconocimiento de la circunferencia de la plaza, y al momento mandé que la primera compañía de fusileros, al man do de su capitán el coronel graduado D. Martin Bel Unas, se emboscase al lado de ía puerta de Francia, con orden de sorprehenderla ai momento que la abriesen, y la de cazadores, al mando de su capitán D. Narciso Iglesias, á la puerta de España con el mismo objeto. El éxito correspondió á nuestros deseos; pues al i…</t>
  </si>
  <si>
    <t>Unciti, Aniceto</t>
  </si>
  <si>
    <t>Aniceto Unciti</t>
  </si>
  <si>
    <t>…rés Berrueta, D. Mariano Sauz, D. Juan Ignacio Noain, D. Fran cisco Azcarate , D. Martin Antonio Laquidaia , D Santos Ayerra, D. Tomas Ayerra, D Juan Esteban Alemán, D. León Mayo, D. Aniceto Unciti y D. Sebastian íso : á alféreces á D. Nicolás Sada, D. Lucas Munarriz, D. Francisco Ruiz , D. Cristóbal Pereti, D. Mariano Raqpedano, D. Mariano Amorós, D. Manuel Rodrigo, D. Gregorio Lagarda, D. José García, D. Antonio Ortíz, D. An gel Martínez, D. Antonio Blesa, D Fermín…</t>
  </si>
  <si>
    <t>Uo</t>
  </si>
  <si>
    <t>…bre ia derecha del enemigo en la Lusa da. Los dos em peradores y el rey de Prusia permanecen ahora en esta ciudad. —- Con el mas profundo dolor tengo ¿]ue parti ipar la muerte del general Uo reau, acaecida en Laun la mañana del 2 dél corriente cuando es taba dictando una carta para el emperador, manifest ndoie su agra decimiento.— Su cuerpo fué embalsamado, y está en camino para Petcrsburgo, donde será enterrado con todos los honores militares.—…</t>
  </si>
  <si>
    <t>Uoste</t>
  </si>
  <si>
    <t>…les, es pañolas , he represado después. Tengo la honra &amp;c. zzG. Windham." Sexto y séptimo. El vÍce-almirante Sir Eduardo Pelleic ha dirigido á John Wil— son Croker dos oficios del capitán Uoste del navio de S. M» Bacante al contra-almirante Freemantie. «En el primero se anuncia la toma, delante de Otranto, de la cañonera francesa Alcino y de 2 cañones y 25 hombres de tripula ción , como igualmente de 8 buques mercantes que convoyaba pro cedentes de…</t>
  </si>
  <si>
    <t>Upton</t>
  </si>
  <si>
    <t>…rtel maes tre general en segundo, al teniente coronel Bonversé, ayudante ge neral del cuerpo de su mando, y áTos oficiales de su estado mayor; igualmente que al honorable teniente coronel Upton , ayudante cuar tel maestre general, y ai mayor Ilope, ayudante del ayudante ge neral ; y el mariscal de campo Osibalt recomienda en los mismos tér minos á los tenientes coroneles Berkellej^, Gomsns, ayudante y cuar tel-maestre general adictos á sus tropas¿ ,…</t>
  </si>
  <si>
    <t>…maeste general en se-’ gundo, al teniente coronel Bonvérsé , ayudante general del cuerpo de su man do, y á los oliciales de su estado mayor , igualmente que al honorable teniente coronel Upton, ayudante quartel maestre general , y al mayor Hope, ayu dante del ayudante general; y el mariscal de campo Osibald recomienda en los mismos términos á los tenientes coroneles Berkeily , Gomsns, aj'udante y quartel maestre genera! adictos á sus tropas, ,, Est…</t>
  </si>
  <si>
    <t>Urberg</t>
  </si>
  <si>
    <t>…este fin nombrasen una guardia de labradores. Esta medida, dictada por las mas prudentes circunstancias locales , se consideró como un •crómétten una carta escrita por el prefecto conde Urberg ; y asi que los frar.cé'és volvieron á pisar .aquel te;rritoriq&gt; prendieron á ios cinco miembros de átjuelía cómisioq, r y. los cpndu^eronrá Bramen. La junta, militar congregada por el general V andame, entre los varios.cargos que hizo á dicha comhionp 1:: ac…</t>
  </si>
  <si>
    <t>Urbina, Joaquín</t>
  </si>
  <si>
    <t>Joaquín Urbina</t>
  </si>
  <si>
    <t>…, que venció á pesar de lo asperísimo del terreno la resolución del señor general Latorre y bizarría del segundo batallón de reales guardias Españolas al mando de su comandante el brigadier D. Joaquín Urbina, y compañía de granaderos de la brigada, distinguiéndose en es ta ocasión el batallón de cazadores de la columna , y su bizarro co mandante el coronel D. Ramón Figueroa. «Echados los enemigos de casi toda la montaña de Larrun, se guarecieron en su cima peñasc…</t>
  </si>
  <si>
    <t>…que venció á pesar de lo asperísimo del terreno la resolución deh señoti general Latofre y bizarría del Segundo batallón de reales Guardias Españolas, al mando de su comandante el brigadier D. Joaquín Urbina , y compañía de</t>
  </si>
  <si>
    <t>Urbina, Manuel</t>
  </si>
  <si>
    <t>Manuel Urbina</t>
  </si>
  <si>
    <t>…ragón. Barrio de las Descalzas Re ates. D. Josef Cañedo, alcalde. D. Fr..neÍsco de 1 ruegas, alcalde. D. Félix Bener, substituto primero. D. Francbco L..yin , 'substituto primero. D. Manuel Urbina , substituto segundo. D. Juan Torre , substituto segundo. Barrio de ¡a Encarnación. Barra de les ring. íes D. Ramón García Muñoz , alcalde. D. Manuel Cardeñoso Herrczueto, alcalde. D. Pedro Monfort y Viergol , substituto pri D. T ornas Tordesillas, substituto…</t>
  </si>
  <si>
    <t>Urdaneta, Redro</t>
  </si>
  <si>
    <t>Redro Urdaneta</t>
  </si>
  <si>
    <t>…de Maracaybo á sus subter^ ' tes de granade ros y fusileros, D. Lorenzo de Cangas y D. Miguel Delgado , y al te niente del cuerpo de milicias disciplinadas de infamen a de blancas D. Redro Urdaneta: de subtenientes á las sargentos, primeros del propio cuerpo veterano D. José Villamil y D. José Ensebio More no, y ú los cadetes D. Domingo Velarde, D. Juan Ortega, D An tonio Andrade, D. Esteban Ochoa, D. Antonio de RooyJ). José</t>
  </si>
  <si>
    <t>Uría, Manuel</t>
  </si>
  <si>
    <t>Manuel Uría</t>
  </si>
  <si>
    <t>…Manuel Rodrigo, D. Gregorio Lagarda, D. José García, D. Antonio Ortíz, D. An gel Martínez, D. Antonio Blesa, D Fermín Fabiano, D. Pedro Garrea, D. Pablo Franca, D. Antonio Santos, D. Manuel Uría^ D. Bernardo Uriz, D. Geferino Galindo y D. Seraíin Ockoa. CADIZ ; EN LA IMPRENTA NACIONAL.</t>
  </si>
  <si>
    <t>Uriarte, Pedro</t>
  </si>
  <si>
    <t>Pedro Uriarte</t>
  </si>
  <si>
    <t>…rta de orden de S. S, ,,A esta hora, que son las diez y quarto de la mañana, acabo de reci bir el oficio de V. S., juntamente con las diligencias practicadas por el se ñor regidor D. Pedro Uriarte, en consecuencia de la muerte ocurrida á las siete y quarto de la mi;ma en Ja plazuela de Sto. Demingo; y deseando yo como V. S. la pronta administración de justicia para escaimierto de los mal vados y satisfacción de este heroico pueblo, tan digno de atenció…</t>
  </si>
  <si>
    <t>Uriutia, Tomas de</t>
  </si>
  <si>
    <t>Tomas de Uriutia</t>
  </si>
  <si>
    <t>…e vales y nc mires de las persones á quienes han sido renovados. N? de vales. De 600 peses. Sugetes ú quienes están renovados. 1 7803 AD J uan Antonio Martínez Salazar, 1 157715 A D. Tomas de Uriutia. 1 2700 A D. Ignacio Casal. 1 2626 A D. Francisco Amellen C 2281 |AD. Manuel Cáscales. 2 l 2403 i 2303 126/7 ^ gre8&lt; Chavam y PosadiUo. 3 i 2545</t>
  </si>
  <si>
    <t>Uriz, Bernardo</t>
  </si>
  <si>
    <t>Bernardo Uriz</t>
  </si>
  <si>
    <t>…D. Gregorio Lagarda, D. José García, D. Antonio Ortíz, D. An gel Martínez, D. Antonio Blesa, D Fermín Fabiano, D. Pedro Garrea, D. Pablo Franca, D. Antonio Santos, D. Manuel Uría^ D. Bernardo Uriz, D. Geferino Galindo y D. Seraíin Ockoa. CADIZ ; EN LA IMPRENTA NACIONAL.</t>
  </si>
  <si>
    <t>Urna</t>
  </si>
  <si>
    <t>8í437. En 13 de Junio, el capitán D. Benito Espinosa, déla divi sión de Sonora, al cargo del referido teniente coronel Urna, con su tropa y algún refuerzo de S. Bms y Tepic, ataco cerca de las Estan cias jurisdicción deMaloya, á ioo rebeldes, de los que mato 19, entre ellos al capitancillo Juan Luis y uno de sus hijos, hirió algu nos, y les tomo 40 carcaxes, algunos arcos y varios…</t>
  </si>
  <si>
    <t>Uroz, Nicolás</t>
  </si>
  <si>
    <t>Nicolás Uroz</t>
  </si>
  <si>
    <t>…o, D» JVLguql Ormachea, D Joaquín Sánchez, D José Migueltorena D Diego Gayarre, D. Fermín San Martin,*O. José Arozarena, D. Angel Esca lada, D. Víctor Pastor, D. Francisco Boira , D. Nicolás Uroz, D. Francisco Sarbide, P. Manuel'Inda, D Juan Ignacio Peña, D Diego OteruimDi Gabriel Alegría , D. Félix Sarasa $ D. José Labiano , D. Francisco Morillo , D, Juan Jaurrieta, D. Bartolomé Guiberalde, D- Antonio Ugarte, D. Ignacio "Echeverría, D. Pedro Echegoye…</t>
  </si>
  <si>
    <t>Urquijo, Domingo</t>
  </si>
  <si>
    <t>Domingo Urquijo</t>
  </si>
  <si>
    <t>…cisco Medina, 1 id. D. Martin de Almerza, 5 id. D. José de Aristnendi, 10 id. D. Gerónimo de Urriza, L id. D. To mas Gallegos, 6 id. IL Agustín Caldas, 1 id. D. Blas Camino, 1 id. D. Domingo Urquijo, 1 id. D. Francisco Falconi, I id. D. Francis co de Sagastaveitía„ id. D Francisco Valles, 2 id D. Francisco Ba llesteros, 1 id. D. Gregorio Fernandez* 1 id D. Julián García Mon_terroso, 1 id. D. Julián Perez, 2 id. D. Lorenzo de Arguiano, 1 id. D. Matías de…</t>
  </si>
  <si>
    <t>Urraza, Juan Antonio de</t>
  </si>
  <si>
    <t>Juan Antonio de Urraza</t>
  </si>
  <si>
    <t>…s consejeros de Estado. acudan í dedurirle dentro de dicho término ante el re ferido señor juez, y por Ja escribanía del. húmero de ,, Cada vez qué éiittb éri Francia siento mí co D. Juan Antonio de Urraza, con apercibimiento derazón penetrado de la mas viva satisfacción. Si él que pasados sin,hacerlo, se proveerá lá que corresponpueblb fraheés müéstra tanto ámor á mi hijo; fes da, y les parará el perjuicio qué haya lugar. porque está intimamente convencido de…</t>
  </si>
  <si>
    <t>…de ex■celencia. (Se continuará.) ' — ■ ■- ■—: ■ —- •1 - - - 1 ^ ' - - -- ■ — ■ .... 'A •En el juzgado de1 primera instancia del Sr. D. Francisco Asin, y, escribanía del número de D. Juan Antonio de Urraza pende la causa formada contra los que resulten cómplices en ei; robo de varios vales reales dinero, y ropas, executado el dia 30 de mayo de este año en el quarto habitación, de D. Francisco Antonio de Urrueta, ausente, que la tiene en la calle de Relatores, n…</t>
  </si>
  <si>
    <t>…tolas y D!. Manuel.Centurión; por la de S. Gi líes D Pedro Marcelino Blanco; pot la 4e Santa Cruz D Francisco An tonio Rucabado y D. Diego Crespo de Tejada; por la de S. Sebastian Don Juan Antonio de Urraza, D. Joaquín Almazan y D. Juan Josef de Ojanguren; por la de S. Lorenzo D. Miguel de* Áxpe y D. Vicente Montene gro; por la de S. Miguel y S. Justo L&gt;. Manuel Segundo Martínez; per la de S. Andrés D. Domingo Fernandez Campomanes y D. Fermín Rodrí guez; por la…</t>
  </si>
  <si>
    <t>Urrea, Mariano</t>
  </si>
  <si>
    <t>Mariano Urrea</t>
  </si>
  <si>
    <t>…ho pueblo I). Pedro José Borja, al subdelegado D. Francisco Suarez y otros. Por nuestra parte no hubo ni un herido. 33. Según oficio del gobernador de Durango al teniente coro nel D. Mariano Urrea ; comandante de una división de Sonora, ei 4 de Junio acometió el alferez D. Miguel Casanova con 40 solda dos de Nueva-Vizcaya á 209 rebeldes , acaudillados por Cecilio González , que de resultas de su derrota por el capitán Espinosa se había retirado á las s…</t>
  </si>
  <si>
    <t>Urriza, Gerónimo</t>
  </si>
  <si>
    <t>Gerónimo Urriza</t>
  </si>
  <si>
    <t>…ero, 25. 13 Domingo Ufqu’jo. 25 1). José Oétolasa, 25. D. Fran cisco Muían Rodrí guez , 25. D Manuel Julián G rájales, 20. D. D «mingo Car dan , 20. í). Juan Matías (ribarren, 20. D. Gerónimo Urriza, 20. D. Joaquín M ^riiuez. S\ D. Juan Bautista Viana, 20. D. Vicente de los Toyos, 20 D. Juan Llano, 17. D José Perez déla Mata, 7. D. José Herrera, 17. D. Gerónimo Vivanco, 10. D. Manuel Ibañ?z, 10. Don Rosendo Gao , 10. D. Ramón Forcelíc 5o, 10. D. Gaspar G…</t>
  </si>
  <si>
    <t>Urriza, Gerónimo de</t>
  </si>
  <si>
    <t>Gerónimo de Urriza</t>
  </si>
  <si>
    <t>…uan Llano y Cam pos, i id. D. Manuel Antonio del Portillo, 6 id. D. Santiago Rodrí guez, 2 id. D. Francisco Medina, 1 id. D. Martin de Almerza, 5 id. D. José de Aristnendi, 10 id. D. Gerónimo de Urriza, L id. D. To mas Gallegos, 6 id. IL Agustín Caldas, 1 id. D. Blas Camino, 1 id. D. Domingo Urquijo, 1 id. D. Francisco Falconi, I id. D. Francis co de Sagastaveitía„ id. D Francisco Valles, 2 id D. Francisco Ba llesteros, 1 id. D. Gregorio Fernandez* 1 id D.…</t>
  </si>
  <si>
    <t>Urrueta, Francisco Antonio de</t>
  </si>
  <si>
    <t>Francisco Antonio de Urrueta</t>
  </si>
  <si>
    <t>…za pende la causa formada contra los que resulten cómplices en ei; robo de varios vales reales dinero, y ropas, executado el dia 30 de mayo de este año en el quarto habitación, de D. Francisco Antonio de Urrueta, ausente, que la tiene en la calle de Relatores, núm. 14, quarto segun do; en la,que. habiendo podido ser habidos algunos de dichos vales , resulta no Jiaj ber parecido los siguientes : dos de 600 pesos, creación de,r.° de mayo de i(8o¡3^ señalados con los nú…</t>
  </si>
  <si>
    <t>Urueta, Joaquín</t>
  </si>
  <si>
    <t>Joaquín Urueta</t>
  </si>
  <si>
    <t>…nsa que me parecieron convenientes, pasando con el comandante de artillería D. José Carrera á reconocer la azo.tea del convento de Capuchinas, la de la casa de las Animas y la de. D. Joaquín Urueta , pata situar en ella los cañoncites de mon taña. La primera debía batir la campaña entre el fuerte de la Mag dalena y puesto de S. Pedro : la segunda debía sostener las dos ga ritas del Capote y Guadalupe en caso de una retirada ; y la tercera debía surtir e…</t>
  </si>
  <si>
    <t>Ururk</t>
  </si>
  <si>
    <t>…g; la vanguardia del teniente general Tscbarditz en Gumbianen, y el mayor general conde Woroezow mar chó á NemesdoifF. Eí teniente general Tschiplitz comunica que el mayor general conde Ururk, á su entrada en la aldea de Stalopenen faé recibido con extraordinario regocijo por ios habitantes, ios cuales gritaban vivei el emperador Alcxandt o t y sea el protector de una nación inocente que está padeciendo. (Se cQnÍi¡euzrá.) ESPAÑA. Berga 5 de Febrer…</t>
  </si>
  <si>
    <t>Urzaniqui, Juan</t>
  </si>
  <si>
    <t>Juan Urzaniqui</t>
  </si>
  <si>
    <t>…Nicolás Soriano, D. Bernardo Moliner, D. Manuel Llera, D. José Perulan, D. Ray» mundo Marqués, D. José Gorriz, D. Dionisio Fonolitas, D. Can» dido Zunzarren * D. M:guel Quartero , D. Juan Urzaniqui, D. Ruerto Rajum, D. Manuel López, D. Agustín Munarriz, D. Juan Sliutista fnd'.iusti, D. Pedio López de Baylo, D. José García, D. Andrés Diaz y D. Félix Quitarte. Igualmente se ha servido S. A. promover en el regimiento de caballeril ligera húsares de Navarra…</t>
  </si>
  <si>
    <t>Usieda, Francisco Vázquez de</t>
  </si>
  <si>
    <t>Francisco Vázquez de Usieda</t>
  </si>
  <si>
    <t>…o de Arias, 6 id. D. Jacinto Xiraeno, 6 id. D. Manuel Ortiz de Villate, 4 id. D. José Rodolfo, 4 id. D. Antonio León, 4 id. D Paulino Domínguez, 3 id. D. Martin de Aramburu, 3 id. D. Francisco Vázquez de Usieda, 2 id. D. José Correa, 2 id. D. Juan Bautista Zaracondegui, 2 id. D. Francisco Antonio Goitesolo, 2 id. D. Miguel Fernando Ruiz, 2 id. D. Andrés Sánchez Quiros, 2 id. D. Francisco de Paula Calvo, 2 id. D. Pedro Juan de Olasagarri, 2 id. D. Juan Ignaoio de Mnd…</t>
  </si>
  <si>
    <t>Ustoa, Agustín de</t>
  </si>
  <si>
    <t>Agustín de Ustoa</t>
  </si>
  <si>
    <t>…es pesetas porcada parto, que al año a© t;#XArá5a?de 4&lt;3b» efefe objiigfeioá 4rf t?ri%«ísis&amp;ii£.&amp;.yr^rba»!pr^teudiefitjfes se P^nt§^qop;.£oa^qíiWftfft^l los, seña res comisionados D. Agustín de Ustoa, D. Juan Domingo de Iparraguirre y^DojiJacinto de ínchattrrondo para «el dia 20 de enero próximo; en la inteligencia de que la próvisioifse hará por la villa el 3 t del mismo* en fií tifas oenetherito, pre vios informes de las quididades de los pretendientes.…</t>
  </si>
  <si>
    <t>V, Bernardo de Saxonia</t>
  </si>
  <si>
    <t>Bernardo de Saxonia V</t>
  </si>
  <si>
    <t>…lenipo tor = Firmado ss Cirios Mauricio. tenciario de S. A. R. el gran duque de Badén, el barón de Leutruin , chambelán de S. A. R. Por S. E el gran maestre de ceremonias S. A. el príncipe Bernardo de Saxonia V\eimar, teniente TEATRO. coronel de la guardia del Rei de Saxonia; el conde En el de la Cruz se ejecutará la comedia titulada el de Ed'mg , chambelán de S M. saxona; el conde Católico Recaredo , con tonadilla y sainete , interme de Beust, cambelau de S. M. sax…</t>
  </si>
  <si>
    <t>V, Salvador</t>
  </si>
  <si>
    <t>Salvador V</t>
  </si>
  <si>
    <t>£1 expresado señor general anuncia con satisfacción ¿ las bizarras tropas de su mando el éxito glorioso del ataque que el coronel del regimiento del Príncipe D. Salvador V dencb resistió en 17 del mes último en el pueblo de Monteliácon solos 450 hombres de infantería, contra uia brigada enemiga procedente de PuigcerdA, mandada por el acreditado general Expert, fuerte de 3300 infantes, 5^0 caballos y una pieza de artillería. £1…</t>
  </si>
  <si>
    <t>Va-</t>
  </si>
  <si>
    <t>…os de nuestra nueva industria son de 65 VsUafranca (departamento del Ródano) millones. as de enero. Obsérvese que no todas estas materias primeas El corsario de Liorna la Leonida, capitán Va- han sido manufacturadas , ni las que lo han sido han elopia, ha apresado el 1 a de este mes en las aguas llegado todavía al punto que deben tener para en de la Cerdeña el brick la Rota, de 182 toneladas, tregarse á nuestros usos y consumos diaros. El tri arma…</t>
  </si>
  <si>
    <t>Vaadamm</t>
  </si>
  <si>
    <t>…zó todos los puntos que en vano ¡mentaba defender el enemigo. Por este kdo cayeron en poder de los rusos 40 piezas de arti le ía y 60 cazones, mucho bagage, y todo el equipage del general Vaadamm;. Batido comple tamente el enemigo por el frente, é interceptado en su retaguardia por el general Kleut, no le restaba mas que una retirada pronta y desesperada. La derrota se hizo general; los toldados enemigos arrojaban L« armas por todos lados, y cesando y…</t>
  </si>
  <si>
    <t>Vaccari</t>
  </si>
  <si>
    <t>…an escudero, ¡ se le han iqcprpojjúio ocupan todavía las ori- conde Captara el gran juez ministro de la Jus &lt;jei Prcgel. ticia, conde Lnóri i el ministro .de lo Interior, GAVIERA. conde Vaccari ; -el ministro de Hacienda, conde Trina; el ministro de Guerra , conde Fonranelii; el Hurembrrg ty de enera. ministro del Tesoro, conde Barago; el consejero La* cartas de. Bohemia ¿¡conque se aseguraba secretario de Estado, conde Stfige.lí; conde B?rgennr^tfn…</t>
  </si>
  <si>
    <t>Vades, Agustín Ramón</t>
  </si>
  <si>
    <t>Agustín Ramón Vades</t>
  </si>
  <si>
    <t>1034</t>
  </si>
  <si>
    <t>…cosa alguna: y el numero de enfermos es cortísimo. (Se continuarán.) ARTICULO DE OFICIO. Las Cortes generales y extraordinarias se han enterado de la ex posición qué, á nombre de D. Agustín Ramón Vades, natural y vecino dé ia Habana , les ha lincho su apoderado O. Tadeo Sán chez Escatidoni presentándoles el donativo patriótico 34907 pesos éti vales , á fin de que sean extinguidos. S. M. ha aceptado tan opor tuno y generoso servicio» y en demostración de hab…</t>
  </si>
  <si>
    <t>Vaidés, Francisco</t>
  </si>
  <si>
    <t>Francisco Vaidés</t>
  </si>
  <si>
    <t>…tro poder prisionero un oficial, que fué herido, con un sargento y algunos soldados. «Los oficiales heridos son ei capitán del regimiento de Guadalaxara "D. Francisco Carnario, el teniente D. Francisco Vaidés y el subteniente D. Ramón del Rio del propio cuerpo. Los tenientes del segundo de Asturias D. Pedro Cobian y D. Benigno Hernández, y el subteniente del de la Constitución D. Próspero Gaiina.</t>
  </si>
  <si>
    <t>Vaji</t>
  </si>
  <si>
    <t>…Bohemia , pa saba, el Elba, y marchaba sobre Dresde, capital de la Saxonia; y aunque no pudo llevarse dicha ciudad de un golpe de mano, ha destrozado completajnente el cuerpo del general Vaji^amme,.haciéndolo á él y otros tres gene rales prisioneros, toda: sts artillería y equigages, , cuyop trofeos, llegaron á Vfona el. -5 ,;y los presento con la n^ayor^^ol^mnidad el conde de Paar. Heá mps tenido el sentimiento que alyeconocefr Jps atrincheramien…</t>
  </si>
  <si>
    <t>VaJJe, Antonio María Cel</t>
  </si>
  <si>
    <t>Antonio María Cel VaJJe</t>
  </si>
  <si>
    <t>…as acciones y diarios choques que se han ofrecido.— Dios guarde á V. S. muchos años. V alie-grande Mayo 22. de 1812; —Agustín de Huid.” Extracto del parte dirigido prr el teniente coronel D. Antonio María Cel VaJJe y sargento mayor del regimiento Real de este, capitalce*; ficha de 28 del mes próximo pasado.. El 14 de-dicho mes supo Valle que los insurgentes se habían in ternado hasta la quebrada de Paredes es, 3 leguas del confin de am bos distritos, ¿ la sazón que se h…</t>
  </si>
  <si>
    <t>Val, Manuel de</t>
  </si>
  <si>
    <t>Manuel de Val</t>
  </si>
  <si>
    <t>…verso castellano por D. Joaquín Escñche; un quaderno en octavo'mayor. Se hallará en la imprenta nacional i 4 rs. Los comentarios de Gayo Julio Cesar, traducidos al castellano por D. Manuel de Val bueña, catedrático de lós reales estudios de esta corte: segunda impresión» nuevamente corregida. Lleva el texto latino en mejor carácter de letra que la pri mera ,cl busto de Cesar, y dos mapas, el uno de lás Galias, y el otro de ta Espafia. Obra mui útil á…</t>
  </si>
  <si>
    <t>Val, Walmodeu.ienltre</t>
  </si>
  <si>
    <t>Walmodeu.ienltre Val</t>
  </si>
  <si>
    <t>…l enemigo. Todos los&gt; caminos están cubiertos de armas,, cadáveres, extraviados y caballos: la irefcagiiardi*. friáis cesa inutilizó sus bagages. &lt; •...: ? El 21 se vió atacado el general Walmodeu.ienltre Val&amp;tfc yCamirí por 20S) franceses al mando de Davoust: la batalla duró' desde medio dia. hasta mucho después de puesto el sol: ios dos exércitos mantuvieron sus posicio nes: nuestra pérdida fue de loo hombres muertos,y heridos; la de los ene migos, según dicen l…</t>
  </si>
  <si>
    <t>Valbuena, Manuel de</t>
  </si>
  <si>
    <t>Manuel de Valbuena</t>
  </si>
  <si>
    <t>…s), leña la que gaste, y casa de balde. Los memoriales se dirigirán por medio del secretario del ayuntamiento de dicha villa de Pedraza. Diccionario universal latino-español , por D. Manuel de Valbuena: segunda edición. El aprecio con que ha sido recibida del público la edición primera de esta obra manifiesta la necesidad que habia de un diccionario formado con un método mas ventajoso que los anteriores para la inteligencia de los autores de todas clases y…</t>
  </si>
  <si>
    <t>Valce, Roque Jacinto</t>
  </si>
  <si>
    <t>Roque Jacinto Valce</t>
  </si>
  <si>
    <t>…uer* n-confiadas: corno, igualmente los oficiales empleados,&gt;á ¿mb inipediatas órdenes los te-; niéntes D. Joaquín defVélasco y ¿VMannel Caballero del Pozo, y Jos sub-*’ tenientes D. Roque Jacinto Valce y D. Antonio Muñoz KerváG que cons tantemente me acompañan, y en estas ocasiones exercen fundones-de aque llos, en quanto son empleados para el mejor desempeño del servicio.</t>
  </si>
  <si>
    <t>Valdemoros, José</t>
  </si>
  <si>
    <t>José Valdemoros</t>
  </si>
  <si>
    <t>…los examinadores habían1 considerado mas acreedor, y distribuyó por su mano del ntodo si guiente: á los cadetes D. Gregorio Brochero, D. Nicolás Campo,* D. Diego María Calatrava, D. José Valdemoros , D. Pascual de la Puente, D. Juan de Morales, D. Agustín Gamboa, D. José Rayo y Cortés, D. Antonio González y D. Pedro Abello, un exemplar á cada uno de un tratado de trigonometría y geometría práctica poj* su aprovechamiento en aritmética y álgebra : á les…</t>
  </si>
  <si>
    <t>Valdes</t>
  </si>
  <si>
    <t>…ponde se entregue al apoderado';dél Si. Vaidés.í_JCSr. Mexíá: yo acompañaré en esto al Sr González. ^ r « Sr. Vallejo: yo creo que será mejor qué asi como se ha hecho respecto del Sr. Valdes, se entregue al apoderado á nombre de las Cortes una me dalla de plata ; y de este modo no se^privajrá el Sr. González de un monu mento tan apreciable. , . Sr. Mexía: el Sr. González y yo ños Compondremos para hacer la co sa de modo que no sea gravoso á los d…</t>
  </si>
  <si>
    <t>Valdés, Agustín</t>
  </si>
  <si>
    <t>Agustín Valdés</t>
  </si>
  <si>
    <t>…por la noche. Teida eí aeta de la sesión anterior, se dióCuenta del dictáment de la co misión especial de Hacienda acerca dé io que se debería hacer 'con los vales que á nombre de D. Agustín Valdés ofreció D. N. Escándon; opina la co misión que las Cortes acepten esta generosa oferta, y que por medio de la Regencia y del gefe político de la isla de Cuba se manifieste ai digno patrio ta el Sr. valdes quan apreciable ha sido al Congreso Su generosa oferta…</t>
  </si>
  <si>
    <t>Valdés, Agustín Ramón</t>
  </si>
  <si>
    <t>Agustín Ramón Valdés</t>
  </si>
  <si>
    <t>Lista de dos 9 5 rales reales de las creaciones de Mayo y Setiem bre del donativo patriótico de 34907 pesos que ha hecho á las Cortes generales y extraordinarias D. Agustín Ramón Valdés , na tural y vecino de la Habana, por mano de su apoderado D. Tadeo Sánchez Escandon, cuyo pgr menor se da al público por disposi ción de la junta del crédito público, para que si hubiere algún inte? e:ado que tenga que reclamar alguno ó algunos de dichos val…</t>
  </si>
  <si>
    <t>Vale, Antonio</t>
  </si>
  <si>
    <t>Antonio Vale</t>
  </si>
  <si>
    <t>…que la mantiene en su ser, y sin la que este cuer no, canónigo decano-y presidente. = Dr. -D. Fran po iría al través de los acontecimientos humanos. cisco Guimerá, canónigo, re Dr.D. Antonio Vale ,, Enrre otras puede servir dp (jsemplo, de edi ro, canónigo-curado secretario. = Señores curas, ficación y consuelo (a diócesis de Segorve. Privada vicarios y regentes de los pueblos. del obispado.” d»'sd pastor ,- y gobernada eó uña vacante larga y ( G azet…</t>
  </si>
  <si>
    <t>Válega, Félix</t>
  </si>
  <si>
    <t>Félix Válega</t>
  </si>
  <si>
    <t>…los individuos del comercio de Lima que se han suscrito para mantener soldados en el exército del Desaguadero. D. F*\ncisco de Inda, 3 hombres por un año. D. Rafael López, 3 Ídem. D. Félix Válega y sus dos compañeros, 3 id. D. A:\tonio Ortiz de Taiamo, 3 id. O. José Francisco Miranda, 2 id. D. Jo^é Ig nacio 'PvJacios, 2 id. D Gaspar Rico. 2 id. D. José Medica, 2 id. D. Juan ILmisía de Esrrea, 2 id. D. Juan Gil, 2 id. D. Juan Anto nio d&amp;rriva, I id. i)…</t>
  </si>
  <si>
    <t>Valence</t>
  </si>
  <si>
    <t>…conde Grenier. Los otros generales comandantes de divisiones en Alemania son los siguientes : De caballería: el conde_Latónr-Maubourg.— El conde Grouchy. — El conde Nansouty. — El conde Valence. — El conde S. Germán. De infantería: el conde Labor de. — El conde Loison. — El conde Bonnet. — El conde Molitor. — El conde Friant. — El conde Legrand. Los polacos, reducidos á 15$, están en Pirna, mandados por el príncipe Poniatowsky, y la caballería por e…</t>
  </si>
  <si>
    <t>Valencia</t>
  </si>
  <si>
    <t>…o de 200 hombres fue ra de combate; ia nu stra es de 2 oíiciales, un sargento y 1© sol dados heridos , y un oficial y 4 soldados prisioneros. El Sr. general en gefe ha dado al Sr. coronel Valencia las mas expresivas gracias, encargándole que á su nombre Us dé á los seño res oficiales y tropa, que concurrieron á esta brillante acción. =E1 ayudante general gefe del estado mayor. =r jF. X. Gabanes* Oficio dirigido al Sr. genere l en gefe por el gobernador…</t>
  </si>
  <si>
    <t>Valencia, Salvador</t>
  </si>
  <si>
    <t>Salvador Valencia</t>
  </si>
  <si>
    <t>…militares pertenecen. £1 expresado señor general anuncia con satisfacción á las bizarras tropas de su mando el éxito glorioso del ataque que el coronel dei regimiento del Príncipe D. Salvador Valencia resistió en 17 del ines último en e! puebln-de 'Monteílá, con solos 450 hombres de infantería, contra una brigada enemiga 'procedente de Puigccrdá, mandada por el acreditado general Expert, fuerte der 1300 infantes, 50 caballos y una pieza de artillería.. El…</t>
  </si>
  <si>
    <t>…fe del estado mayor. =r jF. X. Gabanes* Oficio dirigido al Sr. genere l en gefe por el gobernador de Urgel el teniente coronel D. Miguel Sara. Excmo. Sr. : El coronel del-Príncipe D. Salvador Valencia, nte dice lo que á la letra copio: por el general barón Expert á la cabeza de k.oo infinites, 50 caballos y una pieza de campaña fué atacado xyer. El fuego duró desde las nueve de la mañana hasta ks 5 de la tarde, en cuya hora, viendo que ni sus fuerzas ni su…</t>
  </si>
  <si>
    <t>Valentín</t>
  </si>
  <si>
    <t>…mente; con apercibimiento de que pasa do dicho término sin h.ib rio ejecutado, les parará el perjuicio que haya lugar. Se desea saber el paradero de D. Andrés del Rio ó de su hijo D. Valentín, benefi ciado, para comunicarle varios intereses que Je corresponden, poniendo las señas calle deí Arenal, esquina á la de las Fuentes, quarto principal, núm. 9, en casa de Domingo Duque. Hermán de Unna: rasgo historial de Alemania, trasladado s la lengua esp…</t>
  </si>
  <si>
    <t>Valera, Simón</t>
  </si>
  <si>
    <t>Simón Valera</t>
  </si>
  <si>
    <t>había tomado sus precauciones D. Simón Valera, espitan de pa triotas , colocando en la iglesia un canon de á 4, y en la azotea de la casa del cura dos pedreros, no pudieron conseguir su intento, y se marcharon á las 8 de la mañana, habiendo dexado 2 muertos, algunos heridos y 2 prisioneros. Los rebeldes…</t>
  </si>
  <si>
    <t>Valerio, Manuel</t>
  </si>
  <si>
    <t>Manuel Valerio</t>
  </si>
  <si>
    <t>…ituto segundo. D. Pedro, Villar , substituto primeroBarrio d i Humiíl.núro. D F rancheo Sanz Ruiz, substituto segundo. D. Pedro Sepúlvcda, alcalde. Barrio de fas Niñas de L&lt;ganes. D. Manuel Valerio de ta Garata, substituto pri D. loscf Costa , alcalde. mero. D. Joset Rivero, substituto primero. D. Manuel Navarro, substituto segundo. D. ju! ¡an Burccnilla, substituto segundo. Barrio de S. Andrés. D. Tuan Antonio Medina, alcalde. CUARTEL DE MARAVILLAS. D.…</t>
  </si>
  <si>
    <t>Valides, Cayetano</t>
  </si>
  <si>
    <t>Cayetano Valides</t>
  </si>
  <si>
    <t>…encia deí consejo de ge fes y capitanes &gt; plisaren á celebrarse el dia 5 de Julio los exámenes públicos , que fueron presididos por el Excmo. Sr. capitán general d^ esta provincia D. Cayetano Valides, y que presenciaron varios ge nerales, gefes y ceciales de los cuerpos facultativos y del’exército, y un numeroso concurso de todas clases. Se dio principio á ellos coa un discurso que ley© el profesor de matemáticas D. Joaquín Riquelsne , ea que se hacia ver…</t>
  </si>
  <si>
    <t>Valiejo, Francisco</t>
  </si>
  <si>
    <t>Francisco Valiejo</t>
  </si>
  <si>
    <t>…diese parte de los soldados que se hallasen ocultos, espeeíficaEdo al gobernador D. Domingo Cle mente Sierra , al comandante de la partida llamada de Marquinez D. Benito Puente, á D. Francisco Valiejo y D. Bernardo Encovar: para su responsabilidad prendieron en rehenes 4 regidores, D. San tiago Gallego, D. Cayetano Ramos, D. Joaquín Encara y D. Ga« bino Montes : 6 capitnlares , chantre , lectora!, doctoral, 'arcediano de Cea, D. Luis Otpzo y D. Gabriel Alonso; 3 hacendados D. A…</t>
  </si>
  <si>
    <t>Vállate, Manuel</t>
  </si>
  <si>
    <t>Manuel Vállate</t>
  </si>
  <si>
    <t>…ndo Mazo, 100. O. J &gt;aqnlu M^ría Ferror, 100. D Ignacio Sobrado, 100. D. Juan del Valle Ponga, 100. D. J ose Correa, 100. D. Juan Bautista Sarraoa, 103. D. S ¡bidíaa Ugardza, 100. D. Manuel Vállate, 100. D. Juan Gil , 100. D Lo renzo Machiianda, 100. I). Miguel Arneta,50. D. Martin y D. J.ian Bautiza Estevecorena, 59. D. Ran&amp;on del Valle, 50. D. Rara el Ló pez, 50. D. Félix Balegi, 59. D. Juan Francisco M -toado, 50. D. Manuel G.j»m&lt; z Zuazo, 50. D. To-…</t>
  </si>
  <si>
    <t>Valle, Domingo del</t>
  </si>
  <si>
    <t>Domingo del Valle</t>
  </si>
  <si>
    <t>…oledo. D. Josef Tenet, substituto segundo. I&gt;. Manuel de Manzaneque, alcalde. Barrio de S. Lu:... D. Mariano Vi!l.'c;ñor, substituto primero. El marques de la Torrecilla, alcalde. D. Domingo del Valle, substituto segundo. D. Pedro, Villar , substituto primeroBarrio d i Humiíl.núro. D F rancheo Sanz Ruiz, substituto segundo. D. Pedro Sepúlvcda, alcalde. Barrio de fas Niñas de L&lt;ganes. D. Manuel Valerio de ta Garata, substituto pri D. loscf Costa , alcalde.…</t>
  </si>
  <si>
    <t>Valle, Domingo Luis del</t>
  </si>
  <si>
    <t>Domingo Luis del Valle</t>
  </si>
  <si>
    <t>…rés Rodríguez, D Félix de Toda, D. Juan Pablo Sebastian, graduado de teniente coronel, Don Francisco Huarte y D. Andrés Arango; á capitanes á los tenientes D. Francisco Barreigua, D. Domingo Luis del Valle, D Vicente de la Encina, D. Francisco Preysler y Moreno, D José Segundo Izquierdo, D. Pedro Colmenares , D Pedro de la Cantolta, D José Nicolás ¿e Chimioni, D. Antonio Fernandez , D Juan Miguel Arrambi le, D. Antonio Arrambide, D, Antonio Gailuzo y D. Antonio…</t>
  </si>
  <si>
    <t>Valle, Felipe Perez</t>
  </si>
  <si>
    <t>Felipe Perez Valle</t>
  </si>
  <si>
    <t>…esidente en Torrejon de Velasco. 12. D. Patricio Magano, natural de Fuencarral, y residente en Madrid. 1 ' , Del partido de Alcalá. i.° D. Manuel Anchuelo, vecino de Anchuelo. 2.0 D. Felipe Perez Valle , cura dé la villa de Camarina de Esteruelas. 3.0 D. Francisco Fernandez Gaseo, vecino de Daganzo de arriba. ARTICULO DE OFICIO. Al señor secretario del despacho de la Guerra se ha comunicado por los secretarios de las Cortes generales y extraordinarias la re…</t>
  </si>
  <si>
    <t>Valle, Roque Jacinto</t>
  </si>
  <si>
    <t>Roque Jacinto Valle</t>
  </si>
  <si>
    <t>…Jácome, mis ayudantes de campo, desempeñando con valor conocido cuantos encargos puse á su cui dado: también se hallaron á mi inmediación durante toda la batalla los subtenientes D. Roque Jacinto Valle y D. Antonio Muñoz y Hervas, empleados á mis inmediatas órdenes. ,, El capitán ingles D. Eduardo Malet, comisionado por V. E. á mi inmediación, se me presentó para que le emplease, y fué muer to de un balazo de fúsil; recomiendo también a V. E. su gloriosa memoria por las calid…</t>
  </si>
  <si>
    <t>Valle, Vicente López y U. Manuel del</t>
  </si>
  <si>
    <t>Vicente López y U. Manuel del Valle</t>
  </si>
  <si>
    <t>…id. D. Ramón de Azcarate, 1 id. D. Fran cisco Abasólo, l id. D. Juan Panero, 1 id. D. Juan Mella, 1 id. D. Miguel Jáuregui, 1 id. D. Rosendo Gao, 1 id. D- Antonio Her rero, 1 id. D. Vicente López y U. Manuel del Valle, 1 id. D. To mas de la Casa y Piedra, 6 id. D. Martin de Guisasola, 6 id. D. Jo sé Matías de Elizalde, 2 id. D. Antonio Saenz de Tejada, 2 id. D. Manuel de Santiago, 1 id. D. Martin y D. Felipe Osambela., 10 i'd. D. José Ramón de Idiaquez, 8 id. D Ignacio de…</t>
  </si>
  <si>
    <t>Vallecillos, Gabriel Antonio García</t>
  </si>
  <si>
    <t>Gabriel Antonio García Vallecillos</t>
  </si>
  <si>
    <t>…a princesa de Gules, esposa de S. A. R. el Príncipe Regente del reyno. Relación del donativo recaudado en la provincia de ¡Salóla, en Goate• mala, por el alcalde mayor de la misma D. Gabriel Antonio García Vallecillos. El propio alcalde mayor Gaicía Vallecillos ha donado 105 pesos y 3~ reales. Los españoles, ladinos é indios del pueblo de Sololá, J07 ps. y medio real. El pueblo de Santiago Atitau, 25 ps. El de Concepción, 12 ps. y 2 rs. El de Visitación, 6 ps. y 6 rs. El d…</t>
  </si>
  <si>
    <t>Vallejo</t>
  </si>
  <si>
    <t>…de lo que ofrezco : y asi pido?qüé la'médalla'ae 'plata ^ue á mí me corresponde se entregue al apoderado';dél Si. Vaidés.í_JCSr. Mexíá: yo acompañaré en esto al Sr González. ^ r « Sr. Vallejo: yo creo que será mejor qué asi como se ha hecho respecto del Sr. Valdes, se entregue al apoderado á nombre de las Cortes una me dalla de plata ; y de este modo no se^privajrá el Sr. González de un monu mento tan apreciable. , . Sr. Mexía: el Sr. González y y…</t>
  </si>
  <si>
    <t>Vallejo, Joscf Mariano</t>
  </si>
  <si>
    <t>Joscf Mariano Vallejo</t>
  </si>
  <si>
    <t>10</t>
  </si>
  <si>
    <t>…la, arzobispo de Toledo, presidente. =: Pedro de Agar. = Ga briel Ciscar. = Hn Cádiz á 8 de setiembre de 1813. sí). Antonio Cano Ma nuel.” .. Tratado elemental de matemáticas: por D. Joscf Mariano Vallejo, catedrático que fue de matemáticas en el seminario de nobles de esta capital, v diputado ea Cortes en la actualidad. Se hallarán en la librería de Castillo, frente a las gradas de S. Felipe los tomos que se han publicado, y son los siguientes: el de aritméti…</t>
  </si>
  <si>
    <t>Vallejo, Lázaro</t>
  </si>
  <si>
    <t>Lázaro Vallejo</t>
  </si>
  <si>
    <t>…atas al pueblo por la ' parte opuesta al rio, mandadas por su sargento may*or D. Matías Cantero, para proteger lus compañías que atacaban; y que el sar gento mayor de Fernando Val D. Lázaro Vallejo con su compa ñía de cazadores y la primera de cazadores de Cataluña, se aposta se en la torre Roija para flanquear el pueblo por ia derecha y do-</t>
  </si>
  <si>
    <t>Vallesteros, Matías</t>
  </si>
  <si>
    <t>Matías Vallesteros</t>
  </si>
  <si>
    <t>…...... ... .......... 1. Totales..• 2............... 28. vota. El oficial muerto e$ el capitán de voluntarios de Navarra D. Barto lomé Estívin; el herido el subteniente de Galicia D. Matías Vallesteros, y el contuso el primer teniente dc4 segundo batallón de reales guardias Españolas D. Serafín Soto. 1 . ' * , ' , ;j ^Núm. 4.0 Parte del general en gefe del qiiartó exército D, Manuel Freyre. »Excmo. Sr.: Tengo la fortuna de poder manifestar á V. E. pa ra ^ue…</t>
  </si>
  <si>
    <t>Valmoden</t>
  </si>
  <si>
    <t>de artillería-y 2 batallones al enemigo, el cual se retiró en desorden á Totgau. Los rusos del cuerpo del general Valmoden pasaron el Eibs y estaban ya en Hsrburgo. i?l general Davoust se b&amp;bia ictirado de trás de Steignitz. Los cosacos entraron en Zell, y un cuerpo de el! es en Leí , sick y Dessau, en donde pusieron en iibtrí«d 2 § pri sioneros E¿ genera; Vegesuk entro en Lubeck…</t>
  </si>
  <si>
    <t>Van-Derman</t>
  </si>
  <si>
    <t>…tra cañonera ocupó su puesto, y también hizo algún fuego al enemigo. fSe continuará,) Escaray 25 de Mano de 1813. Hace cosa de 8 dias se acantonó en Sto. Domingo de la Calza da el general Van-Derman con unos 2500 hombres, inclusos 80 ca ballos y el batallón holandés, que tuvo parte en la defensa dn Burgos. Ayer llegaron á Grañon 5 batallones, que componen de 3á 4000 hombres; y se dice que se reunirán con los que tiene VanDerman para dirigirse todos á Sor…</t>
  </si>
  <si>
    <t>Van-Ransselaér</t>
  </si>
  <si>
    <t>Núm. 62. 245 GAZETA DE MADRID DEL MIERCOLES 3 DE MARZO DE 1813. GRAN BRETAÑA. Aquí se mantiene el coronel Van-Ransselaér , y al general Smith está ahora confiado el mando de Londres 2$ de diciembre. las tropas que se hallan por estas líneas. Por el Sv/istsure se nos ha traído la correspon Al cumplirse el término del armisticio ajustado dencia entre sir J. B. Warren y Mr. Monroe…</t>
  </si>
  <si>
    <t>Van-Rensselaer, Salomón</t>
  </si>
  <si>
    <t>Salomón Van-Rensselaer</t>
  </si>
  <si>
    <t>…de 26a Del aj. hombres de tripulación; el Conde Moira, de 18 y Tenemos sumo gusto en noticiar á nuestros con de 200 hombres; las goletas el Príncipe Regente, dm ciudadanos que el coronel Salomón Van-Rensselaer, 18 cañones y de 15 o hombres; el Duque de Glo que salió tan gravemente herido del combate de cester, de 14 cañones y 80 hombres; el Gobernador Queenstown , se halla ya suficientemente firme pa Stmcoe, de 12 cañones y 70 hombres, y el Séneca, ra emprender el…</t>
  </si>
  <si>
    <t>Van-Reuslaer</t>
  </si>
  <si>
    <t>…tido en subir la importancia. Ísaga á estos operarios ; pero el mal estado á qce Un correo que ha llegado de Buífalo anuncia itt venido á parar el comercio les ha forzado a que el general Van-Reuslaer ha pasado ci rio de dexarlos como antes, y de«Je esta época todos ¡os S. Lorenzo á Eewiston al frente de 4O hombres, y indigentes en 10 millas al rededor se han haliado ha tomado las baterías enemigas en Quennston des precipitados en la miseria. pees de un co…</t>
  </si>
  <si>
    <t>Van-Rorterdam, Mr</t>
  </si>
  <si>
    <t>Mr Van-Rorterdam</t>
  </si>
  <si>
    <t>…estaban presentes. llado mas perplexo que en esta ocasión, porque por Se regaló en nombre de la sociedad una meda un lado la proposición le parecía sumamente impo lla de honor al profesor Mr Van-Rorterdam , au lítica , y por otro no juzgaba prudente el desechar tor de una disertación latina sobre la curación de la. El único argumento, continuo, que me hace al las fiebres, premiada últimamente por la academia guna fuerza, y que -me empeña á no contradecir de Me…</t>
  </si>
  <si>
    <t>Vandainme</t>
  </si>
  <si>
    <t>…del regimiento 15 de línea. Las tropas de S. A. R. el gran duque de Franc Esperamos pasado mañana el primer batallón fort han salido esta mañana para Wurtzburgo, y del cuerpo del general Vandainme. El segundo harán parte de la división del primer cuerpo que llegará el día t.° de abril. Dos batallones de nuestra guarnición se han manda el general Marchand. El domingo próximo da un magnífico baile adelantado á Rotemburso, para ciexar lugar á las tropas q…</t>
  </si>
  <si>
    <t>…siderabie fuerza. Enviáronse órde nes al general Kleist, cuya coluna de /tropas . prusianas dybía .moverse por Zinwalde hacia-Olendorf, para queíresjtuviese pronto, y atacase, al, general Vandainme por la retaguardia luego que las otras tropas le atacasen por el frente. El dia 30 se reunieron á estas tropas las divisiones austríacas Collofedo y Biañchi, mandadas todas por el general Ba relay Q.e.'Joíly. ÉT En\peradc&gt;i* el Rei y el príncipe de Schwártzpm…</t>
  </si>
  <si>
    <t>…,tos suecos, rasos y pru siano; han ¡sido envi idos á las inmediaciones de Bautzen para avistarse con-los cuerpos de los generares Bennigsen y Blucher. El cuerpo del exéreito del general Vandainme fue aniquilado el %o de Agosto, en el camino de Toplitz á Peterswaíde. Este general con otros cuato te n-rales y h® hombr.s fueron hechos prisioneros, y se tomaron 8o piez s de artil-eríá. Después de ecos combatas gloriosa, el exéreito combinada volvió á move…</t>
  </si>
  <si>
    <t>Vandame</t>
  </si>
  <si>
    <t>…a las 7 de la tarde, y reconoció las fortificaciones, que hacen á Magdeburgo una de las primeras plazas de Europa: hállanse aquí acampadas tres divisiones del cuerpo que manda el general Vandame. GRAN-BRETAÑA, Londres 26~de Julio. Ayer llegó Mr. Troter á la secretaría de Negocios extrnngeros con pliegos de Sir Cárlos Stewart. Tanto la Rusia como la Pru:ia desean que se renueven las hostilidades; pero se dice que el Austria quiere que se prorogue el a…</t>
  </si>
  <si>
    <t>Vandamme</t>
  </si>
  <si>
    <t>…de ob'ervacion deltaque algunos destacamentos de tropas ligeras que ar lia, el qual iba pasando todo por el Tiro!. rollo , quitándoles entre muertos y heridos unos 60 El dia 27 el general Vandamme llegó á Brema; lio mh res. las divisiones Dumonceau y Duffour habían pasado El dia 1 2 el general Carra Saint-Cyr * que man ya el Weser. daba la 32.a división militar, creyó conveniente Independientemente del exército de! virei y de pasar á la oriila izquierd…</t>
  </si>
  <si>
    <t>. 6t cíon. Esta operacioh costó ál enemigo 200 muertos, qtié.quedaron sobre, el campo. El general Vandamme tenia el i.® de mayo su quartei general en Haarburgo. Nuestras tropas apresaron un cúter de 12 piezas. El enemigo repasó el Elba con tal precipitación, que ademas de muchos bagages, se dexó en la orilla izquierda varios botes que estaban prevenidos para pasar…</t>
  </si>
  <si>
    <t>ic-44 bres recibirá dentro de peco varios millares ¿e nuevas tropas. Al gunos pretenden que el general Vandamme mandará en nuestras in mediaciones un cuernoA de 4.03• hombres destinados á cubrir la capiuti, y el. peso del Elba por el lado de Bohemia, mientras que otro cuerpo considerable á las ordenes del mariscal Saint-Cjr ocu pará el círculo de Ertzberg. Las guardias…</t>
  </si>
  <si>
    <t>…ue abandonar mas de 1® carros de municiones y bagages." Este grande exército volvió á entrar en la Bohemia, después de haber perdido parte de su artillería y bagages. El dia 19 el general Vandamme con 8 ó .jo batallones atravesó la garganta de la grande cordillera, y marchó hacia Kultn, en donde se encontró con 8 ó 10© enemigos, á quienes acometió. Si se hubiese hallado con fuerzas suficientes, en breve hubiera derrotado al ene migo con solo hacer baxa…</t>
  </si>
  <si>
    <t>…espaldas. Aun consiguió derrotar y matar al general Kleist. Los soldados prusianos arrojaban las armas, y se ti raban por los bosques y vallados. En este conflicto desapareció el general Vandamme: se supone que fue muerto. Los generales Cerbineao, Dumonceau y Filippon se aprovecharon de esta oportunidad para retirar las tropas por el camino real y atajos, para cuya operación tuvieron que abandonar 30 cañones y 300 carros de toda especie, salvando todo…</t>
  </si>
  <si>
    <t>…dos de la mañana, se hallaba el Emperador en Zittau de vuelta de la Bohemia. Dexó en aquella ciudad al duque de Bellune para reforatar^al cuerpo del ge neral polaco, y también al general Vandamme con el primer cuerpo para reforzar al general Lefebre Desnouets. Ocupando los dos generales este pun to con bastantes fuerzas, hicieron construir reductos en las alturas que le do minan. El Emperador tomó el camino de Lauban en la Silesia, adonde llegó el 20…</t>
  </si>
  <si>
    <t>…e Tarenro. Aun suponiendo que los aliados sufriesen frente de Dresde una considerable pérdida, las ventajas que lograron los otros dos exércitos, y la total derrota del cuerpo del general Vandamme en su retirada, no solo compensan aque lla, sino que la exceden en la ganancia de terreno, visto que los franceses han evacuado enteramente la Silesia y gran parte de la Lusacia , hallándose reducidos á la desgraciada Saxonia, que sufre actualmente el peso de…</t>
  </si>
  <si>
    <t>…rió al conde Lovau. Este cuerpo se compone de tres divisiones, Du monceau, Phiiippon y Teste. Ha perdido menos gente de lo que se había creído, y se presentan muchos dispersos. El general Vandamme no murió, quedó prisionero: el general de inge nieros Haxo, que habia ido en comisión cerca del general Vandamme, tuvo igual suerte. El 23 el Emperador hizo noche en el castillo de Harta, situado en el ca* mino de Silesia, y el 24 en la aldea de Ilochkirch ma…</t>
  </si>
  <si>
    <t>…vían á las inmediaciones de Bautzen destacamentos sue cos, rusos y prusianos para que se encuentren con los cuerpos de los gene rales Benigsen y Blucher. El cuerpo de exército del general Vandamme fue destrozado en de agosto en el camino deToplitz á Petterswalde. Que daron prisioneros este general con otros quatro y i joo hombres, y tomamos 8o piezas de artillería. Después de los felices sucesos de estos combates el exército combinado volvió á moverse,…</t>
  </si>
  <si>
    <t>…Toplitz una fuerza considerable. Se re mitieron órdenes al general Kleist, cuya columna de tropas prusia nas se debia mover por Zinwalde á Holiendorf para estar proato y atacar al general Vandamme por la retaguardia luego que las otras tropas atacasen por el frente. Ei dia 30 se reunieron á estas tropas las divisiones austríacas, Coloredo y Bianchi, mandadas todas por el general Barclay de Tolly. El emperador y el rey estaban en una ahura junto al camp…</t>
  </si>
  <si>
    <t>…asiones es el obj to de elogios gene rales. El cuerpo del conde Ostermann tuvo 3® hombres fuera de combate en esta acción. La pérdida francesa; había sido duplicada. El cuerpo del general Vandamme sufrió mucho: la caballería de las guardias rusas cogió 2 estandartes , é hizo de 300 á 400 prisio neros. El enemigo siguió á nuestra retaguardia durante el día por el ca mino de Dippoldswalde; pero le contuvieron las tropas que man daba el general aunriaco H…</t>
  </si>
  <si>
    <t>…l enemigo las causas que nos movieron á retroceder, i .tentó que pene rasen por las gargantas de las sierras de Saxodacuerpos sueltos para perse.uirnos en Bohemia. Ordenó pues, al general Vandamme, com ndante del primer cuerpo de exérci.o, que avanza e con 52 batallones y unos caballo j de Koenigsteia por el camino de Peterswalce. ~ No se le opuso mas que *1 cuerpo del valeroso general ruso Osterman, compuesto de unos 8$ hombres, que disputaron del mod…</t>
  </si>
  <si>
    <t>…erales Dumonceau, Montesquieu-Yerenzac y el príncipe de Reuss murieron en la bata lla. Todos los demas están ó dispersos ó heridos. El prrner cuerpo de exército, á las órdenes del general Vandamme, feneció ya. Ahora están manifiestas Ies ventajas de nuestros primero* ensa yos de obrar ofensivamente. El 26 de Ago to atacó el general Blucher á los cuerpos de Mscdonald, Ney, JLauriston y Sebastian! en Jauer, y ios derrotó detpaes de la mas obstinada resis…</t>
  </si>
  <si>
    <t>…n de la plaza. Una gazeta de Berlín, qué extracta el Courier d’Angleterré, de 12 del corriente, pone el artículo siguiente----„ Por varías señales, asi como por lo que ha dicho el general Vandamme (prisionero), sabemos que Bonaparte se bailo presente en las batallas del 29 y 30 de agosto, y que para libertarse tuvo que vestirse de mozo de caballos.” El i.° de setiembre se celebraron en.el campo, delante del exército pru siano , los divinos oficios. El…</t>
  </si>
  <si>
    <t>…haberse tomado posesión de ia ciudad: no han llegado «un las particularidades de la capitulación. Bn la gaceta de Moskow anuncia el gobernador Rostopchin que quien deseare ver al general Vandamme puede dirigirse al mayor de la plaza, que se lo mostrará ; da las señales de sa figura íkc; sin du da que Rostopchin no ha olvidado aun la infáme conducta que Va¡a* dimane tuvo en Moskow el año pasado. GRAN-BRETAÑA. Lóndres de Noviembre* Parece que Sir T. Gra…</t>
  </si>
  <si>
    <t>Vandamtne</t>
  </si>
  <si>
    <t>…odjs sus partidas de la orilla dere mes de mayo último, pudieron cu aquella época cha del Elba, c hizo ocupar á Stade. parecer plausibles á S. M. I., no militan ya hoi que El 5 el general Vandamtne habia reunido en los preparativos belicosos de la Francia contra esra Brema las divisiones Saint-Cyr y Dufour. Ei gene potencia han tomado y toman cada dia un carácter ral Duinonceau ocupaba con si¿ dimisión á Alinden. mas respetable, y quaudo S. M. I., demas…</t>
  </si>
  <si>
    <t>…n dicen los prisioneros, ha tenido ocho generales muertos ó heridos. El duque de R a gusa ha tenido acciones de puestos avan zados, que manifiestan la intrepidez de sus tropas. El general Vandamtne, que manda el primer cuerpo, desfilo el 25 por Koenigstein, y el 26 tomó posesión del campo de Pirna, de la ciudad y de Hohendorlf; interceptó la gran comunicación de Praga con Dresde. El duque de Wittemberg con 15$ rusos estaba encargado de observar los dese…</t>
  </si>
  <si>
    <t>Vandanime</t>
  </si>
  <si>
    <t>…íncipe de Eckmiih! alaba particularmente k conducta del.gen.erai Van da m me. Hamburgo se perdió en:_la .campaña pasada por cobardía del general St. Cyr, y se debe ai vigor que el general Vandanime mostró.quando llegó á la 32.a divi sión militar el haber conservado á Bremen, y el haber vuelto á tomar ahora á Hamburgo. Cogimos varios prisioneros: hallamos en la ciudad 200 ó 300 piezas de artillería, de las quales 80 estaban montadas en las murallas. Se h…</t>
  </si>
  <si>
    <t>Vandapme</t>
  </si>
  <si>
    <t>…viene á Saxonia vel camípamentó en; la falda de Lilienstein, dispuesto para 60$ hombres, recibió én ppeos dias algunos mi llares de tropas recien venidas de refresco. Se dice qned general Vandapme 'mandará en nuestras inmediaciones'40© hombres* destío adós á cubrir la carpítaf y el ipáso del Elpa paróla parteóle Bohen¿a:«rtnentras que ptro cuerpo considerable, á las órdenes del mariscalSt.Gy*¿ocupar*4íJk*geberg*Qtíando salieron de aqur las gtiardias tO…</t>
  </si>
  <si>
    <t>Vandar</t>
  </si>
  <si>
    <t>…809 hasta el mes de junio de 1S11 no hablan ce de contado. Había el proyecto de enviar misiones á sado de asustar á los habitantes unos leves terre Madagascar ; pero la muerte del doctor Vandar motos , que quasi todas las semanas se sentían es Kemp, que era el promotor principal ele esta idea, tando el tiempo sereno, y les acompañaba un rui retarda en el dia su execuciqn. do grande mui semejante al del trueno; pero que desde esta última época no hab…</t>
  </si>
  <si>
    <t>Vandatnme</t>
  </si>
  <si>
    <t>…e los cuales se cuentan los generales Giott, Haehtox ,'Himberg y el p- íncipe Reas : 60 piezas de a tillería, y un )s iov3 pri.ioneros con 6 estandartes; tod¿ el es tado mayor del general Vandatnme, y algunos oficiales de gradúa c on: todo quedo en peder de los aliados. El enemigo continúa su retirada perseguido por los cosacos y ta caba! icría aliada. Habiendo quedado yo contuso de nsultas de la exp’osion de una bomba, luego qae principó el atsque, me…</t>
  </si>
  <si>
    <t>Vanderinasen</t>
  </si>
  <si>
    <t>…-resultados de *a persecución.— *» Puente l¿i Rey na 4 de Mayo de 18 ly. — Señor , .he entrado en .Navarra con las divisiones Barbot y Taupin del exército de Portu gal , y la del general Vanderinasen , del exército del Norte. Estas tropas , reunidas con la división Abbé , forman una fuerza disponi ble de 1-5000 hombres, fuerza insuficiente para hacer grandes pro gresos en Navarra., poder alejar, las tropas de Mina, y pacificar el país. La división Sarrut…</t>
  </si>
  <si>
    <t>Vandermaessen</t>
  </si>
  <si>
    <t>…bre.. Aquel jas aclamaciones y lágrimas de los muchos habitan mismo dia llegué á Durango; el 30 á.Galdacano, tes que habían concurrido á la playa, tuvieron el y el 31 á Bilbao. El general Vandermaessen había placer de ver en tierra á estos desgraciados marine salido el 30 de Vitoria para trasladarse á Llodio, ros , y coronada su heroica empresa con e! ¿sito donde permaneció el 31. El designio de este mo mas.feliz. Acción tan noble y generosa, que en sí vimi…</t>
  </si>
  <si>
    <t>Vandfamme</t>
  </si>
  <si>
    <t>…enta batalla sobre Dresde en los dias 5 y 6 de se tiembre, en que ios franceses lian sido enteramente derrotados con pérdida dé muchos generales y. contándose entre los muertos él general Vandfamme. ■r&gt;r Sin duda son sacadas de éstos pápeles- íás nóticias qué hati venido por el correo de la mala, en las que se supone que la pérdida qué ocasiono Berna dotte á los enemigos3asciende de‘15 á 18® hombres, obligándoles á retirarse. Todas las cartas que se han…</t>
  </si>
  <si>
    <t>Vandimme</t>
  </si>
  <si>
    <t>I22Ó ques. Cayeron en nuestro poder 81 cañones, 2 águilas y 2 estan dartes ; no quedó una so’a pieza ai enemigo: el general Vandimme, el general de dmdon Haxo, y los brigadieres generales Guiot y Heimbrodt, están prisioneros ; los generales Dumonceau, Montesquieu-Yerenzac y el príncipe de Reuss murieron en la bata lla. Todos los demas están ó dispersos ó heridos. El prrner cuerpo de exérci…</t>
  </si>
  <si>
    <t>Vargas, Francisco</t>
  </si>
  <si>
    <t>Francisco Vargas</t>
  </si>
  <si>
    <t>…uet, ídem del de cazadores; D'. Pedro Solis y D. Juan Martínez, subtenientes de granaderos; D. José Heros, ídem de cazado res ; D. Esteban Islaíoyo, D. José Tejada, D¿ José Caña y D. Francisco Vargas, subteniente del segundo de Asturias; D. José Rico , capitán; y D. Juan de Oüoqui, teniente del de Gaadalaxara; D* Juan Loarte, coronel; D. Antonio Villegas y D. Antonio Martínez, tenientes ; Don Luis Alcalá, subteniente dei de la Constitución; D. Mariano Cas…</t>
  </si>
  <si>
    <t>Vari</t>
  </si>
  <si>
    <t>…se restablecerá, y que llegando á ser gefe tendremos en él uno de los que den mas días gloriosos á la nación. ,sDios guarde &amp;c. Oriz&amp;va Noviembre 5 de 181?. — Luis del Aguila.— P. D. Vari as declaraciones contentes de prisioneros y de algunos que se han fugado de Tehuacan , confirman que Morolos está herido en un brazo. — Sr. brigadier D. Ciríaco de Llano.” Efectos cogidos ai enemigo.— Cañones de diferentes calibres , 11. Balas de cañón, 210.…</t>
  </si>
  <si>
    <t>VassízchikofF</t>
  </si>
  <si>
    <t>…del general Mflioradowdch ha continuado movién dose desde Augustóff con dirección á Haudek, aldea situada al po niente de Novogródek; y cerca de Lonsa se reunió coa el cueree del general VassízchikofF, que había perseguido á los puertos avan zados austríacos, y este movimiento Gbligó á los últimos á retiráis# á Ostrolenka. ,,La columna del feld mariscal, donde se hallaba el emperador en persona, se movió desde Ligue á Johannísberg, y de aüí á WiIlenburgo ,…</t>
  </si>
  <si>
    <t>Vaudamme</t>
  </si>
  <si>
    <t>Ei 31 de agosto pasó por Lauen el general Vaudamme escoltado per tropas rusas , que le conducían á lo interior de aquel imperio.__ El señera! Jomini, que se pasó del ejército francés al de los aliados , tiene ei empleo de teniente general al servicio de Rusia-----Según el cálculo que hace un pe riódico de Vie…</t>
  </si>
  <si>
    <t>Vayder</t>
  </si>
  <si>
    <t>…o y 3 heridos. El general Schluther elogia la conducta sobresaliente de sus tro pas de t:da clase y graduaciones, haciendo particular mención del séptimo bata Ion de cazadores. El coronel Vayder, y el teniente co ronel Aiagemeyer de dicho batallón, los capitanes Devoust y Wusthoíf de caballería ligera de Vincent, y el teniente corone* Maitiui, del estado mayor, se han distinguido extraordinariamente. GRAN-BRETAÑA. Londres 14 de Octubre. El navio Nige…</t>
  </si>
  <si>
    <t>Vaz-</t>
  </si>
  <si>
    <t>…„Del Redactor general de Alicante de 2 r de „ Sevilla j de febrero. Parece que el general nmarzo. Después de escrito este artículo ha llega-. » Odonell ha hablado con franqueza al señor Vaz- &gt;&gt; do la plausible noticia de haber sido depuesta ¡a «quez, que fue á visitarle corno síndico de la elu « regencia del reino. Pocos acuerdos habrán iirmacidad, quejándose de que un pueblo como Sevilla » do los representantes de la nación que mas bavau «no hub…</t>
  </si>
  <si>
    <t>Vázquez, Mariano</t>
  </si>
  <si>
    <t>Mariano Vázquez</t>
  </si>
  <si>
    <t>…rrales, id. por 8, 9.5. D. Maaus’- Domínguez, ii. por 0,72. 1). Miguel Rodríguez, id. por 25; 300. D. Juan Bautista Garata , por una vez , 200. D. Juan G-.rc a de Ponte, id., 100. D. Mariano Vázquez de la Riva, id., 100. I). Manuel Vázquez de la Riva, id., 100. D. Manuel Luciano Ló pez, id.,, 100. D. Sergio Quintaiio^ id., 1Ó0..D. Francisco Noya,id., 625. D.. Manuel de Labirrera. id., 12. Son 79385 ps. fs. Lima y Diciembre 6 de 1811. — Firmado—Manuel de…</t>
  </si>
  <si>
    <t>Vdn-Hone</t>
  </si>
  <si>
    <t>…prueben no haber tenido paite en esta infame de serción serán puestos en la lista del exército hasta que sean empleados == Cassel 31 de agosto de 1813. = El ministro dé la Guerra conde Vdn-Hone.</t>
  </si>
  <si>
    <t>Vega, Bernardo</t>
  </si>
  <si>
    <t>Bernardo Vega</t>
  </si>
  <si>
    <t>…ar &amp;c., sin tener mas pérdida que la de un patriota herido de poca consideración. 45. En 7 del mismo, 18 soldados de la compañía patriótica de Ciénega de Mata, á las órdenes de su capitán D. Bernardo Vega, fueron acometidos en la Mesa del Espía, ce$ca de dicha hacienda, por mas de 400 enemigos que acaudillaba Pedro García, sin contar los muchos que se empleaban en saquear las rancherías inmediatas. Aquel cortísimo número de valientes, cercado por la numerosa c…</t>
  </si>
  <si>
    <t>Vega, Francisco de Paula</t>
  </si>
  <si>
    <t>Francisco de Paula Vega</t>
  </si>
  <si>
    <t>6uj Se dará la enseñanza de principios matemáticos y de arquitectura por el profesor y consiliario D. Francisco de Paula Vega; y la de dibuxo por el maestro D. Josef Aimeida, y D. Miguel Alexo Fuertes, educado en la mis ma escuela. Madrid 2$ de octubre, La gazeta de la Regencia de 14 de setiembre próximo pasado inserta un parte del señor duque de Ciudad-Rodrigo, fecha 22 de agosto a…</t>
  </si>
  <si>
    <t>Vegesack</t>
  </si>
  <si>
    <t>…Elba inferior, mandada por el teniente general conde Wallmoden. Su quartel general está en Schwerin, y sus avanzadas llegan á Dessan y el centro hacia Lubeck. El teniente general barón Vegesack 'for ma parte de este cuerpo de exército, teniendo á sus órdenes 3© suecos, 3® prusianos y 3© mecklemburgueses. Los cuerpos separados que forman parte del exército del conde Tauencien bloquean á Custrin y Stettin.</t>
  </si>
  <si>
    <t>…erpos de Lutzen y Reiche, les observaba por todos lados, y. co,rtó todas sys comuni caciones, interceptó correos, y cogió muchos carrós de lUtmicibnes. Igual mente le observaba el general Vegesack. El general.Wabncíden * no que riendo perder.la ocasicín de siacar;.parado del.ariiesgadoimovirniento del ene migo, se adelantó con dirección á Gabrew, y marchó el 26 hacia Schweritif de donde el enemigo no se atreve á salir. Los cosacos han hecho 100 prisio…</t>
  </si>
  <si>
    <t>…odas partes . y Ies cortó su comunicación. Estas tropas han interceptado ya muchos co/reos despachados por el gobierno francés, y han cogido muchos carros de municiones. Ademas el general Vegesack observa los mo vimientos del enemigo, y con arreglo á ellos toma sus disposiciones. Ei general Walmoden, recelando que el enemigo se adelantase con tan arriesgada maniobra, avanzó á Gabreu; pero el 26 volvió á mar char hácia Schwerin de donde no se ha atrevid…</t>
  </si>
  <si>
    <t>…mbres, de los que 6oo han sido prisioneros. Los cosacos de los cuerpos de Lutzow y Von Reiche, con la caballería anseática, dieron varios ataques á la retaguardia del enemi go. El general Vegesack por su parte persiguió al enemigo hasta debaxp de cañón de Lubeck. El mayor Anorim, que mandaba con gran habilidad la caballería anseá tica , fue muerto de una bala de canon. Los cazadores de Mecklemburg® atacaron un esquadron dinamarqués en las cercanías de…</t>
  </si>
  <si>
    <t>…de los aliados fue de 300 hombres. Igualmente oficia el te-* niente general conde de Walmoden, que en virtud del movimiento que hizo el 28 de setiembre para reunirse en Rostock al general Vegesack , el mariscal Davoust, á pesar de tener una fuerza de i8® franceses, 12® dinamarqueses y 100 piezas de artillería, se habia retirado de Schwerin á Lubeck y Ratzburgo, perdiendo mas de 500 prisioneros. diada de los boletines franceses, cuyo contenido no puede…</t>
  </si>
  <si>
    <t>…ica , fué muerto por una bala de canon. Los cazadores de Mecklemburgo atacaron á un escuadrón dinamarqués en las inmediacio nes de Dess. u , y le causaron considerable perdida. El general Vegesack volvió á tom¿r su posición en Grevesmullen. El general conde Walmoden volvió también á Schwerín, y de allí fué á Domitz, donde hizo construir un puente para pasar el Elba, en caso de que el enemigo destacase pane de su tuerza para el ludo iz quierdo del rio.…</t>
  </si>
  <si>
    <t>…migo 1© hombres, inclusos 7 ofi dales y 250 soldados prisioneros: la de los aliados fué de 300 hombres. — En virtud de un movimiento hecho por el general Walmoden para reunirse al general Vegesack en Rostock el 28 de Agosto, el mariscal Davoust se retiró de Schwerin á Lubeck y Ratzburgo, á pesar de tener una fuerza de 18© fran ceses, 120 dinamarqueses y 100 piezas de artillería, perdiendo mas ce 5 00 prisioneros. - \ ESPAÑA. i Mahon 1 de Octubre. Esta…</t>
  </si>
  <si>
    <t>Vegesak</t>
  </si>
  <si>
    <t>…stock, a % de Setiembre. Persuadido de que el contra-almirante Hoppe habrá salido ya de Gottenburgo para Inglaterra, os dirijo esta para informaros que el 26 ultimo al amanecer el general Vegesak salió de Rostock, é hi zo retirar á la vanguardia enemiga, que estaba á 809 millas de aquella ciudad ; y habiendo recibido refuerzos del príncipe real de Su ecia, después de la victoria de Gross-Beefen, se ha puesto en es tado de perseguir al enemigo , y obli…</t>
  </si>
  <si>
    <t>Veiez, Diez</t>
  </si>
  <si>
    <t>Diez Veiez</t>
  </si>
  <si>
    <t>537</t>
  </si>
  <si>
    <t>…non de á 6, que roto su exe no pudieron en la precipitada retirada introducir en la ciudad. ,,En este instante intime la rendición de la ciudad, y habiendo» me contestado el mayor general Diez Veiez con las falsedades qné acostumbran, me mantuve con algunas guerrillas por las bocaca lles, no habiéndome sido posible por la falta de municiones asaltar la plaza, que con anticipación habían fortificado con fosos en las ca lles , y artillería gruesa á sus áng…</t>
  </si>
  <si>
    <t>Vel, Joaquín de</t>
  </si>
  <si>
    <t>Joaquín de Vel</t>
  </si>
  <si>
    <t>…neces. ri s a ios "gefes de l s respectivas columnas de eti que y demas que les'fueron confiadas, como igualmente Jos oficiales em pleados á mis inmediat: s órdenes los tenientes D. Joaquín de Vel -.sco, y D. Manuel Caballero del Pozo, y los subtenientes D. Roque Jacin to Valle y D. Antonio Muñoz de Hervy.s que constantemente me acompañan, y en est^.s ocasiones exercén funciones de aquellos, en quanto son emple-dos pan? el mejor desempeño del servicio.…</t>
  </si>
  <si>
    <t>Velando, Mariano</t>
  </si>
  <si>
    <t>Mariano Velando</t>
  </si>
  <si>
    <t>…ronesas. B ir rio de S 1' •cfonso. L&gt;. Juan Sainz de Tejada, alcalde. D Minie! Iisarratru'rre , alcalde. J). Pedro V arge.s, substituto primero. D. Petra Viña, substituto primero. D. Mariano Velando, substituto segnudo. . D. Gaspar Sol/veres, substituto segundo.</t>
  </si>
  <si>
    <t>Velarde, Domingo</t>
  </si>
  <si>
    <t>Domingo Velarde</t>
  </si>
  <si>
    <t>…linadas de infamen a de blancas D. Redro Urdaneta: de subtenientes á las sargentos, primeros del propio cuerpo veterano D. José Villamil y D. José Ensebio More no, y ú los cadetes D. Domingo Velarde, D. Juan Ortega, D An tonio Andrade, D. Esteban Ochoa, D. Antonio de RooyJ). José</t>
  </si>
  <si>
    <t>Velasco, Isidoro Sauz de</t>
  </si>
  <si>
    <t>Isidoro Sauz de Velasco</t>
  </si>
  <si>
    <t>…iente: 91 Las Cortes generales y extraordinarias, á consecuencia de ha ber consultado ei supremo tribunal de Justicia , con motivo de la súplica interpuesta por D. Pedro Garrido , D. Isidoro Sauz de Velasco y D. José ViÜanueva , magistrados de la audiencia de Sevilla, y D M nmel de Siles, juez tercero de primera instancia de la mis ma ci idad , sobre haberles declarado comprehendidos en e! art. 7, cap. I.° del decreto de 24 de Marzo de este año, si la sala que hizo esta declaración…</t>
  </si>
  <si>
    <t>Velasco, Joaquín de</t>
  </si>
  <si>
    <t>Joaquín de Velasco</t>
  </si>
  <si>
    <t>…Manuel Jacome , mis ayudantes de campo , desempeñando con valor eo-: nocido quantos encargos:puse en su cuidado: también se hallaron á mi in—' mediación durante toda la batalla el teniente D. Joaquín de Velasco, y lossubtenientes D..Roque Jacinto Valle y D. Antonio Muñoz hiervas, emplea-* dos á mis inmediatas órdenes. El capitán ingles sir Eiduardo Malet, comisionado por V. E. á mi inme diación, se me presentó para que le emplease, y fue muerto de un balazo de fusil…</t>
  </si>
  <si>
    <t>Velleu, Duarte</t>
  </si>
  <si>
    <t>Duarte Velleu</t>
  </si>
  <si>
    <t>…GOBIERNO DE LA REGENCIA DE LASESPANAS. GRAN BRE TAN A. h'~'APOTECA t :rU* •* ' •PAL Landres 1% de jsmh. Madrid SECRETARIA del almirantazgo. Carta remitida por el^vice-almirante al caballero Duarte Velleu d bordo del navio de S,\M. el Apolo» d la altura de Otranto, 22 de diciembre de 1812. ¡ f Señor ; comola. posición de la torre de S. Cataldo (la mas fuerte que hat entre Brjqdis y Otranto))ofrecía grande protección á Iqs navios del enemigo, inte.nt4 destruir,…</t>
  </si>
  <si>
    <t>Ven-, Raisuui</t>
  </si>
  <si>
    <t>Raisuui Ven-</t>
  </si>
  <si>
    <t>…id. D. Fermín de Arriaga, 2 id. D. Nicolás Soreguí, 1 id. D. Juen Bautista de Sarrata, 2 id D. Jot,é A tomo de Erna, 4 iii. D Mi guel de Garate, 1 id. D. Joaquín de Lostfa, 1 id. D. Raisuui Ven-</t>
  </si>
  <si>
    <t>Vendamme</t>
  </si>
  <si>
    <t>…del imperio del mismo día. Una carta de Dresde de 7 de este mes condene ios pormenores siguientes: El emperador (Napoleón) á su vuelta ha pasada revista á casi todo el cuerpo del general Vendamme,, reunido baxo las órdenes del conde Lobaa. Estas tropas, que han salido con tanta bizarría de la crítica y peligrosa situación en que las había puesto eL valor im prudente de su ge fe (4) , están animadas de nuevo ardor, y S. M. les ha dado muestras de su sa…</t>
  </si>
  <si>
    <t>Véndense, J. S.</t>
  </si>
  <si>
    <t>J. S. Véndense</t>
  </si>
  <si>
    <t>…ciones. Se publicarán sucesivamente ocho instrucciones mas para completar unos elementos del derecho natural y degentes, ciencia sumamente necesaria á toda clase de per sonas. Por D. J. S. Véndense en la librería de Alejandro Rodríguez, calle de las Carretas. Confesión de Bonaparte con el cardenal Maury, por el general Sarrazin. *„ Conversación del general Berthier con el cardenal Maury: ambos tratados traduci dos del francés. Esta obra fue publicada en…</t>
  </si>
  <si>
    <t>Venegas, Francisco Xavier</t>
  </si>
  <si>
    <t>Francisco Xavier Venegas</t>
  </si>
  <si>
    <t>…É. pata su noticia y satisfacción.—Dios guarde i Y; £. muchos años. Puebla 25 de Octubre de 1812, á las 8 y cuarto de la noche. — Exorno. Sr. — Ciríaco de Llano. —Exeme. Sr. virey D. Francisco Xavier Venegas.” Partes del teniente coronel D. Luis del Aguila. Primero. ^Habiendo salido por orden de V. S á tomar el mando de la vanguardia el 16 del que rige , conferencié aquella mañana con el brigadier Porlier en Amozoque, y quedamos conformes en marchar unidos , pues…</t>
  </si>
  <si>
    <t>Ventas, Juan Crisós-</t>
  </si>
  <si>
    <t>Juan Crisós- Ventas</t>
  </si>
  <si>
    <t>…de este ramo D. Josef Idem por un individuo de la sección Antonio Diaz...................... 2082 27 de hospitales........................................ I )CO Idem su compañero D. Juan Crisós- Ventas. tomo Bustillo....................................... 4615 24 Por la de un copon pequeño, un cá liz, una patena y una cucharita de Estancias de enfermos de paga. plata...................................... ........ . 68c Por lo que han contribuido los enfer P…</t>
  </si>
  <si>
    <t>Ventura</t>
  </si>
  <si>
    <t>…...... Benavente. Teniente............. D. Casto La-Rúa.,.......................... Idem. i; Otro.......... D. DomingoX'ago........................... Idem. b ■Subteniente........ D. Ventura,Lorenzo....................... Idem. . Id. en comisión...^ D. Juan Per£z.. Idem;. Teniente..... D. Manuel Muñiz.í.. 2.0 de Asturias. Capiran................ D. Manuel Rio Mayor....... . Corona (voluntarios.) Teniente.............. D. Luis Leca................…</t>
  </si>
  <si>
    <t>Ventura-Cabello, Josef</t>
  </si>
  <si>
    <t>Josef Ventura-Cabello</t>
  </si>
  <si>
    <t>…decretado lo siguiente : ‘ ' ,,sLas Cortes' generales y extraordinarias, á consecuencia de lo que les ha expuesto D. Joset Oiazarra á nombre del reverendo obispo electo deGuayana D. Josef Ventura-Cabello,-acerca de los inales que asi en lo moral co mo,en lo político añiden á aquella provincia^ con motivo d.e que las reduc ciones de .iydibs enc.arg^da,s ,á .misiones pnhque, $e emplean los religiosos capuchinps y descalzos ,,410, se entregan al ordinario eclesi…</t>
  </si>
  <si>
    <t>Vera, Juan Josef Sigíienza y</t>
  </si>
  <si>
    <t>Juan Josef Sigíienza y Vera</t>
  </si>
  <si>
    <t>…de la imprenta’: obra útil para los que le exerzan por las instrucciones que se dan para su mas perfecta execucíon, como asimismo para los autores,queise les dfrczcaumprimir: por D. Juan Josef Sigíienza y Vera , un to mo. eyp 8,^510^1 tres; lánaihás. Se halía.rá ep el ¡despacho de la Compañía de librerps , ca-, lÍe,de^í^ciádps , plazuela del qpndp de Mora, á i,t rs. jen papel; dexando^pí au-r. tor á beheíício del público el trabajo'de los moldes. EN LA IMPRENTA NAC…</t>
  </si>
  <si>
    <t>Verdi</t>
  </si>
  <si>
    <t>…larse en 200 el mlssero de sus.muertos, y .qae es considera fe Je el de heríaos. La pérdida del virey solo asciende ¿ 250 hombres fuer&amp; de combate ; pero eirá cutre los muertos al general Verdi:r, que 1© era de la decsmí&amp;du expedición. Ei g^hierjío proviVos-si de H^ísníía fea hecho medias proclamas y llamadas enérgicas &amp;l pueblo, que fea correspondido muy expresames te cor su? 'patrióticos semirni: ntos. ET 22 estáMéaifefdiai sus asar te’es generale…</t>
  </si>
  <si>
    <t>Verhuel</t>
  </si>
  <si>
    <t>…barco, me dirigi ría con preferencia ai norte, en donde esperaba encontrar algunos buques dé guerra, porque;na habla mas.qufii.una fragata para» observar la esquadra que manda el almirante Verhuel en el Texel. A las tres de la tarde me em-</t>
  </si>
  <si>
    <t>Vettegas</t>
  </si>
  <si>
    <t>…s fuertes, 79 sacos de añil y grana para particulares, algunos sacos de tabaco en hoja, y 74 quintales de cigarros para la Hacienda nacional. Han venido á bordo de estos buques el general Vettegas, el consejero de Estado Aycinena, y tres diputados á Cortes, dos de la Havana, y el de Sto. Domingo. ARTICULO DE OFICIO. Continúa la instrucción para el gobierno económico-político de las pro vincias. art. vi. Cuidará cada ayuntamiento de los caminos rurales…</t>
  </si>
  <si>
    <t>Veza, José María de</t>
  </si>
  <si>
    <t>José María de Veza</t>
  </si>
  <si>
    <t>…ición á la entrada del valle de Vera p¿:ra contener las tropas enemigas que pudieran venir de los campos de Zara. »Destiné el segundo regimiento de Cataluña al mando del te niente coronel D. José María de Veza á ocupar, si era posible, ía alta montaña de Larrun. «Los regimientos de Galicia y Madrid á las órdenes del coronel del primero de estos cuerpos D. Salvador Sebastian, gefe interino de 2a primera brigada de la segunda división, formaban la reserva.</t>
  </si>
  <si>
    <t>Vi</t>
  </si>
  <si>
    <t>…inamarca las no ticias convenientes sobre ei estado de los negocios en Dresde, se ha puesto todo cuidado para que lleguen á su desuno. SICILTA. Palerm? % de Noviembre. S. A. R. el príncipe Vi rarío general del rey no, teniendo por con veniente nombrar en nuevo minrs:erio que reemplace á 'os 1 ct; I;s se cretarios de Estado que forman sa coos. jo privado, se ha :ervi ’o exónenrr á los que actualmente los ocupaban, y ha nomb ado en su lugar al prínc…</t>
  </si>
  <si>
    <t>Vi'Hacampa, Cosme</t>
  </si>
  <si>
    <t>Cosme Vi'Hacampa</t>
  </si>
  <si>
    <t>…món Tajonar, D. José Hernández, D. Gregorio Beriani, D. Domingo Ihañez, D. Eusebio Ocha de Alda, D Angel Estabulo, D Valerio Landache, D. Miguel Villacampa, D ’B'-roardo Eohsdecu, D. Cosme Vi'Hacampa y D. Ma nuel ■ 8alave.ru : á subtenientes dé fusteros á D. Ramón Gómez, D. Juan Migad de Iriso, D. Manuel Beriain, D. Manuel Gurpi-</t>
  </si>
  <si>
    <t>Vi, Calixto</t>
  </si>
  <si>
    <t>Calixto Vi</t>
  </si>
  <si>
    <t>263 Bj.tr rio df lar CpanA diría. B ¡rrio de jesus Nazareno. D. Pedro Pescador, alcalde.. D. Benito Olmeda, alcaide. D. Frvnpi co Pando,, substituto primero. . D. Calixto Vi!! dva, substituto profiero. •D. Pablo,Marquiep, substituto segundo. ; D. Felipe Monasterio, substituto segundo. Barrio (te la puerta de Sigovia. Barrio de Pinto. D. Francisco Vives, alcalde. D. Ju an Icnacio Berriózaba! , alcalde. D. Tomas Peña , substituto p…</t>
  </si>
  <si>
    <t>Vi, Josef</t>
  </si>
  <si>
    <t>Josef Vi</t>
  </si>
  <si>
    <t>…renzo Somera y D. Josef de las Cuevas, del segundo bata llón de,guardias Españolas; el capitán D. Manuel Carrillo, del batallón de .Almería^ el ayudante mayor D. Manuel Baso, y el teniente D. Josef Vi•tal.,. del "regimiento segundo de Sevilla : el capitán ele cazadores. D. Josef García Orczco , ) los subtenientes D. Juan Marc y D. Vicente Alcina, del segundo de Cataluña; el subteniente D. Juan Manuel Quevedo ,-del bata llón del General, y el subteniente de…</t>
  </si>
  <si>
    <t>Vi, Mariano</t>
  </si>
  <si>
    <t>Mariano Vi</t>
  </si>
  <si>
    <t>…AN FRANCISCO. D. Juan Antonio Cuervo, substituto primero. Barrio de la puerta de Toledo. D. Josef Tenet, substituto segundo. I&gt;. Manuel de Manzaneque, alcalde. Barrio de S. Lu:... D. Mariano Vi!l.'c;ñor, substituto primero. El marques de la Torrecilla, alcalde. D. Domingo del Valle, substituto segundo. D. Pedro, Villar , substituto primeroBarrio d i Humiíl.núro. D F rancheo Sanz Ruiz, substituto segundo. D. Pedro Sepúlvcda, alcalde. Barrio de fas Ni…</t>
  </si>
  <si>
    <t>Vi-rúes, Joaquín</t>
  </si>
  <si>
    <t>Joaquín Vi-rúes</t>
  </si>
  <si>
    <t>…avo, que d x-a su muger y dos hijos en el mayor desamparo, y ruego á V. E. tenga á bien recomendarla particularm nte al Gobierno. «El mariscal de campo gefe de la primera división D. Joaquín Vi-rúes, y el de igual clase D. José Antonio Latorre, me recomiendan con empeño al soldado distin..uldo del regimienta de N .varra Don Fio encio Alrernuy, herido de c.m ide aci m , y cuyo l e ma .0, ayu dante mayor del mismo cuerpo, lo fui también: suplico á V. E. te…</t>
  </si>
  <si>
    <t>Viailevielhe</t>
  </si>
  <si>
    <t>…mont, dicho S. Garlos, subtenien La comisión militar mandó que los absucltos ar te, no cuipado.de complicidad, unánimemente; riba especificados se pusiesen á la disposición del Al señor Viailevielhe, ayudante subteniente, no Excmo. Sr. ministro de Guerra. culpado de complicidad , unánimemente; Asimismo mandó que la presente sentencia se Ai ceñor Carón, ayudante subteniente, no cul imprima; y que se tiren a© exemplarcs en for pable de complicidad, unánime…</t>
  </si>
  <si>
    <t>Viana, Juan Bautista</t>
  </si>
  <si>
    <t>Juan Bautista Viana</t>
  </si>
  <si>
    <t>…, 25. D. Fran cisco Muían Rodrí guez , 25. D Manuel Julián G rájales, 20. D. D «mingo Car dan , 20. í). Juan Matías (ribarren, 20. D. Gerónimo Urriza, 20. D. Joaquín M ^riiuez. S\ D. Juan Bautista Viana, 20. D. Vicente de los Toyos, 20 D. Juan Llano, 17. D José Perez déla Mata, 7. D. José Herrera, 17. D. Gerónimo Vivanco, 10. D. Manuel Ibañ?z, 10. Don Rosendo Gao , 10. D. Ramón Forcelíc 5o, 10. D. Gaspar Gorruehano, 10. El conde San Pascual, 25. D. Martin y…</t>
  </si>
  <si>
    <t>Víc</t>
  </si>
  <si>
    <t>…en marcha para atacar los franceses que restaban á las orde nes de Le-Graud , vor haber dexado el mando St. Cyr de resultas de una herida. Este cuerpo había sido reforzado por el mariscal Víc tor con 15000 hombres, y tomó posición cerca de Tchashnik , don de fué destrozado el 31 de Octubre por el conde Wittgenstein. Ha biendo visto que la posición del enemigo era buena, la ha ocupado por s mismo , destacando un cuerpo para tomar posesión de Witeps…</t>
  </si>
  <si>
    <t>Vicario</t>
  </si>
  <si>
    <t>…na, después de haberse reunido las dos Cámaras en sus correspondientes salones, los comisarios del rey recibieron primeramente eu la cámara de los Pares , en nombre de S. A. R. el príncipe Vicario general, el juramento constitucional, que según la. fórmula prescrita prestaron los Pares temporales y espirituales ; en seguida los comisarios, acompañados del protonotsrio del reyno, se trasladaron á la cámara de ios Comunes, en donde recibieron asi mismo e…</t>
  </si>
  <si>
    <t>…io á sus sesiones, y elegido por su presidente al caballero Cesar Airoldi; aprobada qúe fué por S. A. R. esta elec ción , propuso y aprobó unánimemente que se diesen á S. A. R. el príncipe Vicario general lss gracias, protestando que procurarían por todos Jos medios posibles desempeñar los objetos que S. A. R. se había dignado proponerles. Por un decreto de S. A. R. del 21 del mes anterior, se ha em pezado á publicar en esta capital dos veces por seman…</t>
  </si>
  <si>
    <t>…ado por el príncipe de la, Católica ,comisionado de $* A, R. .elprincipe Vicario general , en el parlamento el £&amp; de Octubre próximo pasado. ''SEÑORES Y CIUDADANOS : »S. A.. R. el príncipe Vicario general , con dictamen de su con sejo privado, habiéndome nombrado su comisario á fin de manifes tar sus sentimientos, me ha ordenado deciros que os había convo cado en este parlamento general con el objeto de q)ae concluyésds las tareas principiadas el año p…</t>
  </si>
  <si>
    <t>Vicen</t>
  </si>
  <si>
    <t>…Noviembre de 1812, Continúan los extractos de los partes de Nueva-Esparza* 21. Rancho de Jaque tas Mayo 1$ de j8j2. Cuarenta y cuatro patriotas de Atotonilco, al mando del capitán comandante D. Vicen te Iñiguez, destrozaron en el rancho de Jaquetas, rumbo de Atoto-</t>
  </si>
  <si>
    <t>Vicen, Garlos</t>
  </si>
  <si>
    <t>Garlos Vicen</t>
  </si>
  <si>
    <t>…allándose entre estos el capitán y dos subalternos, sinmas pérdida por mi parte que un muerto y-dos ó tres heridos. Quando e¡ capitán de la sexta compañía de cazadores de Cataluña D. Garlos Vicen te , á cuyo cargo iba la expedición, me dé parte, y se reúna, que espero será esta noche, daré á V. S. mas detallada noticia. Al mismo tiempo han subido hasta tiro de Martorell mas de 2® enemi gos , que no se han resuelto á entrar alli, en vista del fuego que…</t>
  </si>
  <si>
    <t>Vicente</t>
  </si>
  <si>
    <t>…. ÍI consejo municipal de Rotterdam arma y equi Para el de Golledeta de Chiva, vacante por fa pa á 50 soldados de caballería} Verdua á 10 ; JLi- llecimiento de D. Pedro Brogues, á D. Vicente moges á ocho ; Grenoble á ocho; Niort á seis. Bell ver, presbítero. Leyéndose el boletin 29.“ en V-een, distrito de Para el de Benexama , vacanre por fallecimien Cleves, entre una concurrencia mui numerosa de to de D. Joaquin Perales, á D. Pedro Franco, vi lo…</t>
  </si>
  <si>
    <t>…drí guez , 25. D Manuel Julián G rájales, 20. D. D «mingo Car dan , 20. í). Juan Matías (ribarren, 20. D. Gerónimo Urriza, 20. D. Joaquín M ^riiuez. S\ D. Juan Bautista Viana, 20. D. Vicente de los Toyos, 20 D. Juan Llano, 17. D José Perez déla Mata, 7. D. José Herrera, 17. D. Gerónimo Vivanco, 10. D. Manuel Ibañ?z, 10. Don Rosendo Gao , 10. D. Ramón Forcelíc 5o, 10. D. Gaspar Gorruehano, 10. El conde San Pascual, 25. D. Martin y D. M guel Ventur…</t>
  </si>
  <si>
    <t>…término déf r ¿J dias acudan 'á □lár 'dcl derecho qúé-Tes asista ante él señor juez letradO- de primera instancia Don MáhuéJFernañdéz Gamboa, y escribanía del número del cargó'de D. Vicente dela Costa , que empezaron á correr desde el 14 del corriente. ; i ; - . ,. ; &gt; üí-i Nuevo periódico titulado Atalaya de Ia Mancha en Madrid. Como ya sq detr ratnó por, esta capital un jirospecto que abráza él; plan dg $choj ..pqrió^i^p.^^ co^-í videra bastan…</t>
  </si>
  <si>
    <t>…de provincia celebrada en esta ciudad en el día de fioi han salido electos diputados por esta provincia para las cortes generales extraordinarias El limo. Sr. Obispo de Plasencia. Sr. D. Vicente de la Llave. Sr. D. Juan Gerónimo Chacón. Sr. D. Silvestre Trigueros. Sr. D. Juan Josef Montero. Sr. D. Nicanor García Santos. Sr. D. Victoriano Sánchez. Y por suplentes Sr. D. Justo Peñalver. Sr. D. Simeón Palomino. Guadalaxaraj 8 dejulio* La junta electoral…</t>
  </si>
  <si>
    <t>…tarde del sábado 5 se acarno paron. Dos horas antes de amanecer del día 6 la guardia avanzada inglesa, com puesta como de unos 500 hombres todos de tropa de línea, mandados por el general Vicente, entró con gran fortuna suya en el arrabal americano. El enemigo había sabido nuestra contraseña, según se cree, por la deserción de alguno de los habitantes que en la marcha se habían unido al exército ame ricano. El piquete americano que estaba á un quarto…</t>
  </si>
  <si>
    <t>…o. La com pañía atacada en San. Gliaien-t ha sido toda- destruida, quedando prisioneros cíos tenientes, un sargento y 33 soldados, y muertes los demas en el campo .de batalla. «El capitán Vicente, los subtenientes D. Alexo Vsils, D. An-</t>
  </si>
  <si>
    <t>…rez y D. Francisco Fresno , tenientes ; D. Sebastian Sánchez, Don Félix Arenal, D. Juan José Paz y D. Luis Ortiz Falla, subtenientes dei de Laredo; D. José Castrejon, teniente, y D. Vicente de la Tórnente., subteniente del de tiradores de Cantabria; D: Buenavent&amp;ra Tomasa, teniente coronel; D. Guimeiindo Churruca, teniente, y D. José Manuel Carril, subteniente dei segundo de Guipúzcoa, y D. José Aibun, subteniente del primero del mñmo nombre. Lo…</t>
  </si>
  <si>
    <t>…y D. Fran cisco Fresno , tenientes; D. Sebastian Sánchez , D. Félix Arenal ; D. Juan Josef Paz y D. Luiz Ortiz Falla, subtenientes del de Laredo; D. Josef Castrejon , teniente, y D. Vicente de la Tórnente, subteniente del de tirado res de Cantabria; D. Buenaventura Tomasa, teniente corone!; D. Guimeriudo Cliurruca, teniente, y D. Josef Manuel Carril, subteniente del se gundo de Guipúzcoa, y D. Josef Albun , subteniente del primero del mis ino no…</t>
  </si>
  <si>
    <t>…. J&amp;aqui^Páfaclh, dekáh^cjfe la Ráta, míúraPde Barbástro. 2.0 Sr. D. Domirfgcr Tragia , marqués- dci Palacio,-teniente general de los exérckos nacionales, natural de Zaragoza. 3.0 Sr. D. Vicente;Héredia&gt; caballero de la!.drdéR dé Cá’rios 111, veci no de Graus. 4.0 - D? Juan Francisco Martínez,, arcediano de I&gt;aropa* (natura! de Zaragoza. 5.0 D. Tadeo Segundo Gómez, ministro del supremo tribunal de Jus ticia, natural de Teniei. • - vr, .• 6.° D. Juan…</t>
  </si>
  <si>
    <t>…a porción de víveres y municiones ;._c.l mayor genera! amerící no Dea* born re iró sus tropas de¡ fuerte Hrie, y las con centró en el fuerte Jorge. En consecuencia de ello hizo el coronel Vicente un movimiento , adelantándose al frente d^l Ja o para sos tener á la infantería ligera , y á los indios guerreros que estaban emp'ea los en rodear al en. m go para obiigsrL: áíiac r uso de sus propros medios para alimentar su exéreito.-El mayor gene al Rottcn…</t>
  </si>
  <si>
    <t>Vicente, Carlos</t>
  </si>
  <si>
    <t>Carlos Vicente</t>
  </si>
  <si>
    <t>…dose entre estos el capitán y dos. subalternossin mas. pérdida por ini parte que un mu. rto y dos o, tres heridos. Cuando el capitán de la sexta compañía de cazadores, de Cataluña D. Carlos Vicente, á cuyo cargo iba la expedición,. me dé parte, y se reúna, que es pero será esta noche, daré á V. S. mas detallada noticia. &gt;» Al mismo tiempo han subido hasta tiro de Martorell mas de 2© enemigos, que no se han resuelto entrar allí, envista, del fuego que le…</t>
  </si>
  <si>
    <t>…, y del de cazadores de Cataluña , se sitúa*e en la altará llamada las Horcas para disputar él ■ paro á 'ios que intentasen ir á M'aítorell. Al mismo lempo di-puse que el espi tan D. Carlos Vicente , del regimiento.de cazadores de Cataluña, con dos compañías de dicho cuerpo y 14 húsares , pasase á San Boy y sus cercanías p&gt;ara atacar en detall las partidas que se extendiesen por aquellos pueblos y yo quedé,en esta pronto para añedir á tomar algún flanco…</t>
  </si>
  <si>
    <t>Vicente, Félix</t>
  </si>
  <si>
    <t>Félix Vicente</t>
  </si>
  <si>
    <t>…dicha altura, se dirigió él mismo con la ca ballería en alcance de los enemigoshaciendo que 20 lanceros al mando del teniente O. Tomas Renovales se adelantasen á Cerezal, y que el capitán D. Félix Vicente con 30 caballos pasase por Vi llar de los Pisones , ínterin él en persona ccn el retío del escuadrón se dirigía por cima de la aldea de Lauseros , con el objeto de cor* farles la retirada. Los enemigos la emprendieron con dirección á Carbajales de la Encomien…</t>
  </si>
  <si>
    <t>Vicente-, Carlos'</t>
  </si>
  <si>
    <t>Carlos' Vicente-</t>
  </si>
  <si>
    <t>…aderos de Barcelona les hizo conocer la posición de mi tropa, y la dificultad de externar su proyecto, coa lo que:retrocedieron.;:. ? -,u: , • ; • . f&gt; ,. 5* Ai"-miimo tiempo; el. capitán D. Carlos' Vicente-, atacó con su cóm'pañís y los 14 caballos á una compañía enemiga en. Ssn Cli ment , y dispuso que la' segunda compañía verificase- ,1o mismo coa ©tra• que estaba en Santa Coloran de C^rvello. Aunque .esta estaba ya de regreso , fué cargado r-y obligáda Ár aba…</t>
  </si>
  <si>
    <t>Vichery</t>
  </si>
  <si>
    <t>…e requiere el desempeño de-sus funcione*-; que perdió Madrid S de febrero. de vista las ob'igsciones del juramenta que había prestado d» mantener las leyes constitucionales del El general Vichery, comandante de la pro imperio, v en consecuencia de estos antecedentes vincia de Guadalaxara , noticioso de que el cuerpo declara -que ño se le debe mantener en el exercicio de Voluntarios de Madrid y'ia al tanería del Em de su empleo. pecinado se hallaban en…</t>
  </si>
  <si>
    <t>Víctor</t>
  </si>
  <si>
    <t>…co L&amp; inicua persecución.. GRAN-BRETAÑA. í Xórtdres 23 de Diciembre* Partes del general WittgensUin. 1.® Tfchasckruke 17 de Noviembre.— ,,El 14 de Noviembre, ha» hiendo reunido el mariscal Víctor todas las tropas que tenia espala «idas en diferentes parages, y hallándose reforzado con una división que quedó á retaguardia, acometió con mucho ímpetu á mi van guardia, mandada por el teniente general príncipe Jasehuil, que se gún mis instrucciones, se ret…</t>
  </si>
  <si>
    <t>…caballería conde Wittgcntfein ú $. M I. ¡feché en Staroy Boris&amp;ff el2B de Noviembre¡ de 18 i2. &gt; „Ayer tuve la honra de partKupar respetuosamente a V. M, la derrota del cuerpo del mariscal Víctor, al ¿cual tomaron las tropas de V. M. 4 cañones y 2 banderasa, &amp; hicieron prisión tos á 67 oficiales de estado mayor y otros , y dQOO soldados , ademas d© la pérdida con siderable que tuvo ei enemigo en gran número de muertos y heridos,. Después de esta victo…</t>
  </si>
  <si>
    <t>…isfacción de Ies habitantes. Cuando el general Chernicheff entró en Marierroercer el 12 de Enero,, apenas pudieron escapar de la-persecución de los cosacos eí virey de Italia y el mariscal Víctor. El general La Pieire 5 4 oficiales y 200 solda dos quedaron prisioneros , como también un correo que llevaba plie gos de NYpolcon al príncipe de Nenfchatel. £¡j el camino que con duce á Nurenberg, el teniente coronel Adrienof, persiguiendo al enemigo , encon…</t>
  </si>
  <si>
    <t>Victoria, Antonio</t>
  </si>
  <si>
    <t>Antonio Victoria</t>
  </si>
  <si>
    <t>D. Antonio Victoria, cura párroco del castillo de Bayuela en esta pro vincia. D. Juan Peña, labrador de S. Bartolomé en la misma. ' Reus ii de agosto. La retirada del exército de Suchet á Villafranca, Viüanuevay sus inme diaciones , en donde ha hecho alto coa la mayor parte de é…</t>
  </si>
  <si>
    <t>Vicuña, Cristóbal</t>
  </si>
  <si>
    <t>Cristóbal Vicuña</t>
  </si>
  <si>
    <t>….. Estéban Labios, substituto segundo. D. Ignacio Salgado, substituto segundo. , Barrio denlos Caños del. Peral y Santa Alaría. Barrió de Santa C ruz. D. Tomas Azardiiia, alcalde. D. Cristóbal Vicuña , alcalde-, D. Josef Ferroni, substituto primero. D. Manuel Valentín García , substituto primero. D. benito Trigo, substituto segundo. D. Agustin de la Calle, substituto segundoBarrio del Buen Suceso, QUARTEL de palacio. D. Casimiro Ipoly , alcalde. Barrio de…</t>
  </si>
  <si>
    <t>Vicuña, Cristóbal de</t>
  </si>
  <si>
    <t>Cristóbal de Vicuña</t>
  </si>
  <si>
    <t>…evos y viejos, muchas pistolas y tra primerana, y porinstanciaante eldeescribanoesta villa,delá lasnúmerodoce dede sula mañamisma bucos, uh saco grande de piedras de chispa, y mas D. Cristóbal de Vicuña, como habilitado para el des de 1200 pantalones de paño ó de lienzo. pacho de la escribanía de D. Ramón García Ximeset. EN LA IMPRENTA REAL.</t>
  </si>
  <si>
    <t>…que en el término de 30 dias, contados desde 17 del corriente, concurran á deducir y expo ner lo que tengan por conveniente al referido juzgado, y por la escribanía del nú mero de D. Cristóbal de Vicuña; con apercibimiento de que pasado dicho término sin haberse presentado, sin mas interpelación ni citaicion los'.parará el perjuicio que haya lugar. • -r vV ■ ¿ Quien quisiere comprar una casa sita en el lugar de Caraba nchel de arriba de esta jurisdicción y s…</t>
  </si>
  <si>
    <t>…go dias, contados desde el dia 4 del corriente, que por tres términos, y .el último perentorio, se les señala, comparezcan al referido juzgado, y por la es cribanía del número de D. Cristóbal de Vicuña; entendidos de que pagados dichos términos sin haberse personado, se procederá á la substanciación del juicio sin mas citación ni emplazamiento, y les parará el perjuicio que haya lugar. Agustin de Iglesias, natural de Málaga , hijo de.D, Manuel de Iglesias y…</t>
  </si>
  <si>
    <t>Vicuña, Felipe</t>
  </si>
  <si>
    <t>Felipe Vicuña</t>
  </si>
  <si>
    <t>…D Sebastian Echarte , D. Mariano Oliver, D Dionisio Antoñana, D. Antonio Andia, D. Eusebio Oraá , D Mariano Gayarte , D. Faustino Irigoyen , D. Antonio Ladrón, D. Antonio Zabalza, D. Felipe Vicuña, D Manuel Arragu i, D Manuel Otayza, D Ramón Tajonar, D. José Hernández, D. Gregorio Beriani, D. Domingo Ihañez, D. Eusebio Ocha de Alda, D Angel Estabulo, D Valerio Landache, D. Miguel Villacampa, D ’B'-roardo Eohsdecu, D. Cosme Vi'Hacampa y D. Ma nuel ■ 8al…</t>
  </si>
  <si>
    <t>Vidal, Baltasar</t>
  </si>
  <si>
    <t>Baltasar Vidal</t>
  </si>
  <si>
    <t>…de los principales objetos del enemigo. No puedo elogiar suficientemente la conducta de los oficiales y soldados que contribuyeron á esta glorio^ sa acción. El caphán de zapadores D. Baltasar Vidal fue herido al principio de ella; pero no abandonó el campo. Todo lo que pongo en noticia de V. S. para que se sirva trasladarlo al Exento. Sr. ge neral en gefe. =cMonteilá 18 de Setiembre de 1813. — Salvador Va lencia.~$r. D. Miguel Sarasa. —Lo que traslado á…</t>
  </si>
  <si>
    <t>Vidal, José Manuel</t>
  </si>
  <si>
    <t>José Manuel Vidal</t>
  </si>
  <si>
    <t>…e su situación armé mis 2 cañones, y firmado en batalla con ellos al centro , una guerrilla por mi dere cha al mando del alférez de navio D. Francisco Nava, y por la iz quierda el capitán D. José Manuel Vidal , emprendí mi ataque de firme , y á pesar de que al primer tiro se desmoató el cañón de ¿ 4 que V. 8. me remitió , conseguí la total derrota de los enemigos, y en seguida me posesioné de la plaza de esta ciudad: la absoluta falta de caballería en esta divisió…</t>
  </si>
  <si>
    <t>Vidal, Josef</t>
  </si>
  <si>
    <t>Josef Vidal</t>
  </si>
  <si>
    <t>…l. I&gt;. Vicente Rodríguez , substiruto primero. D. Felipe Guelves, substituto segundo. D. Josef Domínguez, alcalde. D. Manuel de Cereceda , substituto primero. Barrio de Afligidos. D. Josef Vidal, substituto segundo. D. Pedro Cancio, a!calde. Barrio del Ave María. D. Andrés Aros, sub-tituto primero. D. Antonio Arnesto, alcalde. D. Santos Antolin , substituto stgundo. D. Josef Rodas, substituto primero. Barrio de S. Marcos. D. Ventura González , substi…</t>
  </si>
  <si>
    <t>Vidal, Josef Carí</t>
  </si>
  <si>
    <t>Josef Carí Vidal</t>
  </si>
  <si>
    <t>…ue una brigada de ca Barrio de Santo Tomas. ■ ballería, compuesta de dragones y Cazadores, de D. Vicente Ambrosio Aguirrc, alcalde. fuerza de 2® caballos , se halla en-Dantzick ba D. Josef Carí Vidal, substituto primero. so las-ordene de! general Cavaign.ac: que ei gene- D. Jaime Culi, substituto segundo. riiv.Rapp ocupa lo extern: r de la plaza á diez le Barrio de Santa Cruz. ' guas en contorno; y que hai fondos en el tesoro D. Claudiu Boutelou, alcalde.…</t>
  </si>
  <si>
    <t>Vidal, Jote</t>
  </si>
  <si>
    <t>Jote Vidal</t>
  </si>
  <si>
    <t>…IX Fran cisco Toral, que como siempre se ha manifestado bravo, sosteniendo los ataques del puente con su compañía, y cargando á los enemi gos ; y los subalternos del mismo cuerpo D. Jote Vidal y D. José Sierra: el capitán de Guadalaxara D. Francisco Orus, y los sub alternos del propio D. Cándido Arxsmendi y D. Manuel Zuluaga; como asimismo el capitán D. José Neyra, y el sargento primero de este regimiento D. José Roxas, que á ía bayoneta mató en el puente á un sarg…</t>
  </si>
  <si>
    <t>Vidal, Juan José</t>
  </si>
  <si>
    <t>Juan José Vidal</t>
  </si>
  <si>
    <t>…..... 5......... 150 Prisioneros....................... ......... 5........ 66 Totales................ 9....... 92....... 1724...... 6. Los oficiales muertos son D. José Melendez, D. Juan José Vidal y D. Benigno Hernández , capitán , teniente de cazadores, y teniente del regimiento de infantería segundo de Asturias ; D. Mariano Torija, capitán del de la Constitución; D Manuel Pardo, subteniente del de la Corona; D . Fernando Miranda, coronel del de voluntarios de Asturias; D.…</t>
  </si>
  <si>
    <t>Vidal, Juan Josef</t>
  </si>
  <si>
    <t>Juan Josef Vidal</t>
  </si>
  <si>
    <t>…a rendición de la ¡plaza de S. Sebastian y de la victoria del gt de agosto. (1) - ' ; \ Resumen de la pérdida, de los oficiales &amp; c. . Los oficiales muertos son D. Josef Melendez, D. Juan Josef Vidal y D. Benigno Hernández, cápitan, teniente de cazadores, y teniente del re gimiento de infantería segundo de Asturias; D. Mariano Tprija, capitart del de la Constitución; D. Manuel Pardo, subteniente del de la Corona? D. femando Miranda , coronébdel. de voluntarios defAsturias; De P…</t>
  </si>
  <si>
    <t>Viergol, Pedro Monfort y</t>
  </si>
  <si>
    <t>Pedro Monfort y Viergol</t>
  </si>
  <si>
    <t>…substituto segundo. D. Juan Torre , substituto segundo. Barrio de ¡a Encarnación. Barra de les ring. íes D. Ramón García Muñoz , alcalde. D. Manuel Cardeñoso Herrczueto, alcalde. D. Pedro Monfort y Viergol , substituto pri D. T ornas Tordesillas, substituto primero. mero. t D. Santiago Conde, substituto segundo. D. Eugenio Mesa, substituto segundo. Barrio ae ¿Mortana. D. Rafael de Yarza, alcalde. QUARTEL DE SAN FRANCISCO. D. Juan Antonio Cuervo, substituto prim…</t>
  </si>
  <si>
    <t>Vigo, Froylan</t>
  </si>
  <si>
    <t>Froylan Vigo</t>
  </si>
  <si>
    <t>…onel de.¡Qastropol: Villar, de! de Cangas: Venosa, que mandaba el del Rei: el ayudante primero Aguado, gefe de estado mayor de la división: el atrevido comandante de los cazadores D. Froylan Vigo, su hermano D. Santiago, comandánté de granaderos del General: Marconchiny, su sargento mayor, ry todpsrlos capitanes del mismo cuerpo, parti cularmente Cabaleyfo , Vaides , Primo y Velarde: los tenientes coroneles Domínguez y Torrescomandantes de artillería;…</t>
  </si>
  <si>
    <t>Vigodet</t>
  </si>
  <si>
    <t>…ra continuarla persecución del enemigo hasta S. Miguel del Tucuman, en donde Si gue mis órdenes deben hacer alto fiesta adquirir noticias po sitivas de la fuerza y operaciones del general Vigodet, de Jas de la capital insurgente, y el estado del Paraguay , que dicen h&amp;berse unido á la causa legítima y gobierno de Montevideo; para lo qual tengo dispuesto que se abra una comunicación por ei rio Colorado hasta su cor-filíente con el Paraná, mas arriba de…</t>
  </si>
  <si>
    <t>Vígodst</t>
  </si>
  <si>
    <t>…loria. (Se eoxtinuará.J ESPAÑA. Montevideo 31 de Diciembre de 1812. Con objeto de alejar á los rebeldes de Buenos-Ayres de las cer canías de esta plaza, ha hecho hoy una salida el general Vígodst con 1(300 hombres; y después de haber destruido los parapetos y otras obras que estaban construyendo los rebeldes con el fin de inco modar á esta ciudad,,se replegaron ¿ ella nuestras tropas con algu na pérdida: la de loa,insurgentes ha sido de 400 á 500 homb…</t>
  </si>
  <si>
    <t>VII, Fernando</t>
  </si>
  <si>
    <t>Fernando VII</t>
  </si>
  <si>
    <t>…nero de 1813. Anuncio. Guia política y militar de las Espadas para el presente año de 1813, dada á luz por D. José Señan: va adornada con el re trato de nuestro augusto monarca el Sr. D. Fernando VII. Se halla de venta en Cádiz en la librería de Navarro, plazuela de S. Agustín. CADIZ : EN LA IMPRENTA NACIONAL.</t>
  </si>
  <si>
    <t>519</t>
  </si>
  <si>
    <t>…a del reyno ha mandado publicar en la gaceta el an« tecedente parte, no pudiendo menes de ver con dolor que unos es pañoles que blasonan de fieles y leales á nuestro am ado rey el Sr. D. Fernando VII, se hayan alucinado hasta el grado de descono cer el legítimo Gobierno que le representa , descarriados por un pe queño número de facciosos, que cubriéndose con la máscara de la hipocresía, conspiran contra la patria y su rey con les mas ambi ciosos designios…</t>
  </si>
  <si>
    <t>Núm. 68. 565 GACETA *► EXTRAORDINARIADE LA REGENCIA DEL MARTES 1* DE JUNIO DE 1813. • f ARTICULO DE OFICIO. La Regencia del rey no se ha servido expe dir el decreto que sigue: „Don Fernando VII, por la gracia de D ios y por la constitución de la mo narquía española, rey de las Españasy y en su ausencia y cautividad la Ree-encia del rey no nombrada por las Cortes ge nerales y extraordinarias : estando bien satisfecha del buen desempeño de I). To mas…</t>
  </si>
  <si>
    <t>…es de la medalla que de orden de las Cortes se ha abierto, para, perpetuar la memoria del dia en que se promulgó en esta plaza la Constitución. En el anverso se halla el busto del Sr. D. Fernando VII con un lema en torno que dice: "Fernando vii, por la gracia de Dios y por la Constitución de la monarquía , rey de las Españas.” E,n el reverso está el libro de la Constitución apoyado sobre los dos globos que han de regir sus le yes, y sostenidos por dos man…</t>
  </si>
  <si>
    <t>…4 amistad entre España y Suecia, ha resuelto la Regencia del reyno se publique para satisfacción de todos los españoles. En el nombre de la santísima é indivisible Trinidad. S. M. D. Fernando VII, rey de España y de las Indias, y S. M. el rey de Suecia &gt; igualmente animados del deseo de esta blecer y asegurar las antiguas relaciones de amisted que ha ha bido entre sus monarquías , han nombrado para este efecto, á sa ber : S. M. C. , y en su nombre y a…</t>
  </si>
  <si>
    <t>Viilacampa</t>
  </si>
  <si>
    <t>…rio al Señor secretario del despacho de’la Guerra el parte siguiente: „.Excmo. Sr.: los enemigos abandonaron esta capital el 5 al amanecer, tomando la dirección de Murviedro. *»El general Viilacampa, situado sobre el flanco de Liria, y advertido* como tuve el honor de participar á V. E., de que si el enemigo se retiraha debía incomodarle en su marcha, fue atacado con bastante denuedo por dos divisiones, lo qual, junto con la reunión y precipitación con q…</t>
  </si>
  <si>
    <t>Viilalbs, Francisco de Paula</t>
  </si>
  <si>
    <t>Francisco de Paula Viilalbs</t>
  </si>
  <si>
    <t>…de cazadores de Cantabria y Ciudad-Real Don Romualdo Cortazar y D. Ceci.10 Aillon, al de granaderos de Canta bria D. José Fernandez, al cadete de Ciudad-Real, habilitado de oñeiri D. Francisco de Paula Viilalbs, que'fué herido, y al caza dor del mismo cuerpo, Gaspar Caballero, que lo fué igualmente de mucha gravedad sin quererse retirar, y á los demas oficiales y tropa que contribuyeron á rechazar los enemigos. = Brigadier gefe de esta do mayor. = Francisco Ferraz.…</t>
  </si>
  <si>
    <t>Viilarroya, Pedro</t>
  </si>
  <si>
    <t>Pedro Viilarroya</t>
  </si>
  <si>
    <t>…Iribarren y D. Manuel Garrea: á sargento mayor á D. Claudio Ich^so : á capitanes á D. Ramón Echeverría , D. Lo renzo Mauleon, D. José Clemente, D. Pedro Francés, D. León Iriarte, D. Pedro Viilarroya, D Domingo Josué y D. Diego Cebadua; á ayudantes á D. Francisco Moñones , D. León Amedo, D. Manuel Mecolalde y D. Atanasio Mendivil: á tenientes á D. An drés Berrueta, D. Mariano Sauz, D. Juan Ignacio Noain, D. Fran cisco Azcarate , D. Martin Antonio Laquidai…</t>
  </si>
  <si>
    <t>Viílasta, Manuel de</t>
  </si>
  <si>
    <t>Manuel de Viílasta</t>
  </si>
  <si>
    <t>314 dnvere, 100. El mariscal de. campo conde de Valle de Oselli, 100. El mariscal de campo D. Manuel de Viílasta, 100. D José Irigoyim, o'doi honorario, 100. D. Valentín Sorzano, i 00. D. Miguel Femando Rui®, 100. D. Lorenzo Tajonar, 100. 13. Faustino del Campo, 100. D. Santiago Rodríguez, 100. I). J uan Antonio Ariaiburu*, 100. D. Cristóbal Aznilcueta, 100. D. Martin G…</t>
  </si>
  <si>
    <t>Viilat</t>
  </si>
  <si>
    <t>…que ocupa el exército desde las accÍonerdel 7 y 8: un pequeño reten de guardias Españolas y algunos zapadores empleados en los trabajos quedaron en su poder. Engreído sin duda el general Viilat con esta insignificante ventaja, se decidió á atacar antes de la madrugada del 13 al total de la posición; pero aunque empleó para ello una fuerza muy superior á la del exéroito, con el auxilio ae artillería , y alguna caballería, no consiguió mas que acabars…</t>
  </si>
  <si>
    <t>Viilatt</t>
  </si>
  <si>
    <t>…fuerzos y nuevo equipo después de la última derrota, hizo un formidable esfuerzo para le-í vantar el bloqueo de Pamplona con todas sus fuerzas, excepto la- reserva^ mandada por el general Viilatt, que quedó enfrente de nuestras trocas que cubren el camino real de Irun. . ’ „Esta tentativa fue frustrada por las operaciones de una sola parte del exército aliado, y el exército francés ha sufrido una nueva derrota, y ha ex perimentado una granpérdida, tan…</t>
  </si>
  <si>
    <t>Viilatte</t>
  </si>
  <si>
    <t>…he hallado que el enemigo ocupaba la ciudad con una división,,de infantería, cuatro escuadrones de caballería, y algunos cañones del exércíto^del Mediodía, todo á las órdenes del general Viilatte. w Evacuó la ciudad, cuando nos aproximamos á ella , pero se de-* tuvo mas de lo que debía sobre las alturas inmediatas; y con este motivo proporcionó oportuna ocasión á la caballería del mando del general Fane y del general Víctor Alten, pasando el Tormes el…</t>
  </si>
  <si>
    <t>Vil, Fernando</t>
  </si>
  <si>
    <t>Fernando Vil</t>
  </si>
  <si>
    <t>…orito id tiempo en que preso y escoltado por los guardias de Corps en las calles de Aranjüez , le persigne ún inmenso gentío , cuyo furor está aplacando nuestro augusto monarca el Sr. D. Fernando Vil, entóneos príncipe de Asturias. Esta estampa hace juego con las dé! 2 dé Mayo, así por ser del mismo tamaño, como por la relación ¡que fiérié Cott aquél ásúfitó esté acontecimiento tan señalado que dió principio á la revolución y libertad española. — Se halla…</t>
  </si>
  <si>
    <t>Viliacampa, Pedro</t>
  </si>
  <si>
    <t>Pedro Viliacampa</t>
  </si>
  <si>
    <t>…xador, y de aprecio á los valientes que componen la división navaria. ESPAÑA* Calatayud 12 de Diciembres _ Oficior dirigidos á la junta superior de Aragón por el mariscal de campo D. Pedro Viliacampa. I.° Excmo. Sr.: Con esta fecha digo al general en gefe del se gundo y teTcer exército, D, Xavier Elio, lo siguiente: Habiendo Tccibido aviso en Titaguas el 20 de que Ia‘ división enemiga, al mando de Panntier t situada en los pueblos de Vive! y Xéríca cou ma…</t>
  </si>
  <si>
    <t>Vilíanueva</t>
  </si>
  <si>
    <t>636 . Adición del Sr. Vilíanueva: que el prelado infractor sea destinado, por seis años á servir en el hospital de un presidio. Aprobada. Ei Sr. Capaz: que sea de Africa. Aprobada. La comisión de Legislación dio su dictamen en apoyo de la proposición hecha por el Sr. Martínez de la Rosa, en…</t>
  </si>
  <si>
    <t>Vilíat</t>
  </si>
  <si>
    <t>…mbre de de 1813,35Eterno. Sr. «Carlos de Espa ña. =Excmo. Sr. gefe pplídco superior de la provincia de Madrid.” Escriben del campamento de Sara, con fecha de 28 de octubre, que el general Vilíat está arrestado en Bayona por haber huido cobardemente en una de las 'últimas acciones. También dicen que corría la voz de haber lle gado Massena á reemplazar á Soult, y que este ha sido nombrado minis tro de la Guerra; pero estas noticias necesitan coníirmaci…</t>
  </si>
  <si>
    <t>Viliatt</t>
  </si>
  <si>
    <t>…efuerzos y nue vo, equipo después de la última derrota , hizo un formidable esfuerzo para levantar el bloquéo de Pamplona con todas sus fuerzas, excepto la reserva, mandada por el general Viliatt, que quedó en frente de nuestras tropas que cubren el camino real de Irun. „ Esta tentativa fué frustrada por las operaciones de una sola parte del exército aliado , y el exército francés ha sufrido una nueva denota, y ha experimentado una gran pérdida , tant…</t>
  </si>
  <si>
    <t>Villa</t>
  </si>
  <si>
    <t>…rifo, 200. D. Miguel Fermín Escurra, 200. D. Miguel Cabe’lo, £00. D. Miguel Antonio Ar óla, 200. D. Fran cisco Maíz , 100 D. P&lt; dro M:guel I jibareen, 100. D. Femín Co ya, 100Í £1 conde Villa* do Fuente, 100. D. Luis A¿elmo L&amp;n*</t>
  </si>
  <si>
    <t>Villá'demóról, Domingo Rico</t>
  </si>
  <si>
    <t>Domingo Rico Villá'demóról</t>
  </si>
  <si>
    <t>…uea * ella puede hacerse. Un tomo en octavó Se veno? á; ipr|. q¿» rístícay 1acn pasta é n la librería de Dáviia, cade délas Carretas. Í4 Justicia del castigo éxécutado en Cádiz de D. Domingo Rico Villá'demóról, 'mm qifefue de corte, y Uno de los individuos de la junta criminal, cohtrá lds discursos’ dfc lós señorés diputados en co ríes Gira Ido, Me. rales Gallego y Os tólaisi. * ípót un teimo éir octávc. So ;h‘ aliará en la libreríadeOáiroga, ca de de 1 Ja’f Gárttt…</t>
  </si>
  <si>
    <t>Villa, Diego de</t>
  </si>
  <si>
    <t>Diego de Villa</t>
  </si>
  <si>
    <t>…ituto segundo. D. Josef Fabregas, alcalde. Barrio de S. Cayetano. D. Manuel Lucio Gutiérrez, substituto primero. D. Juan Represa , alcalde. D. Agustín Pascual, substituto segundo. D. Diego de Villa, substituto primero. Barrio de S. Pascual. D. Bartolomé Cano de Molina, substituto se D. Angel Sahagun, alcalde. D. Vicente Esper, substituto primero.gundo. Barrio de las Niñas de la Paz. D. Arias Gonzalo de Mendoza, substituto se D. Francisco Blanco, alcalde…</t>
  </si>
  <si>
    <t>Villa, Mariano</t>
  </si>
  <si>
    <t>Mariano Villa</t>
  </si>
  <si>
    <t>…5a Fresneda 9 de Abril de 1813. — Wdlinglen, duque de CiudadRodrigo. — Sr. secretario interino del despacho de la Guerra.” Parte que sé cita en el oficio anterior. Exorno. Sr.: El coronel D. Mariano Villa, gefe de estado mayor de la caballería, me pasa el detall de ia nunca bien ponderada gloriosa acción de que hablé á V. E. ayer, y es como sigue. „En cumpli miento á las órdenes de V. S. pasé á reconocer la marcha de los enemigos sobre Orgaz con el objeto de p…</t>
  </si>
  <si>
    <t>…cen todos de justicia el recono cimiento y premio de la patria por su distinguida acción; encare-, ciendo por mi parte á V. E. las recomendaciones que hace el gefe de estado mayor D. Mariano Villa, cuyo gefe, tan acreditadamen te bizarro , fue el exemplo de todos con su serenidad y firmeza, me tiéndose dentro del puente para asegurar la confianza al último soldado , y convencerle de que vencer ó morir con honra era el de ber del soldado español; este h…</t>
  </si>
  <si>
    <t>…rte que el comandante general de la, caballería del tercer excrcito Don J05ef Rich dirigió al Exano. Sr. duque del Parque en 2 7 de marzo del presente año. ’■ . * r Excmo. Sr.: el coronel D. Mariano Villa, gefe de estado mayor de [f caballería, me pasa el detalle de la nunca bien ponderada gloriosa acción de que hablé á V. E. ayer, y es como sigue. „En cumplimiento á las órdenes de: V. S. pasé á reconocer la marcha de los enemigos sobre Orgaa^, con el ob jeto…</t>
  </si>
  <si>
    <t>Villacamga</t>
  </si>
  <si>
    <t>…a persuadirnos que el enemigo ha pasado el Xúcar, y aun el de que algunas tropas han vadeado ya este rio, que formaba la lí nea divisoria. Corre bastante valido el rumor de que el señor Villacamga ha entrado ya en Valencia; pero esta noticia no tiene toda la seguridad que apetecemos. El enemigo defiende el Xúcar con 10© hombres, según varias cartas particulares; pero en el momento en que se consider.e¿preciso desalo jarlo será arrojado, y aun destruido…</t>
  </si>
  <si>
    <t>Villacampa</t>
  </si>
  <si>
    <t>…dia 3 evacuaron á Xátiva y Liria ; el 4 á Buñols y las Cabrillas, y el - 5 á lis dos de la mañana quedó Valencia libre del yugo francés; teniendo el placer de ver en sus qalles al general Villacampa con las tropas de su mando, las que entraron con dicho '¿efe el dia ó por la mañana. El segundo y tercer exército han hecho un mo vimiento general, estrechando siempre á los franceses. Entre los incalculables daños que la ferocidad de estos ocasiona á todos l…</t>
  </si>
  <si>
    <t>…orosos. - , Los franceses de las guarniciones de Daroca, la Almunia y Mallen están resueltos á esperar.su suerte; pero esta no podrá dexarles ser,mui funesta. Copia d i oficio del general Villacampa d la junta superior de. Aragón. Excmo. Sr.: tengo la satisfacción de poder decir á V. E. que sobre Jas 6 de esta mañana quedo libre Valencia de enemigos, los que,sg han dirigido á Murviedro; y no dudaré que continúen su retirada á Tortosa según los in dicios…</t>
  </si>
  <si>
    <t>…llón, de Tabuenca que seguirán el camino deTudela. Valencia 6 de Julio. Ayer á las.2 de la mañana evacuaron precipitadamente los ene migos esta ciudad, y hoy ha entrado en ella el general Villacampa. Antes, de su salida nombro Suche* una ¡.unta provisional d comi sión de gobierno , compuesta dei canónigo• Nsndin, del marques de Dos-Aguas, y del regente de la audiencia Muhamud : el pueblo ha guardado el mayor orden y tranquilidad desde la fuga de ios ene-</t>
  </si>
  <si>
    <t>…o al se ñor secretario del despacho de la Guer ra el parte siguiente: „Excmo. Sr.: Los enemigos abando naron esta capital el 5 al amanecer, to mando la dirección de Murviedro. „E1 general Villacampa, situado so bre el flanco de Liria , y advertido, co mo tuve el honor de participar á V. E., de que si el enemigo se retiraba debia incomodarle en su marcha, fue atacado «on bastante. denuedo por dos divisiones;</t>
  </si>
  <si>
    <t>…arse preparando tres expediciones para las Américas: una para Caracas de mas de 1$ hombres; otra para Montevideo de unos 3©, y la tercera para Lima de mas de 1©. Se asegura que el general Villacampa ha cogido a jos oidores de Valen cia Quinto y VaUejo* (Conciso.) Zatagóz* 3 r de julio. La sexta división del segundo exército, á las órdenes del mariscal de campo D. Josef Duran, salió de esta plaza para cooperar á las operaciones de la campaña. 1 La del qua…</t>
  </si>
  <si>
    <t>…ras operaciones mas prontas y eficaces so bre el Ebro, dexando el cuidado de impedir la salida de la corta guarnición de aquel fuerte á varias tropas que se reúnen en la villa. El general Villacampa continua en Amposta cubriendo las ave nidas de Tortosa mientras el frayle D. Asensio Nebot, mantiene sin comunicación con Peñíscola á Morella; y por la parte de Cataluña mas de 40® hombres se desplegan contra Suchet y sus plazas. Habiéndose rendido ya el cast…</t>
  </si>
  <si>
    <t>…nía. Según todas las apariencias y avisos que se reciben, el general ea gefe va á estrechar vigorosamente y reducir al último extremóla pla za de Peñíscola. El último golpe que el general Villacampa ha dado á los france ses de Toítosn, cogiéndoles todo el gansido que tenían para su abas to , según c£rta que se ha visto de aquel general» los ha puesto ea grande spuro, y coatribuirá á acelerar la rendición do aquella impor tante plaza. ARTICULO DE OFICIO.…</t>
  </si>
  <si>
    <t>Villacampa, Miguel</t>
  </si>
  <si>
    <t>Miguel Villacampa</t>
  </si>
  <si>
    <t>…uña, D Manuel Arragu i, D Manuel Otayza, D Ramón Tajonar, D. José Hernández, D. Gregorio Beriani, D. Domingo Ihañez, D. Eusebio Ocha de Alda, D Angel Estabulo, D Valerio Landache, D. Miguel Villacampa, D ’B'-roardo Eohsdecu, D. Cosme Vi'Hacampa y D. Ma nuel ■ 8alave.ru : á subtenientes dé fusteros á D. Ramón Gómez, D. Juan Migad de Iriso, D. Manuel Beriain, D. Manuel Gurpi-</t>
  </si>
  <si>
    <t>Villacampa, Pedro</t>
  </si>
  <si>
    <t>Pedro Villacampa</t>
  </si>
  <si>
    <t>184 paña é Indias se lia servido condecorar con la cruz de S. Fernando al ma riscal de campo D. Pedro Villacampa, comandante general de ia segunda división del segundo exército, cuya noticia debe causar la mayor satisfac ción á quantos conocen á fondo el mérito de este general, contraído en la presente guerra, y mui particularmente á esta provincia, por haber sido el pr…</t>
  </si>
  <si>
    <t>…ito de Soúlt. El correo de la mala de hoi nos desengañará probablemente de, la verdad ó falsedad de esta noticia. Fn el mismo dia dispuso el señor gobernador militar de esta plaza Don Pedro Villacampa, que á las dos de la tarde se presentasen en su casa todos los oficiales que se hallaban en ella separados de su servicio. Verificada que fue dicha orden, se les comunicó que dentro de un breve término se resti.luyesen á sus cuerpos. Nos persuadimos que esta…</t>
  </si>
  <si>
    <t>Villacsmpa</t>
  </si>
  <si>
    <t>524</t>
  </si>
  <si>
    <t>…aso se irán sin hacer resistencia como tienen determinado. ' Murcia 11 de Myo. La mayor parte de los enemigos que componían la guarnición de Requena se entregaron á las tropas del general Villacsmpa, y el resto fueron muertos porque se resistieron : ei número de los muer tos ha sido T60 franceses; los que se rindieron pertenecían á otras naciones. Chinchan 11 de Mayo. Los enemigos, á'pesar de que evacuaron á Toledo, subsisten en Novéa con 500 caballos, q…</t>
  </si>
  <si>
    <t>Villaeampa</t>
  </si>
  <si>
    <t>…as vivo fuego de cañón la mañana del 17 de abril. ESPAÑA. * Murcia tr eU mayo. La mayor parte de-tos enemigos que componían la guarnición de Re: .quena se entregó á las tropas del general Villaeampa * habiendo sido muer-</t>
  </si>
  <si>
    <t>Villaiba, Antonio</t>
  </si>
  <si>
    <t>Antonio Villaiba</t>
  </si>
  <si>
    <t>…a de Katzbach.__ La noche del 16 al 17 de setiembre se pasaron á los aliados dos compañías enteras de españoles del regimiento de Josef Napo león con tres oficiales , mandados por D. Antonio Villaiba___ En la acción de Nolendorf se .dice que perdió Bonapa,rte 4® prisioneros y una bande ra. ___Según el monitor; de 10 de octubre, se ha decretado en Francia una nueva conscripción de 280® hombres.—Varios cuerpos deL exército aliado han pasado el Elba. EL diaj…</t>
  </si>
  <si>
    <t>Villaieal</t>
  </si>
  <si>
    <t>…!os enemigos, denominada cazadores de Málaga, y mandada por un tal Villare&amp;l, cuyo resultado fué el de derrotarla enteramente , matas do la mayor parte, y haciendo prisioneros al comandante Villaieal y 12 hombres de su partida, un edecán del general flanees Rcmcnd , un sargento primero y un soldado de la misma nación, que con la debida custo dia llegaren á este cuartel general en la tarde del 11 del corriente. Las leyes de la guerra ob&amp;eTvadas por todas l…</t>
  </si>
  <si>
    <t>Villalba, Francisco de Paula</t>
  </si>
  <si>
    <t>Francisco de Paula Villalba</t>
  </si>
  <si>
    <t>…cazadores de Cantabria y Ciudad-Real D. Romualdo Cortazar y D. Cecilio Avlfon, al de granaderos de Cantabria D. Josef Fernandez, al cadete de Ciudad- Real, habilitado de oficial, D. Francisco de Paula Villalba, que fue herido; y aí cazador del mismo cuerpo Gaspar Caballero , que lo fue igualmente de mu cha, gravedad, sin quererse retirar, y á los .demás oficiales y tropa que contri buyeron á rechazar los enemigos.—Brigadier gefe de estado-mayor == Fran cisco Ferraz…</t>
  </si>
  <si>
    <t>Villalon, Rafael de Oribe</t>
  </si>
  <si>
    <t>Rafael de Oribe Villalon</t>
  </si>
  <si>
    <t>1122 D. Rafael de Oribe Villalon, vecino de ía ciudad de Córdoba, acudid á S. A. S. la Regencia de las Españas, ir?anifestando que es poseedor de un vínculo conestente en diferentes fincas , sitas en aquella /ciudad, otras en Brozas y en el Acebnche, prevínola de Ex» «remadura; que la tiráni…</t>
  </si>
  <si>
    <t>Villamil, José</t>
  </si>
  <si>
    <t>José Villamil</t>
  </si>
  <si>
    <t>…iguel Delgado , y al te niente del cuerpo de milicias disciplinadas de infamen a de blancas D. Redro Urdaneta: de subtenientes á las sargentos, primeros del propio cuerpo veterano D. José Villamil y D. José Ensebio More no, y ú los cadetes D. Domingo Velarde, D. Juan Ortega, D An tonio Andrade, D. Esteban Ochoa, D. Antonio de RooyJ). José</t>
  </si>
  <si>
    <t>I(Jjgj?hi de granaderos; D. José Villamil y D. Vicente López, sub tenientes del segundo de granaderos del de voluntarios de Asturias; D. José María Ocampo, subteniente del de Santiago; D. Pedro Oloris, sargento mayor ; D. Francisco Lapedreza , D. José Salama , Don -Gerónimo Londoño, D. Juan del Rio y D. Francisco Media…</t>
  </si>
  <si>
    <t>Villanueva</t>
  </si>
  <si>
    <t>…a á todo, se procediese á la impresión de las memorias presentadas por los secretarios del despacho al instalarse estas Cortes, empezándose por las de Guerra y Hacienda, Aprobado. Sr. Villanueva: que se den gracias al duque de Ciudad-Rodrigo y s« exército por el paso del Vidasoa. Aprobado. Sr. Oiler: que se recomienden á la Regencia las viudas é hijos de los dos gefes del regimiento de Benavente, muertos gloriosamente en estas acciones. Aprobado. El…</t>
  </si>
  <si>
    <t>Villanueva, Joaquín Lorenzo de</t>
  </si>
  <si>
    <t>Joaquín Lorenzo de Villanueva</t>
  </si>
  <si>
    <t>…os en octavo mayor, con una estampa fina al frente de la obra. Se vende en lá librería de la viuda de Quiroga, calle de las Carzetas: su preció 45 rs. á la:rústica. .. Pictámeu de D. Joaquín Lorenzo de Villanueva, presbítero, diputado en ^Cortes, exponiendo las gravísimas causas que hacían necesaria la extinción del tri bunal de ía inquisición. Véndese á cinco rs. en la librería de Quiroga, calle dé lásTCarretas, casa de la fonda dél Angel. .Noticia de la reparable co…</t>
  </si>
  <si>
    <t>Villanueva, Josef</t>
  </si>
  <si>
    <t>Josef Villanueva</t>
  </si>
  <si>
    <t>…lones y 27 chaquetas.__ A D. Pedro de la Llave, oficial de artillería, 200 camisas.__ A D. Domingo Madras, del Inmemorial del Rei, 800 botines y 800 pantalones.__Al comandante y á D. Josef Villanueva, del de Infiesto, 1© botines, 1® camisas y 1® pan talones.----A D. Francisco Ramón Cabañas, del de Cangas de Tineo , 245 camisas-----A D. Felipe Díaz, del segundo esqaadron de Madrid , 11 cami sas y n pantalones.__A quatro oficiales 8 camisas y 8 pantalones._…</t>
  </si>
  <si>
    <t>Villanuevi</t>
  </si>
  <si>
    <t>…ntener el llanto de ternura;et buen sacerdote, como la mayor parte del concurso, lo ilevaron por ta caite Ancha hasta su casa (plaza de los Descalzos). En el camino encontraron al señor Villanuevi, y con laS mismas demostraciones de gratitud le incorporaron: con el presidente, repitiendo tos vivas, particularizando á los que se han señalado.• &gt; mas decidj^os por el bien del pueblo: al pasar por el puesto de papeles pú blicos (del Sojj advirtieron que e…</t>
  </si>
  <si>
    <t>Villar, Antonio Alvarez de</t>
  </si>
  <si>
    <t>Antonio Alvarez de Villar</t>
  </si>
  <si>
    <t>…to. Manon de ¡os individuos del comercio de Mima que se han subscripto para mantener sóida ¡os en el exército del Desaguadero, á razón da 16 pesos fuertes mensuales cada soltíaao. D. Antonio Alvarez de Villar, 10 hombres por un año. D. Bar tolomé Va!dés,8id. O. Francisco Xavier Izcue, 8 id. D. Juan Bau tista O variaba! y D. Pedro Abadía, 20 id. D. Lorenzo Tajonar, 2 id. D. Fermín de Arriaga, 2 id. D. Nicolás Soreguí, 1 id. D. Juen Bautista de Sarrata, 2 id D. Jot,…</t>
  </si>
  <si>
    <t>Villar, Josef</t>
  </si>
  <si>
    <t>Josef Villar</t>
  </si>
  <si>
    <t>…y IX Laureano Triarte,, subtenientes del de volunta rios de Ja Corona; D. Andrés Parga, ayudante; D. Ramón Suero Díaz, y D. Francisco Salgado, tenientes, el primero de granaderos; D. Josef Villar mil y D. Vicente López, subtenientes del segunda de granaderos del de yoluntarios de Asturias; D. Josef María Ocampo, subteniente del de San? tiago; D. Pedro Oloris , sargento mayor; D* Francisco Lapedra?a * TXtJosef Salama , D. Gerónimo Londoño;, D. Juan del…</t>
  </si>
  <si>
    <t>Villarroya, Pedro</t>
  </si>
  <si>
    <t>Pedro Villarroya</t>
  </si>
  <si>
    <t>…car retera real de Fraga debía pasar para Lérida una porción de caballos enemigos con alguna infantería , dispuso sorprehenderlos con 30 caba llos que mandó ai efecto al cargo del capitán D. Pedro Villarroya, quien habiéndose apostado , consiguió batirse con ellos y apresar 17 ca ballos, dexando 8 muertos en la carretera, quedando en su poder 2 ginetes prisioneros, de los que hubieran quedado mas á no haberse valido de la fragosidad del terreno, que les favoreció…</t>
  </si>
  <si>
    <t>Villate, Manuel Ortiz de</t>
  </si>
  <si>
    <t>Manuel Ortiz de Villate</t>
  </si>
  <si>
    <t>…iago Cachonfajro, 1 id. D. Tir so Estevanez, 1 id. D. Francisco Bosano , 2 id. D. José Gambini, 1 id. D. Juan de Perlica, 8 id. D. Dimaso de Arias, 6 id. D. Jacinto Xiraeno, 6 id. D. Manuel Ortiz de Villate, 4 id. D. José Rodolfo, 4 id. D. Antonio León, 4 id. D Paulino Domínguez, 3 id. D. Martin de Aramburu, 3 id. D. Francisco Vázquez de Usieda, 2 id. D. José Correa, 2 id. D. Juan Bautista Zaracondegui, 2 id. D. Francisco Antonio Goitesolo, 2 id. D. Miguel Ferna…</t>
  </si>
  <si>
    <t>Villatt</t>
  </si>
  <si>
    <t>…dé España, confiriendo el mandode la dere cha al general conde de Reylle; el del centro ai -general conde de Erlon-; el de la izquierda Ul gérteral1 ClauselV y él de la réserva al general Villatt en clase dé! tenientes generales; y dé la caballería formó tres divisiones &gt; dos de dragones á las órdenes déTós generales Tilli, Treylleard &gt; y la otra de caba llería ligera á las del general redro Soult; y habiéndose dotado este exército Pon'gran núiherodep…</t>
  </si>
  <si>
    <t>Villatte</t>
  </si>
  <si>
    <t>…un he hallado que el enemigo ocupaba la ciudad con una división de infantería, quatro esquadrones de caballería y algunos cañones del exército del mediodía, todo á las órdenes del general Villatte. Evacuó la ciudad quando nos aproximamos á ella ; pero se detuvo mas de lo que debía sobre las alturas inmediatas; y con esté motivo proporcionó oportuna ocasión á la caballería del mando del geiferal Fane y del general Víctor Alten , pasando el Tormes el pri…</t>
  </si>
  <si>
    <t>Villegaa, Estéban Manuel de</t>
  </si>
  <si>
    <t>Estéban Manuel de Villegaa</t>
  </si>
  <si>
    <t>…veramente aquel extravío de la sana de la privanza de D. Alvaro de Luna , y los emules del razón y del arte de bien hablar. marques obscurecieron ó quemaron sus libros , calum (ó) Don Estéban Manuel de Villegaa, á quien el niando su memoria por espíritu de facción , y no por redactor concede el título de marques de Viilagas, pu odio nacional á la civilización y á las letras. blicó sus Eróticas en 1618 i la edad de 13 años, y (5) Habla el reductor de la moda italiana…</t>
  </si>
  <si>
    <t>Villegas, Antonio</t>
  </si>
  <si>
    <t>Antonio Villegas</t>
  </si>
  <si>
    <t>…Tejada, D¿ José Caña y D. Francisco Vargas, subteniente del segundo de Asturias; D. José Rico , capitán; y D. Juan de Oüoqui, teniente del de Gaadalaxara; D* Juan Loarte, coronel; D. Antonio Villegas y D. Antonio Martínez, tenientes ; Don Luis Alcalá, subteniente dei de la Constitución; D. Mariano Castell, teniente coronel; D, José Rio-mayor, capitán; D* Nicolás Collar D. Manuel Ramón Gastell , D. José María Hernández y D. José .efe Paga, tenientes; D. Ventura Nogueyra y D. La…</t>
  </si>
  <si>
    <t>…da, D. Jdsef Caña y.D. Fran cisco Vargas, subteniente del segundo de Asturias; I&gt;. Josef Rico, capi tán, y D. Juan de Odoqui, teniente del de Guadalaxara; D. Juan Loarte* coronel; D. Antonio Villegas y D. Antonio Martínez, tenientes; D. Luis •Alcalá, subteniente del de la Constitución; Mariano Castell, teniente coronel; D. Josef Rio-mayor, capitán ;D. Nicolás Collar, D. Manuel Rajnon Castell, D. Josef María Hernández y IX Josef de Puga» tenientes; IX Ventura Nogueyra y IX Laur…</t>
  </si>
  <si>
    <t>Villegas, Manuel Rubio de</t>
  </si>
  <si>
    <t>Manuel Rubio de Villegas</t>
  </si>
  <si>
    <t>…y distinguida orden española de Garlos m , co ronel y comandante del arma, del licenciado D. Manuel Martin Eugercios, asesor, del doctor D. Alfonso de Cabia, abogado fiscal, y de D. Manuel Rubio de Villegas, escribano; se hace saber , de‘acuerdo con el señor co mandante- general interino de la provincia, y gobernador militar de esta pla za, á todos los que tengan que promover ó continuar alguna instancia lo hagan en dicho juzgado, que se halla en la casa del men…</t>
  </si>
  <si>
    <t>Villena, Henrique de</t>
  </si>
  <si>
    <t>Henrique de Villena</t>
  </si>
  <si>
    <t>…s poesías bres ilustres de Plutarco; qu% Hernando del Pulgar existen inéditas en la biblioteca del Escorial. comunicó á la prosa cierta si-ncillez y flexibilidad en (3) El marques D. Henrique de Villena, al de As- sus Claros varones y en sus Crónicas, y que Antonio torga, el de Santillana, el vizconde de Altamisa y otros. de Librija mejoró la sintaxis de la lengua , haciendo (4) No sabemos ciertamente á qué viene al caso to Utilísimos trabajos en su gramátic…</t>
  </si>
  <si>
    <t>Villodas, Mariano</t>
  </si>
  <si>
    <t>Mariano Villodas</t>
  </si>
  <si>
    <t>r 0 12 tecas ; para více-presidente ¿1 Sr. D. Mariano Villodas, diputado por Ja villa de Madrid; y para secretario el Sr. D. Tadeo Joaquín Garate, diputado por la provincia de Puno. La Regencia del repto se ha servido expedir el decreto siguiente: D. Fernando vii , por la gracia de Dios y por la Constitución de la monarq…</t>
  </si>
  <si>
    <t>Villota, Martin de</t>
  </si>
  <si>
    <t>Martin de Villota</t>
  </si>
  <si>
    <t>…. Los caballeros cadetes premiados son D. Josef dJe la Torre por preferen cia en las clases de geometría y táctica;, D. Toi»as Benitez, en la de táctica;. I)., Dionisio Gisbert y D. Martin de Villota en las de aritmética,y álgebra; T&gt;é Francisco de Lara en las de aritmética y ordenanzas, y D. Juan Sabor!do por su extraordinaria aplicación en ordenanzas y, aritmética. Valencia de agosto, JLa junta superior provincial ha recibido del comandante de la divisi…</t>
  </si>
  <si>
    <t>VilUIva, Antonio</t>
  </si>
  <si>
    <t>Antonio VilUIva</t>
  </si>
  <si>
    <t>…yugo, es difí cil poder explicar esta hmñillacion. de. la corte de Copenhague. PRUSIA. Berlín 2j de Setiembre. Las dos compañías de tropas españolas ai mando del gefe de ba tallón D. Antonio VilUIva, que se pasaron por Mockern , y que en todo son 4 oficiales y 190 hombres , llegaron ayer á esta dudad con sus armas y tocando la mudes: están alojadas en las casas de los vecinos. gran-bretaSa. Londres de Octubre. En Saxonia ríyna el mejor espirito á favor d…</t>
  </si>
  <si>
    <t>Viña, Luis la</t>
  </si>
  <si>
    <t>Luis la Viña</t>
  </si>
  <si>
    <t>¿el ayudaste general de estado mayor D. Luis la Viña, que no qui so separarse de la batalla» aunque recibió dos contusiones» y se sos tuvo hasta ei fio en Soroya. *,E1 teniente general D. Gabriel de Mendizabal, noticioso de la acción» aunque no está destinado á este exército, se presentó inme diatamente , y me…</t>
  </si>
  <si>
    <t>Viña, Petra</t>
  </si>
  <si>
    <t>Petra Viña</t>
  </si>
  <si>
    <t>…hsrituto segundo. B ‘-rm de ?'rs Baronesas. B ir rio de S 1' •cfonso. L&gt;. Juan Sainz de Tejada, alcalde. D Minie! Iisarratru'rre , alcalde. J). Pedro V arge.s, substituto primero. D. Petra Viña, substituto primero. D. Mariano Velando, substituto segnudo. . D. Gaspar Sol/veres, substituto segundo.</t>
  </si>
  <si>
    <t>Viñadez, Víctor</t>
  </si>
  <si>
    <t>Víctor Viñadez</t>
  </si>
  <si>
    <t>…y caballería que compusieron la división sitiadora; como también ei mérito que contraxeron mis ayudantes de campo los tenien tes coroneles D. Josef Ruiz, D. Josef María de Reina, D. Víctor Viñadez y ei teniente D. Benito Díaz , y mi secretario de campaña el sargento ma yor D. Josef Seríate y Saiazar, los quates llevaban mis órdenes repetidas ve ces hasta los pies de los muros enemigos, sufriendo con desprecio mui res petable fuego: el enemigo ha hecho…</t>
  </si>
  <si>
    <t>Vins</t>
  </si>
  <si>
    <t>…rdo del enemigo, ha ciendo algunos prisioneros, entre los cuales se hallan dos capitanes. El coronel bávaro, conde de Sessel ^ ha sido cogido con algunos hombres de caballería. El teniente Vins , del regimiento de húsares de Pomerania, atacó al enemigo en Zesch, y le tomó 52 hombres y 2t caballos de la remonta que iba al regimiento de caballería de ílcsse-Darmstadt. En cuanto hasta ahora sabemos el enemigo no ha pasado aun las fronteras, excepto con…</t>
  </si>
  <si>
    <t>Vinuesa, Josef</t>
  </si>
  <si>
    <t>Josef Vinuesa</t>
  </si>
  <si>
    <t>…o de la Trinidad. D. Sebastian de Echestia, substituto primero. D. Santiago Ubon , substituto segundo. D. Carlos Avanciny, alcalde. D. Juan de Dios de la Pena, substituto primero. D. Josef Vinuesa , substituto segundo. QUARTEL DEL BARQUILLO. Barrio de S. Antón. QUARTEL DE SAN* ISIDRO. Barrio de Mira el Rio. D- Josef Miñones, alcalde. D. Pedro Garrido, substituto primero. D. Gil Antonio Laguna, alcalde. D. Francisco González, substituto primero. D. Rata…</t>
  </si>
  <si>
    <t>Virtus, Felipe</t>
  </si>
  <si>
    <t>Felipe Virtus</t>
  </si>
  <si>
    <t>…enez , D. Fermín Al Aúnate, D. Angel Labiano, D. ber nardo ZaTo, D. Francisco Mtmuce, D. Pedro Mancho. D. Matías Ezcay, D. Félix Beroz, D. Bernardo Sonosiain , IT Mañano Ustarroz, D. Felipe Virtus, D. Joaquín Aquerreta, D. Fermín Josué, 1), Martin Ziarriz, D, Francisco Larrodé , D. Matías Alzorr z, D. J uan Ramón Arlegui, D. Bonifacio Jaso, D; Mvouel Sancho, D. Bonifacio Martínez, D. Julián Gofr , D. Justo Taiazona, D. José María Munuce, D. Antonio Lon…</t>
  </si>
  <si>
    <t>Viru, Joaquín</t>
  </si>
  <si>
    <t>Joaquín Viru</t>
  </si>
  <si>
    <t>…re de i8i3. = Excmo. Sr. = Pedro Agustín Gíron , comandante en gefe. nExctno. Sr. duque de Ciudad-Rodrigos Es copia. =. Winpffem.” = Es copia. TERCERO. Parte del mariscal de campo D. Joaquín Viru*s al general en ge— fe interino del exército de reserva de Andalucía. ,, A consecuencia de las instrucciones de V. S. para la empresa del dia ‘de ayer, la primera brigada de la división de mi cargo al man do d i gen ral D. José Antonio Latorre, obro desde un…</t>
  </si>
  <si>
    <t>Virues, Joaquín</t>
  </si>
  <si>
    <t>Joaquín Virues</t>
  </si>
  <si>
    <t>…iscal de campo D. José Antonio Latorre. »La columna de la izquierda la formaban los regimientos de Se villa, Pravia y Almería , y 100 zapadores á las órdenes del mariscal de campo D. Joaquín Virues. »»E1 brigadier D. José Aymerich, comandante general interino de la segunda división del exército, fué destinado á tomar posición á la entrada del valle de Vera p¿:ra contener las tropas enemigas que pudieran venir de los campos de Zara. »Destiné el segundo r…</t>
  </si>
  <si>
    <t>…l de campo Don Josef Antonio Latorre. „ La coluna de la izquierda la formaban tos regimientos de Sevilla-, Pra*via y Almería y 100 zapadores ,1 á las órdenes del mariscal de campo Don Joaquín Virues. - : „ El brigadier D. Josef Ay merich, comandante general interino de-la se gunda. división del exército, fue destinado á tomar posición á la entrada del ‘ valle de Vera para contener las tropas enemigas que pudieran venir de los campos de Zara. „Destiné el…</t>
  </si>
  <si>
    <t>Vise</t>
  </si>
  <si>
    <t>…ambas. pidiendo Mr. Ligón que salieran de ella los extra Ultimamente , después, de algunas contestacio ños; y con esto Mr. Berinet se levantó, y pro nes mas cutre Mr. Bennet y el capitán Vise ma puso que la cámara se emplazase para otro día. nifestó Mr. Cochrane-Johnstone que tendría siem Divídese esta sobre la cuestión del señalamiento pre el mayor placer un conformarse con los deseos de otro dia, y deséchase por una mayoría de ¿48 de la mayoría…</t>
  </si>
  <si>
    <t>Vitela, Deogracias</t>
  </si>
  <si>
    <t>Deogracias Vitela</t>
  </si>
  <si>
    <t>…amas de D- Benito Sotavento , Don obedecerlos, y otras cosas tan ridíduias como tri Cristóbal Micromegas, D. Simplicio Mueüeüoxo y viales, entre tanto que todo iba de mal en peor; D. Deogracias Vitela; siendo algo mas que ridi de modo que á la vista de tanta confusión, y ad culo el apodo de Bartolo Ballena dado al ministro viniendo un amigo juicioso que e! padre se discul de Hacienda. paba con los hijos, estos con los criados, y cada Si estas ridiculas esc…</t>
  </si>
  <si>
    <t>Vittgenstein</t>
  </si>
  <si>
    <t>…ord: El ejér cito aliado ha continuado retirándose á Bredau y Sck ueidnitz: el cuartel general imperial se trasladó de Jauer á Striegaw el 27, y al siguiente día á esta plaza. «El conde Vittgenstein ha hecho dimisión del mando de los exércitos aliados, que por muerte del mariscal Kutusow le cupo mien tras se hacia un arreglo definitivo : el general Barclay de Tolly lia sido nombrado para exercer el mismo cargo. Con este moávo se Ira hecho una nueva desme…</t>
  </si>
  <si>
    <t>Viüacampa</t>
  </si>
  <si>
    <t>…us avanzadas en la casa blanca que está á la parte de acá de Anglet: el centro en los mimos puntos junto al Nive; pero la derecha permanece atrasada. Ayer entró en esta capital el señor Viüacampa, nuevo gober nador de Madrid. Cádiz 20 de Diciembre. Al medio dia de ayer 19 se verificó la salida de la Regencia de las Españas de su residencia ea la ciudad de San Fernando , para trasla darse á la villa dé Madrid. Lss salvas de la tropa y artillería, y la…</t>
  </si>
  <si>
    <t>Vivanco, Gerónimo</t>
  </si>
  <si>
    <t>Gerónimo Vivanco</t>
  </si>
  <si>
    <t>…en, 20. D. Gerónimo Urriza, 20. D. Joaquín M ^riiuez. S\ D. Juan Bautista Viana, 20. D. Vicente de los Toyos, 20 D. Juan Llano, 17. D José Perez déla Mata, 7. D. José Herrera, 17. D. Gerónimo Vivanco, 10. D. Manuel Ibañ?z, 10. Don Rosendo Gao , 10. D. Ramón Forcelíc 5o, 10. D. Gaspar Gorruehano, 10. El conde San Pascual, 25. D. Martin y D. M guel Ventura Oáambela, por su {demento hecho con calidad de reintegro , á causa de la precipitada salida del baque,…</t>
  </si>
  <si>
    <t>Vivanco, José Domingo</t>
  </si>
  <si>
    <t>José Domingo Vivanco</t>
  </si>
  <si>
    <t>…tonio, dispuso que ios 150 dragones de su mando, que iban escoltando un convoy , se dividiesen°5oá la vanguardia al mando del teniente D. José María Arleoui, 50 en el centro al de D. José Domingo Vivanco, y la re taguardia al del capitán D. Manuel de Arcos. Como el parage era peligroso por la emesura de ios montes que hay a los dos lados del camino, determino que las guerrillas de vanguardia y centro, la primera al mando del alterca D- Juan Taimada, y la segu…</t>
  </si>
  <si>
    <t>Vives</t>
  </si>
  <si>
    <t>…te que pereciese por el hambre, sobre lo que se le tomaría rigorosa cuenta al tiempo de la capitulación. Esta respuesta, contenida en los pliegos dol Lord y de España, la llevó el brigadier Vives, que estuvo dentro cuatro horas. Su recibimiento por parte del pueblo fue el mas tierno y brillante; una multitud de paisanos le aguardaban á la entrada de la misma puerta, y le acom pañaron hasta la casa del gobernador entre las continuas aclamacio nes y rep…</t>
  </si>
  <si>
    <t>Vives, Francisco</t>
  </si>
  <si>
    <t>Francisco Vives</t>
  </si>
  <si>
    <t>…. . D. Calixto Vi!! dva, substituto profiero. •D. Pablo,Marquiep, substituto segundo. ; D. Felipe Monasterio, substituto segundo. Barrio (te la puerta de Sigovia. Barrio de Pinto. D. Francisco Vives, alcalde. D. Ju an Icnacio Berriózaba! , alcalde. D. Tomas Peña , substituto primero. 13. ManuelSala y Piran, substituto primero. D.. Estéban Labios, substituto segundo. D. Ignacio Salgado, substituto segundo. , Barrio denlos Caños del. Peral y Santa Alaría.…</t>
  </si>
  <si>
    <t>…intención de asaltarla. Mandé al momento avanzar desde Alsoin á los regimientos de infantería de Mallorca y Arlanza, que por disposición de V- E. ocupaban esta aldea, al mando del brigadier D. Francisco Vives, comandante ge neral de la segunda brigada de la división, al que previne apoyase su flanco derecho á ia casa Colorada para cargar al enemigo, ade lantando las compañías de cazadores para contener los tiradores enemigos que llegaban ya ai camino' de Viilaba:…</t>
  </si>
  <si>
    <t>…r ayudante comandante Luís de Maucune, barón del Imperio, miembro de ia legión de Honor, gefe del esta do mayor; y el señor general D. Carlos de España nombra al seífor briga dier D. Francisco Vives, comandante general del tercer distrito de la línea del bloqueo, al señor coronel D. Ventura Mena , gefe del estado mayor de la segunda división del quarto exército español, y al señor coronel del real cuerpo de ingenieros del servicio de S. M. Británica Golf…</t>
  </si>
  <si>
    <t>Vives, Francisco Dionisio</t>
  </si>
  <si>
    <t>Francisco Dionisio Vives</t>
  </si>
  <si>
    <t>…neral Catsan nombra al señor ayudante L. de Mauctme, barón del Imperio, miembro dla Leg'on de honor, gefe del estado mayor; y el señor general de España nombra si señor"briga dier D. Francisco Dionisio Vives, comandante general del tercer dis trito de la línea d 1 bloqueo, al coronel de ingenieros Gol: jineh , al servicio de S. M. B., y al coronel D. Ventura de Mena , gefe del</t>
  </si>
  <si>
    <t>Vizcarra, Juan</t>
  </si>
  <si>
    <t>Juan Vizcarra</t>
  </si>
  <si>
    <t>…ligro : su hermano el aTert z D, Pe dro Antonio, y el de la caballería de Tinta ; el valiente y activo Doa Julián Campana ; «^comandante y segundó de lasguemlla* dei Real de Lima, teniente D. Juan Vizcarra ; D. Jacinto Risco; y el capi tán de la de Paroro D. Cristóbal Martines; y su alférez D. Alexo Gomsz han llevado el peso de guardias avanzadas diariamente, y su serenidad y valor han proporcionado una marcha cómoda ai exér cito ; á todos los recomiendo á V. S…</t>
  </si>
  <si>
    <t>Vlí, Fernando</t>
  </si>
  <si>
    <t>Fernando Vlí</t>
  </si>
  <si>
    <t>…a militar de la ciudad de .Quito.” , ‘ ■ , \ : NÚlU. 2.“ ; . ; ;.’ ‘ f ' ‘Respuesta del comandante de Quito. „La fidelidad que este pueblo generoso y su gobierno han pro fesado al Sr. D. Fernando Vlí , á quien tantas v¿ces se ha jurado y reconocido 9 no le permite , mirar bou indiferencia ocupadas estas baíla3 porciones de sus: domhdqs por una gavilla de bandidos y sus Intrusos mandatarios, ni menos el que la religión santa de J ;sucristo sea desterrada d…</t>
  </si>
  <si>
    <t>Volkoüskje</t>
  </si>
  <si>
    <t>…er de estos destacamentos. Tendré la honra de remitir á Y. M. la relación de los sugetos que se han distinguido por su celó y actividad en es-" tos diversos reencuentros. El conde príncipe Volkoüskje, ayudante de Y. M. I ., es digno de la mayor recomendación por haber hecho prisionero á uno de los generales franceses. „A consecuencia de las partidas que destaqué , tengo ya sbierta la comunicación con el conde de Wittgenatein. El coTonei EIraurseu del regi…</t>
  </si>
  <si>
    <t>Volosdini</t>
  </si>
  <si>
    <t>…rp, hicieron mas de K-0 prisión eres. F1 general Milláradovitch participa con fecha de 12 de Noviera* bre, que el mayor general Necff hizo 160 prisioneros en Chaivanaoff. El mayor general Volosdini participa que el coronel Kreiganobski había desbaratado un destacamento de 7G0 hombres que man daba el mayor Aberjeu : parte de ellos fueron muertos, y el resto prisionero, componiendo un total de 370 soldados , 18 oficiales y un cirujano. .Él mayor general P…</t>
  </si>
  <si>
    <t>Voltaire</t>
  </si>
  <si>
    <t>…ausas de la decadencia ae nuestra por espacio de 10 siglos en la nías espantosa barba literatura y .sin, acordarse de que Montesquieu, rie , empezaron a cultivar las buenas letras Don Voltaire y otros sabios del siglo xvtii fulminaron Alonso el Sabio, el marques de V Ule na, el de Sananatemas filosóficos contra nuestras instituciones, tillana, Juan de Mena, Jorge Manrique y otros, menos culpa el redactor á la inquisición que á nues de quienes lleva…</t>
  </si>
  <si>
    <t>Vom-Boy</t>
  </si>
  <si>
    <t>…r de todo lo necesario á nuestras valientes tropas para que puedan perr» seguir valerosamente ál enemigo.— Anoche se reunió el comandante gene ral al mayor general Von-Bostel y al coronel Vom-Boy en. El enemigo se retira por Sonnenwaíde, y le persiguen vivamente los generales Von-BosteJ, Von-Oppen y Von-Halpe con las tropas ligeras; — Gobierno militar del pais entre el Elba y el Oder. := Firmado ==V. L’Estooq. Sack. &lt; ¡ G R A N BRETAÑA, i ¿:,c;Vví , ,…</t>
  </si>
  <si>
    <t>Von-Bostel</t>
  </si>
  <si>
    <t>…n seguramente de pro veer de todo lo necesario á nuestras valientes tropas para que puedan perr» seguir valerosamente ál enemigo.— Anoche se reunió el comandante gene ral al mayor general Von-Bostel y al coronel Vom-Boy en. El enemigo se retira por Sonnenwaíde, y le persiguen vivamente los generales Von-BosteJ, Von-Oppen y Von-Halpe con las tropas ligeras; — Gobierno militar del pais entre el Elba y el Oder. := Firmado ==V. L’Estooq. Sack. &lt; ¡ G R A N BR…</t>
  </si>
  <si>
    <t>Von-Bulow</t>
  </si>
  <si>
    <t>…los puestos avanzados del cuerpo del general Bulow, que se habia retirado rápidamente de Cortbuzen á Luclcau antes de unirse á las brigadas de Von-Bostel y Ven-Boyen. Ei teniente general Von-Bulow tomó posición sobre unas al turas ventajosamente situadas, dexandó Luckau á. su frente. £1 enemigo ata có la ciudad; y protegiendo el ataque con grandes colunas de tiradores, es caló las murallas y las puertas con mucha porción de infantería. La .guarni ción…</t>
  </si>
  <si>
    <t>Vón-Hardemberg</t>
  </si>
  <si>
    <t>…te del Austria el conde de Metternich ; por Fran cia el duque de Vicenza; por Rusia el conde de Stackelberg; por Inglater ra el último enviado hanoveriano cerca de aquella corte ; conde Vón-Hardemberg; y por Prusia el barón de Humboldt , los que habrán de convenir en una base sólida para la paz. En qnanto aquella se verifique los dos exéreitos dexaráir sus actuales posiciones , y ocuparán un espacio mas concentra do.”__ Bonapárte seguía en Dresde ; y el Em…</t>
  </si>
  <si>
    <t>VonOlcfíVon</t>
  </si>
  <si>
    <t>…tieron al teatro , donde fueron recibidos con grandes aplausos.” Una división de tropas rusas al mando del general Bekendorif, segu1?. se dice, ha pasado por Meklenburgo. El conde mariscal VonOlcfíVon, salió de allí para Rostcck el 6 dei corriente con esta noticia. El general Winzingerode llegó á Gorlitz (8 millas alemanas de Dresde ) el 28 de Febrero. Ea 5 del corriente debían avistarse ea Witemberg el emperador Alexandró y el rey de Prusia. ESPAÑA. Badaj…</t>
  </si>
  <si>
    <t>Vorsbringh</t>
  </si>
  <si>
    <t>…lengary , un re la artillería y municiones de .guerra serán enviadas gimiento de milicias y 300 indios. Ei generai iiioom- de Pittsbourg al Lago. iisld dio orden inmediatamente al coronel Vorsbringh de partir con su regimiento de milicia des—- GRAN BRETAÑA. tacada, los fusileros de T. roy para reforzar al mayor Londres 14 de noviembre. Ynung que manda una parte del 8.^ regimiento en Cliatansh, Molun y French-Máds, y al coronel El aLmirante Saumarez ha ll…</t>
  </si>
  <si>
    <t>Vsils, Alexo</t>
  </si>
  <si>
    <t>Alexo Vsils</t>
  </si>
  <si>
    <t>…iaien-t ha sido toda- destruida, quedando prisioneros cíos tenientes, un sargento y 33 soldados, y muertes los demas en el campo .de batalla. «El capitán Vicente, los subtenientes D. Alexo Vsils, D. An-</t>
  </si>
  <si>
    <t>Vsndamme</t>
  </si>
  <si>
    <t>…sioneros. El día 7 se publicaron noticias de oficio , recibidas de Dresde con fechas ie i.° y 2 de este mes; en que te indican, las ventejas del exé cito aliado, resultando que el general Vsndamme con su cuerpo fué atacado y destruido en Bohemia por los aliados , que dando Vandamme , igualmente que el general prusiano Kieist, muer tos en el campo de batalla. Añade el tirano, que la pérdida suya en esta ocasión llegaría á 60 hombres. Exagera en sumo gra…</t>
  </si>
  <si>
    <t>VUlanucva</t>
  </si>
  <si>
    <t>…ncia qite representa, donde no tiene casa gabundos, irreligiosos é inmorales? ni hogar; y después en noticias trata tan mal ó El recogimiento de los pobres para apartarlos peor al señor VUlanucva." ( Redactor general nú de la imam..ate mendicidad era sin duda el pri mero g8j.} mer paso para su educación; pero sin ningún em ,, Calle ancha. Se dice haberse recibido de Amé pleo ni ocupación los pobres hubieran tenido por rica dos expedientes, de los qual…</t>
  </si>
  <si>
    <t>Vülaoampa, Pedro de</t>
  </si>
  <si>
    <t>Pedro de Vülaoampa</t>
  </si>
  <si>
    <t>…amburu, 5 id. D Francisco Marta Zuloaga, 5 id. D Vicenta de la Riva, 4 id. D José II pólíto y D Ambrosio íbañez, 4 id. D. Juan Miguel de Castañeda, 4 id. D. Joaquín d« Asia, 4 id. D. Pedro de Vülaoampa, 4 id. D Juan Macho, 4 id. D. Be nito Ambrosio Canicoba, 4 id. D. Pedro Moreno Altusarra, 4 id. D Joaquín María Ferrer, 4 id. D. Angel de Alfaro y D. Miguel Vertiz, 4 id. D José de Lasarte, 4ríd. (Se continuará.) CADIZ : EN LA IMPRENTA NACIONAL.</t>
  </si>
  <si>
    <t>VV</t>
  </si>
  <si>
    <t>…ente que los franceses fueron derrotados, y que perdieron mas de 2® hombres. Parece que han llegado á Boizemburgo 60 suecos, y que se han reunido á los rusos y ¿ los prusianos. El conde VV ittgenstein ha pasado el Elba á la cabeza de un cuerpo con-» siderable. ,•• £1 exército prusiano , baxo las órdenes del general Blucher, se avanza so bre Erfurt. Las tropas saxonas se han separado de los franceses, y se han retirado á Torgau. No hai siquiera…</t>
  </si>
  <si>
    <t>Vv'alpole</t>
  </si>
  <si>
    <t>…cedido á esta propuesta. Nosotros creemos que que el Austria se haya declarado denodadamente las esperanzas de su completa decadencia no tienen contra él. Hace mucho tiempo que ei lord Vv'alpole el fundamento que se necesitaría para que se viese debe haber llegado á Vierta; pues salió de Peters- obligado á aceptar condiciones que no sean mode burgo el dia 29 de octubre, y el viage era de un radas (4). { Morning-cAronicle.) mes (3). (The Star.) Da las…</t>
  </si>
  <si>
    <t>Vvalmodeii</t>
  </si>
  <si>
    <t>…landa. El cuerpo del general Winzingerode se Halla actual mente en el mismo país. El general Bulow está entre Munster y Arnheim en Gelderlaind. El cuerpo del general Bennigsen, el general Vvalmodeii con los hannoverianos, y el general Adlercrantz con los suecos marchan ^contra Davoust y los dinamarqueses. Según las últimas noticias el general Wrede, que salió herido de la acción de Hanau, está ya fuera de cuidado. EXTRACTO DE LOS PAPELES FRANCESES. •5 V…</t>
  </si>
  <si>
    <t>VValmoden</t>
  </si>
  <si>
    <t>…ocupa aun Ja línea detras de Steckwitz, y el 12 deí corriente tenia su quartel general en Ratzburg. Había destacado á Magdeburgo al general Pecbeux con 8 ó 9® hombres. El general conde VValmoden supo este movimiento por varias cartas que fueron interceptadas en la orilla izquierda del Elba. Marchó con parte de sus fuerzas á Domitz con el objeto de espiar los movimientos dei enemigo, y de obrar ofensivamente contra él si se ofrecía ocasión. Las avanza…</t>
  </si>
  <si>
    <t>VVarrcn</t>
  </si>
  <si>
    <t>…de Sundyoc, que tres yor importancia para la humanidad. Un papel pú navios ¿1 guerra y una gotera, que se decía ser blico contiene los nueces ensayos que han hecho la csquadr/dcl almirante VVarrcn, cruzaban i 16 los Sres. Aubon y Lafont, médicos de Constantimillas de este w.r.tge. , . . nopla v de ‘¿clónica, sobre que la vacuna preserve La socieá :Vl existente para la propagación de la de la peste, i'.i primero pretenta por prueba de es Biblia en I.ór.…</t>
  </si>
  <si>
    <t>VVellington</t>
  </si>
  <si>
    <t>…s; porque han edificado sobre arena, y asi su ellos mismos habían puesto en un estado de furor y de edificio se vendrá á tierra el dia m-nos pensado. Vues frenesí. tro dictador el lord VVellington, testigo que no recu (7) ¡O’i, y qué verdad tan manifiesta; pero qué sareis, declaró la insuficiencia de la constitución pro amarga parí-, los obstinado, fautoie, de la insurrección ! mulgada en i 9 de marzo de 1812 , quando en su aren La ignominia y la afren…</t>
  </si>
  <si>
    <t>…ngleses, ya que se han obstinado en destina para esto personas acostumbradas á quebran no dar oídos á la razón. tarla, como se ve en el caso práctico de haber dis Pero en iin , el lord VVellington ha hecho pro puesto el 6 de octubre del año pasado que el general posiciones directamente contrarias á la constitu Elio la plantificase en las provincias del distrito de ción , la regencia las apoya, y las cortes ni se atre su mando que no tuviesen gefes polí…</t>
  </si>
  <si>
    <t>…se precisamente tratado del mis mo modo hasta que el Burgomaestre fuese, puesto en. libertad*. • PORTUGAL. 'Lisboa 28 de Agosto. Oficio del mariscal general, duque de la Victoria {lord VVellington), dirigido desde su cuarteL general de Le saca, con fecha de 18 de Agosto, ¿í D. Miguel Fereyra Forjaz. »El destacamento enemigo del mando dél general París, que ha bía permanecido en Jaca desde su retirada del Ebro , sanó de aque lla plaza en la noche del 11…</t>
  </si>
  <si>
    <t>…e ios enormes preparativos de una y otra parte debían hacerola esperar por momentos.. ' En la gazeta extraordinaria de 7 del corriente dimos esta misma noticia como comunicada por lord VVellington al gobernador militar de Vitoria Gasset; y un gefe ingles al servicio de España, que se halla de paso en esta capital acaba de asegurarnos de su certeza.. El dia 2 del corriente pasó por delante de Cádiz un ccnvoi ingles con dirección á levante. El dia 4 entr…</t>
  </si>
  <si>
    <t>VVinzingerode</t>
  </si>
  <si>
    <t>…xército combinado. Este ofrece el qnadro de una familia de hombres valientes, que han jurado vencer 6 morir en defensa del honor de sus Soberanos y de la libertad de la Europa. El general VVinzingerode se ha puesto en movimiento atravesando el E’bi con dgonos miliares de cosacos , y el general Czernícheif ocupa ya á Dessau y A C.nthen. El excreto» está junto al Elba, y se reúnen materiales en muchos puntos para el paso de aquel rio. Tres mil prusianos del l…</t>
  </si>
  <si>
    <t>VVittgenstein</t>
  </si>
  <si>
    <t>…puso al príncipe de Schwartzemberg. También conde coró ¡con las insignias de otras órdenes rusas á muchos generales austríacos. El Emperador de Austria ha conferido sus órdenes al conde VVittgenstein , y ha mandado que se levante un monumento en Arbísau,. donde 8© rusos contuvieron el 29 de agosto a 42© franceses. (Diaria de la Caruña.) Madrid 12 de noviembre, -■ En la sesión de Cortes del dia 2 de este més el señor Yandipla llamó la atención del Congreso…</t>
  </si>
  <si>
    <t>VVittingham</t>
  </si>
  <si>
    <t>…General, compuesto de va lientes , decidió la acción, llevando verdaderamente consigo la victoria. Tam bién contribuyó ¿ conseguirla el acierto con que se manejó la artillería deL general VVittingham , quien prestó con prontitud; los auxilios de que1 podía disponer; El distinguido esquadron de Ubrique se portó igualmente del mo do que tiene tan acreditado, en lo que le permitió el terreno poco propicio' para maniobrar la caballería. Por estos esfuerzos re…</t>
  </si>
  <si>
    <t>Vvyganowski</t>
  </si>
  <si>
    <t>…eten muchos excesos, aquí mis se dice a disciplina, y ino es mui peligroso el salir por la noche. Ha falta las provincias vecinas austríacas, que profesando la do poco pata qus el juez Vvyganowski fuese ase misma creencia que los servios, habían por esto sinado, y solo pudo escapar del peligro con mu conservado sus plazas en el'consejo nacional. chísimo trabajo. Tenemos que proveerlos de una cantidad in AUSTRIA. mensa de forrages , por el abuso que hac…</t>
  </si>
  <si>
    <t>VY</t>
  </si>
  <si>
    <t>…•sostenga el gobierno la verdad de la especie emiti da. hl hecho es que la comisión real encargada del Un decreto expedido en el dia 30 de octubre extimen del magnetismo induxo al doctor VY"., ze- último inanda lo que sigue: loso magnetizador, para que á sus expensas y en Considerando los perjuicios qne ocasiona á los ■su nombre particular pasaia. á verse con el patriar habitantes del ducado de Varsovia, y particular ca de los magnetizadores, y…</t>
  </si>
  <si>
    <t>VY'alterskirchen</t>
  </si>
  <si>
    <t>…Un destacaque el de romper por Lohiczyn á todo riesgo.mentó de los caballos ligeros de Hohenzollern, man Este ataque que favorecía la noche, se dio condado por el teniente coronel barón VY'alterskirchen, la mayor intrepidez, y tuvo el mejor éxito. Loscogió en Kletzk 9© hombres y una gran porción de carros. El exército austríaco se dirigió á Slonim, destacamentos enemigos de infantería y caballería frieron arrollados, y se les hizo 30 hombres prisiocon el obj…</t>
  </si>
  <si>
    <t>VYadsworth</t>
  </si>
  <si>
    <t>…ido cinco poblaciones poltawatamies y jnianas , con el fin de sitiar el fuerte Harrisson. ’ mls, sin haber visto un indioEl lunes vino un expreso del quartel- general del El mayor general VYadsworth , comandante de cene ral Bloomiield con la noticia de que el general la. quarta división de la milicia del Ohio , está au Macphersnn habia llegado á Cornsvail con los es torizado para levantar tsoo hombres. Las armas, coceses reales, los cazadores del Glengar…</t>
  </si>
  <si>
    <t>VYartensleben</t>
  </si>
  <si>
    <t>…á reunirse en esta capital, se compone principalmente de caballería ligera húngara. Se aguardan algunos destacamentos de Moravia y Gallitzia, y todo lo manda rá: el fe Id mariscal conde VYartensleben. JDel n.dt navlmbre El general barón Tomasich escribe que en la noehé del 29 de octubre había tomad© por asalto la ciudad baxa de Rnin en JáoPkimac|a.iEl ímerte de dicha ciudad se rindió el dia 31 , y ios franceses consiguieran-, que1 se les concediese volver…</t>
  </si>
  <si>
    <t>W'iísony</t>
  </si>
  <si>
    <t>…a por el primer regimiento portugués de la brigada del brigadier general Wiáson *• del mando del teniente coronel Ee&amp;ro^ , y que así el. mayor general Bradford , como ei brigadier general W'iísony des de el principio habían pedido ansiosamente el empico de sus respec tivas brigadas en,él asalto, ya que habían tenido tanta jarte én los trabajos y fatigas del ataque de la derecha., «Observando entonces el efecto del admirable fregó de las bate rías contr…</t>
  </si>
  <si>
    <t>Wa</t>
  </si>
  <si>
    <t>…dría de Minsk el 18 de este mes para dirigirse á Novoswerschenne. El general Tormasow dice con fecha del 13 que los cuerpos cuar to , sexto y octavo , y la vanguardia del ayudante general Wa&gt;iltschikoff se acantonaba en los distritos de Wilna, Licia Oschoniani y Wilkomirsk, habiendo situado los puestos avanzados de cabulle ría del último pueblo en la aldea de lí^cksti sobre el Berezina, y en Doudi, como también grandes piquetes de cosacos en Nike…</t>
  </si>
  <si>
    <t>Wadin, Juan</t>
  </si>
  <si>
    <t>Juan Wadin</t>
  </si>
  <si>
    <t>…y la satisfacción de que esta operación mía , verificada á las 11 de la mañana y á cuerpo descubierto le intimidase de tal modo, que le deci diese á capitular al dia siguiente. El capitán D. Juan Wadin fué muer to en esta tentativa, como igualmente el subteniente D. Francisco Pe ralta, y herido el capitán'D. Alexandro Amigot, quien después ha muerto de resultas de sus heridas, y unos 20 soldados. Todos estos bra vos oficiales lo eran del primer batallón, y…</t>
  </si>
  <si>
    <t>Wadswoith</t>
  </si>
  <si>
    <t>…enemigo en la provincia dél Altq-J&gt;aaadá^ habiéndose conseguido una victoria- que ha dexadq en mlestr-o pódeífc 900 hombres del exército americano con su comandante el brigadier, general Wadswoith que se rindi en el campo de batalla al mayor general SheaíFe. S. M. y la patria tienen que sentir la pérdida de unode los mas valientes y mejores oficiales en la persona del.mhyor,ge neral Brock,; muerto al principio de la. acción al trente: d-e los grana'-'…</t>
  </si>
  <si>
    <t>Wadswortk</t>
  </si>
  <si>
    <t>…o, que después de una acción corta, pero viva, filé completamente derrotado. Tuve la satisfacción de recibir en el campo de batalla la espada del comandante enemigo , el brigadier general Wadswortk: varios oficia les y mas de 900 soldados han sido hechos prisioneros , y se espera lo sean otros. Hemos tomado un cañón de á 0 y. una bandera. La acción se concluyó cerca de las S de la tarde , y la pérdida del enemigo en -muertos y heridos debe de haber sido…</t>
  </si>
  <si>
    <t>Wahnoden</t>
  </si>
  <si>
    <t>…de Er!on marcharon hacia Hamburgo , después de haber pasado el 31 de mayo el Elba en Ochsenwerder un cuerpo francés. El cuerpo ruso y haneveriano, mandado por el teniente general conde Wahnoden, está aun cerca de Boitzemburgo. La primera división del ejérci to sueco, mandada por el teniente general Sandels, está entre Gadebusch, Sclnverin y W binar. La segunda se reúne en Rostock á las órdenes del ma yor general barón de Posse. La tercera división,…</t>
  </si>
  <si>
    <t>Waiker</t>
  </si>
  <si>
    <t>inmediatamente á aquel punto el regimiento 71 y el batallón de in fantería ligera de la brigada del general Waiker, á las ordenes del teniente coronel Cadogan, y sucesivamente otras tropas; y los alia dos no solo ganaron dichas importantes alturas, sino que á pesar de todos los esfuerzos que hicieron los enemigos para retomarla^, con servaron posesión de ellas durante tod…</t>
  </si>
  <si>
    <t>Wailmoden</t>
  </si>
  <si>
    <t>…nero;» el p-imer ca ñón. Los cohetes incendiarios y la artillería inglesa merecen los ma yores elogios. Durante él ataque avanzó el enenvgo sobre Boitzemburgo; pero sin efecto. El general Wailmoden mudo su cuarel gen ral el 17 á Daan berg para e^tar mas cer a de poder ob crvar aqueja parte del cuerpo de exército del marucal príncipe de E kmuhi, q ie se ha que dado en la derecha del E^ba. ~ El exército r i&gt;de reunido de Bohe mia debe ht;b:r conseguido nu…</t>
  </si>
  <si>
    <t>…er regimiento de línea. El 19 hizo el enemigo con bastantes fuerzas ua reconocimiento desde Mollen hácia^ Zatreníien; y por último se retiró á.Boitzenburgo c&gt;n su ala dere cha. El conde Wailmoden ha recibido órdenes de atacar al príncipe de Eekinuhl - con. todas sus fuerzas reunidas : será apoyado por 15$, hombres ! del alistamiento general del Meeklemburgo y, al mando deL príncipe heredero.. Los alistamientos generales se están organizando en tedas p…</t>
  </si>
  <si>
    <t>Waimoden</t>
  </si>
  <si>
    <t>…atacaron un esquadron dinamarqués en las cercanías de Dessau , y le cau saron una pérdida considerable. El general Vegesack volvió á tomar su posición en Grevesmuilen. El general conde Waimoden volvió á marchar hácia Schwerin; pero se dirigió á Domitz, donde hizo construir un puente para pasar el Elba en el casa que el enemigo destacase parte de su fuerza al lado izquierdo del rio. Las avanzadas del general Tettenborn están cerca de Boitzemburgo. Lo…</t>
  </si>
  <si>
    <t>Waither</t>
  </si>
  <si>
    <t>…mayor general de los exércftos. — Murat, sin mando por ahora. — El general conde Eblee , comandante de artillería. — El general conde Lery, coman dante de ingenieros. — Ei general conde Waither, comandante de la caballería imperial. 2.p Linea del Piba inferior. Davomt, en Hamburgo, y á sus órdenes los generales Vendamme y Loison. 3.0 L usada. Oudinot, en Lnbenau &amp;c. 4.0 Silesia. Mariscales: Mortier, Víctor, Marmont, Macdonal, Gouvion St. Cyr. Genera…</t>
  </si>
  <si>
    <t>Wal</t>
  </si>
  <si>
    <t>…ett nborn. Nuestra pérdida cor¿sis‘e en 30 oficia’es y 400 h mbr. s heridoi y muertos. Los mayores Lutzow , Fíaks y Schass r e t.n he idos. Toda i las tropas del teniente gen. ral conde Wal m. d.n han mostrado su emulación en celo y valor este día. El tercer regimi-nto de húsares ingleses, el i.° de la legión, y otros varios batallones de las legión s i.iglesí y ro a &lt;e h-.n distingui do mucho. Les tiradores de Lutzow y R iche tornero;» el p-ime…</t>
  </si>
  <si>
    <t>Waldegrave</t>
  </si>
  <si>
    <t>…icipo á V. con la major satisfac ción. Tengo la honra &amp;c. = C. Adams t capitán.” Tercero. Oficio del capitán Monbray del navio de S. M. Repulse. » Habiendo encontrado al honorable capitán Waldegrave del na vio Voluntario , reunido con el Undaunted y el Redwing cerca del puerto Morgion, observamos que el enemigo se empleaba con actividad en reparar y remontar las baterías ; y conociendo nosotros la importancia de esta posición para la protección del comer…</t>
  </si>
  <si>
    <t>Waldrop</t>
  </si>
  <si>
    <t>…onducida el misma dia por el mayor general Donkin, el capitán Jacks y la tropa extrangera do caballería ligera, d teniente Miedonzsfii del departamento del ayu dante general, y el capitán Waldrop coa los granaderos del segundo batallón del regimiento 27 tuvieron la oportunidad de dar un ataque vigoroso contra un puesto enemigo, que fué tomado en presencia do un batallón que estaba formado, y fué mero expectador. ,,No experimentamos pérdida en esta oca…</t>
  </si>
  <si>
    <t>Walewsky, Alexandro</t>
  </si>
  <si>
    <t>Alexandro Walewsky</t>
  </si>
  <si>
    <t>…s nuestros canales se ha hecho pedazos , y varias em tinción las mas importantes funciones de la judi barcaciones que se hallaban en ellos se han prepa catura. rado para salir. El señor Alexandro Walewsky, primer nuncio del departamento de Cracovia. GRAN DUCADO DE VARSOVIA. El señor Víctor Szodrsky, uno de los mas ri cos hacendados de la gran Polonia, y distinguido Varsovia 1 ¡de diciembre. por su amor á la causa pública. Por real decreto de 30 del pasado se o…</t>
  </si>
  <si>
    <t>Walker</t>
  </si>
  <si>
    <t>…mbre. durante el mando de Cesar. Mr. Woltmann acaba de dar á luz una nueva traducción de Tácito , que En el día 16 de noviembre el segundo batallón ha sido mui bien recibida; y el profesor Walker, wurtzburgues, que forma parte del cuerpo man de Giesen, está imprimiendo una nueva traducción dado por el general Regnicr, recibió Ja orden de del teatro de Aristófanes, de quien ya se habian tomar por asalto el lugar de Woíkowiska , en don traducido muchas…</t>
  </si>
  <si>
    <t>…que el te niente general sir Rolando HUI se vio en la necesidad de destacar inmedia tamente á aquel punto el regimiento 71.0 y el batallón-’ de infantería ligera de la brigada del general Walker , á las órdenes del teniente coronel Cadogan, y sucesivamente otras tropas; y los aliados no solo ganaron dichas im portantes alturas, sino que á pesar de todos los esfuerzos que hicieron los enemigos para retomarlas, conservaron posesión de ellas durante tod…</t>
  </si>
  <si>
    <t>…quel terreno; la conducta de los oficiales y de la trepa, tanto inglesa como portuguesa, fué tal que mereció toda mi aprobación. «El mayor general Pringle con la brigada del mayor general Walker, á las órdenes del teniente coronel Fitzgerald del regimiento núm. 6o de infantería, sostenida por el 34 ingles y 34 portugués, se opuso con el mayor denuedo á la subida del enemigo á la cum bre del monte en la izquierda de la posición, rechazándole repeti da…</t>
  </si>
  <si>
    <t>…erte posición en la extremidad del paso con una multitud de tiradores al frente. El ataque por nuestra par te fué dirigido por el teniente general Stewart con la brigada del mayor general Walker, á las órdenes del teniente coronel Fitzgerald del 60, el cual hizo retroceder á los tiradores enemigos á la extre midad de la montaña; pero llegando á su cuerpo principal, le halló tan numeroso y tan fuertemente situado, que el teniente general</t>
  </si>
  <si>
    <t>Wallmoden</t>
  </si>
  <si>
    <t>…hfeld, está de frente á Magdeburgo. ; 1 Su ala izquierda está unida al exército ruso, y su derecha al cuerpo de observación sobre el Elba inferior, mandada por el teniente general conde Wallmoden. Su quartel general está en Schwerin, y sus avanzadas llegan á Dessan y el centro hacia Lubeck. El teniente general barón Vegesack 'for ma parte de este cuerpo de exército, teniendo á sus órdenes 3© suecos, 3® prusianos y 3© mecklemburgueses. Los cuerpos sepa…</t>
  </si>
  <si>
    <t>Walmioden</t>
  </si>
  <si>
    <t>…de Glasgow en Escocia___ Por noticias comunicadas de la costa de Francia á la esquadra inglesa del Texel c&amp;nsta que las tropas dinamarquesas se sublevaron contra Davoust, y que el general Walmioden, aprovechándose de este suceso, le derrotó completamente. También-se decia que el mariscal St. Cyr se había pasado á los aliados; y finalmente que Bonaparte salía de París para Holanda, donde reúne un exército de óo© hom bres, inclusas las guardias. _Por noti…</t>
  </si>
  <si>
    <t>Walmíóden</t>
  </si>
  <si>
    <t>…nia.__ . El quartel general del Príncipe Real estaba el 29 en Dihgelstadt, el 30 en-Heiligenstadr; y el i.° en Gottinga. EV ^eñerat Worbnzó'w con la vanguardia del exército * y el general Walmíóden ¿oik los rusos, entraron en . Cassel el 30. ' v‘ ’v';’ : ' P ' " Se han recibido partes'del general Czernicheff, fecha de 27 de octúbre, en que avisa haberse apoderado de Fulda, donde hizo 500 franceses prisione ros., destruyó los almacenes del enemigó, cortó…</t>
  </si>
  <si>
    <t>Walmoden</t>
  </si>
  <si>
    <t>…). Idem del 2 de julio. Ha llegado esta mañana el correo de Heligoland con cartas de esta isla hasta el 28 de junio, y de Hambürgo hasta el 24. Los suecos y el cuerpo al mando del general Walmoden no están comprehendidos en el armisticio. JHamburgo está declarada por el gobernador francés en estado de sitio, pues to que los enemigos no distan mas que 12 millas. Hace poco mas de seis semanas que llegó á Vmcenñes un coche escol* tado por, 200 soldados de…</t>
  </si>
  <si>
    <t>…en si ene migo en su retirada, dexando cubiertos los caminos de armas y ca ballos muertos ó inutilizados, edemas de haber destruido la retaguar dia francesa sus mismos bagages. El general Walmoden fue atacado el 21 por la tarde, entre Vallahn y Camin, por un cuerpo enemigo de 2c® hombres, mandado por el príncipe de Eckmuhl; la batalla duró hasta muy entrada la noche, y las posiciones fueron mantenidas por ambas partes. Nuestra pérdida fué de unos roo h…</t>
  </si>
  <si>
    <t>…or el gobierno francés, y han cogido muchos carros de municiones. Ademas el general Vegesack observa los mo vimientos del enemigo, y con arreglo á ellos toma sus disposiciones. Ei general Walmoden, recelando que el enemigo se adelantase con tan arriesgada maniobra, avanzó á Gabreu; pero el 26 volvió á mar char hácia Schwerin de donde no se ha atrevido á moverse el enemigo. Los cosacos han hecho unos 100 prisioneros franceses y di namarqueses. El conde…</t>
  </si>
  <si>
    <t>…rros de municiones. Secretaría del almirantazgo 2 1 de setiembre. El contra-almirante Moor escribe el 10 de setiembre á Mr. Croker desde la plaza de Rostock, participándole que el general Walmoden tenia el dia 8 su quartel general en Domitz. Hemos recibido cartas de Altona, fechas del 14, 16, 17 y 18 de setiem bre hasta las ocho de la noche, anunciando que Bcrnaparte, según decía Mr. Thornton , habia tomado el mando de los cuerpos de Ney y Oudinot-, y…</t>
  </si>
  <si>
    <t>…dia 30, y mas carros de municiones. Secretaria del Almirantazgo. El contra-almirante Moor escribe á M. Croker desde la plaza de Rostock, el 10 de Setiembre, participándole que el general Walmoden tenia su cuartel general en Domitz el dia 8 del mismo mes.ESPAÑA. Santiago 4 de Octubre. El Sr. D. Luis Lacy, capitán general de Galicia y su exército de reserva \ después de haber hecho ia visita de cárceles por lo res pectivo á lo militar en la Ccruña y Fer…</t>
  </si>
  <si>
    <t>…erzos del príncipe real de Su ecia, después de la victoria de Gross-Beefen, se ha puesto en es tado de perseguir al enemigo , y obligarle* á evacuar á Wismar.. Tengo un oiicio del conde Walmoden con fecha de Wobiin el 28 último , en qtse me informa que en virtud de las victorias del prín cipe real de SueJa, se ve en estado de volver á comenzar sus ope raciones contra Davoust, que aun estaba en*Schwerin. Oficio de E. Thometon al primer secretario de E…</t>
  </si>
  <si>
    <t>…acaron á un escuadrón dinamarqués en las inmediacio nes de Dess. u , y le causaron considerable perdida. El general Vegesack volvió á tom¿r su posición en Grevesmullen. El general conde Walmoden volvió también á Schwerín, y de allí fué á Domitz, donde hizo construir un puente para pasar el Elba, en caso de que el enemigo destacase pane de su tuerza para el ludo iz quierdo del rio. Los puestos avanzados del general Tettemborn estaban junto á</t>
  </si>
  <si>
    <t>…deLangefuhr, donde perdió el ene migo 1© hombres, inclusos 7 ofi dales y 250 soldados prisioneros: la de los aliados fué de 300 hombres. — En virtud de un movimiento hecho por el general Walmoden para reunirse al general Vegesack en Rostock el 28 de Agosto, el mariscal Davoust se retiró de Schwerin á Lubeck y Ratzburgo, á pesar de tener una fuerza de 18© fran ceses, 120 dinamarqueses y 100 piezas de artillería, perdiendo mas ce 5 00 prisioneros. - \ E…</t>
  </si>
  <si>
    <t>…gazetas inmediatas. Su resultado es describir varios movimientos del exército aliado, la toma de Bautzen y Rumburg por asalta, la de-rrota de 60 france ses en Dan neberg, donde el-general Walmoden hizo prisioneros un general, tres coroneles y 1200 soldados con ocho cañones. También anuncian que el duque de Ragusa en retirada fue atacado y perseguido por el destaca- mentó del coronel Figner, que le mató mucha gente, le hizo mas de i® prisioneros, y cogi…</t>
  </si>
  <si>
    <t>…Príncipe de la Corona estaba el 16 en Zerbst t y la mayor parte de su exército había pasado el Elba. El general Bulovv está sitiando á YVÍttemberg.. El 15 del corriente derroto el general Walmoden en Danneberg un cuerpo de 6© franceses; quedaron prisioneros 1200 soldados , un general y tres coroneles, y se cogieron ocho piezas de artillería. Boletines del exército aliado del norte de Alemania. BOLETIN DECIMOTERCIO. Quartel general de Ley de n de setiem…</t>
  </si>
  <si>
    <t>…ía inglesa y el cuerpo de los roquetes merecen los mayores elogios. Durante este ataque avanzó el enemigo, aunque sin efecto, con algunos millares de hombres sobre Boirzemberg. Eí general Walmoden mudó el 17 su quartel general á Danneberg para poder observar desde mas cerca aque lla parte del cuerpo de exército del mariscal príncipe de Eckmülh, que ha bía quedado en la orilla derecha del Elba. El exército grande unido de Bohemia debe haber ganado nueva…</t>
  </si>
  <si>
    <t>…s Regnieiv, Narbonne y Margaron. El contenido demuestra que no solo desertan diariamente los soldados de esta débil guarnición, ,sino también ios sargentos y oficiales. Ei general conde Walmoden refiere con fecha del 19, que el general Tettemborn había perseguido al enemigo en su fuga hasta, Bleckede, Brackede, Limenburg, Wjnsen, y aun,hasta Haarburg: por .todas partes hemos cogido soldados que se habian quedado rezagados. El general Pecheux es capó…</t>
  </si>
  <si>
    <t>…ficiales prisioneros, y mas de 2$ están en caminóJpara aquella ciudad. Habrá de 233© enfermos en los hos pitales de Juterbock, Treuenbritzen, Retzig y Brandemburg; y el cuerpo del general Walmoden, que envia sus prisioneros á Stralsund, ha cogido mas de 4©. Si añadimos á este numero los muertos, heridos y extraviados, so podemos calcular la pérdida total de los exércitos que se oponen al del norte de Alemania en-menos de 45® hombres desde el 17 de agos…</t>
  </si>
  <si>
    <t>…nzingerode llegará á Bremen dentro de uno ó dos dias: los suecos se di rigen sobre Hamburgo. El cuerpo del general Bennigsen baxa el Elba, y ha llegado á Lutzen. Este general y ei conde Walmoden obrarán á la orilla derecha contra la po sición de Davoust en Stecknitz. Los generales Winzingerode y Bulow no detendrán su marcha á Holanda. Las marchas del mariscal Blucher son las siguientes: el 10 á Freyburg, el 11 á Vegerbash, el 12 á Freeburg, y el 13 á…</t>
  </si>
  <si>
    <t>…sianas, de jando las operaciones en esta parre del Norte, donde está Davoast y ia conquista de Hamburgo . ai general barón Adkrkreutz con las tropas suecas, el cuerpo que manda el general Walmoden, y e! ruso del general Beniagsen.” Se habla de la conquista de Dantztck; pero el gobierno parece no ha recibido mas pliegos que del coronel M’Dorudd, que está de lante de la plaza, y participando solo , con fecha dd 1 0 del cor riente, haberse tomado por asal…</t>
  </si>
  <si>
    <t>Walmodext</t>
  </si>
  <si>
    <t>…los habitantes de la antigua marca de Brandemburg contra las requisiciones, que hacen las partidas volantes y el gobierno de Westfaíia. Habiendo tenido noticia el teniente general conde Walmodext de que el príncipe de Eckmülh había destacado la división del general Pecheux á la orilla izquierda del Elba, pasó este rio en Domitz, y el 16 encontró en su marcha al enemigo. El general Pecheux se había situado ventajosamente en las alturas detras de Gorde.…</t>
  </si>
  <si>
    <t>Walpole</t>
  </si>
  <si>
    <t>…or, pues sus súbditos están dispuestos á sacrificarse por no verá su monarquía tan dependiente de la Francia, que hace sacrificarlos contra sus amigos los rusos. Se asegura que el lord Walpole ha marchado hácia las fronteras de Austria á conferenciar con los generales austríacos , y que la Kusia ha enviado á un agente suyo ocultamente á Viena. Se dice también que hay cartas de aquella capital asegurando que los partesde los generales rusos relativo…</t>
  </si>
  <si>
    <t>…e en Pe ters burgo mas de 400 piezas de artillería cogidas ai enemigo. Las banderas que ha perdido el mismo están colocadas en la iglesia de tCassan de aquella capital. Dicese que lord Walpole partió de Peteraburgo para Viena. ORAN-BRETAÑ A* Landres 16 de Diciembre, En un diario de Malta del mes anterior se leen las siguientes reflexiones acerca del Austria, y otros estados del continente. ,,La casa de Austria parece que se considera segura en medi…</t>
  </si>
  <si>
    <t>…756 ros por sostener una lucha, que vuestra población y las fue la que creó la marina y dió la libertad á la América. necesidades de vuestros establecimiento- de Asia y de Vuestro lord Walpole no está ya en Viena; ni aun si América no pueden soportar. La España es para la di quiera le han querido escuchar. Ninguna potencia del nastía francesa, y no hai esfuerzo humano capaz de continente se apartará de la Francia, ni dará oídos í impedirlo. ( Meta…</t>
  </si>
  <si>
    <t>'349 Idem del . Según noticias de Edimburgo el lord Walpole estaba para embarcarse inmediatamente en Leith para ¡r al Norte con una comisión política; ESPAÑA. El general Lamarque* gobernador actual de Lérida, creyendo sacar ven tajas de la circunstancia de ¿star la;infantería de la brigada volante del man do del señor…</t>
  </si>
  <si>
    <t>…uñar monedas con las armas del Hannóver para pagar las tropas inglesas que están en el continente y las alemanas que sirven á nuestro sueldo. Se dice que el objeto de la misión de lord Walpole á S. Petersburgo es recibir las proposiciones de paz de la América por la mediación de la Rusia. El príncipe d’Orange tuvo una larga conferencia en el almirantazgo coa el lord Melville. Se dice que el lord Burguersh marchará mui pronto al continente á desempe…</t>
  </si>
  <si>
    <t>Walther</t>
  </si>
  <si>
    <t>…icias de Róma de 22 del pasado annncianque la primera división napolitana bábia llegado i Terraeina. Idem del 2. El conde de Narbona ha muerto en Torgaü: igual suerte ha tenido ti general Walther. (Nada se habla de los exércitos d«I Rhin.) V Madrid 27 de dfcfaytirfe. En una carta atrasada» que hemos recibido de Azcoy tía, fecha 16 del corriente j dicen que aunque es cierto que el qüarto exérci to recibió orden de avanzar, se suspendió en virtud de otr…</t>
  </si>
  <si>
    <t>Warren</t>
  </si>
  <si>
    <t>…roposiciones de un ar misticio, que han sido recibidas aquí: una de ellas dirigida por las autoridades de Halifax y del Canadá, otra por el gobierno bri tánico mismo por medio del almirante Warren ; y las razones por que ninguna ha sido admitida. Nuestros negocios con Francia están todavía en el mismo esta-</t>
  </si>
  <si>
    <t>…conferimos también el mando en gefe de las tropas del mayor general "Bulow* Breslau n de Marzo de 1H13. zzFederico Guillermo, ESTADOS-UNIDOS DE AMERICA. Baltimore r.° de Mayo. El almirante Warren estrecha cada dia mas su bloqueo en el Chesapeak ; y no solo la ciudad de Baltimore, sino todo el estado de Mary-Land, que es uno de los mas democráticos , y el que con mas violencia se ha declarado contra la Inglaterra, van á experimen tar de veras todos los…</t>
  </si>
  <si>
    <t>…a en la provincia de Maryland: se esperaba que Elktoivn tuviese la misma suerte: Charlstown estaba en gran consternación.__ Se efectuó un desembarco en Baltimore, y se dice que el almirante Warren estaba el 6 del pasado delante de aquella ciudad, preparándose para bombardearla. (Gazeia de Lisboa _p de julio.) Idem del 22, La fragata francesa Areítisa encontró al barco americano le Suecess, que venia de Boston, y se dirigía á Cádiz 5 le apresó, y le ech…</t>
  </si>
  <si>
    <t>Núm. ai. [8 qtiartos.l 217 DEL MARTES 27 DE# JULIO DE 1813 BAXO EL GOBIERNO DE LA REGENCIA DE LAS ESP ANAS, ESTADOS-UNIDOS DE AMERICA. Baltimore i.° de mayo. El almirante Warren estrecha cada día mas su bloqueo en el Chesapeak; y no solo la ciudad de Baltimore, sino todo el estado de Maryland, que es uno de los mas democráticos, y el que con mas violencia se ha declarado contra la Inglaterra, van á experimentar de veras todos los hor…</t>
  </si>
  <si>
    <t>…emado á Havre de Grace en el Marytaud; E.lkMo wn temía la mima suerte ; y Charlesto^ n estaba en 'a mayor cons ternación. Se verificó un desembarco en Baltimore ; y se dice que el almirante Warren se disponía á bombardear á aquella ciudad, á cuya vista se hallaba. Davoust ha publicado en Hamburgo un decreto, mandando que de cada i© hombres se aliste uno para el exército, baxo la pena de confiscación de bienes. Escriben de Gottenburgo el 22 de Junio: »e…</t>
  </si>
  <si>
    <t>…del corsario americano el Earagon, el 14 de Agosto. Una carta dei capitán Oliver , del Valiant, dice que sas fragatas Acaste y Atalante han des truido 15 buques en Lorg Is'and. El almirante Warren escribe de Halifax, el 23 de Setiembre, oue i&amp;s tropas mondadas por Sidney B^ck -viih desembarcaron en frente de Peplar Isíand, de donde ho yo el enemigo, y destruyo un as-illero y 2 6 3 barcos grandes. El ca pitán Dishwood , del Sn p, apreso al León, corsari…</t>
  </si>
  <si>
    <t>Warren, Sir J. B.</t>
  </si>
  <si>
    <t>Sir J. B. Warren</t>
  </si>
  <si>
    <t>…ra Se han tripu lado estos buques con toda la celeridad posible de órdén del almi rantazgo. Con fecha de 1S de Octubre último ha dado cuenta el capitán de navio J. P. Beresford al almirante Sir J. B. Warren, que el na vio de su mando había apresado el mismo dia á la corbeta americana Wasp de 20 cañones, mandada por el capitán Jones, y represado el bergantín de S. M. el Frolic, que la corbeta había tomado después de un combate de ¿0 minutos. El capitán Broke, com…</t>
  </si>
  <si>
    <t>Wasiltschikoff</t>
  </si>
  <si>
    <t>…ario de tas operaciones 'miniares desde el 13 al 25 de Diciembre. Diciembre 13. El general Tormasow da cuenta con fecha del 11 que las diversas partidas destacadas por el ayudante general Wasiltschikoff hablan descubierta un cuerpo austríaco de 3000 hombres, cuyos puestos avanzados de caballería ocupaban á Novcgrodeck y' Gavión, y que un destacamento enemigo que se retiraba con preci pitación habla sido derrotad a por los cosacos á las órdenes del ayu dante…</t>
  </si>
  <si>
    <t>Wasiltschíkow</t>
  </si>
  <si>
    <t>…a con mas prontitud en el resto da sus estados que en la Silesia. Id. 27 de Febrero. Continúa el diario de las operaciones militares del exército ruso. Dia 6 de Enero. El ayudante general Wasiltschíkow participa en 2 del corriente , que según informes de aquel pais, todo el exér cito francés pasó por l'nsterburg en retirada; y que no httbi&amp;n que dado mas que 1500 hombres de toda la guardia imperial francesa. Día 8. Ei general conde Wittgenstein comunica con…</t>
  </si>
  <si>
    <t>Wasitscbikoff</t>
  </si>
  <si>
    <t>…. Las tropas de guardias se han acantonado en el pueblo y arraba les, y en sus íiuneóiaciones. Id. 18. El cuartel general del príncipe Kutusow se halla en Wilna. Id 19 E¡ ayudante general Wasitscbikoff ha llegado boy con su destacamento á Mcsty. Iá. 20. El teniente general Schepeleff dice, que el 10 del cor riente de tacó 1000 hombres de la milicia de Kalouga á Bobrouisk. El ayudante general conde Oschí.Toff¿ky refiere con fecha de 19 de este mes, que el ma…</t>
  </si>
  <si>
    <t>Wassiltschikow</t>
  </si>
  <si>
    <t>…ones de caballería con SO piezas de artillería. De este modo á Macdonald no ' le quedarán mas que unos 5000 hombres de varios cuerpos y 20 pie • zas de artillería. ■ ; El ayudante general Wassiltschikow participa en 31 de Diciem bre , que las tropas austríacas continúan su retirada, habiéndose di- 1 vidido en tres columnas con dirección ¿ Varsovia; y que éi se halla con su destacamento en Menshenin. Éi general conde Platow continua su marcha á Insteiburgo co…</t>
  </si>
  <si>
    <t>…aballería para perseguir al enemigo. Durante la persecución desde Tilsit á Konigsberg , y después de la toma de esta ciudad, perdió el enemigo 51 piezas de artillería. El ayudante general Wassiltschikow participa en 5 de este mes, que las tropas austríacas después de fortificar sus puestos avanzados, se habían retirado hacia Varsovia. El cuartel general del emperador y del feld-mariscal llegaron es te dia á la aldea de Meretsch. (Se continuará.) El emperador…</t>
  </si>
  <si>
    <t>Wastetschicow</t>
  </si>
  <si>
    <t>…siguientes noticias oficiales: 5 ... Los cuerpos de los generales Langeron y Sacken pasaron la noche del 19 del corriente en Skenditz, y el del general York en Halle. El dia 20 el general Wastetschicow, que había pasado el Elster, avanzó á Lutzen, é hizo 2100 prisioneros. El general Von Blucher mandó que el dicho cuerpo de exército marchase de Skenditz á Lutzen, por no estar aun prontos los puentes en Leipsick. A este tiempo había marchado de Halle á Muchel…</t>
  </si>
  <si>
    <t>Wattevilie</t>
  </si>
  <si>
    <t>…erán tropas de Zurich y de Berna, de donde marcharon el día ó cinco compañías de infan tería á reforzar el cor don de las fronteras, después de haberlas revis tado ei ex-landmann, general Wattevilie, quien.del modo mas afec tuoso instruyó á ía tropa de los deberes é intereses de nuestro país en el actual estado de los negocios políticos.—EL gran consejo de esté cantón ha tenido hoy cna sesión extraordinaria, y nombrado ai ge neral Wstteviile para diputad…</t>
  </si>
  <si>
    <t>WaÜenstein, Henrique J. de</t>
  </si>
  <si>
    <t>Henrique J. de WaÜenstein</t>
  </si>
  <si>
    <t>…apital con pliegos para el gobierno, no comunicó noticia alguna de importancia: habló solamente de lo que ya hemos: publicado. Ha llegado á Cádiz con una combion de su gobierno el Sr. D. Henrique J. de WaÜenstein, despachado por el Excmo; Sr. Tattischefd, ministro nom brado de Rusia cerca de nuestra corte. Su llegada, y el saberse que dicho señor ministro se prepara á trasladarse cerca demuestro gobierno, son prue bas nada equívocas de la bueñas-armonía que reina entr…</t>
  </si>
  <si>
    <t>Wavren</t>
  </si>
  <si>
    <t>…de Halifax y del 1 ñares, que tanto repugnan á los principios de nues Canadá, y la otra del gobierno ingles mismo por tro gobierno libre, y contra cuya necesidad se han medio del almirante Wavren. Estos mismos docu considerado las milicias como un baluarte constitu mentos demostrarán igualmente los motivos por que cional. no han podido aceptarse dichas proposiciones. ,, En las costas y en el Océano nos ha sido la continuará.) guerra tan próspera, como…</t>
  </si>
  <si>
    <t>Wc</t>
  </si>
  <si>
    <t>…ulcificar los infinitos trabajos que miento de la Carlota para regente nos sujeta á la «hanpadecido .os portugueses en tan cruda y sau- tiranía civil de la Inglaterra, como el del lord Wc« grientá guerra ? Por qué ha permanecido trau- lüngton para generalísimo nos ha sometido á su «quila en Rio-Janeiro, en un país pajíico y tan despotismo militar: ia princesa del Brasil, baxo «distante, quando los sagrados deberes de reger.- qualquier aspecto…</t>
  </si>
  <si>
    <t>Wcliington</t>
  </si>
  <si>
    <t>…bres y algunos guardias nacionales----- Sin em bargo de carecer nuestro exército en el día de algunos artículos, se nota en él un entusiasmo extraordinario y la mayor confianza en lord Wcliington. Escriben de la línea que la estación va mui adelantad*, y llueve copio samente : hacen la descripción mas hermosa de los campamentos portugue ses é ingleses, á cuyas tropas nada falta. Parece que unos y otros han re emplazado ya sus baxas, y tienen almacenes…</t>
  </si>
  <si>
    <t>Wcllíngton</t>
  </si>
  <si>
    <t>el lord Wcllíngton, en lo respectivo á la transmisión tiguos Césares, desde el qnal podréis oir sns cordia de estas posesiones á los herederos varones del mar les aclamaciones. Allí recorreréis los monumentos ques, ha acordado la cámara que se delibere de célebres que se han sa…</t>
  </si>
  <si>
    <t>WcronzoíF</t>
  </si>
  <si>
    <t>El 3 de Setiembre Fuá destacado el teniente coronel Zbacha por el general WcronzoíF, para tomar posesión de los bosques junto á SchrM¡lkendo:f, y cxecutd sus órdenes como se deseaba. Después fué cercado por el enemigo con cuatriplicadas fuerzas, y sin embargo le hizo f¿ente, y se retiró por su camino en buen orden y con poca pérdida. Schmilk…</t>
  </si>
  <si>
    <t>We</t>
  </si>
  <si>
    <t>…obligue por fin á hacer la paz, por la que ' S. A. R. asegura en seguida que aprueba los se han despreciado hasta ahora quimas insinuacio elogios que se han dado tan justamente á lord We nes ha hecho la Francia. ¡ La paz! ¿Jamas resonará llington y á su exército. También nosotros unimos en nuestros oídos tan dulce palabra ? Et discurso de en esta parte nuestros sentimientos con _los del Prín S. A. R. no nos da tal perspectiva, y ya sabemos ci…</t>
  </si>
  <si>
    <t>…fuerzos como hasta aquí, ganaremos nuestra sagrada cansa. Ober-Groiitz, cerca de Schweidnuz 5 de Junio. = dirico GuiUcrino.” Han "recibido orden para ir á reunirse al exército d-d lord We llington 4© Infantes y. 1200 caballos; los cuales desembarcarán en Santander. Entre los regimientos desuñados á esté s. rvicío, se hallan el 7.® de húsares, y varios destacamentos del 13 y 14 de dragones. Ei cuarto batallón del regimiento numero. i.° ó reales…</t>
  </si>
  <si>
    <t>…e la toma de un gran barco apresado por los botes del Cerbero, baxo los fuegos de una batería próxima á Brindisi.” Idem 21. Para celebrar las gloriosas victorias del feíd-mariscal lord We— llington, duque de Ciudad-Rodrigo, se dio ayer en los lamosos jar dines de Vauxhall una fiesta de las mas solemnes y expiéndidas qua jamas se han visto en esta corte; la cual consistió en una gran co mida que presidió el señor duque de Ydrck, iluminación muy…</t>
  </si>
  <si>
    <t>…se reunió á los patriotas ho landeses. Hemos recibido también otro boletín del quarte! general del Príncipe de la C orona, cor fecha de 22 de octubre, y contiene lo siguiente: El general We$$elchikoft atacó la retaguardia de Murar en Weissenfels,</t>
  </si>
  <si>
    <t>We'lington</t>
  </si>
  <si>
    <t>…lación circunstanciada , que tanto deseamos, de la batalla ganada á loí franceses el dia 21 del mes pró ximo pasado. Pero aun no ha venido; y como probablemente le habrá re mitido lord We'lington á la Regencia, debemos confiar en verle mui pronto en la gazeta del gobierno. Entre tanto iremos extractando las cartas que lle guen á nuestras manos, cuyo contenido nos da cada vez mas motivos para creer que la destrucción del exército francés ha sido mayor…</t>
  </si>
  <si>
    <t>Web</t>
  </si>
  <si>
    <t>…abia por lo de 1200 sioux , sacs y foxes, con 150 winneba- menos 300 ó 400 indios reunidos. t?,ues, para invadir nuestros establecimientos. J’.stos El ¡unes 14 salió del fuerte el general Web con salvages han llegado á ser temerarios por el buen i© hombres de tropas montadas para ir á destruir exítonque han tenido en sus empresas. Es verdad los pueblos Polrawatamies, á 40 millas en contor oue nosótros tenemos pocos soldados en Bello-Fon- no , v de…</t>
  </si>
  <si>
    <t>Wei, Isidoro</t>
  </si>
  <si>
    <t>Isidoro Wei</t>
  </si>
  <si>
    <t>…ximo pasado, se manda llamar, citar y emplazar á lodas'y cyalesquier personas que se c«nsidereíy*creedo-zas y escudos. En las relaciones quarta y quinta indica Mr. res del difunto D. Isidoro Wei*, vecino y del comer cio que fue de esta villa, para qtíc dentro del términode Marchangy el argumento de dos poemas épicos. de nueve dias, que por tres términos se les señala, acuEl primero trata de los Hunos, de las empresas y dan ante su señoría, y por Ja e…</t>
  </si>
  <si>
    <t>Weíiington</t>
  </si>
  <si>
    <t>…den de S. Jorge, y S. Me el rey de Frusta con la del águila Aoxa á S. A. el príncipe Federico de Orange , hermano dei-príncipe he redero que sirve en la península á las órdenes de lord Weíiington, en recompensa de sií distinguida conducta en las batallas de Lutzen y Bautzcn. .&lt; Man salido de Glatgou hacia Leiíh, con el objeto de embarcarse para E&gt;paria, varios destacamentos •• de los regimientos 27, 71, y 92. El regimiento 33 se ha embarcado en Harwic…</t>
  </si>
  <si>
    <t>Weiiington</t>
  </si>
  <si>
    <t>…xando en nuestro peder otros 3 cañares y sígueos prisioneros. ~ Ultimamente, todas las cartas convienen en que la bizarría y en tusiasmo de los españoles llenó de asombro al mismo lord Weiiington y á las demas tropas inglesas y portuguesas de su mando. ARTICULO DE OFICIO. La Regencia del reyno se ha servido expedir el decreto siguiente: D. Fernando vil, por la gracia de Dios y por la Constitución de la monarquía española, rey de las Españas, y en su a…</t>
  </si>
  <si>
    <t>Weiliagton</t>
  </si>
  <si>
    <t>…ue en aquella estación (el mes de Abril) era sumamente oportuno un ata qué contra la fuerza principal de los franceses en el mediodía de España ; y así hubiera querido verificarlo lord Weiliagton, a no ha ber tenido que encaminarse aceleradamente al norte con objeto de rechazar las fuerzas de Marmont, y proveer de bastimentos á las plazas de Almeyda y Ciudad-Rodrigo. En efecto, sabia que no es taban suficientemente provistas, aun para resistir á las,d…</t>
  </si>
  <si>
    <t>Weilington</t>
  </si>
  <si>
    <t>…ó Lord Ca-tlereagh anunció para discutirse pasado 200 ducados. mañana una moéion dirigida á que el parlamento - « Las obras serán entregadas ó remitidas á la di decrete gracias á lord Weilington y á su exército. rección gsneral deria instrucción pública para fin de El Principe Regente recibió ayer en el trono enero-de cada año, la quat época es perentoria. Ha el discurso dé gracias de la cámara de los comunes, brá un juzgado que éxáminará los dramas…</t>
  </si>
  <si>
    <t>…0 eran reclutas; de suelte que el refuerzo verda dero antes de la batalla de Salamanca ascendió á poco mas de 3009 hombres. Oíros 6 é 7000 veteranos no llegaron á incorporarse con lord Weilington hasta después de la batalla; y aunque se enviaron reclutas en gran número, tampoco pudieron reunirse hasta pasada la campaña. A*i que, hablando con exactitud solo recibió lord WeUington SOCO hombres de refuerzo entre infantería y caballería ántes dé la batall…</t>
  </si>
  <si>
    <t>Weílington</t>
  </si>
  <si>
    <t>…enido la singular complacencia de que el primer brindis después de los nacionales fuese por Fernan do VIL . ESPAÑA.. Puente la Bey va 5 de Agosto. Hallándose el cuartel general de lord Weílington en Lesaca el' 25 del pasado, supo S. E. á las 10 de ía mañana el malogrado asaltode ía plaza de S. Sebastian, para donde en seguida se dirigió rápi damente : en este misino dia, á las 2 de la tarde, los enemigos en número de 15© hombres, atacaron una división…</t>
  </si>
  <si>
    <t>…sin que este renga ni una palabra que replicarle. No queremos tomar carras en las querellas de estos caballeros; y estamos bien ciertos de que en todas partes donde se presente el lord Weilington no dexará á ninguno mas airo so que á otro; pero sin embargo, es digno de observarse el germen de diso lución que ya se manifiesta en el sistema murar del tirano. Todo general Agraciado es condenado sin darle oidos; por consecuencia precisa queda descontento,…</t>
  </si>
  <si>
    <t>Weilíngton</t>
  </si>
  <si>
    <t>…rt en el quartel general del Emperador de Rusia; sin embargo sus poderes se limita rán simplemente á una correspondencia militar, y nada mas. Por cartas autenticas del exército de lord Weilíngton sabemos que el exército. altado, sin contar la división de Mina, tiene una fuerza efectiva de 97© hombres de ías tres naciones. _ Según una carta de Schultz, agente en Heligoland, se da por cierto que habían llegado á aquella isla algunas personas con la noti…</t>
  </si>
  <si>
    <t>…bución extraordinaria, 6 empréstito forzado que se impuso í los habitan tes de la ciudad. El 7.® regimiento de infantería se ha embarcado en Cork para ir á unir se al exército del lord Weilíngton. En la ¡unta de los transportes se ha recibido orden de presentar sin di lación una lista .de los prisioneros de guerra alemanes existentes actualmente en los depósitos de Perth, Norman Cross, Plimouth y Chatam, que se consideren aptos para el servicio. ¡ ESP…</t>
  </si>
  <si>
    <t>…do rey Fernando, por el emperador de Rusia, por el rey y príncipe regente de la Gran-Bretaña, por el r*¿y de jas Des Sicilias, por ei príncipe regente de Portugal, por. el invicto lord Weilington y demas generales que se lian distinguido en esta glo riosa lucha. La emperatriz reynante, deseando todavía dar mayores pruebas de su particular afecto, convidó á comer si dia siguiente al señor de Bardaxí, al cónsul general y al coronel D. Alexsndro O-DomaeU…</t>
  </si>
  <si>
    <t>…abandonaron á la llegada de las tropas aliadas. Parece que el mismo mariscal Soult se ha visto precisa do á consentir que así se verificase en virtud de haber recibido oficios del lord Weilington , en los cuales le expresaba que si los habitan tes pacíficos que habían abandonado sus hogares no volvían á ocupar los de nuevo, le seria absolutamente imposible conservar enteramente las propiedades individuales de la manera que habia prometido y deseaba. P…</t>
  </si>
  <si>
    <t>Weilmgfcon</t>
  </si>
  <si>
    <t>…ediodía de E-pí.ña , hiciese retirar al exército ingles de todo el territorio español, á excepción de alguna otra fortaleza ? Porque en resumen este ha sido el resul tado. ¿Y pudo lord Weilmgfcon proponerse este objeto desde el prin cipio de la campaña ? Suponiendo que esto fuese así, no podría dar se una empresa mas perjudicial y destructora de las esperanzas que alentaban á los españoles. En efecto, ¿ que impresión tan fatal no haría en aquel desdic…</t>
  </si>
  <si>
    <t>Weílrngton</t>
  </si>
  <si>
    <t>…anzado el día de la batalla de Vitoria, se apoderaron del bastón del general Jourdan, y se le entrega ron á su comandante el geueral Colville, quien al día siguiente le presentó á lord Weílrngton. Del 2 r. La cartas de Varsovia de 23 del mes pasado dicen que pasó por aquella ciudad una diputación del senado de Servia y de Czerni-Jorge, dirigiéndose al quartel general del Emperador Alexandro. Según parece parte de la Ser via ha sido invadida y asolada…</t>
  </si>
  <si>
    <t>Weis, Isidoro</t>
  </si>
  <si>
    <t>Isidoro Weis</t>
  </si>
  <si>
    <t>594 . Ei Sr. D. Francisco de Assin, juez de prime"*» instancia en esta corte , que co noce de ia testamentaría de D. Isidoro Weis, radicada en la escribanía de provin cia de D. Juan Garrido, ha estimado se celebre junta general de todos sus acreedo res é interesados, señalando para ella el dia 28 de noviembre próximo, á las nueve, 4é la mañana, en Ja c.asa del señor juez, mandando que p…</t>
  </si>
  <si>
    <t>Wel</t>
  </si>
  <si>
    <t>…ral se distingue por sus altas y sublimes cualidades. No intento deprimir en lo mínimo la gloria de otras naciones; pero no puedo menos de decir que un movimiento como el que hizo lord Wel iagton desde Fresneda hasta Pamplona en el corto espacio de un mes, nunca ha acontecido en la historia militar de ningún país. Conociendo á fondo los puntos en que po dían ser envueltos los enemigos, superó su talento todos ios obs táculos; pues este es, seño…</t>
  </si>
  <si>
    <t>WelHngton</t>
  </si>
  <si>
    <t>…ctoria obtenida por el Lord en&gt; los campos de Vi— fOTia llegaron á Londres el 3¡ de julio. En ambas cántaras dei parlamento se; acordó en. medio del mayor entusiasmo dar gracias á lord WelHngton y su ialieñte exéfcito. «—Bonaparte continúa quejándose en-.sus: boletines de los partidarios prusianos, que no quieren reconocer el armisticio. "" f ' ' ' ■ 1 - ' r ’ . '' - (j), Todala nación sabe que la expedición de Alicante'tomó efColl de Bdja guer tan p…</t>
  </si>
  <si>
    <t>Weliington</t>
  </si>
  <si>
    <t>*&amp;r porción á los «gentes el precio que habían de ofrecer. Donde se ne cesitaba poco , allí podían dar ua precio alto : cuando se trataba de proveer de fondos á lord Weliington, el precio ínfimo. Así es que en Malta el agente estaba facultado para ofrecer 6 shelines y 4 pe niques por peso fuerte ; en Sicilia 6 y 3, y ea Lisboa 5 y 8. Por consecuencia viene el agente siciliano ofreciendo los 6 shelines y 3 peniques, y se lleva todo e…</t>
  </si>
  <si>
    <t>268</t>
  </si>
  <si>
    <t>…rmino solo de Sorauren han quedado muertos Jo^ enemigos por lo menos; el resto fue perseguido por Ostiz (3), quedando en poder de los aliados 3® franceses prisioneros, Entre tanto lord Weliington, á cuyo genio debemos esta victoria inmortal, hizo un movimiento por Bastan para cortar la retirada de Soult; y no se duda que lo logró, pues á la salida del correo se oía un terrible fuego hacia Echalar y Bastan, en donde se hallaban algunas divisiones aliad…</t>
  </si>
  <si>
    <t>…ueo de Pamplona; y en seguida volvió á atacar á Colé y Morillo, y les obligó á uña con el general Picton á retirarse á las alturas del pueblo ae Huarte á una legua de Pamplona. Mi lord Weliington marchó allá el 26, y el 27 , habiéndose escapado milagro samente por cinco minutos de caer en manos denlos enemigos, llegó á las diez de la mañana á aquellas alturas, y las tropas le recibieron con todo el entusiasmo que inspira un general victorioso á sus so…</t>
  </si>
  <si>
    <t>…s horas de los oficios divinos.” ■ GRAN-BRETAHA. Londres 20 de Julio, , Con motivo del glorioso triunfo de Vitoria, el Príncipe Regente ha escrito una carta sumamente honorífica á lord Weliington, cuya sustancia se reduce á lo siguiente: Empieza con una expresiva felicitación y acción de gracias por H glorioí-a y completa victoria conseguida por ei bizarro ge neral. Reconoce después S. A. R., de un modo muy enérgico", los importantísimos servicios que…</t>
  </si>
  <si>
    <t>Weliíngton</t>
  </si>
  <si>
    <t>…de 1013.=Estanislao Salvador. •9 * La batalla de los Árapiles ó derrota de Marmont, porGarnier. Esta e» la pri mera composición dramática hecha en Madrid en elogio del famoso feld*mariscal Weliíngton; !á que;, aunque no exenta de defectos, es acreedora á la estimación; pública por da ülósofia de sús pensamientosnobleza y armonía de su dicción ', qué5 la haránr ser siempre representada y leída con gustó. Se'hallará en la librería de Hurtado calle de las Ca…</t>
  </si>
  <si>
    <t>…aberse tomado por asalto el fuerte llamado Stackelberg. ESPAÑA. Villafranca del Panadee 2$ de No-siembre, Sabemos que las municipalidades francesas salen á recibir y obse quiar al lord Weliington; la disciplina y orden que observan las tropas han inspirado la mayor confianza. — Aquí se presentan dia riamente labradores franceses de la Cerdaña que vienen á trabajar, y huyen de la conscripción. Los enemigos que hay en Molins de Rey están continuamente a…</t>
  </si>
  <si>
    <t>Weljaminow</t>
  </si>
  <si>
    <t>…ildemente recomiendo al coro nel Tschcrnychcw. Parte del ayudante general marques de Paulacci desde Riga el 22 de Noviembre. — El 20 del corriente ss recibieron noticias del mayor general Weljaminow, en que decía que el enemigóse aproximaba con 10000 hombres y 30 piezas de artillería, mostrando intenciones de atacar. El mayor general Weljaminow recibió orden de retirarse en tal caso á su primera posición , y el teniente general Lewis, que mandaba el cuer…</t>
  </si>
  <si>
    <t>§0 le habian perdido de vista. El mayor general Weljaminow recibió entonces orden de reunir todas sus fuerzas, y con las precauciones m ee su rjas persiguió al enemigo por los caminos de Eckau y Midan* Por todos !os infjTmes recibidos parece que el mariscal Mac *onald concentraba todas sus fuerzas en Eckau; de lo que…</t>
  </si>
  <si>
    <t>Well</t>
  </si>
  <si>
    <t>…ilia, que no tiene otros recursos para su existencia que los que él pueda darles. Este sugeto no es militar. Este artículo se recomendará con interes por el general Graham á S. E. lord Well ington o ara su. decisión. VI. Los heridos y ios enfermos franceses serán tratados según sns clases, y asistidos en la propia forma que lot oficiales y soldados ingleses. == ConcedidoVII. Las tropas imperiales y reales francesas desfilarán mañana á medio dia,…</t>
  </si>
  <si>
    <t>Wellihgton</t>
  </si>
  <si>
    <t>269</t>
  </si>
  <si>
    <t>…scriben de Portsmouth el 6: „ Se trabaja aqui con ia mayor actívidad para tener prontos todos los transportes que hai en este puerto* con el ob jeto de enviar grandes refuerzos al mariscal Wellihgton. Parece que irán á desembarcar á Bilbao ó Santander.” Y de Harwich anocher ,,Y esta mañana ha hecho varios esfuerzos la expedición- para salir al marf pero i excepción de tres buques no han podido los demas conseguirlo' á causa del viento-* Ha salido pasa Ale…</t>
  </si>
  <si>
    <t>Welling</t>
  </si>
  <si>
    <t>405</t>
  </si>
  <si>
    <t>…do Suchet algunas tropas del exército de Cataluña , á conse cuencia de haber sabido el arribo de la expedición siciliana á Me norca. Este refuerzo habilitó á José para flanquear á lord Welling* ton, y privarle del fruto de la victoria que tan gloriosamente había ganado. (Se continuará.) Id. 24 de Marzo. Un o ficta 1 hanoveriam», llamado Hano, ha llegado á esta capital con el encargo de solicitar que vaya á restablecer el gobierno legíti mo de Han o…</t>
  </si>
  <si>
    <t>…a de esta acción en la órdon general. — £1 ayudante general gefe de estado mayor — F. X. Cabanes. Ciudad llodi igp 24 de Mayo. £1 23 del corriente entró aquí el cuartel general de lord Welling. ton, y pasaron por estas inmediaciones vanos cuerpos de todas ar mas. Ayer ca í»? de,esta dicho cuartel general, y el del general Cas taños. El 22 y 23 se presentó el enemigo á 7 leguas de aquí á robar: se cree que no hará ¿rente á nuestros exórcitcs. Cádiz…</t>
  </si>
  <si>
    <t>…do Suehet algunas tropas del exército de^áfáluña , á consecuencia. de haber sabido el arribo de la expedición siciliana a Menorca.. Éste refuerzo habilitó á Josef para flanquear á lord Welling ton , y privarle del fruto dé la victoria que: tan gloriosamente, habia ganado..”* i Se continuará.) '* - PORTUGAL. r . . ■ &lt;■ ■ - , JLUbooi a de junio*. Éri-lesta corte- se fia celébrado con salVas de* artillería el’ aniversario def; día de- S. M/ 'Catóüca:…</t>
  </si>
  <si>
    <t>Welling-</t>
  </si>
  <si>
    <t>…que mis jueces están preve todos los fondos impuestos por el gobierno para la nidos en contra mia. conservación de los exércitos españoles. La organi ,,V". A. me mandó reconocer á lord Welling- zación de estos exércitos se efeetnaria baxt? la di ton por general en gefe de todos los exércitos espa rección de su señoría t el qual se obligaría á saldar ñoles. Yo dixe que no podía consentir en ello; y al gobierno las cuentas que pudieran no hallarse en…</t>
  </si>
  <si>
    <t>…do por los regentes, generales, gefes polí ta un articulo comunicado, en el qual se discurre ticos, grandes , obispos y canónigos, y no perdo sobre las proposiciones hechas por el lord Welling- nando tampoco al señor Ros, y otros muchos dipu ton, apoyadas por la regencia, y negado-concedi- tados disidentes. das por las cortes. El autor encuentra en esta re La anarquía, presagia C. M., será el resultado solución varios inconvenientes, y al efecto pro…</t>
  </si>
  <si>
    <t>Wellingíon</t>
  </si>
  <si>
    <t>…verificada, y es preciso que el general tuviese otras miras de ulte riores operaciones, y esperase mayores auxilios para haber hecho avanzar al exército. Se frustró el designio, y lord Wellingíon hubo de retirarse, porque temía no estuviese seguro el cuerpo de Sir Rouiand Hill, y para protegerle se vió obligado á retroceder el exército del norte. Entonces fué cuando el ilustre general ai frente de sus tropas hizo los esfuerzos mas prodigiosos. El exér…</t>
  </si>
  <si>
    <t>Wellingtcn</t>
  </si>
  <si>
    <t>…nviar dichos refuerzos. „Por lo que hace al primer punto, soy de opinión que pudieron haberse enviado por el mes de Enero 12000 infantes y 3000 caba llos , para que se reuniesen i lord Wellingtcn antes de la batalla de Salamanca; y aun hubiera sido mas importante el resultado, si el re fuerzo hubiese llegado antes de la toma de Badajoz. Entonces habia en el rey no, ademas de las guarniciones y los cuerpos de las colo nias, 16 regimientos de caballería…</t>
  </si>
  <si>
    <t>…á los sitiadores de aquel castillo, á cuya rendición se seguirá probablemente la entrada de nuestros exércitos en Francia-----El dia 4 por la noche llegó á Easages un mensagero de lord Wellingtcn con pliegos para Londres: y el dia siguiente entraren muchos prisioneros cogidos en la acción del 3 1 del mes pasado, los que se embarcarán también para Inglaterra.,— El dia 5 se resistía aun el castillo de S. Sebastian, y estaban ardiendo las casas y tem plo…</t>
  </si>
  <si>
    <t>Wellingtoa</t>
  </si>
  <si>
    <t>1331</t>
  </si>
  <si>
    <t>…s cirujanos y empleados del exército francés segu'r'n el mismo destino que la guarnición , y gozaren de las mismas ventajas. Resp. Concedido , y podrán ser prepuestos por S. E. el lord Wellingtoa, comandante en gefe de los exércitos aliados, á S. E. el gene ral en gefe del exército francés, en can ge de individuos esp ñoles¿ y particularmente de Navaxra , que se hallan detenidos en Francia como prisioneros. Art. 4.0 Los militares mutilados, y todos aq…</t>
  </si>
  <si>
    <t>Wellington</t>
  </si>
  <si>
    <t>…ríncipe Regente al cerrarte el parlamento. y-Ballesteros; no-pueden emprender ninguna cosa importante,-ni podrían hacer nada, aun quando Ya que hemos publicada el discurso que pro lord Wellington corriese del norte al mediodía á nunció el Príncipe Regente al cerrarse el parlamente, tomar-el mando. El resultado de esta inacción ha haremos algunas reflexiones sobre los nueve puntos sido que Soult se juntase con ti exército del cen que contiene. tro y co…</t>
  </si>
  <si>
    <t>…estros feroces opresores parece desplegarse con mayor ardimiento, á proporción que se acu mulan los motivos de su humillación y afrenta. Vencidos decisiva mente en Castilla por el general Wellington : perseguidos y destro zados en todas partes por nuestras valientes tropas, acuden, en su impotente despecho , á los postreros recursos de la perfidia, que tan to abunda en su corazón perverso. Afectan desconocer el riesgo en que se hallan, y ei temor de ser…</t>
  </si>
  <si>
    <t>…cuerpo del ejér dicos de Cádiz hayan publicado sin su permiso los cito grande. documentos relativos al mando de las tropas confe Nuestra gendarmería está ya completa y en rido al lord Wellington, siendo asi que la corres actividad de servicio. , * pondencia ministerial sobre este asunto debia ser se creta , y la resolución depende por otra parte de la Nurcmber¿ jr de diciembre. aprobación del Principe Regente de Inglaterra. Por En estos dias ha habid…</t>
  </si>
  <si>
    <t>…ha de.contar con uíeas a 9¡ít: Canniiig , poique bien conocen que sin esto.- Ya acusa á los ministros de que han auxilia ¿í :óáda pueden hacer^ y por eso es el objeto de sus do á lord Wellington con mucha fríaídád y eco obsequios/* •.... ' J'y nomía ; y trata por este medio de empeñar ál mar ^ ú Pero preítirfdiendo de esto, no podemos me ques á que dé su dimisiph, consiguiendo ¿si mal nos de oponernos, i nombré de todos los hombres quistar al gobiern…</t>
  </si>
  <si>
    <t>…lo está en el dia, de toda ia autoridad en sus pro pios dominios. El mayor general Fane, que mandaba la caballería en el distrito de Kent, ha sido nombrado para ir al exército del lord Wellington en lugar del general Sir Síapleton Cotton , que vino á principios de este R es á restablecer su salud. Se cree que vayan también otros ge nerales á reemplazar á los que están heridos. Extracto e una carta de Quebec de W de Noviembre. „Edamos en una total segu…</t>
  </si>
  <si>
    <t>…y ten dré el honor en breve de remitirle el detalle. Dios guarde á V. E. muchos años. Cuartel general de Espejo 12 de Enero de 1813.— Exemo. Sr. — Francisco de Longa. — Exdmo. Sr. lord Wellington, duque de Ciudad Rodrigo.” ^ Sentenciado en consejo de guerra ordinario á la pena de muerte por el crimen de deserción Andrés Ricoy , soldado del regimiento de</t>
  </si>
  <si>
    <t>…os de estos • caminos. de batalla &amp;c. &amp;c. &amp;c.” IMPERIO FRANCES. GRAN BRETAÑA* Bots-le-Duc ot de enero. Londres 13 de enero. Aunque las pruebas ds amor y de adhesión á Exército del lord Wellington. la persona de S. M. se multiplican en todos los pun La siguiente circular, que el lord Wellington tos del imperio, no podemos resistir al placer de ha dirigido á los comandantes de batallón de las tro-* citar el rasgo siguiente, que debe convencer á la pas q…</t>
  </si>
  <si>
    <t>…roscrito, tratado como un criminal, condenado á la infamia, Las noticias recientes de Cádiz explican del mo y expuesto á la irrisión de aquellos mismos por do siguiente la ida del lord Wellington á aquella quienes cantas veces he arriesgado mi vida. ciudad. „Y ahora pregunto á V. A. ¿quál es el motivo £1 fin de su señoría era proponer á la regencia de estos procedimientos? ¿Por qué causa es tratado un nuevo plan para aumentar la eficacia de las tro D.…</t>
  </si>
  <si>
    <t>…se haya conferido la ca pagaría ef Niagara, y que á pluralidad de votos se lidad de comandante en gefe de las fuerzas de Es resolvió negativamente. paña , pais católico romano, á lord Wellington, Siendo esto asi, no se podia esperar que el ge quando se exige de él como par de Inglaterra la neral Smith entrara en el Canadá, oponiéndose á siguiente profesión de fe, que algunas personas órdenes positivas y contra el dictamen de un conse creen, en el año…</t>
  </si>
  <si>
    <t>…te provistas, aun para resistir á las,débiles fuer zas de Marmont , que habían sido rechazadas por algunos destaca mentos de la milicia portuguesa. En consecuencia se le frustró á lord Wellington el principal objeto de la campaña por haberse visto obligado á atender á otro objeto comparativamentt pequeño ; á sa ber, el de abastecer las dos plazas. Al efecto tuvo que moverse con todo su exército por faltarle los medios adecuados para llevar ade lante s…</t>
  </si>
  <si>
    <t>396</t>
  </si>
  <si>
    <t>396 raudo lord Wellington cuando estaba sitiando á Badajos. (Se con» Humará.) ESPAÑA. Salamanca 25 de Marzo. El 16 por la noche se dio orden á todos los franceses para mar char al dia siguiente, y aunque se suspendió después no ere naos puedan tardar en verificarlo, pues todo esti emp…</t>
  </si>
  <si>
    <t>…rias reflexiones, repro- sición y de los frailes.” {Redactorgeneral núme greso soberano por la regencia del reino, y á esta Ya tenemos otros dos nuevos atletas en la arena, por el lord Wellington, dirigida á que se conserve uno clamando contra los enemigos del nuevo órden en el pie antiguo la monstruosa y despótica reunión de cosas, y otro pidiendo suplicios para los refor de mandos políticos, civiles, económicos y milita madores. Y de esta lucha enca…</t>
  </si>
  <si>
    <t>…a atención de la Cámara ¿i este punto, pues así es la verdad. La retirada no fué fingida; itn hubo en esto estratagema, ni maniobra militar pa ra ergañar *d enemigo : procedió así lord Wellington porque eran muy superiores á sus fuerzas las de los franceses , y temía ademas que antas se aumentasen, como, también porque no liabia recibido noti-</t>
  </si>
  <si>
    <t>4ÓS pez, Hermida, Terreros, Villagomez, Inguanzo, que quatro números atras no pedia comprehender Riesco y otros muchos del partido servil. Tos pe que el lord Wellington hiciese al gobierno de Cá riódicos de este no'escasean á sus contrarios, aun diz una proposición que chocase con la constitu que no siempre nombran determinadas personas, los ción , se ve ya obligado á confesar que aquel ha he sabidos dictados de hereges , li…</t>
  </si>
  <si>
    <t>N. Porque el lord Wellington observa la mas árbitro de.su sistema político : y juro á fe de espa rigurosa disciplina , y jamas violará las órdenes del ñol (que en mi concepto no puede haber un jura gabinete de S. James. mento mas sagrado) que qualquiera ingles que lea G. Según eso el gab…</t>
  </si>
  <si>
    <t>…condicionales por Francia, sean las que quieran sus disposiciones ac precisión, el gobierno envió copia de estas mismas tuales. Y si Napoleón hubiese querido imaginar un órdenes á lord Wellington, quien de consiguiente tratado favorable á sus miras, no podía haberle debió quedar instruido por este medio del verda hallado mejor que este. He aqui lo que sucede quan dero estado de las cosas, y no fue engañado por el do las riendas del gobierno están en m…</t>
  </si>
  <si>
    <t>…dia 2 del corriente la caballería aliada tuvo delante de Toro un choque con 300 dragones enemigos, de los que pocos se salvaron. El 4 se• hallaba en la Mota el quartel generar de lord Wellington; el 5 estaba en Rioseco, y el 6 en Ampudia, distante tres leguas de Falencia y seis de Valladolid sobre su izquierda. Todos los dias llegan prisioneros á dicho quartel general. Según varias cartas de Castilla de 17 de este mes, los generales Mendizabal, Girón…</t>
  </si>
  <si>
    <t>…que en aquella estación (el mes de abril) era su mamente oportuno un ataque contra la fuerza principal de los franceses en el mediodía de España; y asi hubiera querido verificarlo lord Wellington, á no haber tenido que encaminarse aceleradamente ai norte con objeto de rechazar las fuerzas de Marmont, y proveer de bastimentos á las plazas de Almeida y Ciudad-Rodrigo. En efecto, sabia que no estaban suficiente mente provistas, aun para resistir á las dé…</t>
  </si>
  <si>
    <t>…la atención de la c&amp;fco&amp;i este"punto,, pues asi es’la verdad. La retirada na fue fingida*, rio hubo, ¿n/esto estratagema ni maniobra militar para engañar al enemigo: pro cedió aki lord Wellington porque eran mui superiores á sus fuerzas las de lós* franceses, y temia ademas que estas se aumentasen , como también por que no habia recibido noticia alguna acerca de la cooperación que esperaba, de/Sicilia. Pregunto ahora : si el noble Lord hubiese tenido…</t>
  </si>
  <si>
    <t>…casión de lograr numerario bastante para llevar adelante la guerra, manteniendo con comodidad á las tropas." ESPAÑA. Corana 1a de mayo. Ayer llego un cúter ingles con pliegos para lord Wellington, cuyo</t>
  </si>
  <si>
    <t>…con res pecto á los puertos de su distrito. Madrid 28 de junio. En la tarde del jueves próximo pasado empezó ya á circular por esta capital la noticia de una victoria obtenida por lord Wellington sobre los franceses en las inmediaciones de Vitoria. La casualidad de ser un dia festi vo habia llevado una inmensa concurrencia al paseo del Prado, en donde se ofreció á nuestra vista el quadro mas lisonjero. En todos'los semblantes rei naban los síntomas de…</t>
  </si>
  <si>
    <t>…mer general español que ha obtenido tan glo riosa divisa. Juzgamos que Suchet, debilitado con el golpe que sufrid el 28 y 29 del pasado, sorp-rehendido con la insigne victoria del lord Wellington, y obli gado por esta causa á concentrar rápidamente sus fuerzas sobre la parte fortilicada del Ebro, procurará sacar rodo el partido posible de aquella posi ción, ínterin nuestras tropas y aliadas por Cataluña, Valencia y Aragón lo vayan estrechando de maner…</t>
  </si>
  <si>
    <t>…ermado solos 15. Madrid 22 de julio. Ayer circuló por esta capital una carta de Reinosa de 13 del corriente* cuyas noticias son sumamente lisonjeras. El título de Feld-Mariscal al lord Wellington, el rompimiento del armisticio, la derrota de los franceses en Jena, y el paso del general Graham por un punto fortificado de los Pirineos; tales son los particulares que comprehende. Los tres primeros se refieren á un correo venido de Londres en cinco dias;…</t>
  </si>
  <si>
    <t>…on al agua 6 fragatas americanas; cuatro de ellas dieron la vela de Boston el dia 4, y otras dos en Kueva-York el 11 dtl mismo. Id. j de Julio*, Nuestro gobiérne,, queriendo dar á lord Wellington una mués— Ira del grande aprecio debido á sus calidades militares con que se ha distinguido particuiarmerte en la batalla de Vitoria; le ha nom brado feid-mariscal, y también se dice que será elevado á la digni dad de par, y que obtendrá el título de duque de…</t>
  </si>
  <si>
    <t>…BRETAKA. P &gt; ■ . Portsmoiith (5-de Julio. : ’ Se trabaja con la mayor actividad en habilitar todos los transpon tes que hay en este puerto destinados á enviar grandes refuerzos-ai mariscal Wellington, los cuales irán Á desembarcar en Santander y Bilbao. Hace dias llego aquí, procedente de Memel, un número consi derable de españoles, que tendrán pronto la satisfacción de -volver á su patria. PORTUGAL. Lisboa 14 de Julio. Tratado de paz y amistad entre S. A…</t>
  </si>
  <si>
    <t>…an para siempre la entrada á los franceses.__ Ei dia 5 de julio se hallaban los franceses en una posición tan fuerte cerca de Berrueta, que el general Hill no los podia desalojar: lord Wellington hizo avanzar una división portuguesa; y después de dar,sus órdenes, se apeó del caballo, se colocó al frente de una coluna de escoceses, y subió por una altura escarpa da para doblar la posición del enemigo, nñentr^s que el mariscal Beresford á la cabeza de o…</t>
  </si>
  <si>
    <t>…e julio. Quatro mil hombres de infantería inglesa y 1200 de caba lefia han reci bido orden de embarcarse para España, y deben desembarcar en el punto mas inmediato al exército del lord Wellington, lo mismo que otros refuerzos nque se le están enviando. • El resto de dichos periódicos y de las gazetas extraordinarias de Lon dres, que hemos recibido al mismo tiempo, se ocupan mui extensamente so bre la gran victoria de Vitoria. (Suplemento al diario de…</t>
  </si>
  <si>
    <t>…ado la especie humana, parece; está resuelto á sepultarse primero que rendirse* El sitio de Pamplona se ha vuelto á emprender con mayor tesón y me nos distracciones. Parece que el lord Wellington , cuyo talento se multipli ca con los sucesos, va á executar un,plan sobre el Pirineo capaz de asegurar Í&gt;ara siempre aquella barrera de España, é impedir toda entrada y salida á os franceses*. ' Valencia f o de agosto. Según las últimas noticias el señor gen…</t>
  </si>
  <si>
    <t>…L MARTES 17 DE AGOSTO DE 1813. GRAN-BRETAÑA. Lóndres 8 de Julio. Ea la «esion de ayer se votaron unánimemente en ambas Cá maras del parlamento acciones de gracias al feld-mariscal lord Wellington, y á su valiente exército, por el memorable triunfo de Vi toria j y con este motivo se pronunciaron varios decursos elocuen tes por algunos individuos del mismo parlamento. Lord Castleresgh hizo la siguiente arenga en la Cámara de los Comunes. «A consecuencia…</t>
  </si>
  <si>
    <t>…á pesar de haber terminado en la retirada del .-xército británico, las circunstancias que acompaña ron á esta retirada llevaban el sello del talento, del caudillo ingfes. Dixe que lord Wellington había verificado el objeto de libertar al mediodía de España, y dado diverso aspecto á la guerra de la península, obligando al enemigo á reconcentrar sus fuerzas para su propia seguridad. La marcha que lord Wellington hizo en la cam paña pasada produxo el efi…</t>
  </si>
  <si>
    <t>…que estamos combatiendo por la libertad de España, no so o con la fuerza militar de la Gran-Bre taña, sino también con la de España unida á aquella. «Observé también , señar, ^que lord Wellington había empleado el invierno en sazonar sus planes , y aumentar sus recursos para po nerlos en éxecucion. ¿Y de qué modo salió de este estado de repo so? En el breve espacio de un mes ha arrojado á las tropas fran cesas hasta los confines de España, ganando una…</t>
  </si>
  <si>
    <t>…en v&lt;z de limitarse á defender la línea de TorresVedras. Por aquí podemos conocer el carácter de este caudillo; y por aquí también podemos apreciar la bizarría de las tropas. «Si lord Wellington no ha arrojado del todo al enemigo de aquel país, á lo menos ña mostrado á sus contrarios los confínes de los es tados de que quisieron enseñorearse. Ya no se halla en la costa ame nazado de que le arrojen á sus embarcaciones, amenaza que, aun algunos de los…</t>
  </si>
  <si>
    <t>…(que ya habla llegado) habrá decídidb al Empera dor .de Rusia a no prestarse á una nueva prolongación, y habrá disipado los temores del Austria.. ' „ La noticia de la victorea del lord Wellington se supo en Trachemberg, s antes que se terminasen las conferencias que hubo alli; y lo mas notable es que Bonaparte, que hace de ello un profundo misterio para con los france ses , la comunicó á los Príncipes con quienes ésta en guerra ; pero á quienes quería…</t>
  </si>
  <si>
    <t>…s,de Vauxhall (en Londres), que juzgamos merece ocupar lugar en los papeles públicos como una especie de tributo de nuestra admiración y agradecimiento á las memorables hazañas de lord Wellington. Esta fiesta real y pública fue una de las mas brillantes que vio la Gran Bre taña en los dias de su mayor gloria. El espectáculo encantaba los sentidos por los adornos del$itio en,que se celebró, por el resplandor de la iluminar cion,por la elegancia y varie…</t>
  </si>
  <si>
    <t>…y hacer creer á los franceses que el armisticio se extendería á la pe nínsula , y que no la evacuarían las tropas francesas que ya no hubiesen sido atrojadas dó oiia; pero como el lord Wellington sigue su carrera victoriosa,</t>
  </si>
  <si>
    <t>…que la Inglaterra quisiese hacer una paz separa-da ?, Y también ¿ no tendría motivo para volver á poner sus tropas baxo las inmediatas ordenes, de generales españdes? n. .. : , El lord Wellington, amenazando el terr'torio francés por la única fronrtera vu’nérabie que tiene la Francia, es el único enemigo temible para el usurpador que quiere subyugar el continente á fin de afirmar su trono. Bona parte no pudiendo desentenderse de que la nación española…</t>
  </si>
  <si>
    <t>…emperador de Rusia, el rey de Prusia y el príncipe real de Suecia; y también se dice que concurrieron á las vistas dos envia dos austríacos. La noticia de la gloriosa victoria de lord Wellington no habia llegado el 12 á Trachenberg; pero se esperaba que llegaría el 14. Se han recibido cartas de Beriin de 14 de este mes, en que se anuncia la llegada del rey á aquella capital, y se añade que en Pra ga debe celebrarse pronto un congreso; pero que S. M.…</t>
  </si>
  <si>
    <t>…regimiento num. y.° salid ya para Portsmouth, donde debe embarcarse inmediatamente con destino á España. — Ayer salieron pliegos de la secretaría de Guerra y del Almirantazgo para lord Wellington. Hay grandes pedidos de azúcar, refinado, y de varios artículos de manufacturas inglesas para la Pomerania. Hállanse ya en los puertos muchos barcos cargados de dichos efectos, y saldrán in mediatamente. , Se dice que el rey de Dinamarca ha dado á Davoust el…</t>
  </si>
  <si>
    <t>…aliados. — Se da por cierta la muerte de Junot en el Franco- Condado. La noticia de la batalla de Vitoria llegó á Berlin á mediados de Julio. Al punto se imprimieron los partes de lord Wellington en la gaceta de Ber lín , y produxeroa el mayor entusiasmo. ESPAÑA. Mixteo jo de Febrero. Continúa el extracto de los partes de Nueva-España. 67. El teniente de dragones de S. Cárlos D. Mariano Portillo, con 20 hombres de su regimiento y 14 patriotas de Ixtla…</t>
  </si>
  <si>
    <t>…dos por el sanguinario Suchet. &lt;Quál deberá ser pues la suerte de los defensores de 3. Sebastian? Ellos son responsables de las infe lices víctimas que sacrifica su obstinación; y lord Wellington seria demasiado ge-.* neroso si perdonase u:nas vidas que tantas vidas cuestan.</t>
  </si>
  <si>
    <t>…letar con ellos la tripulación de la esquadra rusa, que se debe poner en el mejor pie posible, para obrar ofensivamente á disposición de la Gran Bretaña. Va á salir un mensagero á lord Wellington. — El regimiento número 7.0 de dragones ligeros, compuesto de 800 hombres, está para salir para la península. Del j8. Un pasagero, que llego aquí el 16, y venia del quartel general del Em perador Alexandro, donde se halló el 20 de julio, y asistió al Te Deum&gt;…</t>
  </si>
  <si>
    <t>…el exército del Pirineo todas las divisiones sueltas. Se asegura que seguirá la misma dirección el general Wittingham con las tropas españolas, de su mando. Nos persuadimos qae el lord Wellington reunirá 160® hombres con ió® caballos luego que reciba el to tal de fuerzas españolas y británicas destinadas á aquel punto. ■ , Madrid to de setiembre. Parte del señor general en gefe del quarto exército al Excmo. Sr. duque de Ciudad-Rodrigo. , Excmo. Sr.*.…</t>
  </si>
  <si>
    <t>…yor ostenta ción -.junto al arco del crucero había dos magníficos obeliscos, en que se leían las insigne* victorias alcanzadas en la península por el invicto duque de la Victoria (lord Wellington). A la entrada de la puerta se leian también algunos dísticos en elegió del vencedor, ha biendo precedido la víspera de la fiesta una vistosa ilctnintcisn. Asis tieron ¿ la función el cabildo eclesKsrico, Ja nobleza, la oficialidad, y :un numeroso concurso de…</t>
  </si>
  <si>
    <t>…su palabra de honor para su cange con otro oficial británico de su clase. Este ofi cial será el portador de la presente capitulación. Este artículo queda sometido A la decisión de lord Wellington. El ofi ial que se envíe cerca del duque de Dslmacia será á elec ción del general comandante de las tropas francesas. XI Las dudas que se ofrecieren en la execucion de los artículos de esta capioracion, serán siempre decididas en favor de la guarni ción franc…</t>
  </si>
  <si>
    <t>…el dia 15 para Corella y Cintruenigo. Se cree que este exército permanecerá en las in mediaciones de.Tudelá hasta que su general el Excmo. Sr. duque del Par que. reciba órdenes de lord Wellington^^ , : :r , . ~Eí dia&gt; 12 de este mes desembarcaron en Bilbao 3500 arrobas-de .aceite, 2700 de xábcnr j ; 5^ de arroz í y consideráble porción de bacalao jr otros ví veres. Esta noticiaque con Otras'hemos recibido dé lúdela de ÑaVarra, confirma lo:q.ue anuncia…</t>
  </si>
  <si>
    <t>…ñores admiradores de Bonaparte, han querido tranqui izar á los crédulos del Continente, que estarán algo Inquietos con las noticias de ios refuerzos que nuestro gobierno en vía al lord Wellington. Estos mismos caballeros , de que venirnos</t>
  </si>
  <si>
    <t>…stado algo al saber, que toda la tropa de línea, que no sea absolutamente precisa en Inglaterra, se va d poner en mar cha, para tener parte en las glorias de aquel exército que ei lord Wellington tantas veces ha conducido á la victoria. Sin duda ha brán temido que este exército siempre -victorioso, y aumentado con semejantes refuerzos, vaya á llevar á Frcncia la guerra, que quiso hacer en España Bonaparte, mientras que este intenta negociar en Praga.…</t>
  </si>
  <si>
    <t>…á los sitiadores de aquel castillo, á cuya rendición se seguirá probablemente la eptrada de nuestros exércitos en Francia. — El dia 4 por la noche llegó á Fasages un inensagero de lord Wellington con pliegos para Londres: y el dia siguíente entraron muchos prisioneros cogidos en la acción dei 31 del mes pasado, los que se embarcarán también para Inglaterra. - El dia 5 se juró la Constitución en Rentería, y quedó formado el nue vo ayuntamiento constitu…</t>
  </si>
  <si>
    <t>enviado (fe antemano á Plimouth, sallo de este puerto el 28 de agosto en un cúter muí velero para llevar á lord Wellington la primera noticia de la, reno-.* vaeion de las hostilidades y de la reunión del Austria á los aliados___ í)e aquí en adelante recibiremos con mas frecuencia noticias del exército del marques Wellington, porque acabaii de establecerse paquetes de Falmouth al…</t>
  </si>
  <si>
    <t>…labra de honor para su cange con otro oficial británico de su clase. Este oficial será el portador de la: presente capitulación. • .. Este'artículo queda sometido á la decisión de lord Wellington. Elroficial que se envie cerca del .duque de Dalmacia . será á elección ~del general comandante de Jas tropas francesas. --■■XI.* Las dudas que se ofrecieren en la execucion de los artículos de esta capitulación serán siempre decididas en favor de la guarnici…</t>
  </si>
  <si>
    <t>…ocupación que lord Cathcart en el cuartel general del emperador de Rusia; sin embargo sus poderes se limitarán á una correspondencia militar. Por cartas auténticas del exército de lord Wellington sabemos que el exército aliado, sin contar con la división de Minatiene una fuerza efectiva de 97® de las tres naciones. Lista de los oficiales generales que se hallan actualmente emplea dos con Bonaparte en la guerra de Alemania. Primer cuartel general. Bona…</t>
  </si>
  <si>
    <t>…mbarcan para España 800 hombres sacados de los tres regimientos de guardias dé infantería. Del jo. Han salido de Limerick 40® barriles de cebada para la caballería del exércíto de lord Wellington. Viena 21 de agosto. Se asegura que el conde de Stadion volverá á ser vir el ministerio de Negocios extrangeros. (Esto prueba que el partido fran cés ha perdido absolutamente su influxo en el gabinete austríaco J y quando los mismos franceses lo dicen en sus…</t>
  </si>
  <si>
    <t>…e campo Mina, y el ex-comandante francés del castillo certifican al pie del anterior estado no haber otros, efectos que los. mencionados en éU Le saca 21 de Setiembre. Proclama de lord Wellington después de la acción del gi de ' A.sostow de 181?.c-' Guerreros del mundo civilizado , aprended á serlo de los.-indivU dúos d-J cuarto exército español que tengo la dicha de monuár. Cada soldado de él merece con mas justo motivo que 3 0 el bastón que empuño:…</t>
  </si>
  <si>
    <t>…estado, en estilo jocosatírico y serio. “ Elogios de los españolee al Rci intruso. Estai tres obras son de un poeta de la Mancha F. O. L.=s Procla ma en verso y para cantarse del lord Wellington á los españoles después de la vic toria de Roncesvalles: su autor Garnier. Se hallarán en la librería de Hurtado, cálle de las Carretas. Observaciones sobre la conducta pastoral y politice del obispo de Orente. =5 El Moscon: por el autor de la Chicharra, Papa…</t>
  </si>
  <si>
    <t>…riotismo, después de tributar á su autor las mas expresivas gracias, lo ha elevado á noticia del gobierno, procurando su publicidad por quantos medios son imaginables. Proclama de lord Wellington después de ía acción del gj de agosto de 18 rg. Guerreros del mundo civilizado, aprended á serlo de los individuos del quarto exército español qué tengo la dicha de mandar. Cada soldado de él merece con mas justo motivo que yo et bastón que</t>
  </si>
  <si>
    <t>…epasó. Recibida la mas escrupulosa información por el comandante militar , resultó plenamente pro bada la calumnia, y el autor de ella confeso y convicto de su falsedad. En tonces lord Wellington se apresuró á restituir al alcalde de Tudela la buena opinión á que es acreedor, pidiendo se hiciese pública esta satisfacción en la gazeta con los documentos justificativos; y S. A. accedió á dicha solici tud, dando con esto una prueba de que si es debido pu…</t>
  </si>
  <si>
    <t>…ses desde que han sabido los últimos reveses de Sonaparte. .• Todas las fuerzas disponibles del distrito de Chelmsford han teni do órden de embarcarse para España. A propuesta dei lord Wellington se reunirán en una división todas las compañías de infantería ligera de los regimientos que sirven en Es paña. Esta división se llamará los Cazadores de los Pirineos, y su destino será hacer la guerra de montaña. Según un nuevo reglamento no se permitirá dese…</t>
  </si>
  <si>
    <t>Wellíngton</t>
  </si>
  <si>
    <t>647</t>
  </si>
  <si>
    <t>…ban encaxonando los archivos de la corte y las alhajas de Ja corona para salvarlos de la rapacidad del enemigo; entonces la esperanza dé todos se fundaba en el talento militar del lord Wellíngton, en el valor dé ico® rusos, y en el carácter personal del Emperador Alexandrb. Este año antes del 10 de setiembre se hallaba Bonaparte reducido á de fender las orillas del Elba, y tenia delante de sí mas de 600® enemigos pe leando á las órdenes de quatro Sobe…</t>
  </si>
  <si>
    <t>…an dante y 13 oficiales. Se cree que los cogidos en toda la línea ascien den á 3©: entre ellos tres batallones que rindieron las armas. Ei dia 11 se publicó una proclama del feld -mariscal Wellington, cuyo tenor á la letra es como sigue: «Al entrar en vuestro país os anuncio que he dado las órdenes seguras para evitar los males consiguientes á la invasión de un exér cito enemigo: invasión que vosotros conocéis ser la consecuencia de la que vuestro gobiern…</t>
  </si>
  <si>
    <t>…uno de los montes de Hartz. GRAN B R E T A N A. Londres 14 de octubre. La aprehensión del bastón del marisca! Jourdan se debió á lo siguiente: En: el exército aliado del mando del lord Wellington hai un cuerpo por tugués, que ha tomado el nombre de Cazadores de águilas, en razón de estar dedicado á coger banderas y,trofeos del enemigo. Estas tropas están adictas á la brigada del general Oolviíle en la tercera división ; y. hallándose con este oficLi d…</t>
  </si>
  <si>
    <t>…esperar que con la actividad del general Lacy podremos presentar mui pronto otro exército bien disciplinado, que no desmerezca en nada de los valientes gallegos tan elogiados por lord Wellington en la acción del 31 de agosto. PRIMER EXERCITO NACIONAL.___ ESTADO MAYOR. Quarfel general de Vich. —Orden general del J2 de noviembre de j8oj. S. Estéban, Burgos y Colltort. Después de rechazadas el dia 7 en S. Feliu de Codinas las fuerzas ene migas que ataca…</t>
  </si>
  <si>
    <t>…mbre. Las gazetas^4e Londres han anunciado que se medita una. expedición contra la Holanda, y que la mandará el general sir Tomas Picton, que ha llegado poco hace del exército del lord Wellington. Como los aliados mar chan en quatro colunas sobre Manhein , Strasburgo , Coblentz y Metz, sífi dar tiempo á que los franceses se puedan recobrar, parece, claro que la co operación de una fuerza inglesa desembarcada en Holanda debe ser una di versión sumament…</t>
  </si>
  <si>
    <t>833 Madrid 13 de diciembre. Carta que ha recibido el general D. Cárlos de España del quartel gene ral del lord Wellington. ■Estado mayor general de campaña. De orden,df 1 Excmo. Sr. duque de Ciudad-Rodrigo traslado á V. S. el extracto de;una carta del conde Bathurst, secretario de Estado de S. M. Británica, al marques de Wellington, fecha en Londres á 11 de noviembre de 1813, cu…</t>
  </si>
  <si>
    <t>…Rh»n&gt; dexaa, tras de sí las. plazas fuertes-de la frontera de Francla,yse contentan cóá cubrirlas, como han hecho con las que hai sobre el Vístula y sobre el Oder, mientras que el lord Wellington se adelantase por Ips'Pirineos, y unáv ex pedición, procedente 4e los puertos de Inglaterra , dfesembacéara en Francia^ los exércitos ; aliados llagarían ár Pa rís sin experimentar resistencia.. No son solamente los exércitos franceses los que han sido, batid…</t>
  </si>
  <si>
    <t>WellingtoR</t>
  </si>
  <si>
    <t>…on el dia 15 para Corelia y Gintruenig®. Se cree que este exército permanecerá en las inmediaciones de Tudela hasta que su general el Excmo. $r. duque del Parque reciba órdenes de lord WellingtoR. El dia 12 de este mes desembarcaron en Bilbao 3500 arrobas de aceyte, 2700 de xabon, 50 de arroz, y considerable porción de ba calao y otros víveres. Esta noticia, que con otras hermas recibido de Tudela de Navarra, confirma lo que anuncian las últimas carta…</t>
  </si>
  <si>
    <t>Wellíugíón</t>
  </si>
  <si>
    <t>…que por su parte no pue Después de una acalorada discusión se ■ ha sen de menos de estar satisfecho , y manifestar su tado la proposición, y el bilí se ha adoptado sin gratitud al lord Wellíugíón por su zelo y pericia disparidad de votos. en la continuación de la guerra de la península, y da gracias al parlamento, por los socorros y medios que ha prestado para continuarla.* Del 18 de octubre. Habiéndose encendido de nuevo la guerra en Extracto de una…</t>
  </si>
  <si>
    <t>Wellmgton</t>
  </si>
  <si>
    <t>…dando lugar á diversas con jeturas , se embarcó últimamente en las Dunas para las costas de Holanda. PORTUGAL. Lisboa 4 de Mnyo, Oficio del mariscal general duque de la Victoria (lord Wellmgton) &amp; D. Miguel Pereyra Forja%, de su cuartel general de Fresneda á 28 de Abril de 1813. „Dsspues que dirigí á V. E. mi oficio anterior de 21 del cor riente , el enemigo no ha hecho movimiento alguno de importan cia , y sus tropas permanecen acantonad as casi en…</t>
  </si>
  <si>
    <t>Wellnigton</t>
  </si>
  <si>
    <t>…término solo de Sorauren han quedado muertos io© ene migos por lo menos; ei resto fué perseguido por Ostiz, quedando en poder de ios aliados 3® franceses prisioneros: Entre tanto lord Wellnigton., á cuyo genio debemos esta victoria inmortal, hizo un movimiento por Bastan para cortar la retirada de Souít; y no se du da que lo logró, pues á la salida del correo se oía un terrible fue go h.ícia Echaíar y Bastan, en donde se hallaban algunas divisiones a…</t>
  </si>
  <si>
    <t>WelUiigtqn</t>
  </si>
  <si>
    <t>…aballería de Cantabria, que anoche se alojó en esta, pasan hacia la Rioja. t¡ . Este, dia han, pasado por esta tres diputados de la ciudad de Pamplona pgra, el quartel geqeral del lord WelUiigtqn. ; ; Él quartel general de ios franceses por la parte del. Norte parece que se halla en Maguncia, y que Napoleón I13 {legado á París. ; ¡ Parte que el brigadier D. Juan Dotóme dirigió al general de la van guardia del quarto éxército D. Pedro Agustín (jirón de…</t>
  </si>
  <si>
    <t>WelÜngton</t>
  </si>
  <si>
    <t>…tiempo, no se hicieron por efecto de ba|aj.|j^ pendidas, sino por el de, j^n .pjan combinado, así como el que se adoptó en las posiciones de Smolensko, ó el que puso en execucíón lord WelÜngton en las líneas de Xorres-Vedras. Al paso que no puede dudarse que lo» franceses progresan poco según sus* mísifiós. pápeles, vemos que para obtener es te corto resultado han tenido que empeñarse en cinco batallas; y sí el exército aliado hubiese sufrido algún…</t>
  </si>
  <si>
    <t>Welüngton</t>
  </si>
  <si>
    <t>…todos los reductos exteriores. El fuego de artillería que se les hacia en los dias 26 y 27 era tan vivo, que se oía desde Irun como si estuviese mui inmediato. ^ • FI 26. recorrió lord Welüngton la línea; esta va á fortificarse pronta mente con 130 cañones; y los enemigos hacen lo mismo en la suya. = El dia 27; pasó por Irun una brigada española con dirección i Vera para refor zar aquel punto. Se cree que ios ingleses atacarían al enemigo el dia 28 p…</t>
  </si>
  <si>
    <t>…ro sus movimientos no impo nen á los aliados, cuyas fuerzas son muy superiores. Estos se hallan bien fortificados y llenos de entusiasmo. .La confianza que inspira lapresencia del lord Welüngton es el mayor obstáculo que hallará siempre Soult en sus empresas, en las que tiene que contar con las mismas tropas que en 27 y 28 de Julio se vieron rechazadas, per seguidas y arrolladas por na corto número de ingleses, portugueses y españoles, que si bien er…</t>
  </si>
  <si>
    <t>…si es posible, las brigadas del cuar tel general. ~ Dios guarde á V. E. muchos años. Vera y Julio 28 de 1813 á las 7 de la tarde. = Excino. Sr. = Francisco de Longa.zz Excmor Sr. lord Welüngton, duque de Ciudad-Rodrigo.” Séptimo* «Excmo. Sr.: Son las 9 de la noche, y acaba de concluirse; la acción. Los enemigos que en mi anterior parte comunicaba á V. E. subían la altura de Sta. Bárbara , se encontraron en su eminencia con las tres compañías que hab…</t>
  </si>
  <si>
    <t>WeMington</t>
  </si>
  <si>
    <t>…es que siguen el partido Je la de que estamos mui distantes’, ó es preciso confesor insurrección se le sujetase -.1 mmd', de un extrang-ro, que es ma; ahsurd &gt; ¿ iiregul ir que el lord WeMington que no el que, dado c.te primer paso, se ponían oficiales sea cein-rafi-iri.o de los exérchos espinóles, que no el ingleses para mandar simples soldados españoles La ra que h s regitnlenios de loa insurgentes esten mandados zón de esta diferencia está en la m…</t>
  </si>
  <si>
    <t>Wendell</t>
  </si>
  <si>
    <t>…s de la costa del Brasil, he encontrado y Gazeta de Nueva-Yorck tG de febrero.apresado la fragata de S. M. británica la Java , de 49 cañones , con mas de 400 hombres á bordo, y El teniente Wendell, que ha salido de Búllalo comandada por el capitán Lambert, oficial mui la semana pasada, dice que antes de su salida había distinguido. El combate ha durado una hora y 5 5 llegado allí del exército de Harrison el mayor St6dminutos, y en él ha sido completame…</t>
  </si>
  <si>
    <t>Westropp</t>
  </si>
  <si>
    <t>…la causa de S. M. el em perador y rey, y su indignación por este acontecimiento. — El con de de Saint Marsen ” El contra almirante Sir Francisco Laforest ha remitido una carta del capitán Westropp , comandante de la chalupa Peruana , en que da cuenta que el 25 de Octubre había apresado á la altura de Sombrero el Yankee, corsario americano de porte de 7 cañones y 44 hombres de tripulación, que habia salido de Salem ¿8 dias ántes, y no habla hecho ningun…</t>
  </si>
  <si>
    <t>Wetiington</t>
  </si>
  <si>
    <t>…• Del 29* Están para hacerse nuevas 'mercedes de Pares, entre los que se compla■cera el público de oir nombrar los héroes que con tanta habilidad lian ayu dado las miras del feld-mariscal Wetiington en Ja península, y que se han distinguido por su conducta y valor en la gloriosa batalla de Vitoria.—Np necesitamos decir que en este número entrarán sir Tomas Graham y sir Ro lando Hill. Parece que no pasará de ochb.el nnniero de Pares que se crearán. Francf…</t>
  </si>
  <si>
    <t>Wetterstedt</t>
  </si>
  <si>
    <t>…no con bandera parlamentaria, entregó dos oficios, uno firmado por Mr. Thornton, enviado ingles en la corte de Suecia, v por el general ingles Hopt; y el otro del canciller sueco, barón Wetterstedt, ambos fechos á bordo del navio é¡¿ guerra ingles Deflanee , surto en la bahía Kioge. Al mismo tiempo se dixo que estaba á bordo del navio el general ruso barón de Suchteíen con el objeto de participar las negociacio nes de paz propuestas por parte de Inglate…</t>
  </si>
  <si>
    <t>…á Trachenberg baxo el título de conde de Upland. S. A. R. llevaba en sp comitiva al feld 'mariscal conde Steáinck, ai teniente gobernador príncipe Putbos, al canciller de la corte barón Wetterstedt, al chambelán del gabinete conde Brahe , al teniente coronel Camps, y á los barones Stiercona &gt; Essen Scc. £1 general barón Adlercreutz ha tomado el mando en ge fe del exército sueco durante la ausencia del Príncipe real. £1 general ruso barón de Suchtelen y…</t>
  </si>
  <si>
    <t>Weüington</t>
  </si>
  <si>
    <t>…n la caballería de Cantabria, que anoche íe alojó en esta, pa san hacia la Rioja. Ecte dia han pirado por esta tres diputados de !a ciudad de Pam plona para el cuartel general del lord Weüington. El cuartel general de los franceses por la parte del Norte parece que se halla en Maguncia, y que Napoleón ha llegad© á. París. ARTICULO DE OFICIO. La Regencia del reym se ha servido dirigir el decreto que sigue % D. Fernando vii, por la gracia de Dios y por…</t>
  </si>
  <si>
    <t>WeUington</t>
  </si>
  <si>
    <t>…hasta Bremen ha sido aban Ion ido por los invasores; y aquel rio se baila ya abierto para la correspondencia. Se ha pub icado por suplemento de la gaceta de Lóndres un oficio del lord WeUington, incluyendo la capitulación de Pamplona. HOLANDA» Anisterdam jtT de "Noviembre. Los acontecimientos de anoche han mostrado la urgencia de for mar sin demora un gobierno en esta gra»; ciudad, gobierno que pue da infundir confianza en todos Ips leales holandese…</t>
  </si>
  <si>
    <t>White</t>
  </si>
  <si>
    <t>…nryalus, ar rimándose ala rada, le cortó, y su tripulación le abandonó, de sándele anclado baxo el fuego de las fragatas y de los fuertes: una división de lanchas, mandadas por el teniente White, le abordó á tiempo-para impedir que se fuese á pique &lt;5 se volase. Encontramos en el puerto 22 barcos de ¿.íerentes tamaños y nombres que fueron lomados ó destruidos; los que intentaron echar ¿ pique los enemi-</t>
  </si>
  <si>
    <t>Whittingham</t>
  </si>
  <si>
    <t>…do que el enemigo concentraba sus fuerzas junté el exército aliado en Castalia el 20, y en esta .posición cubro una de las grandes comunicaciones con Alicante, y puedo sostener al general Whittingham en Alcoy si fuere seriamente atacado; mientras que de este modo viene á ser una empresa muy aventurada para el ene migo cualquiera ataque que intente contra el general Reche, que cubre el camino real que paB&amp; por Elda. „E1 general Flioj0on un cuerpo compuesto…</t>
  </si>
  <si>
    <t>…a fuerza grande en Obteniente, Moxente y Fuente de la Higuera. Después r que tuve el honor de escribir ¿ V. E. la última vez, ha habido varias acciones ligeras con- el enemigo» El general Whittingham lo ha for zado. 4 retirarse man allá del puente de Albayda con una pérdida muy considerable. ,,Eh esta acción , que el general Whittingham desempeñó con mucho juicio y en que las tropas españolas se portaron con gran va-; lor y orden, fueron ligeramente herid…</t>
  </si>
  <si>
    <t>Whittinghára</t>
  </si>
  <si>
    <t>…gham habia forzado la vanguardia enemiga á pasar el puente de Albayda, / remito adjunto el parte que en 23 del anterior me da el teniente general M urray de la accicu: que tuvo el general Whittinghára con este motivo, y de la que tuvo el mariscal de cam po Dorkin de; resultas de un. reconocimiento que hizo, el mismo dia. Dios guarde á V. E. muchos años. Fresneda 7 de Abril de 1813.— Wellington, duque de Ciudad-Rodrigo. — Excmo. Sr. secretario de Estado y d…</t>
  </si>
  <si>
    <t>Wi</t>
  </si>
  <si>
    <t>…ue presente dicha soli citud en la Cámara de los Pares, y otra igual en la Cámara de los Comunes el muy honorable Henrique Grauatn. El paquebote americano la Minerva, al mando del capitán Wi lliams , ha llegado como parlamentario á'Liverpool, y en él viene Mr. Ross con despachos importantes y confidenciales de Mr. Ba tes , agente británico en Washington para el vizconde Casílereagk; pero no se ha sabido aun su contenido. La Minerva salió el 17 de…</t>
  </si>
  <si>
    <t>Wiáson</t>
  </si>
  <si>
    <t>…nte coronel M. Bean se alojó en la derecha de la gran brecha. No debo caliar que otra oferta semejante me fué he cha por el primer regimiento portugués de la brigada del brigadier general Wiáson *• del mando del teniente coronel Ee&amp;ro^ , y que así el. mayor general Bradford , como ei brigadier general W'iísony des de el principio habían pedido ansiosamente el empico de sus respec tivas brigadas en,él asalto, ya que habían tenido tanta jarte én los tr…</t>
  </si>
  <si>
    <t>Wiaxingerode</t>
  </si>
  <si>
    <t>…ra su retaguardia, tales son las consideraciones, que determinaron i S. A. R. á alterar sa. determinado movimiento. » La vanguardia del general Woronzoft y los rusos del mando del general Wiaxingerode entraron el 20 ea Cassd. Czermeheíf escribe que Bonaparte, al salir de Eisenach para Vach, tenía intención de dirigirse á Wessel; p¿ro ciue la marcha del Príncipe Real y del ge neral Bleeher se lo estorbo. Les cosacos cogieron á un coronel fran cés con la adj…</t>
  </si>
  <si>
    <t>Wiazingerode</t>
  </si>
  <si>
    <t>…la infantería, pasan ríos á nado, y se arrojan sobre la retagsardia de los enemigos, donde introducen el espanto y el desórden. El exército ruso atravesó hoy el Elba en Aclcen. El general Wiazingerode llegó á Cothen con su vanguardia mandada por el conde Woronzow. Acken será en poco tiempo fortificada, de modo que exija para tomarla de un sitio regalar. Es un punto en la orilla izquierda que despreció el enemigo, y de que el exército combinado podrá sacar…</t>
  </si>
  <si>
    <t>Wierzbicki</t>
  </si>
  <si>
    <t>…RO DE 1I13. DINAMARCA. do en varias iglesias de esta capital solemnes exe quias por los militares muertos en esta guerra. Copenhague 7 de diciembre. La vanguardia de la coluna del coronel Wierzbicki á las dos de la mañana del dia 18 sorprehenQuatro lanchas cañoneras, mandadas por el ca dió en Meseritz á un regimiento de cosacos, com pitán wulf, cerca de la fortaleza de Christiansoeg puesto de 5 00 hombres, sin hacer aprecio de la su atacaron á una fragat…</t>
  </si>
  <si>
    <t>Wihziugerode</t>
  </si>
  <si>
    <t>…e los mo vimientos del ejército del almirante TchitchagoíF, y del estado y si tuación de las tropas francesas. También apresó 3 correos con des pachos de importancia, y libertó al general Wihziugerode que lle vaba prisionero el enemigo , como también al mayor general Swetchin, al capitán Maryschkin del regimiento de húsares de Isnm, y á otros que hoy envió á Petera burgo. El almirante TckitckagofF de bía llegar ayer á Minsk. „La exeeucion acertada y feliz…</t>
  </si>
  <si>
    <t>WiíhingaTn, Santiago</t>
  </si>
  <si>
    <t>Santiago WiíhingaTn</t>
  </si>
  <si>
    <t>…proponía detenerse en Inglaterra algunas semanas, mientras recobraba aa sa lud alterada por las fatigas de una penosa travesía de 56 dias desde Gottemburgo. El mariscal de campo 'D. Santiago WiíhingaTn, comandante ge neral de la división mallorquína, dice al Sr. gefe del estado mayor general desde el cuartel general de Alcoy con fecha 16 del actuaí lo que signe: , Exorno. Sr.: En consecuencia de una orden del Excrao. Sr. D. Juan Murcay, general en gefe de e…</t>
  </si>
  <si>
    <t>Wiinpffen, Luis</t>
  </si>
  <si>
    <t>Luis Wiinpffen</t>
  </si>
  <si>
    <t>…uego á V- E. me permita le recomiende á su protección , é igualmente que exprese lo sa tisfecho que estoi de que constantemente me ayuda este cuerpo y su gefe el mariscal de campo D. Luis Wiinpffen. = i)ios guarde á V. E. muchos años. San Pe 13 de noviembre de 1813. = Wellington, duque de Ciudad-Rodri go, ss Excmo. Sr. D. Juan O-Donoju.” GOBIERNO POLITICO DE LA PROVINCIA DE MADRID. El Sr. Intendente general-del tercer exército me ha dirigido el oficio s…</t>
  </si>
  <si>
    <t>Wiítg</t>
  </si>
  <si>
    <t>…eaba.. La nobleza ha marchado á campaña á las órdenes nel prín cipe Esrerhszi para servir en persona ce ca del emperador. El emperador de Austria ha condecorado con sus ordenes al conde Wiítg :;. ctein , y ha mandado que se er*ja un monum nto en Arbisau, donde 82&gt; rusos contuvieron el 29 de Agosro á 32® fran ceses.. Caria del emperador: Alé xandre d la viuda del general Moreau* «Madama: cuando el general Morgan recibió á mi lado el ter rible golpe…</t>
  </si>
  <si>
    <t>Wiitgeil</t>
  </si>
  <si>
    <t>…L I. Primero. Grana d de Etiero de 1813 —,,Konígaberg., antigua capital de Píiisia, está ya cometida á V. M. I.: íué tumeda esta grande ciu dad en 6 do Enero por la vanguardia de! conde Wiitgeil&amp;tein á las órdenes dei mayor genera! Schepe'cíF. El mariscal Macdonald ocu paba el pueblo con un cuerpo c!e exército, compuesto de la anti gua guardia flaneesa y algunas tropas que se habían salvado de la destrucción general deí exéicito grande enemigo, compr…</t>
  </si>
  <si>
    <t>Wilberforce</t>
  </si>
  <si>
    <t>…in á quál de los dos gobiernos ingleses pueden hacer todo lo que quieran, s;n que deben acusar de sus desgracias. Vos sobre todo, nadie tenga el derecho de llevarlo á mal? ¿ No he señor Wilberforce, que habéis prestado tantas ve mos detenido las tripulaciones de 150 navios mer ces un apoyo generoso á los oprimidos, emplead cantes- ante* de la declaración de guerra con la hoi vuestra elocuencia en favor de los prisioneros de Francia; y sin embargo, no re…</t>
  </si>
  <si>
    <t>Williams</t>
  </si>
  <si>
    <t>…de artillería de á 6, desembarco media hora ántts de amanecer del dia 27, co mo á unas dos millas al O. de la ciudad; y los batallones de la marina real, mandados por el teniente coronel Williams, desembar caron también tan pronto como la columna se puso en esiado de marchar. — Con intención de envolver, la posición del enemigo, di rigimos nuestra marcha hácia la carretera que va á parar detrás de la ciudad. Mientras que las tropas llevaban esta direc…</t>
  </si>
  <si>
    <t>han podido recoger han sido sepultados. No puedo meros de con fesar que debo mil obligaciones al teniente coronel Napier, al te niente coronel Williams , ai mayor Malcolm y ai espitan Smith , y en general á todos los oficiales y soldados, cuya conducta y valer merecen mis mas sincero reconocimiento. = Tengo la honra &amp;c. = S. Becknitth, cuartel-maestre general.” Por los estados que cita el oficio consta que s…</t>
  </si>
  <si>
    <t>Willians</t>
  </si>
  <si>
    <t>…ña con ún reducto inaccesible. »Ki enemigo fue arrojado de la cima de una altura importante, situada cutre los caminos de Pamplona y Vitoria por un ataque muy dié tro del teniente coronel Willians , con dos compañías de granade ros del primer regimiento y tres del cuarto de cazadores pertenecien tes á la brisada del general Pack. ,,La conducía del teniente Queros y del alférez Vasconcelos del quarto de cazadores, se distinguió en esta ocasión. Este ult…</t>
  </si>
  <si>
    <t>. 215 „ El enemigo fue arrojado de la cima de una altura importante, situada entre los caminos de Pamplona y Vitoria, por uaataque mui diestro del te niente coronel Willians, con dos compañías de granaderos del primer regi miento y tres del quarto de cazadores pertenecientes á la brigada del gene ral Pack. ,, La conducta del teniente Queros y del alférez Vasconcelos , delquar— to dé cazadores, se distinguió en esta ocasión. Este…</t>
  </si>
  <si>
    <t>Wilson</t>
  </si>
  <si>
    <t>…á V. E. que se efectuó el pasó el 7 del corriente. »El teniente general Sir Tomas Graham dispuso que la primera y quinta divisiones, y la primera brigada portuguesa del marido del general Wilson pasasen el rio en cuatro columnas, tres de ellas por la parte inferior del puente de Ima, y la otra por la parte superior de él; dichas columnas eran mandadas por el mariscal de campo Hay, por el honorable coronel Groviíle, el mariscal de campo eí honorable E…</t>
  </si>
  <si>
    <t>…te ha ocurrido, á excepción de que el enemigo reconoció el 18 los puestos avanzados del te niente general Sir Juan Hoppe , en cuya ocasión fué desgraciadamente herido el brigadier general Wilson. «El mariscal Sír Guillermo Beresford forzó en el mismo dia á íog puestos avanzados enemigos á pasar el puente de Urdoini, estable ciendo los suyos en él. En la mañana siguiente ántes de amanecer, el enemigo hizo la tentativa de forzarlos á retirarse con el ñ…</t>
  </si>
  <si>
    <t>Wilsort'pasasen</t>
  </si>
  <si>
    <t>…elJ7l-del corriente. !»! ¡ i.rn'm* - ; ' •&gt; ;,B1 teíaiénte -general sir-Tomas Grábame diq^tréo que la primera y quin-t tá divisiones, y lá primera brigada portuguesa délínando del general Wilsort'pasasen él río en quatro éoiunas , &lt;treS'd»e- ellas por la parte inferior del puente de Trun, y la otra po,r la parte superior de él; dichas colunas eran «añélidas-'^díOélc-ni'árisQai dé»'campq^Hay, portel honorable coronel Gpoví31e, el mariscal de campo el honorable…</t>
  </si>
  <si>
    <t>Wiltgenstein</t>
  </si>
  <si>
    <t>…o con esto pasó el Nieper á nado, y completó la derrota. Sus destacamen tos se extienden desde Starosselgi hasta la aldea de Tolotschin y so bre las orillas del Nieper.” Parte del general Wiltgenstein á S. M. 1, JBorisr w 28 de Noviembre. — ,E1 22 de Noviembre tuve Ja honra de participar respetuosamente á V. M. que los mariscales Víctor y Oudinot se retiraban de mi frente hácia Borisow : en consecuencia partí de Tschtuga y me puse á perseguirlos. El genera…</t>
  </si>
  <si>
    <t>…es y les ba-~ gages., Praga 14 de Setiembre. Milcrd: El B del corriente hubo una ac ción muy reñ da á consecuencia de haber atacado el enemigo con superiores fuerzas al cuerpo del general Wiltgenstein , y á una parte del ene po del general KÍeist, á las órdenes del general Ziethen, los cuales habían avanzado de nuevo, atravesando las montañas, mal, allá de Petera wslde en el camino de Dr sde. El conde W.ittgemtein tenia su cuartel gfneral en Puna cuando el…</t>
  </si>
  <si>
    <t>Wim, Luis</t>
  </si>
  <si>
    <t>Luis Wim</t>
  </si>
  <si>
    <t>…ial que siempre, y especialmente el 25, se conduxo con-Já maye r' bizarría. = Dios guarde á V. S. muchos años. Cuartel general de EiLzondo 2 de Agosto de 181 ^.'zzPablv Morillo. =;Sr. D. Luis Wim pifen.” '{Se continuarán.')</t>
  </si>
  <si>
    <t>WimpfFen, Luis</t>
  </si>
  <si>
    <t>Luis WimpfFen</t>
  </si>
  <si>
    <t>…sírva V. S. elevar este parte al conocimiento de dicho señor superior gefe. == Dios guarde á V. S. muchos años. Santa María de Cubo i.a de julio de 1813.= El conde del Abisbal. = Sr. D. Luis WimpfFen. = Es co pia. = WimpfFen. = Es copia." Capitulación del fuerte de Santa Engracia de Pancorvo. Don Josef María de Reina, teniente coronel del cuerpo de artillería na cional, mayor de brigada de su arma en el exército de Andalucía, y ayu dante de campo del Excm…</t>
  </si>
  <si>
    <t>Wimpffen, Luis</t>
  </si>
  <si>
    <t>Luis Wimpffen</t>
  </si>
  <si>
    <t>…niciones de csñon y de fusil, y varias lanzas y caballerías. (Se continuarán.) Cuartel general de Hernani 13 de Julio: orden general. ' El gefe del estado mayor general de campaña D. Luis Wimpffen, con fecha 9 de Juno dice al señor comandante general de esta parte de exército lo que sigue. Artículo i.° El JExcn»©. Sr. general en gefe de los exércitos duque de Ciudad Kodrigo, deseando viva mente llamar la atención de ios oficiales del cxc cno á la difer…</t>
  </si>
  <si>
    <t>Wimpfien, Luis</t>
  </si>
  <si>
    <t>Luis Wimpfien</t>
  </si>
  <si>
    <t>…sirva V. S. elevar este parte al conocimiento de dicho señor superior gefe. = Dios guarde á V. S. muchos años. Saata María de Cuvo ié de Julio de 1813. = El conde dei Abismal. 2= Sr. Don Luis Wimpfien, = Es copia. = Witnpjfen. = Es copia.” Capitulación del fuerte de Santa Engracia de Pancorvo. D. José María de Revna, teniente coronel del cuerpo de artille ría. nacional, mayor de brigada de su arma en el exército de Anda lucía, y ayudante éer carneo del Exc…</t>
  </si>
  <si>
    <t>Wimpífen, Luis</t>
  </si>
  <si>
    <t>Luis Wimpífen</t>
  </si>
  <si>
    <t>…oronel , príncipe heredero de Orange , ha esrado en la batalla en la clase de edecán mió, y se ha conducido con la bizar ría é inteligencia que acostumbra; los mariscales de campo D. Luis Wimpífen , y el inspector general de infantería D. Tomas G-Donojú, y los oficiales de estado mayor del exército español constantemente me han prestado la asistencia que les Ha sido posible durante estas operaciones; y me valgo de esta oportunidad para manifestar lo sa…</t>
  </si>
  <si>
    <t>…ego á V. E. me permita le recomiende á su protec ción ,é igualmente que exprese lo satisfecho que estoy de que cons tantemente me ayuda este cuerpo y su gefe el mariscal de cam po D. Luis Wimpífen. = Dios guarde á V. E. muchos años. San Pe 13 de Noviembre de 1813. = Weiüngíon^ duque de Ciudad» Rodrigo. = Exento. Sr. D. Juan OrDonojú." CADIZ i IMPRENTA NACIONAL i iSij.</t>
  </si>
  <si>
    <t>Winasiag</t>
  </si>
  <si>
    <t>…o que pasó por 0r«sd&amp;, y conferencio con el emperador Ab.xandjro: dices® que trae pliegos de su corte. El gobsma ¡o? saxo^i de Tcrgau ha tenido una conferencia coa el general ruso conde Winasiag^rode. En una carta de Har*sb 5?go de 16 del corriente 3* refiere et guíente hecho. El rey de Dmuinarsa participó oficialmente al n»a«</t>
  </si>
  <si>
    <t>Winchester</t>
  </si>
  <si>
    <t>…es que ha cogido en los lagos del Canadá los brickes cribir la carta que sigue al Excmo. Sr. conde de ingleses Catedoni* y Detroit. Metterních-Winnebourg-Ochsenhausen, su minis El general Winchester, comandante de la van tro de Estado y de Negocios extrangeros. guardia del exército del Noroeste, que constaba de ,,Mi querido conde Metternich: no tanto por 900 á 1© hombres, se ha dexado sorprehender él motivo de que la plaza de canciller de la óraen por un…</t>
  </si>
  <si>
    <t>…me he quedado en los Rápi tirá en adelante, á los navios americanos llevar ví dos con luj regimiento solo. Para justificación del veres y provisiones á ios puertos de todas las na general Winchester debo decir que se vio obligado ciones amigas de la Gran Bretaña; y siendo asi, por los oficiales á enviar el destacamento al rio de está concluido el comercio por vía de licencias. Raisin; pero sea qual fuese la causa que motivó es El senado ha adoptado sin m…</t>
  </si>
  <si>
    <t>Winchettcr</t>
  </si>
  <si>
    <t>…brero estén incorporados en el exército activo ó en los ,,Mui señor mío: acompaño nota individual de batallones de reserva: 2.0 de todos los soldados I.; derrota que ha sufrido el general Winchettcr ha cumplidos, que retirados con su licencia, esten aptos cia ei rio de Raisin. La situación del país de Occi para el servicio, no pasen de 4c años, y no esten dente es deplorable , y si no se hace algo de prove casados: 3.0 de todos los solteros de edad de 24…</t>
  </si>
  <si>
    <t>Winder</t>
  </si>
  <si>
    <t>…os-por el coronel Clark. El 31 de mayo se hizo á la vela nuestra esquadra de Newark para el puerto de Sacket, porque se creyó que debía protegerse aquel lugar. El ,i.° de junio el general Winder con americanos dexó el fuerte Jor ge, y marchó á Angra de las Qüarenta millas, en donde se supo entonces que estaban los ingleses apostados en formidables atrincheramientos. El 4. por la mañana otro cuerpo de tropas americanas de 2® hombres, al mando del gene…</t>
  </si>
  <si>
    <t>Windham</t>
  </si>
  <si>
    <t>…presaron también en el estrecho 7 barcos destinados para Ragusa y Catare, cargados en la mayor parte de granos, de que padecen grande escasez aquellos pueblos»” Quinto. Oficio del capitán Windham, d bordo del navio de S. M. BristoJ, á 2,1 de Marzo. »Tengo la satis facción de participar á V. el apresamiento del corsario francés la Liiisita , de 4 cañones y de 45 hombres de tripu lación , mandado por Honorato Saissy, teniente de la marina fran cesa. Los…</t>
  </si>
  <si>
    <t>Windham, Henry</t>
  </si>
  <si>
    <t>Henry Windham</t>
  </si>
  <si>
    <t>…del lo.0 regimiento de húsares ingleses entró á ga lope en aquella ciudad, antes que los franceses acabasen de evacuarla, y á poco rato de haber salido de su coche el intruso. El capitán Henry Windham , que mandaba dicho esquádron » alcanzó el coche, y le tiró dos pisto letazos: el intrusó salió al momento; montó á caballo, y se puso en salvo; y el capitán tuvo que desistir, porque solo le acompañaban dos de sus hú</t>
  </si>
  <si>
    <t>Wing</t>
  </si>
  <si>
    <t>…ma gradó Pack, envolvió el lugar de Sorauren quando vio que lord Dalhowsie habia arrojado al enemigo de la montaña que defendía aquel flanco, y.:la Sexta división y la brigada del general Wing, que habían rele vado ría quarta que estaba- sobre la izquierda de nuestra posición hácia el ca mino de Ostiz , atacaron instantáneamente el lugar de Sorauren, arrojando igualmente de él al enemigo.: El teniente general: sir Lowry Colé asimismo atacó el frent…</t>
  </si>
  <si>
    <t>…nte general el honorable Guillermo Stwart fue nuevamente herido eú esta ocasión. " ,,En el ínterin que los expresados generales atacaban al enemigo, me adelanté con la brigada del general Wing y la quarta división del mando ¡del honorable teniente general sir Lowry Colé por el puerto de Veíate á Irurita, con el fin de envolver la posición del enemigo en Doña María. „ El mariscal de campo Wing cogió en Elizondo un grande convoi que iba al enemigo, é…</t>
  </si>
  <si>
    <t>…é le habia ya &gt;- :incorporado1. l' 1 t r ,¿E1 exétéito aliado sé hallaba situado. como tengo dicho á V. E., en íás gargantas de láS móñtañasí íLa brigada de infantería inglesa del general Wing, y la división de infantería española del general Morillo estaban só brela derecha, cubriendo el puerto de Róncesvalles. El teniente general sir Eo#ry Cple, corola quarta división de stt*mando, estaba ert Viscarret con él objeto dé sósténéir \ii expresadasAtr…</t>
  </si>
  <si>
    <t>…l Soult reunió el dra 24 de Julio el ala derecha é izquierda de su exército, dos divisiones del centro y dos de caballería en S. juán dé Pie de Puerto; y el 25 atacó el puesto del general Wing en Róncesvalles con el número de 30 á 40© hombres. El teniente general sir Lowry Colé marchó con la quarta división á su socorro, y unidos éstos genérales pudieron conser var! el puesto.todo el. dia. Pero, habiéndolo el enemigo debordádo por la tar de , sir L…</t>
  </si>
  <si>
    <t>Winiplfen, Luis-</t>
  </si>
  <si>
    <t>Luis- Winiplfen</t>
  </si>
  <si>
    <t>…iento del Escmo. Sr. general en gefe de los exércitos nacionales. = Dios guarde á V. S. írmenos anos. Cu2riel ge neral de Marcalain 31 de Julio de 1813.=: El conde de la Bisbal. = Sr. D. Luis- Winiplfen.” Partes que se citan en el anterior. Primero~ nExento. Sr.: En execucion de la orden de V. E. ocupé á la* 12 de la noche del 26 con la segunda, división del cuarto exércitola parte de la línea del bloqueo de la plaza de Pamplona desde la-, aldea de Ansoaim a…</t>
  </si>
  <si>
    <t>Wínzihgérode</t>
  </si>
  <si>
    <t>…. El Emperador Alexandrjo. y'i eliRei de Prusiái se: pusieron á la cabeza de sus respectivos exércitos, con el objeto de animar a los. soldados y excitat stt&gt;VaIór. El ^cuerpo del general Wínzihgérode partió dé Leipsick, . enviando descubiertas por el camino de Weisseníels; y siendo su objeto saber Ta.S; fuerzas del enemigo, reconoció que en.aquel puntólas habiá considerables. Hubo oría refriega con el mencionado cuerpo, en la qué Winzingérode se convenció…</t>
  </si>
  <si>
    <t>Winzing</t>
  </si>
  <si>
    <t>1297 El paso se realizó sin mucha oposición. El general Winzing rodé hizo unos 3® prisioneros en F&amp;ucha, y tomó algunos c&amp;ñones. El general Biuchr puso su exército en movimiento lluego que vió que el exército gritide e.taba muy empeñado ea las inmediaciones de las aldeas «áe Stodintz y de Probestheyda; y la infantería del…</t>
  </si>
  <si>
    <t>Winzingerede</t>
  </si>
  <si>
    <t>…sta ciudad se halló un gran almacén,, donde había , ademas de otras cosas, 500 medidas de avena, 600) de harina y 800 barri les de sal. Una partida destacada por orden del general barón Winzingerede se apoderó de Kovaki, donde halló-un pequeño almacén; perteneciente al enemigo. Dia 4. El cuerpo del teniente general Saken entró en Syaenes-lawo, donde se le reunió el del teniente general príncipe de Walkousky* Dia 5. El cuartel general del emperador y del…</t>
  </si>
  <si>
    <t>Winzingerode</t>
  </si>
  <si>
    <t>…tuado en Dernerioíf, que fué llamado á toda priesa luego que se verificó la evacuación de Moscow. Los rusos ocuparon este último pueblo el 22 dé Octubre , y perdieren al te niente general Winzingerode, que fué cogido vil y traydomqiíiite con su edecán el capitán Narishkin, al tiempo que avanzaban con una bandera blanca para representar á la retaguardia la inutilidad de prolongar su resistencia. „Ei 24 de Octubre , un oficial de cosacos del cuerpo de Moscou…</t>
  </si>
  <si>
    <t>Winzingérode</t>
  </si>
  <si>
    <t>…mirante TchichagoíF, con un cuerpo pequeño de caballería ligera para descubrir la posición del general Wütgensteim En su marcha tuyo el coronel la felicidad de rescatar al general barón Winzingérode y a su ayudante Narishkin, entre Wilna y Minsk , los Cuales se encaminaban á las fronteras del imperio , escoltados por gendármas , y habían salido de Terrea, denu de fueron presentados á Bonaparte que se hallaba allí con las guar* dias mandadas por Junot Tam…</t>
  </si>
  <si>
    <t>Winzíngerode</t>
  </si>
  <si>
    <t>…exér cito , que está ya. dividido en varios cuerpos ; los cuales avanzan en diferentes columnas. Sé, aunque no de e fie i o, que se ha confiado el: mando un cuerpo considerable al barón Winzíngerode, y que ha sido promovido el grado de teniente general. El emperador* ¿e movió en la noche del ? de Enero desde Wilna para reunirse con la divi sión de guardias , y el cuartel general de todo el exército estaba el 10 de este mes en Merecz , donde debía permane…</t>
  </si>
  <si>
    <t>…o sus movimientos de suerte q*¡a pudiesen en trar en ei último pueblo al tiempo de llegar á Pystaitz ©1 cuerp# del general Miiloradowitch; lo cual se verificó en 27 de Enero. ,,El general Winzingerode con un fserte cuerpo de tropas lige ras formaba la vanguardia de aquellas dos columnas marchando por Muschmiiz á Corchell, y cubriendo todo el territorio que circuye aquel pueblo. Estos movimientos han alejado los puestos avanza dos de los austríacos. ,,Esper…</t>
  </si>
  <si>
    <t>…usas al mando del general Bekendorif, segu1?. se dice, ha pasado por Meklenburgo. El conde mariscal VonOlcfíVon, salió de allí para Rostcck el 6 dei corriente con esta noticia. El general Winzingerode llegó á Gorlitz (8 millas alemanas de Dresde ) el 28 de Febrero. Ea 5 del corriente debían avistarse ea Witemberg el emperador Alexandró y el rey de Prusia. ESPAÑA. Badajoz 26 de Marzo. El 24 del presente salió de esta plaza para Cáceres el Excrao. Sr. D. Fra…</t>
  </si>
  <si>
    <t>…ido retirando gradualmente á las fronteras de la Galitzia. ,,EÍ cuerpo de Regnier se retiró , como yo conjeturaba, tras de los austríacos á esta plaza, donde fné alcanzado por el general Winzingerode, que le atacó, aunque con fuerzas inferiores, y le puso en fuga, haciendo pritioaero al general saxon Rostitz, 3 coroneles, otros 47 oñciales, 1500 soldados, 2 banderas y 7 cañones. Las re liquias de este cuerpo, que no pasarían probablemente de 6000 hombres,…</t>
  </si>
  <si>
    <t>…co que pasó por Dresde, y conferenció con el Emperador Alexandro: dícese que trae pliegos de su corte. El gobernador saxon de Torgau ha tenido una conferencia con el gene ral ruso conde Winzingerode. En un* carta de Hamburgo de 16 del corriente, se refiere el siguiente hecho. El Reí de Dinamarca participó oficialmente al mariscal Davoust que habiendo abandonado las tropas francesas la orilla derecha del Elba, y no atravesando para Hamburgo camino alguno…</t>
  </si>
  <si>
    <t>…y después de un reñido comba te de hora y media el enemigo fue desalojado de las aldeas, las que queda ron en nuestro poder. A este tiempo ya se habían interesado en la acción el general Winzingerode en el flanco izquierdo, y el general Yorck con upa parte de las tropas rusas» mandadas por el general, Berg. Nosotros estábamos á cien pasos del enemiga, y entonces se hizo general una de las batallas mas Sangrientas que se han visto——Nuestros cuerpos de rese…</t>
  </si>
  <si>
    <t>…andau. Los franceses se reunían- en Baruth, y hacia Trebin; para atacar á Berlín, por io que ei príncipe Bernadotte ha enviado un cuerpo de 829® hombres de caballería al mando del general Winzingerode con el fin de reconocer ai enemigo por su izquierda por Wittemberg y Juterbock. El gefe del estado mayor del general Ney, Mr. Joinini, se ha pasado á los aliados, y ha confirmado los temores que se tenían dé que Bonaparte adelantaría primero sobre Berlín. El…</t>
  </si>
  <si>
    <t>…teniente general barón Sandils. Todas las fuerzas suecas forman el centro del exército aliado. La derecha está compuesta de las tropas rusas , á las órdenes del tenien te general barón Winzingerode, cuyo quartel general está en Brandeburgo. El cuerpo del teniente general conde de Woronzow, que forma parte del ala derecha , tiene su quartel general en Plaue. Un cuerpo prusiano, á las órdenes del mayor general Herschfeld, está de frente á Magdeburgo. ; 1…</t>
  </si>
  <si>
    <t>…ho al géneráí. ptusiaRÓ 0|&gt;pen, El éxércitó sueco y ruso entraron en la batalla, y esperaron que se desenvolviesen otros cuerpos del enemigo para acometerlos al misrriQ tiempo. El general Winzingerode se hallaba á la cabeza de 10® caballos, el conde Woronzow al frente de la infantería rusa, y el conde Stedingk mandaba la línea sueca, formando su reserva la caballería.__ La aldea de Ruhlsdoríf, situada al frente de este Campo, fue guarnecida por la infanter…</t>
  </si>
  <si>
    <t>…Biucher marchó con ei exército de Sile ia pa-a pasar el rio en Wctíia, para lo que se construyeron puentes. Ei general Bulow con su cuerpo ctbia igcelnrsente pasarlo en Wetiin. El general Winzingerode coa los ruror; en Rottenburgo, y el Príncipe real con les suecos en Alsitben y Be-nburgo. Toda h fuerza aliada se debía ordenar en batalla, con la izquier da sobre ti Saaíe, esperando los movimientos posteiiores del enemi go. Los cuerpos de los generales BüIo…</t>
  </si>
  <si>
    <t>…to de Si'eiia, y lo* suecos debían de quedar de reserva ó en la segunda línea. Cada cuer po de exército debe formar tres líneas. El general Worenzow, que formaba la vanguardia del general Winzíngerode en Halle, debe ar reglar sus movimíen os según las tentativas del enemigo, y retroce der sobre las tropas que pasaren en Vveítin, si fuese a-acado por fuerzas superiores. De otra suerte debía permanecer en Halle todo el tiempo posible. V. S. observará por est…</t>
  </si>
  <si>
    <t>…la msñana, y llegó á Britterfeld al medid día con el cuerpo del gene ral Winzingerode y del general Bulovr sobre la izquierda del ge neral Biucber. La caballería y artillería del general Winzingerode heñía marchado por la noche, y estaba' cerca de Faucha. Como no se oían tiros hacia la parte del.exército grande (aunque el cuerpo d:l general Bluchet estaba sobre las armas); que se sabia ademas, que el general Bennigsen no podía arribará Grimma hasta hoy, y…</t>
  </si>
  <si>
    <t>…y su izquierda hacia Leipsick. La primera operación del Príncipe Real fue forzar la derecha del enemigo, y tomar posesión de las alturas de Faucha. El cuerpo ruso, man dado por el general Winzingerode, y los prusianos, á las órdenes del gene ral Bulow, fueron destinados á este objeto, y el exército sueco á forzar el paso del rio por Polofs y Mockan. Se efectuó este paso sin la mayor o po sición. El general Winzingerode hizo 3$ prisioneros en Faucha, y tomó…</t>
  </si>
  <si>
    <t>…pués se oyó algún fuego de artillería por el lado del exército de Bohemia, y las tropas marcharon con el objeto de pasar el Partha. El cuerpo del general Bulow y la caballería del general Winzingerode, que formaban el extremo de la izquierda, marcharon á Taucha. El exército ruso, cuya guardia avan zada mandaba el teniente general conde Woronzow, pasó el vado al pie de Grasdorff. El exército sueco pasó entre aquel lugar y Plaussig. En la tarde anterior el g…</t>
  </si>
  <si>
    <t>…ral Czernicheff atacó y maltrató bastante. El Príncipe Real ha trasladado el 6 su quartel general á Hannóver. Los prusianos, á las órdenes del general Bulow, están en Minden; y el general Winzingerode llegará á Bremen dentro de uno ó dos dias: los suecos se di rigen sobre Hamburgo. El cuerpo del general Bennigsen baxa el Elba, y ha llegado á Lutzen. Este general y ei conde Walmoden obrarán á la orilla derecha contra la po sición de Davoust en Stecknitz. Lo…</t>
  </si>
  <si>
    <t>…elRei de Bavie ra.__ Igualmente se ha dicho, aunque ignoramos con qué fundamento, que Talleyrand habla salido de París á Francfort para tratar la paz con los aliados. Del 2(T. El general Winzingerode ha enviado nna fuerza suficiente para reducir los fuertes de las embocaduras del Wcsser, é igualmente á Stade, Cuxhaven y á los fuertes entre el Elba y aquel rio. SirTomas Graham debe mandar la expedición de Holanda, y saldrá in mediatamente. La fuerza de los…</t>
  </si>
  <si>
    <t>858 ' ' \ v ^ .rFrancfort. El Príncipe de Suecia con 40^ rusos y prusianos ha salido de Bremen para Holanda. El cuerpo del general Winzingerode se Halla actual mente en el mismo país. El general Bulow está entre Munster y Arnheim en Gelderlaind. El cuerpo del general Bennigsen, el general Vvalmodeii con los hannoverianos, y el general Adlercrantz con los suecos marchan ^contra Davoust y los dinamarqu…</t>
  </si>
  <si>
    <t>…e Real está -mui satisfecho con Ja actividad de aquel general. - : . , ’ . El mariscal Davoust ocupa aun su antigua posición en Stignitz, y no puede retirarse á Franja. El general barón Winzingerode está en marcha para Bremen , y ha de extender sus tropas por ;tod&lt;o el país de Oldemburgo y las fronteras de Holanda, adonde ha enviado ya afl coroneLNaríschkín. El general Bulo.w-está.en 3íind.e5t,iínYÍaráru.ñ,cuerpo á Munster , y su ca ballería está pronta…</t>
  </si>
  <si>
    <t>…e protegían en Cassel la cabeza del puente; y fueron toinad^s, perdiendo el enemigo algunos cen tenares de prisioneros y 4 piezas. Sir Roberto Wilson se halló en el asalto::::: El general Winzingerode envió con tiempo suficientes tropas á tomar las fortalezas de las bocas del Wesser, y las de Stade, Cuxhaven y ©tros fuertes si tuados entre el Wesser y el Biba.</t>
  </si>
  <si>
    <t>Winzingetode</t>
  </si>
  <si>
    <t>…n que el fuego de la. artillería sueca y rusa produxo ei mayor efecto por la certeza de su puntería, y por la osadía de su ataque,, causando mucha pérdida al enemigo. ; Rl general barón Winzingetode elogia mucho el zelo y taleptos; del gefe de su estado mayor el general Renny: el Príncipe Real ha notadq con gran satisfacción su porte en varias.- ocasiones, y con particularidad en. la ultima batalla-.. El exército sueco» recordó con orgullo que uno -de su…</t>
  </si>
  <si>
    <t>Winzlngerode</t>
  </si>
  <si>
    <t>…dos los prisioneros dicen que la artillería sueca y rusa produce mas efecto, y cansa isas perdida si enemigo por lo a ertado de sus tiros, y por la osadía de su ataque. Ei general barón Winzlngerode elogia mucho el celo y talentos del gefe de su estaco mayor general Renny : el Príncipe real ha notado so conducta con macha satisfacción en varias oca¿iones, y especialmente en la última batalla. El exéreito sueco se acordó con orgullo que uno de sus mejores…</t>
  </si>
  <si>
    <t>Winzmgercde</t>
  </si>
  <si>
    <t>…as leguas de Wittembrrg , favoreció la retirada del enemigo, é jmp:dió que obrase laca* ba Hería ligera. No obstante ie arrollaron variós veces sus posiciones. Eí 30 de Agosto, el general Winzmgercde tenia su cuartel gene ral en N emeck- El g;n ral B'ucher tenia el suyo el mismo dia en Tieueubritzen , y el i.Q de S.tiembre en Trohnsdorff. El 2 de Setiembre, el cuerpo de este ge eral avanzó hacia las posiciones SchwGlbeck y Feidhum , hallándose su guardia…</t>
  </si>
  <si>
    <t>Winzvn-</t>
  </si>
  <si>
    <t>…vanguardia del general Sclfulzenherm en Dessau.“ ' El feld-mariscal conde Stedingk hizo construir obras considerables' por «ncíma de Roslau, y entre el Elba y el Muida. El general barón Winzvn-</t>
  </si>
  <si>
    <t>Wirñpffen, Luis</t>
  </si>
  <si>
    <t>Luis Wirñpffen</t>
  </si>
  <si>
    <t>…religioso mínimo y otro mercenario. - - - - - *-•- “r.nliiirr * " - - - - - Quartel general de Hrrnani, orden general dél 13 de julio. El géfe del estado mayor, général de campaña D. Luis Wirñpffen, con fe cha 9 de julio dice al señor comandante general de esta parte de ejército 16 que sigue. Artículo i.° El Éxciiio. Sr. géneral eñ gefé dé los exercitos du que de Ciudad-Rodrigo, deseando vivamente llamar la atención dé ios ofi ciales dél exército á la d…</t>
  </si>
  <si>
    <t>Wirtemberg</t>
  </si>
  <si>
    <t>…de ataque á sus respectivos destinos. «Gradualmente fué arreciándose la pelea en los montes, donde el enemigo se escudó con una línea formidable de artillería. Las divi siones del príncipe Wirtemberg y del general St. Priest, pertenecien tes al cuerpo del general Miilaradowitch, combatieron allí bizarra mente, y ademas se dio una fuerte carga de caballería contra algu nos cañones del enemigo, uno de los cuales fué tomado. «En este tiempo vimos á Bonaparte…</t>
  </si>
  <si>
    <t>Witgensrein</t>
  </si>
  <si>
    <t>…ientes noticias. El go bierno ha recibido pliegos de Mr. Cocklourn , ministro de S. M. B, en Ham burgo, con fecha del 23 , anunciando que el general Tettemborn había reci bido del conde Witgensrein, actual general en gefe de los ¡exércitos rusos por fallecimiento de Kutusow, la noticia de la rendición de Dantzick por. ca pitulación, y ofrecia enviar los detalles apenas los recibiese. * El príncipe de Orange conferenció el.29 con.; el ministro de Guerra…</t>
  </si>
  <si>
    <t>Withmgham</t>
  </si>
  <si>
    <t>…y tuvo la imprudencia de destacar cerca de las 3 de la tarde un cuerpo de 2000 hombres con el objeto de forzar la izquierda de la línea que cubría 1&amp; vanguardia de-la-división del general Withmgham. Están tropas, y el regimien to. 27 de infantería ingles, que estaba aili también, recibieron con serenidad el ataque : dexaion que se acercase hasta la punta de sus bayonetas, y entonces le cargaron y envolvieron , quedando tn nues tro poder 2Ó0 hombres, sin…</t>
  </si>
  <si>
    <t>Wítiger</t>
  </si>
  <si>
    <t>…n tras se hacia un arreglo definitivo : el general Barclay de Tolly lia sido nombrado para exercer el mismo cargo. Con este moávo se Ira hecho una nueva desmembración; á saber, el conde Wítiger..-tcm mandará los rusos, y el general Blucher los prudanos. Ti gemral Milaradowitch lia cedido el mando al conde Pahlin por indisposición.</t>
  </si>
  <si>
    <t>Witrgenstein</t>
  </si>
  <si>
    <t>…Topliíz. El 10 se encaminó el enemigo con mayores fuerzas , al parecer, desde las montañas á Kuim y Topiz: no rotamente avanzaion las columnas q.v,e perseguían, la retaguardia del conde Witrgenstein, sino también otro cuerpo muy considerable por Zhiiiwalíc y Krenten, A este tiempo no habí¿n entablado les columnas austríacas una co municación inmediata desde Aussig y Lmtmerhz ; por otra parte re sabia que el enemigo excedía mucho en fuerzas á las rusas y…</t>
  </si>
  <si>
    <t>Witt</t>
  </si>
  <si>
    <t>…uella capital. ,,Un trozo del exército prusiano ha pasado por la frontera de Silesia á la Lusacía, y avanza con dirección á Dresde. „Ties destacamentos de la división que manda el general Witt*</t>
  </si>
  <si>
    <t>…ha perseguido á la retaguardia de los aliados con vigor ni buen éxito. Los cuerpos de los generales Barclay de Tolly, Blucher, York y Kleist se han movido hacia Leignitz; ios del conde Witt— genstein y del general Milaradowitch con dirección á esta plaza : el último tenia sus puestos avanzados en el rio Bober: y el enemigo ocupaba á Lowenburgo. » El exérciío aliado se mueve, á lo que parece , con dirección á Schvveidníta; y de este modo mantiene…</t>
  </si>
  <si>
    <t>Witta</t>
  </si>
  <si>
    <t>…s, al bien general del estado, y especialmente al sosia# go y segundad de la capital y libre comunicación por el rio. ^ Idem 27. Acaba de recibirse el siguiente oficio del general conde Witta genstein al gobernador da asta Capital. „Tengo la satisfacción de participar á V. E. que la guarnición de Thom ha capitulada con las tropas rusas, y en consecuencia de berá entregarse el 18 del corriente, y rendí a sus anuas, no pedien do volver á tomarlas en…</t>
  </si>
  <si>
    <t>Wittgcnstein</t>
  </si>
  <si>
    <t>…s; pero si el almirante Tchicbagólf ha llegad ó á su posición , parece imposible que^éstos cuer pos puedan escapar hasta la frontera. El nuevo movimiento que hizo Víctor contra el general Wittgcnstein, después del ataque en qué fue rechazado , tenia sin duda por' objeto entretener á aquel general para que entre tanto pudiesen escapar dichas guardias. ,,Toda la caballería del mayor general Kutusow se reunió al ge neral Wiltgenstein por medio de una marcha r…</t>
  </si>
  <si>
    <t>Wittgcntfein</t>
  </si>
  <si>
    <t>…rehendidos los cuerpos de O.udínpt y Víctor que tie nen artillería y caballería. — Tengo la honra 8cg. Cathc ¿rt” ■ .i i- , : ' '■ ’ .. •-..'i’o-.’ Parte del general de caballería conde Wittgcntfein ú $. M I. ¡feché en Staroy Boris&amp;ff el2B de Noviembre¡ de 18 i2. &gt; „Ayer tuve la honra de partKupar respetuosamente a V. M, la derrota del cuerpo del mariscal Víctor, al ¿cual tomaron las tropas de V. M. 4 cañones y 2 banderasa, &amp; hicieron prisión tos á 67 of…</t>
  </si>
  <si>
    <t>Wittgemtein</t>
  </si>
  <si>
    <t>…e el paso del Niemen hasta Wilkovich, ha perdida el enemigo, mas de 200 oficiales y 4 cañones, sin coMarlo» saldados, de los cua'es llegan 1000 prisioneros diariamente. Ei general conde Wittgemtein participa el 23, que el ¿estáca me' tu r el teniente coronel Testertborn, enviado por el ayudante ge neral Gatenistsch ff KutusoW, dió con dos escuadrones de húsares prusianos delante ríe Tdsit; los arrolló y persiguió , atravesando el j utblo, una milla rras…</t>
  </si>
  <si>
    <t>…es: hizo sin embargo algunos prisioneros. El enemigo sufrid considera blemente. El exército grande por parte de Bohemia comenzó el 20 y 21 á pa's;r las fronteras: las columnas del conde Wittgemtein y del peseral Kleist por los desfiladeros de Peterswalde; los austríacos por Conmoíaa. Eí 22, el cuerpo del conde Wittgenstein encontró con el eneufgo, y tuvo una acción muy reñida con él cerca de Berghishabel y Zehista. El enemigo salió al encuentro á los al…</t>
  </si>
  <si>
    <t>…da tn aquel día fué por apoderarse del pueblo de Dohna , que defendieron ios alia dos con g ande bizarría ; pero habiendo aumentado- mucho sus fuer zas el enemigo por Ja noche, el conde Wittgemtein determinó re troceder y evacuar á Dohna. En consecuencia el cuerpo del general Ziethen recibió orden de ocupar a Pirna en la misma noche , y el cuerpo del genertl Wittgenstein se retiró á Peterswalde. La perdida de l*s aliados en aquel dia se regula en 1© hom…</t>
  </si>
  <si>
    <t>WittgemUin</t>
  </si>
  <si>
    <t>Núm/56. 457 m GACETA DE LA REGENCIA DE LAS ESPAÑAS DEL JUEVES 6 DE MAYO DE 1813. PRUSIA. ' Berlín 21 de MarteProclama del general WittgemUin„ Alemanes: Llego el momento de la libertad. El exército gran* de francés, verdugo del género humano cuando le acaudillaba un conquistador sediento de sangre, ja no existe. Apenas vuelven á •us hogares unas miserables reliquias de él, siguiendo las huellas de…</t>
  </si>
  <si>
    <t>Wittgen</t>
  </si>
  <si>
    <t>…, K m gsbon y otros puntos, á fin de que el general B&amp;iou pueda con mmycr seguridad bloquear á Magdebur go por esta pa: te. — F. 1), Aubrai, gefe del estado mayor, en nom» bre del conde Wittgen&amp;tein.” ARTICULO DE OFICIO. Habiendo procedido las Cortes generales y extraordinarias en la sesión de 24 del corriente á la renovación de su presidente, vice-presidente y uno de sus secretarios ; salieron electos, para presidente el S¡r. D. Florencio CastiUo,…</t>
  </si>
  <si>
    <t>Wittgensieia</t>
  </si>
  <si>
    <t>…, el mayor general TachabKtz desalojó de Wilna al enemigo, desando este un giaa nú mero de cañones y almacenes de mucha consideración* Cu rtei general de Wilna 12 de Diciembre. El conde Wittgensieia participa con fecha del í0 q'ie el general Kntusow hizo prisionero un cuerpo bávaro de 126 oficíalas y £024 soldados , entre los cuales un batallón entero , viéndose cercado. rin dió jas anuas sin hacer fuego. $e cogieron al enemigo las contribuciones de toda…</t>
  </si>
  <si>
    <t>Wittgensiein</t>
  </si>
  <si>
    <t>…7 PORTUGAL. jfAsboa 29 de Enero* Ante» de ayer llegó paquete de Inglaterra, que traxe periódico» basta el 16, cuyas noticias mas importantes son las siguientes: Oficio del general conde Wittgensiein dirigido A S* M. J. desde su campamento inmediato á Kamen en 4 de Diciembre. Lue«ro que el exército francés pasó el Berezina, en las inmedia ciones de°Studenzi, dispuse que el ayudante general Kutusow se en caminase ó Lepel con el cuerpo de su mando, compuest…</t>
  </si>
  <si>
    <t>Wittgenstdn</t>
  </si>
  <si>
    <t>…nos y de un tiempo muy incómodo se exeeutó e.te movimiento con orden y desembarazo. El día 25 principiaron ya á reunirse delante de Dresde la mayor parte de las tropas. El general conde Wittgenstdn se había adelan tado contra el enemigo cerca "de GieSshubel, le había arrojado le la posición atrincherada que tenia en aquel sitio, así como ’.e la que ocupaba mas abaxo de Grillenberg, cerca de Ob rsedliíz, donde es taban apostadas las divisiones de Doroc,…</t>
  </si>
  <si>
    <t>Wittgensteia</t>
  </si>
  <si>
    <t>…ñana llegó la caballería, artillería, infantería, y el resto de los co sacos , y todos continuaron su marcha: algunos tomaron el camino de Brandemburgo, y otros el de Pillan. — El conde Wittgensteia llegó aquí ántes de ayeT á las 6 de la noche , y fue inmediatamente al teatro. El pueblo prorumpió al vctIo en grandes a ciamaciones, y él mismo gritó : vivan Federico Guillermo y Alexandro. Anoche asistió á la ópera , y se llenó el teatro : apenas se present…</t>
  </si>
  <si>
    <t>Wittgenstein</t>
  </si>
  <si>
    <t>…ueda.su retaguardia continuar la marcha sin hacer alto, y en este caso las tropas ligeras del exérci to ruso podrán alcanzarla. El enemigo tiene delante de sí al valiente y activo conde Wittgenstein , cuyo carácter atrevido es tan notorio; y sobre el camino de Minsk se halla también el almirante Tchichagolf con el exército de Moldavia, que tendrá probablemente tiempo y orden, ó de reunirse al conde Wittgenstein para esperar á los franceses en el camino,…</t>
  </si>
  <si>
    <t>…il al cami no de Wilna ^ quien después de haber cortado el cuerpo bávaro del de St Cyr , dispersándole enteramente , y tomándole varios ca ñones y banderas , se volvió á reunir al conde Wittgenstein , el cual se puso en marcha para atacar los franceses que restaban á las orde nes de Le-Graud , vor haber dexado el mando St. Cyr de resultas de una herida. Este cuerpo había sido reforzado por el mariscal Víc tor con 15000 hombres, y tomó posición cerca de T…</t>
  </si>
  <si>
    <t>…n el Styr, en donde el general'Tormasow aguardaba al exército^ de Moldavia á primeros de Setiembre. Es verosímil que cuando aquel llegó se encaminase al E. para reunirse, ó con el conde Wittgenstein por la parte de Witepsk, ó con el exército del general Kutusow. Parle del mariscal Kutusow á S. M. I., desde Bwhsvo, cerca da Viasma, á 5 de Noviembre de 1812. „Tengo la honra de comunicar á V MI., que después, de mi oficio de l.c del corriente, el general Pl…</t>
  </si>
  <si>
    <t>…tiempos roas felices de España; y éste mismo carácter es el que nos asegura su independen* cia y libertad. Londres 11 de Diciembre. Aldea de Tskashnik 9 de Noviembre. — El general conde Wittgenstein participa á S. M. I. lo siguiente : „Habiem!o enviado ai mayotr general Garp con una partida á las orillas del Duna con el objeto de ocupar á Witepsk, me participa que el dia 7 á las 7 de la mañana, á pesar de un vivo fuego y de un obstinado combate con el en…</t>
  </si>
  <si>
    <t>…ilas aquella inalterable serenidad con que pocos dias ántes cultivaban los campos. Así vimos á los re clutas de Petersburgo y Nowogorod , cuando se reforzó con ellos el cuerpo del general Wittgenstein , hacer prodigios de valor en Polotsk y otros sitios. Hemos sabido ademas con la mayor satisfacción por los partes del general en gefe de todos los exércitos, y de otros ge nerales subalternos, que muchos présanos armándose y eligiendo caudillos , frustraron…</t>
  </si>
  <si>
    <t>…n estaba cercado por tres partes, á saber : á reta guardia por el general Platow, en la vanguardia por Tchitchagoff, y en el flanco por Wittgenstein. El 27 de Noriembre el general conde Wittgenstein derrotó ei cuerpo de Víctor, después de haber perseguido á Bonaparte por uno de los caminos que conducen á W lina. Ultimamente, participa lord Cathcart con fecha del 7 de Diciem bre, que acababa de pasarle aquella corte un parte del almirante Tchitchagoff de…</t>
  </si>
  <si>
    <t>…tó el 21 de Noviembre en Borisoff el cuerpo de Dombrowsby, cogiendo 6 cañones, 2 banderas y 5000 prisioneras, y ademas ©tros 2 cañones , y de 2 á 3000 prisioneros en Kaidanoíf. El conde Wittgenstein iba persiguiendo á Víctor y Oudinot¿ ha-</t>
  </si>
  <si>
    <t>…, „El exército pasará el Nieper el 24 en Kopys, y marchará por Star a sel á TsetzershiofF, desde donde se encaminará , según las cir cunstancias , ó á Sobra ó á BerézinofF. ; ,.E1 general Wittgenstein participa desde la aldea de CheTai en £4 del corriente , que en este día estaba el almirante Tcbicbagcff en BorisefF; desde donde le informa el general Largeron en oficio del 22 , que el general conde I.ambert había derrotado el 21 eñ Boriscff todo el cuerpo…</t>
  </si>
  <si>
    <t>…ei enemigo la abandonó destruyendo el puente luego que pasó su retaguardia. Habiendo en este punto un camino de travesía que conduce al cami no real de Wiína, era la intención del conde Wittgenstein perseguir al enemigo luego que .recibiese pontones ó pudiese restablecerse el puente. ,,'El general Platow estaba ya en la milla derecha y probablemen te en Berisoff. „Parece que el cuartel general del almirante TchítchagoíF no es taba á grande distancia; per…</t>
  </si>
  <si>
    <t>…por la derecha y luego por la izquierda. El conde Wittgenstein y Platow se acerca ron , y establecimos comunicaciones. El 28 ataqué al enemigo por el frente al mismo tiempo que el conde Wittgenstein se hallaba ya em peñado con las tropas que por la otra parte defendían el paso del rio. Por algunos prisioneros supimos que el mismo Napoleón en persona se hallaba en esta batalla con todas sus fuerzas, que ascen dían á unos 7h000 hombres. Los cuerpos de Oudi…</t>
  </si>
  <si>
    <t>…parte en ella. tado mui"poco há, y mandado por el coronel con El general de Wrede ha tenido varias acciones de Czoiske, se batió perfectamente delante de Minsk. con las tropas del príncipe Wittgenstein , en las Si en esta ciudad se Hubiera detenido por mas tiem que ha quedado con mucha gloria. Este general es po el cuerpo de exército de Tschítschakoff, hubie taba el 23 de noviembre en Doghitson , en cuyo ra sido cuteramente destrozado por el exército dia de…</t>
  </si>
  <si>
    <t>H2 partes , uno del mayor general Kutusow de 2 Diciembre, y otro del general conde Wittgenstein del 4 (1). „V. E. verá por estos partes, que el paso del Berczina ha costa do á los franceses mas de 20000 hombres, entre muertos, heridos, ahogados y prisioneros; y que los restos del exército francés procu ran encaminarse á Veleika, mientras que el cuerpo d…</t>
  </si>
  <si>
    <t>…, al acercarse nuestras tropas , se retiró por el camino de Weleika para reunirse al grueso de su exér cito. Sigo todavía persiguiéndole , según las instrucciones inmedia tas del general Wittgenstein , en virtud de la resolución del general en gofa.” 2.° Petershurgo 17 de Diciembre.— rMilord : Con mi oficio ante rior de 12 de este mes habrá recibido V. E. dos partes, tino del mayor general Kutusow , y otro del conde Wittgenstein. Según ellos, Bonapsríe, c…</t>
  </si>
  <si>
    <t>…én en? Meretech, y le dexó al cuidado del regimiento de dragones de Moscow que acababa de lle gar allí. El general austríaco Froelich, que ocupaba á Grodno , se retiró. El general conde Wittgenstein comunica en 21 que el ayudante general GotenistscheiF Kutusow, persiguiendo al enemigo desde Wilua hasta mas allá de Kowno , hizo prisioneros 69 oficiales de estado mayor y otros; 1570 soldados , y tomó una bandera : también dice que el 17, una partida de-su…</t>
  </si>
  <si>
    <t>…l cuerpo auxiliar prusiano y teniente gene HUNGRIA. ral de Y'orck por una parte, y el quartcl-maestre general del exército imperial ruso, baxo las órdenes Pest 7 de diciembre. del conde Wittgenstein , general mayor JDiebitsch Acaba de publicarse una obra sumamente curio por otra, después de una madura deliberación, han sa del señor Alexandro Kis, asesor de varios con acordado el siguiente convenio : dados , sobre una especie de pasigrafia ó alfabeto art.…</t>
  </si>
  <si>
    <t>…que las tro pas francesas que habla allí, salieron el 22 del mismo para Memel, y así parece imposible que no sean cortadas si intentan ir á Tilsit, que estaba ocupado el 11 por el conde Wittgenstein , quien se halla próximo á Konigsberg. — Tengo la honra &amp;c.— Catchcart.” Proclamas del príncipe Kutusow que se citan en el oficio anterior. Primera. „A1 avanzar mi exército mas allá de las fronteras de Rusia, el emperador, mi señor, me manda hacer presente qu…</t>
  </si>
  <si>
    <t>…ow, habiendo llegado por medio de una marcha rápida á Babinowitch, maniobró contra el costado derecho del ene migo , logrando arrojarle hácia la posición que ocupaba el cuerpo del general Wittgenstein. Persiguiéndole después desde Oraha hasta Borisow, le mató é hizo prisioneros mas ds 20000 hombres ; reunió se en seguida Kutusow con el general Wittgenstein, y cubrió su flanco derecho. Este general se destacó de Borisow para Lepel, en donde supo que los báv…</t>
  </si>
  <si>
    <t>…le de trepas.. También se está fomi^ndo olio cuerpo de observación á orillas del Elba en Hsmburgo , y otro en Metz, Wetzlar y Eífurt. Las gacetas de Konisberg del i 8 dicen que el conde Wittgenstein salió de aquella ciudad, el 9 de Enero. Idem 19 de Febrero* El capitán de un buque que ha llegado últimamente de las costas de Francia reliare que ios ruaos pasaron el Vístula, y que habiendo» dexa do fuerzas suficientes para ei bloq ue o de D&amp;nízik y de Tlio…</t>
  </si>
  <si>
    <t>…. B. en Petersburgo. Primero. Petersburgo 8 de Enero de 1813. — „Miiord : Tengo la satisfac ción de participar á V. E. que el conde Heller llegó aquí anoche, enviado por su tío el conde Wittgenstein con la noticia de haberse intrigado el cuerpo prusiano que mandaba en Curiandia el general York. Este oficial refiere también que el mariscal francés Macdonald había oficiado al conde Wittgenstein con el fin de trataT de una ca pitulación, noticioso sin duda…</t>
  </si>
  <si>
    <t>…s de aquel pais, todo el exér cito francés pasó por l'nsterburg en retirada; y que no httbi&amp;n que dado mas que 1500 hombres de toda la guardia imperial francesa. Día 8. Ei general conde Wittgenstein comunica con fecha de 6 de'este mes, que su vanguardia á las órdenes del mayor general fcchepeíeff . alcanzó el 4 al enemigo cerca de Labiau, donde tomó una posición ventajosa, y se defendió obstinadamente. La batalla duró hasta la tarde ; y después de haber…</t>
  </si>
  <si>
    <t>…continuado sus operaciones y bloqueado á Dantzick : el cuartel general del con* de Platow se hallaba á pocas millas inglesan de aquella ciudad por el lado de poniente. El general conde Wittgenstein ha vuelto á to mar. el mando de la columna derecha.,. y como está ya segura una parte de la artillería destinada para, ei, sitio de Riga, es probable que lógre rendir á Daotzick. ,,Ei conde V/cronzow se ha apoderado de Rromberga con sus co piosos almacenes en…</t>
  </si>
  <si>
    <t>Wíttgenstein</t>
  </si>
  <si>
    <t>…tadamente el enemigo, al saber el desembarco de las tropas inglesas, que se decía eran muy considerables. El coronel barón de Tettenborn, comandante de una división del cuerpo del general Wíttgenstein, entró en Hamburgo el 18 del cor riente entre las aclamaciones de los habitantes; y en consecuencia de este feliz suceso se ha restablecido el gobierno antiguo, y sale ya un correo de esta ciudad para Inglaterra. Idem 10 de Abril. El vizconde Castlereagh, sec…</t>
  </si>
  <si>
    <t>…gundo, Cuartel general de Kalisch 26 de Mano. — „Milord : Me refiere á mi oficio cíel 6 en que participaba á V. E. lo ocurrido hasta aquel día, inclusa la toma de Barlin, donde-el general Wittgenstein ha puesto su cuartel general. ,,Después de aquella fecha, S. M. I. se ha avistado con el rey de Prusia en Breslaw; Hamburgo ha sido ocupado por loa rusos ; y Lubek ha abierto á estos sus puertas. „E1 enemigo ha sido arrojado de la Pomerania sueca, Mecklentbur…</t>
  </si>
  <si>
    <t>450 laureles con que, después de completada esta grande obra, nos co ronará la gratitud de Us naciones libertadas. Cuartel general de Ber lín 18 de Marzo de 1813. — El conde Wittgenstein.” SUECIA. StccJcohno 27 de Marte. Hemos recibido noticias de la llegada y desembarco de la prime ra división del exército sueco que salió de Carlscrona para la Pomerania. Los caballos y los equipages del príncipe real salieron el 20 de este mes; y S. A R. par…</t>
  </si>
  <si>
    <t>…de la inactividad de otros comandantes, habían pasado el Elba, y arrollando varios destacamentos avanzados del enemigo, llegaron hasta las inmediaciones de B'ema. Eá general ruso conde Wittgenstein publicó ántes de su salida de Berlín la siguiente orden del dia. ,,Soldados: la alianza con la Prúsia, tan deseada por todos noso tros, está ya concluida, y será de larga duración. Enardecidas con igual deseo de venganza, y estimuladas por el honor y la glori…</t>
  </si>
  <si>
    <t>…untzlau de una fie bre nerviosa, á Jos 70 años de su edad. Dícese que pocas horas an tes de espirar escribió al emperador , recomendando para sucederle en el mando del exército al general Wittgenstein. ESPAÑA. México 14 de Noviembre de 1812, Continúan los extractos de los partes de Nueva-Esparza* 21. Rancho de Jaque tas Mayo 1$ de j8j2. Cuarenta y cuatro patriotas de Atotonilco, al mando del capitán comandante D. Vicen te Iñiguez, destrozaron en el rancho…</t>
  </si>
  <si>
    <t>…tro valor, y que la suerte me haya traído á conduciros contra vuestros enemigos. =Hamburgo 19 de marzo de i8i3. = Firmado=el coronel ruso, comandante de ua cuerpo del exército del conde Wittgenstein,= el barón Tettenborn.”</t>
  </si>
  <si>
    <t>…ianas, at bien general del estado, y especialmente al sosiego y seguridad de la capital y libre comunicación por el rio. Del 27. Acaba de recibirse el siguiente oficio del general conde Wittgenstein al gobernador de esta capital. , „ Tengo la satisfacción de participar á V. E. que la guarnición de Thorn ha Capitulado con las tropas rusas, y en consecuencia deberá entregarse el 28 del corriente, y rendirá sus armas, no pudiendo volver á tomarlas en un año…</t>
  </si>
  <si>
    <t>…onservamos la nuestra, y solo nos hizo el eneínrgo ni prisioneros. El general en gefe Kutusow murió hace 15 dias de una fie bre nerviosa, y le ha sustituido en el mando en gefe el general Wittgenstein, quien ha hecho su* primer ensayo perdiendo la batalla de Lutzen* ('Monitor del 1 § de mayo. ) Relación oficial de los exércitos aliados suso y prusiano, dada en el campo de batalla el dia j de mayo (4). El Emperador Napoleón dexó á Maguncia el 24 de abril: q…</t>
  </si>
  <si>
    <t>…mariscal príncipe Kutusow, que había quedado enfermo en Buntzlau, murió allí; pero su muerte no se publicó por entonces : en su lugar fué nom brado general en gefe del exército el conde Wittgenstein. Este reconoció en el mismo dia la posición del enemigo, y enterado bien de ella, se dieron las disposiciones convenientes para un ataque general al romper del siguiente dia. Muchas escaramuzas y combates parcia les , señaladamente los ocurridos cerca de Hall…</t>
  </si>
  <si>
    <t>…expuesto, y los sucesos que cer ca de él ocurrieron no fueron bastantes á distraer su atención de los objetos que le ocupaban, en los que siguió entendiendo con sere nidad. » iil general Wittgenstein se. halla con el exército entre el Elba y ei Elster, y es dueño de varios puentes sobre el primero de estos ríos. «Las tropas rusas de todas armas lian correspondido perfecta mente al concepto que se tenia formado de su valor y firmeza; y el espíritu de emula…</t>
  </si>
  <si>
    <t>…en las inmediaciones de este último pueblo.__ El mariscal príncipe Kutusow se quedó enfermo en su marcha para Buntzlau, donde murió : bien que su muerte aun no se ha publicado. El conde Wittgenstein, que entonces se hallaba en Zwenkau, fue som brado comandante en gefe del exército.—-En aquel dia ya habia reconoci do al enemigo, y certificádose de su posición; y en la misma tarde se dieron disposiciones generales para el ataque , que debía verificarse al…</t>
  </si>
  <si>
    <t>…issensfels, y después de anochecer se vio mover una gruesa coluna con dirección áLeipsick, cuyo movimiento estaba ya evidentemente indicado.__ El cuer po avanzado del exército del general Wittgenstein, después de haberse em peñado en ia misma tarde por la parte de E. y N. de Lutzen, permaneció en este panto con su caballería para divertir al enemigo al otro dia por la mañana, pero con orden de retirarse por escalones. Entre tanto algunas colunas del exérci…</t>
  </si>
  <si>
    <t>…paso se expu so , ni los sucesos que ocurrieron á su vista fueron capaces de distraerle de los objetos á que se dirigía , á los que atendió siempre sin la menor os tentación. _E1 general Wittgenstein se halla con su exército entre el Elba y el Elster , teniendo muchos puentes sobre el primero de estos ríos.__ Las tropas rusas dé todas armas correspondieron enteramente á las esperanzas queyofténia de su valor y firmeza, y la emulación y espíritu de patriot…</t>
  </si>
  <si>
    <t>…entó molestarla; y se efectuó con el mayor orden. El cuerpo del general Kltist formaba k retaguardia del que se dirigía á W eissenberg; y una batería de 4© piezas; colocada por el conde Wittgenstein tn las alturas de Wur schen , impidió que el enemigo avanzase. El general Miilaradowitch cu brió la retirada del cuerpo que iba para Hochkirch, y en la noche ya estaba el exército en su posición. Tengo la honra &amp;c zz $¿ewart J* P. D. Según los informes mas au…</t>
  </si>
  <si>
    <t>…nio. MADRID Concluyen los partes de sir C. Steivart (i). Goldberg 24 de mayo. ,,Milord: hallándose en posición delante de Wurschen y Hoehkirch el exército aliado á las ordenes del conde Wittgenstein, fue atacado por el enemigo al amanecer del día 21, mandando las tro pas Bonaparte en persona. Para esta empresa había reunido todas sus fuer zas, sin destacar grandes cuerpos á otros puntos, como se había supuesto. El terreno escogido por los aliados para re…</t>
  </si>
  <si>
    <t>…a perseguido á la retaguardia de los aliados con vigor ni buen éxito. Los cuer pos de los generales Barclay de Tolly, Blucher, York y Kleist se han mo vido hacia Léignitz; los del conde Wittgenstein y del general Miliaradowitch con dirección á esta plaza: el último tenia sus puestos avanzados en el rio iBober, y el enemigo ocupaba á Lowenburgo. ,,El exército aliado se mueve, á lo que parece, con dirección á Schweidnita; y de este modo mantiene la comunic…</t>
  </si>
  <si>
    <t>…misticio ajustado en tre los exércitos beligerantes. S. M. I. y el rey de Prusia han esta blecido su cuartel general en unas casas de campo inmediatas á ésta ciudad. El cuerpo del general Wittgenstein y del general Blucher permanecen reunidos en Schweidnitz y sus inmediaciones El gene ral Barclay de Toily tiene en esta su cuartel general. Parece que el enemigo, poco después de firmado el armisticio, destacó un cuerpo contra Boistch y Bulow , empeñando una…</t>
  </si>
  <si>
    <t>…s y prusianos. Se han mandado aprontar 1200 carros para conducirles víveres. • , Bitlm i 6 de id. Según noticias auténticas nn cuerpo prusiano del ge neral Kieist y otro ruso_ del general Wittgenstein. entraron el 6 en Bohe mia, y se reunieron á los austríacos, con quienes deben obrar de concierto. ,'Viena. 12 de agosto. El exército austríaco del norte de Bohemia está baxo el mando del príncipe Schwartzemberg, cuyo quartel general se halla en Praga. Contin…</t>
  </si>
  <si>
    <t>…demburgo, como también muchos destacamentos de la guardia aus tríaca. PRUSIA. Berlín iG de Agosto, Según noticias auténticas, un cuerpo prusiano del general Kíeist y otro ruso dei general Wittgenstein entraron el dia 6 en Bohemia, y se reunieron á los austríacos para operar en concierto con ellos. ALEMANIA. Tires de jG de Agosto. Dicen que un cuerpo de exérdto de mas de igg® hombres será destacado del exército grande prsra reunirse á las tropas que d-ebsn…</t>
  </si>
  <si>
    <t>…ambién prisionero.) Las guardias rusas y la caballería tuvieron nueva ocasión de distinguirse. El cuartel general estaba en Toplitz el dia 30 en donde ha permanecido hasta hoy. El general Wittgenstein fué acometido el dia 30 al otro lado de Altemberg y rechazó al enemigo. Los franceses han abandonado hoy las montañas. La derrota del enemigo hecha por el Príncipe real y el general Blucher, cuyos partes llegaron ayer noche, influirá pro bablemente en las ope…</t>
  </si>
  <si>
    <t>…ó el 20 y 21 á pa's;r las fronteras: las columnas del conde Wittgemtein y del peseral Kleist por los desfiladeros de Peterswalde; los austríacos por Conmoíaa. Eí 22, el cuerpo del conde Wittgenstein encontró con el eneufgo, y tuvo una acción muy reñida con él cerca de Berghishabel y Zehista. El enemigo salió al encuentro á los aliados en las fronteras, y fué arrojado de todas sus posiciones hacia Dresde, á pesar de haber in tentado defender á palmos el t…</t>
  </si>
  <si>
    <t>…s obras avanzadas, y en los arrabales, se tuvo por conveniente hacer un ataque con bastantes fuerzas contra la plaza, cuya posesión era de suma importancia. Las tropas ligeras dei conde Wittgenstein y del general Kieist, sufrieron en la derecha, durante la mañana del 27 , alguna pérdida en el ataque dé los jardines q :.e el enemigo había fortificado, y era una empresa sumjmente aiíicil el apoderarte de aquellos puntos. A las 4 de la tarde se pusieron en…</t>
  </si>
  <si>
    <t>…os hechos en pasar las montañas dos veces con mal tiempo, y así pudieron ponerse las tropas en movimiento.—-Los rusos y prusianos, á las órdenes del general Barclay de Toily y del conde Wittgenstein , con varías di visiones austríacas, han vuelto á entrar en baxonia por Peterswalde y Marienberg , y sus puestos avanzados están otra vez á vista de</t>
  </si>
  <si>
    <t>…ávaro, á un teniente coronel francés, 40 oficiales y 500 soldados___ El exército de Blucher continuaba persiguiendo á los franceses según se iban retirando.----En la acción que el general Wittgenstein tu ro el 8 de setiembre con el enemigo, á quien arrojó de Pirna y Dohñ, cercó dos esquadrones del regimiento 14.0 de húsares franceses, y pasó cuchillo la mayor parte de ellos, quedando el resto prisioneros con el te niente coronel que los mandaba.----El mayo…</t>
  </si>
  <si>
    <t>…d puede considerarse ya como aniquilado. Cuartel general de Toplitz g) de Setiembre de 18/y. La vanguardia del exército principal va ganando diadamente ter reno en Saxonia. El del general Wittgenstein tuvo syer una brillante acción, y arrojó ni enemigo de Pirna y Dohna hácía Dresde. En la tarde recibió el enemigo refuerzos considerables, y atacó a nuestras tropas con gran impetuosidad; pero este ataque fué rechazado por los valerosas ru os, y Pirna, Zehist…</t>
  </si>
  <si>
    <t>…s, y que los soldados se alimentan de carne de caballo. El gran duque Constantino se halló en la vanguardia durante la acción, y en medio de una continua nube de balas. El general conde Wittgenstein , el duque de Wittemberg, lo &gt; generales de arti llería conde Colloredo y Meerfeld, el general Ziethen , el teniente feld-mariscal Lichtenstein, Lopstc, Czorich, el mayor LuE Geypert y el capitán Do¿ry, han tenido una particular ocasión de distingairse. Los t…</t>
  </si>
  <si>
    <t>…el exército del.mariscal MacdonaldQuartel general de Toplitz $ de setiembre de 1813. Las avanzadas del exército principal ganan diariamente terreno en la Saxonia. Las del,general conde Wittgenstein tuvieron ayer una acción mui brillante: arrojaron ai ene-</t>
  </si>
  <si>
    <t>…esta victoria ha sido 1500. prisioneros, 5 piezas y 40 oíicíales, 3 de ellos del estado mayor. —• El exércho pardo de aquí,, y está en movimiento scbie la izquierda. Ei cuerpo del general Wittgenstein estaba ayer en Commotau, y el del general Iíleist cerca de Brux. Los austríacos marchan sobre Chemnitz-— Seeun O avisos que teñe tíos , Napoleón , acompañado del. rey de Saxonia y su familia , partió para Leipíick el 28 de Setiembre, y añaden que se transfiri…</t>
  </si>
  <si>
    <t>Wittgenstein, Kleist y</t>
  </si>
  <si>
    <t>Kleist y Wittgenstein</t>
  </si>
  <si>
    <t>…Taumzien debe ser auxiliado por el alistamiento general y por algunos cortos destacamentos. Hemos recibido la noticia de que el general Platow estaba en Pegan ccn sus cosacos; el general Kleist y Wittgenstein con la vanguardia del exército giande de Bo hemia se aproximaba á Aitenberg, y que nuestras comunicaciones estaban perfectamente establecidas por la retaguardia del exército francés. Las noticias de los me vimientos del exército enemigo eran falsas: pero en l…</t>
  </si>
  <si>
    <t>Wittgenstem</t>
  </si>
  <si>
    <t>£90 del general de caballería conde Wittgenstem desde la expulsión de los franceses de nuestra frontera; del cual resulta por confesión del mismo enemigo su espantosa destrucción, y sirve de nueva prueba para acreditar la ruina de su exército, como igualmente los demas sucesos que se han publicado.” Tercer…</t>
  </si>
  <si>
    <t>WittgensUin</t>
  </si>
  <si>
    <t>…gnes prelados de Roma están en las cárc¿~ les de Bastía, sufriendo con un ánimo verdaderamente heroico L&amp; inicua persecución.. GRAN-BRETAÑA. í Xórtdres 23 de Diciembre* Partes del general WittgensUin. 1.® Tfchasckruke 17 de Noviembre.— ,,El 14 de Noviembre, ha» hiendo reunido el mariscal Víctor todas las tropas que tenia espala «idas en diferentes parages, y hallándose reforzado con una división que quedó á retaguardia, acometió con mucho ímpetu á mi van…</t>
  </si>
  <si>
    <t>Wittgeustein</t>
  </si>
  <si>
    <t>…de todas las columnas han sido largas y penosas. — Cathcart/ Diano de las operaciones militares del exército ruso , que se cita en el oficio anterior. Dia 4 de Enero. — El general conde Wittgeustein participa con fecha de 31 de Diciembre, que en su marcha hácia la Prasia para operar contra el cuerpo del mariscal Macdonald, habia superado todas las dificultades que se le habian opuesto en el camino , persi guiendo al enemigo , que ya se halla en Tilsit, D…</t>
  </si>
  <si>
    <t>Witthingam</t>
  </si>
  <si>
    <t>…arrecife ; por los pueblos inmediatos á retaguardia, y formando uni larga cola ha^ta Tarragona todo el resto de las divisiones inglesas; en Reus hay 3$ hombres de !a división del general Witthingam. En fin podemos calcular que desde Tortosa hasta las avanzadas de la Granada habrá muy cerca de 20® hombres de, tropas nacionales y aliadas; si añadimos á este número las que tenemos de esta parte del Ebró, y las del primer exército, que tanto escarmienta las…</t>
  </si>
  <si>
    <t>Witthirgham</t>
  </si>
  <si>
    <t>…ombres. — División ds Harispe, 5500 hombres. — Total ab soluto , 181G0 hombres. — Fuerza de la coiunma que atacó las altu ras que defendiéronla división española á las órdenes del general Witthirgham y algunos cuerpos del exército aliado. La tes-cera le gión ikúm. i 14, el regimiento 121 de línea, su nuciere 5600 hem*</t>
  </si>
  <si>
    <t>Wittingham</t>
  </si>
  <si>
    <t>…continuamente ai campo del general Mina. Parece que pasan igualmente á reforzar el exército del Pirineo todas las divisiones sueltas. Se asegura que seguirá la misma dirección el general Wittingham con las tropas españolas, de su mando. Nos persuadimos qae el lord Wellington reunirá 160® hombres con ió® caballos luego que reciba el to tal de fuerzas españolas y británicas destinadas á aquel punto. ■ , Madrid to de setiembre. Parte del señor general en g…</t>
  </si>
  <si>
    <t>Wittingham, Santiago</t>
  </si>
  <si>
    <t>Santiago Wittingham</t>
  </si>
  <si>
    <t>…por ios sitiadores. Valencia 24 de Agosto. Hemos sabido con particular satisfacción que al replegarse la va lerosa y acreditada división española, al mando del mariscal de cam po D. Santiago Wittingham, ha sostenido un brillante encuentro con la guarnición enemiga de Tortosa, que salió á interceptarle el paso en numero de 4® hombres. Parece que á poco ti.inpo de ha berse empeñado el fuegoT conoció el enemigo que estaba en muclw peligro y y formó el cuadro;…</t>
  </si>
  <si>
    <t>…nto de vencer ó morir. Valencia *4 de agosto. Hemos sabido con particular satisfacción que al replegarse la valerosa y acreditada división española, al mando del mariscal de campo D. Santiago Wittingham, ha sostenido un brillante encuentro con la guarnición enemiga de Tortosa , que salió á interceptarle el paso en número de 4© hombres. Pa rece que á poco tiempo de haberse empeñado el fuego conoció el enemigo que estaba en mucho peligro, y formó el quadro; pe…</t>
  </si>
  <si>
    <t>Wiügensíein</t>
  </si>
  <si>
    <t>…a. Ésta asombrosa facilidad cu ceder la, posesión de esta citifiad „ es un efec to de íao victorias conseguidas por les armas de Y. 3VL imperial du rante los dos últimos meses. El general Wiügensíein y el almirante Tchrchagoff persiguen al cuerpo-de Macdonald por camines dia gonales.” Segundo. Cuartel general de Alerces , 13 de Enero.—„Segun los estados reciíbídos dei exércíto ,/ han sido extraordinarias las "pérdidasr^ ^ fc •*.«. v udélosv w*j franceses…</t>
  </si>
  <si>
    <t>Wizengerode</t>
  </si>
  <si>
    <t>…príncipe Beruadotte tiene de la renovación de las hostilidades, que á su vuelta del quartel gene ral de los dos ^fonarcas, al pasar por Liza, donde se hallaba el cuerpo ruso del' general Wizengerode, que esta baxosü mando, le hizo mover para Ber lín.. Generalmente todas las noticias que vienen deL continente nós aseguran el.rompimiento de las hostilidades, y que el Austria hará causa común cbii los aliados. Del 2 de agosto. Ayer se leyó en todas las igle…</t>
  </si>
  <si>
    <t>Wlassaw</t>
  </si>
  <si>
    <t>…a, logrando que el coronel Frecow acometiese por aquel punto á la retaguardia de las tropas que marchaban hacia el quadro, y las persiguiese hasta la artillen*. Al mismo tiempo el coronel Wlassaw, á quien liabia hecho adelantar con dos regimientos, esperando sorprehender al ene migo, atacó por dos veces el quadro; mas esta operación 110 produxo efec-</t>
  </si>
  <si>
    <t>Wmgenstein</t>
  </si>
  <si>
    <t>…forrages. Se espera que llegue en breve la noticia oficial del aniquilamiento de este cuerpo, ó de su. rendición. Por lo que hace á Víctor , después de haber sido derrotado por el general Wmgenstein, su situación no es menos crítica que la de Beauharnois, á quien no podrá reunirse por haber tomado posición entre los dos el cuerpo^ de caballería de Winzingerode. No hay noticia de los movimientos de Macdonald, ni de los de Augereau con la reserva. Es de su…</t>
  </si>
  <si>
    <t>Wobeser</t>
  </si>
  <si>
    <t>…s de los generales se han hecho 7© prisioneros, entre los cuales hay 250 oficiales, inclusos varios coroneles y tenientes coroneles. El teniente general conde Tauenzien destacó al general Wobeser para que se apoderase dei pueblo de Luckau. Este intimó ayer al comandante la rendición, y Habiéndose resistido bombardeó la plaza. Al tiempo de dar el asalto capituló el comandante, dexando en nuestro poder 9 cañones, 1© prisioneros y una cantidad considera…</t>
  </si>
  <si>
    <t>…se han recogido unas ó®. Los franceses, perseguidor, con vigor, pre tendiendo marchar á Torgau, no conseguirán llegar al Elba sin su frir machas mas pérdidas. Ayer tarde mismo el general Wobeser que habla sido enviado con 5® hombres de Luck.au á Dáteme, acometió á esta última ciudad, adonde Ney, Oudinot y A'rrhigi tenían su cuartel general, y se hallaba parte del exército enemigo, que se en caminaba á Dtcsde: allí hicimos 2)&lt;so prisioneros. El mayor…</t>
  </si>
  <si>
    <t>…dos cuerpos enemigos , á las ór denes del Rei de Ñapóles con 13 regimientos de caballería, estabas, ene la orilla derecha del Elba. Las patrullas avanzaron hasta la .posición-dei general Wobeser, y quisieron interceptar un eonvoi de provisiones, pero »o lo. lo graron. Los generales Blucher y Beníngsen darán buena cuéntale estos dos cuerpos, si no repasan prontamente á la margen.izquierda'deLEdba. , El general Tavenzien obrará de concierto con el exér…</t>
  </si>
  <si>
    <t>…al ; dos cuerpos de exército enemigo, al mando del rey de Ñápeles, con 13 regi mientos de caba'l ría, e taba 1 á la derecha del Elba, Lrs patrullas avanzaban h cíu la posición del general Wobeser, é intentaron in terceptar un ccnvoy de p ovísion s; pero fué en vano. Los generales Blucher.y Eeningsea darán buena cuenta de estos dos cuerpos, si no vuelven pronto á pasar á la izquierda ce! Elba. El geaerai Taeenzie.i obrará por cor-siguiente de concierto…</t>
  </si>
  <si>
    <t>…falta de unión que pre valece entre las tropas enemigas , es que toda nuestra pérdida con siste en un solo cosaco herido. El general Dobschuss ha ocupado. á Gosdorf y Muhlberg. El general Wobeser observa á Torgauv Dos grandes be tes que baxaban por el Elba cargados con municiones y ropas para a guarní ivii de es*a última fortaleza, han sido tomados. El capíran Zeunert-, d-svac do ccn 30 ginetes del Landwehr á la iz-quierda del Elba , ha destruido los…</t>
  </si>
  <si>
    <t>- ✓ ~ «icón Mellentbein para salir de la fortaleza con ití soldados de los suyos, los quales se reunieron inmediatamente al cuerpo prusiano del general Wobeser, que está al frente de Torgau—«Bonaparte atribuía gran parte de fe pérdida que sufrió en su retirada de Leipsiek al puente quemado por el ca bo de esquadra; pero en eLbofetin! austríaco de , 2 8 de octubre se lee el si1» guíente artículo, que desmiente formal…</t>
  </si>
  <si>
    <t>Wobser</t>
  </si>
  <si>
    <t>…y 250 oficiales, entre los que se cuentan varios coroneles y tenientes coroneles (1). - 29 de agosto á las $ de la noche. El teniente general conde de Tayencíén había destacado-al general Wobser para posesionarse de la ciu'Üad de Luckauv este oficial intimó la rendición al comandante de dicha piazajiy habiendo hallado resistencia, la bombardeó, logrando que en el mo mento del asalto capitulase el gobernador. El resultado de esta jornada ha -sido coge…</t>
  </si>
  <si>
    <t>…olzen'y Lukau. Este general ha manifestado grande pericia en reunir su reserva, .y arroja* al enemigo fuera dé los bosques* El Príncipe Real ha inandado se Je -den las gracias. El general Wobser, después de haber molestado al enemigo por la retaguardia y el flanco izquierdo, reunió sus fuerzas cerca de Golzen, marchó sobre Bareuth, y dispersó una coluna de 2500 enemigos. Todas nuestras tropas impiden la retirada del enemigo. Todos los&gt; caminos están…</t>
  </si>
  <si>
    <t>Woionzow</t>
  </si>
  <si>
    <t>…sobre la orilla izquierda. Había destacamentos suecos cerca de Dess-iu, y la villa de Acken, sitúa da un poco mes abaxo junto al rio, se estaba fortificando baxo la dirección del general Woionzow* en términos de hacerla una plaza fuerte, al paso que se activaban' los aprestos para construir allí En puente. — Entre tanto el enemigo^ que según parece no dudaba -del paso del Elba en Acken, envió fuertes destacamentos de tropas para ocupar á Dessau , y se…</t>
  </si>
  <si>
    <t>WoJ</t>
  </si>
  <si>
    <t>1x71 ron 80 piezas de artillería, y mas de 400 carros de moniciones con 3 banderas y un estandarte. Despees de que el general WoJ&gt;eser pnso en fuga al exéreito ene migo en Dafame, continuo su retirada sobre Torgau. Nuestras tropas ligeras no desistieron de perseguirle , tomando bageges , earres y prisio neros. El enemigo cortó los puentes del Eister, cerca de Annaberg y Hertzberg. La ca…</t>
  </si>
  <si>
    <t>Wolkouski</t>
  </si>
  <si>
    <t>…iwartzemberg se transfirió, según noticias, á Braudels en el círculo de Kenigsgraetz..Han llegado de -Breslau; á Praga el ip de. junio los príncipes Jablonowsks y Lubonierski ; ei príncipe Wolkouski y varios correos rusos ei 11; el príncipe Gallitzin,,¿ayu dante de campo del Emperador Atexandro, el 12, y el dia 13 liego'el prín cipe Poniatowski de Braudels. Ei príncipe í$chwartzemberg salió de Praga para Gitschin el 12 con uno de sus ayudantes de campo.…</t>
  </si>
  <si>
    <t>Wood</t>
  </si>
  <si>
    <t>…. El te pérdida. Este particular, que ha estado mucho tiem niente general .Hislop, nombrado comandante de po en el Canadá , cree que el enemigo no puede Bombay, el mayor Wilk y el capitán Wood, que tener en Malden mas de 3Q hombres de milicias y componían su estado mayor , y el capitán Marshall, tropas regulares. que debía tomar el comando de tm stop en los ma Las últimas noticias que hemos recibido del res de la India, estaban embarcados también e…</t>
  </si>
  <si>
    <t>…ria del capitán, James Stewart del tercer batallón de Reales escoceses, ayu dante de campo del mayor general Hay, como también al ayudan te de campo del mayor general Robinson, al capitán Wood del 4.0 de infantería , y á los capitanes Williamson y Jones de este regimien to, el primero de los cuales fue gravemente herido mandando el 4.?» y siguiendo con ia mayor bizarría en los momentos de menos espe ranza ; habiéndose quedado en su puesto largo rat…</t>
  </si>
  <si>
    <t>Worenzow</t>
  </si>
  <si>
    <t>…ar eí ño , debían formar á la derecha dél exército de Si'eiia, y lo* suecos debían de quedar de reserva ó en la segunda línea. Cada cuer po de exército debe formar tres líneas. El general Worenzow, que formaba la vanguardia del general Winzíngerode en Halle, debe ar reglar sus movimíen os según las tentativas del enemigo, y retroce der sobre las tropas que pasaren en Vveítin, si fuese a-acado por fuerzas superiores. De otra suerte debía permanecer en H…</t>
  </si>
  <si>
    <t>Woroezow</t>
  </si>
  <si>
    <t>…s. El almirante TcMchsgofF refiere que el 3 de Enero entraron sus partidas avanzadas en Iirsteib rg; la vanguardia del teniente general Tscbarditz en Gumbianen, y el mayor general conde Woroezow mar chó á NemesdoifF. Eí teniente general Tschiplitz comunica que el mayor general conde Ururk, á su entrada en la aldea de Stalopenen faé recibido con extraordinario regocijo por ios habitantes, ios cuales gritaban vivei el emperador Alcxandt o t y sea el pr…</t>
  </si>
  <si>
    <t>Woron, Von</t>
  </si>
  <si>
    <t>Von Woron</t>
  </si>
  <si>
    <t>…siderable. El mayor Von Lowenstern cogió un convoi de 1300 medidas de avena, y otras provisiones destinadas para Magdeburg. . . - t La vanguardia del exército ruso, mandada por el conde Von Woron» zow, está en Acken (en la orilla izquierda del Elba); La vanguardia sueca, á las órdenes del general Schulzenheim, está en Dessau. El Príncipe de la Corona ha encargado el sitio de Wittemberg al gene ral Bulo w. ' •; -• f¿ sn. / Proclama del Príncipe de la c…</t>
  </si>
  <si>
    <t>Woronzcff</t>
  </si>
  <si>
    <t>…icias recibidas hoy de los generales Winzlngerode y Woronzcff, no dexan dudar que el enemigo se ha retirado hácia el Elba. Ei gene ral Winzingerode le persigue con 8© caballos. El general Woronzcff, que vino á tomar el mando de la van guardia rusa, hizo ántes de ayer por la noche una embestida contra Juterbock , con unos 3' á 4© hombres, al peso que el enemigo tenia en el pueblo por lo menos 20©. Un vivo cañoneo causó gran sobre salto al enemigo. Esta O…</t>
  </si>
  <si>
    <t>Woronzoff</t>
  </si>
  <si>
    <t>…enburgo; pero le levantó el general Grandjean á la llegada del enemigo despue3.de haber tomado la precaución da volar la cabeza de puente. Luego que se retiraron los franseses, el conde Woronzoff y el coronel ls? cherrtikoff pasaron á hacer un gran reconocimiento con dos divido. nes de cosacos, ia primera por Hamenstein en la Pomerania, y la otra por Broraberg y Pikdine , extendiéndose por un espacioso ter ritorio; pero no encontraron ningún cuerpo fr…</t>
  </si>
  <si>
    <t>…cht y sus inmediaciones se han libertado del enemigo, y que el general Molitor se ha retirado á Gor«rm. Mr. Nreweicieíf, oficial ruso, asegura que Davoust ha sido derrotado por el general Woronzoff, que ha podido escapar con soio un edecán, y que ía pérdida de los franceses en muertos, heridos y prisioneros fue de io á 18© hombres. Llegan muchos desertores de la flota de Amberes. &gt; Se ha cogido un barco cargado de municiones para los irán ceses.: dé Gor…</t>
  </si>
  <si>
    <t>Woronzoft</t>
  </si>
  <si>
    <t>…a en Holanda F ya en el Rfeia , estando segura su retaguardia, tales son las consideraciones, que determinaron i S. A. R. á alterar sa. determinado movimiento. » La vanguardia del general Woronzoft y los rusos del mando del general Wiaxingerode entraron el 20 ea Cassd. Czermeheíf escribe que Bonaparte, al salir de Eisenach para Vach, tenía intención de dirigirse á Wessel; p¿ro ciue la marcha del Príncipe Real y del ge neral Bleeher se lo estorbo. Les co…</t>
  </si>
  <si>
    <t>Woronzovv</t>
  </si>
  <si>
    <t>…— Esta tarde se han adelantado nuestras avanzadas hasta Raguh y Jesnitz, y maña* na tendrá efecto nuestra reunión con el general Blucher. — La van guardia rusa, á las órdenes del conde Woronzovv , occpa á Cothen. Bernburgo está ocupado por la caballería rusa. Mañana hí:rin movi miento combinado los exércítos, avanzando probablemente con di rección á Leipsick. Forman los exércitos del rrínc pe real y d&lt;el ge neral Blucher un total de 127 á 130® hombre…</t>
  </si>
  <si>
    <t>Woronzow</t>
  </si>
  <si>
    <t>…n en la batalla, y esperaron que se desenvolviesen otros cuerpos del enemigo para acometerlos al misrriQ tiempo. El general Winzingerode se hallaba á la cabeza de 10® caballos, el conde Woronzow al frente de la infantería rusa, y el conde Stedingk mandaba la línea sueca, formando su reserva la caballería.__ La aldea de Ruhlsdoríf, situada al frente de este Campo, fue guarnecida por la infantería para mantener comunicación con el general Bulow, No hab…</t>
  </si>
  <si>
    <t>…mas enemigos. El ma yor Lowenstern ha cogido un transporte de 1300 medidas de avena, y otras provisiones que se cree iban á Magdeburgo. La vanguardia del exéreuo ru¿o al mando del conde Woronzow está en Ack.cn &gt; en la izquierda del Eiba: la sueca , al mando del general Schulzenheioi, se halla en Dessau. El príncipe de la Corona ha encargado el sitio de Witteñberg al .general Buiow.</t>
  </si>
  <si>
    <t>…sta las cinco de la mañana. El fuego se veía desde las tor res de Leipsick y Dresde. A este mismo tiempo se abrió una segunda para lela por el lado del castillo. La caballería del conde Woronzow ocupa á Halle, Guerfurth, Ersleben, Bernburgo y Halberstadt. En Guedlínburg nubo un destacamento. Una par te de esta caballería se unió ya al exército grande de Bohemia, y marchó sobre la retaguardia del general Lefebre, quien ha tenido varias escaramu zas co…</t>
  </si>
  <si>
    <t>7 54 avanzar hasta Góthen iu retaguardia', mandada por el conde Woronzow. La ciudad de Acken se fortificará en breve tanto, que se necesitará un sitio regular para tomarla. Es un punto á la orilla izquierda que el enemigo ha descuidado ocupar , y del que el exército aliado debe sacar ventajas de en tidad. dEl.exercito sueco , habi…</t>
  </si>
  <si>
    <t>…duró bastadas 5 de ia mañana. Se vtia el fuego desde las torres de Leipsiok y de Dresde. En esre tiempo se abrió una segun da paralela del lado del castillo. . Li3 caballería, del conde Woronzow ocupa á Halle, Querfurth, Eísleben, Bernburgo y íiaiberstsdt. En Quedlinburgo estuvo un des tacamento. Una pane de esta caballería se linio ya al exérclto grande de Bohemia, y marceó sobre la retaguardia del general Desnouetes, quien tuvo varias escaramuzas c…</t>
  </si>
  <si>
    <t>…toxv con sus cosacos babíá llegado á Lutzen, habiendo hecho algunos centenares ce pri sioneros en Weisset.fels, y está en pe¡fecta comumcackn ccn la van guardia de los cosacos del general Woronzow, que verda de iialíe. Partie'pa Platow que el e&gt;:é cho enem'go se r une en las ic;media ciones de Leipsick. Tenemos notetas ciertas cíe el exército de Bo hemia se halla actualmente en Aitenburgo y Cheir.nitz, y que ei ge neral Eennij.sen con la división austr…</t>
  </si>
  <si>
    <t>…iente oficial, que rechazó al enemigo é hizo algunos prisioneros. Un destacamento que te había enviado á Merseburgo, halló que esta ciudad la había evacuado el enemigo. El general conde Woronzow que supo que el enemigo se dirigía para Cothen, hizo marchar contra él á los capitanes Orescott y Luwenttein con un destacamento de cosacos. Cayeron sobre tres escua drones de huíanos polacos, y derrotándolos, aprisionaron al oficial comandante y á 40 hombres…</t>
  </si>
  <si>
    <t>…e los enemigos, donde introducen el espanto y el desórden. El exército ruso atravesó hoy el Elba en Aclcen. El general Wiazingerode llegó á Cothen con su vanguardia mandada por el conde Woronzow. Acken será en poco tiempo fortificada, de modo que exija para tomarla de un sitio regalar. Es un punto en la orilla izquierda que despreció el enemigo, y de que el exército combinado podrá sacar grandes ventajas. Mi «xército sueco, después de haber echado un…</t>
  </si>
  <si>
    <t>…arg- Lle go con nuevas tropas; nos mantuvimos en la ciudad» y los enemigos que no ?e entregaron fueron pasados á cuchillo. Cinco batallones de cazadores rusos de la vanguardia del general Woronzow avanzaron al mismo tiempo para sostener en el ataque de la ciudad á las tropas prusianas y suecas. El regimiento 14.0 de cazadores , mandado por el coronel Krasousky, tomó la puerta llamada Das CrrimmisckeThor. y también algunos cañones. El general barón Áldé…</t>
  </si>
  <si>
    <t>…l Bulow y la caballería del general Winzingerode, que formaban el extremo de la izquierda, marcharon á Taucha. El exército ruso, cuya guardia avan zada mandaba el teniente general conde Woronzow, pasó el vado al pie de Grasdorff. El exército sueco pasó entre aquel lugar y Plaussig. En la tarde anterior el general Winzingerode ya habia hecho ocupar á Taucha, en don de se cogieron 3 oficiales y 400 soldados. Pero conociendo el enemigo la im portancia d…</t>
  </si>
  <si>
    <t>…neral ha obrado siempre como un cuerpo volante del exé.rcíto del norte de Alemania : exércitpfque Napoleón ha encontrado en Gróss— beren, Dennewjtz y Leipsick. El teniente general conde Woronzow elogia altamente los talentos del teniente coronel de Chrapowksky , que manteniéndose á lo largo del flanco del enemigo,-en "su retirad a, lejía hecho 500“ prisioneros. La vanguardia 4el general barón de Winzíi gerode ha perseguido al cuerpo dePgeneral Rig»au…</t>
  </si>
  <si>
    <t>Wouillemont</t>
  </si>
  <si>
    <t>…uestros apuros, y contad ,, Veinte y siete jóvenes del primer cantón de con todos los favores de que pudiere disponer.” este distrito forman la espontánea contribución de El señor general Wouillemont, comandante del ios comunes que lo componen , y están dispuestos departamento, que habia exercitado perfectamente á empuñar las armas pdr - el honor de la nación y á esta milicia en el manejo de las armas, y marcha Ja defensa de vuestro, trono, . do al frente…</t>
  </si>
  <si>
    <t>Wrancis</t>
  </si>
  <si>
    <t>…tro objeto que sostener una Operación que se dirige hácia la frontera, y no á ocupar punto alguno nuevo en Ca taluña. Idem 28* Copia de un oficio dirigido al gefe del estado mayor D. Wrancis* co Xavier Gabanes por el coronel Z&gt;. José Manso. En la noche del 11 ai 12 del corriente mandé embosear 100 hom bres del regimiento de cazadores de Cataluña y 5 húsares al man do del capitán D. Francisco Damon. Esta tropa estuvo emboscada hasta las 4 de la ta…</t>
  </si>
  <si>
    <t>Wrede</t>
  </si>
  <si>
    <t>…po de su mando, compuesto en gran par te de caballería ligera, para atacar al enemigo por el flanco, y ob servar al mismo tiempo los restos de las tropas bávaras á las órdenes del general Wrede que se hallaban á poca distancia de Dokohití. In formado en Lepel de que los bávaros se habian adelantado por Dolginoff y Wileske para reunirse con el grueso del exército en Smorgonia destacó al teniente general Tetenban para que marchase en su seguimiento. E…</t>
  </si>
  <si>
    <t>enemigo tenia un cuerpo considerable de tropas en Dolapue á las órdenes del general Wrede : y habiendo mandado al teniente gene ral Tiliemhorn que al frente de un gran destacamento marchase á reconocerlo , supe que el enemigo , al acercarse nuestras tropas , se retiró por el camino de Weleika para reunirse al grueso de su exér cito. Sigo todavía p…</t>
  </si>
  <si>
    <t>…reunió se en seguida Kutusow con el general Wittgenstein, y cubrió su flanco derecho. Este general se destacó de Borisow para Lepel, en donde supo que los bávaros, mandados por el general Wrede, es taban en Dockstchitzie, siguiendo su marcha para reunirse con el grueso del exército francés en Smorgonia. El general Kutusow, ha ciendo entonces. una marcha rápida hácia Dolk now entre su posi ción y Smorgonia, imposibilitó aquella reunión. D rigiéndose…</t>
  </si>
  <si>
    <t>…azeta de VXena del 18 ya no nos* dexa duda respecto á la declaración de la guerra. ; ór . &gt; . Aiigsburgo 20 deid.* Se han tomado precauciones para defender nues tras fronteras. El general Wrede* comandante en gefe del exército báyai-o, ha mandado adelantar las tropas; de su mando á las fronteras del reino. SS. AA. RR. el príncipe y princesa, el joven príncipe Maximiliano :y$pd$ su .corte han llegado al'castillo dé Nimphemburgo.. El bailigdQry ciudad…</t>
  </si>
  <si>
    <t>…'iemburgo. Las tropas que do forman parte de él, se reúnen m M;?nich, donde se juntará un cuerpo de observados de io© hombres. Ademas del cuerpo de exército del 3 na, que manda el general Wrede, Uñemos guarniciones en las for talezas de Baviera, 60 hombres en Saxonia, y un regimiento en Dantzick. Eisenach ij de Agosto. • En virtud de una orden de S. A. el duque de Weiraar-, enviada aquí por expreso, el palacio y varias casas particulares, han sido p…</t>
  </si>
  <si>
    <t>…r.ímiüabo y toda su familia han llegado al palacio de JN y npfacmbnrgo. El territorio y ci?.idaá de Saltzburgo, donde actualmente reside el prin cipe real, se ha declarado por c-1 general Wrede en estado de sitio. ITALIA. TJdin* 20 de Agosto. Ya hace sígnaos dias que se supo &amp;quí la cesación del armisticio por ios rusos , y que las hostilidades , que se rompieron. el 11 de este mes comenzarían el 17. Con este motivo nuestras tropas empe zaren ya á p…</t>
  </si>
  <si>
    <t>6.° Munich. El general Wrede, comandante en gefe de todos los bávaros. j.Q Francfort. £1 mariscal Kellerman con el segundo exército de reserva. 8.° Italia. El virey Eugenio, lugar-teniente de Bonaparte, el mariscal Massena y el conde Grenier. Los otros generales comandantes de divisiones…</t>
  </si>
  <si>
    <t>…e Reuss ha penetrado en Baviera. Una parte de su cuerpo ha totnudo la ruta dd TiroL Lo* bavar^ s no tienen mas que 14© hombres que oponerle, y están- en Carbbourg, mandados por el general Wrede. Id. 12. Las cartas de Viena recibidas hoy dicen que el general Hiller derrotó enteramente ai virey de Italia cerca de Laybaeh, que hizo 9® prisioneros, y le tomó varias piezas de artillería. — El ¿ia 6 en traron otra vez todas las tropas de ia Bohemia en Sax…</t>
  </si>
  <si>
    <t>…izquierda d.l S !a!e. = C. Stewarf. El 8 del corriente se firmó un tratado de alianza entre el Aus tria y la Baviera por sus respectivos penipotenchrios, el príncipe de Reuss y el general Wrede. Este general con 35© bávaros debe cooperar inmediatamente con las fuerzas de Au'tria. Ya estaba en movimiento, y d.bia tener 25© austríacos baxo su mando. El por tador de esta noticia interesante , Mr. Gordon pasó por Berlín el 16 de este mes , cuando el gen…</t>
  </si>
  <si>
    <t>…un tratado de alianza y de cooperación ectre las cortes de Viesa y de Munich, que se firmó en Vierrn el 8 de Octubre por los pienipotencíaro# respectivos el príncipe de Reus y el general Wrede.. Los 12 jueces se han juntado muchas veces, y se conjetura que el objeto de sus deliberaciones es: la disposición de las propiedades particulares del rey, cuya salud se ha mejorado: el poner casa á la princesa Carlota de Gales, que entrará en la mayor ciíd e…</t>
  </si>
  <si>
    <t>…iembre la retaguardia francesa abandonó á Francfort, y se apostó sobre el Nidda. El mismo dia á las cinco de la mañana entró el Em perador en Maguncia. Se dice públicamente que el general Wrede ha sido ei autor y el</t>
  </si>
  <si>
    <t>…quien se las apuesta á los aliados, si quisieren ata ■ :i..' carle. k . &gt; , . " V'/.J i■■■&lt;.: El Emperador de Austria ha llegado á Hartan con una^mumerosa comi tiva, donde está el general Wrede , que sé; restablece .de sus heiictas. El gran ducado de Francfort ha sido confiscado por Ja ¿Baviera. El Reí de Saxonia está prisionero en un castillo de .la Marca de Brandebourg; la constitución se mantiene provisoriamente; pero se obliga á las autoridades…</t>
  </si>
  <si>
    <t>…re en Melrichstadt, el i.° en Münerstadt, y hoi debe estar en Heldesheiru. El exército grande con tifió* hacia Francfort: el 7 llegará á Aschaífemburgo , y el 9 so bre el Mein. El conde Wrede, en carta del 28, dice que había atacado y tomado la ciudad de Hanau , donde hizo ún número considerable de prisioneros;, y que eí yo debían habérsele reunido otras dos divisiones de su exército, y todas la-s tropas de Wurtemberg: que estaba en Comunicación c…</t>
  </si>
  <si>
    <t>…general Bennigsen, el general Vvalmodeii con los hannoverianos, y el general Adlercrantz con los suecos marchan ^contra Davoust y los dinamarqueses. Según las últimas noticias el general Wrede, que salió herido de la acción de Hanau, está ya fuera de cuidado. EXTRACTO DE LOS PAPELES FRANCESES. •5 V París 20 de noviembre. S. M. ha presidido ayer en St. Cloud á un con sejo de estado., en que se decretó la formación dedos exércitos de roo© hombres cad…</t>
  </si>
  <si>
    <t>…oneros se ha Han dos generales Moreli y Avesani, y 280 oficiales. = Firmado ==Fresnel (1), (1) Este general Fresnel manda ahora en gefe el cuerpo austríaco y bávaro en defecto del general Wrede. (_ JW&amp;ta reductor portugués,") ■</t>
  </si>
  <si>
    <t>…eral en gefe si frente de una columna de granaderos y cazadoras austríacos , y acompañado del general austríaco Geppert* Ea el espido de media hora fué to rnada la ciudad; pero el general Wrede fué herido gravemente. Coa esta irreparab e pérdida se irritaron ’a^ tr pas de tsl modo que ya íué imposible conten irlas , y cuantos franceses cayeron en sus manos perecieron víctimas dé las t ayoneías. E! enemigo se situó Dera de las puéxíás sóbre el puente…</t>
  </si>
  <si>
    <t>Wredej</t>
  </si>
  <si>
    <t>…ra evitar, el total naufragio. &gt; Esta separación de los príncipes de la confederación hace inevitable la destrucción ?derlo£ exércitos. franceses en su retirada. Ademas de esto el general Wredej marchaba con 60© hombres áErfurt, segundo punto dé re tirada deí exé,rato francés, mientras que el príncipe Reus, cuyo cuerpo dé observación está ahora libre, puede con 40$ hombres y la leva del Tiro! -marchar igualmente á la Suiza, á la Alsacia o al Brema, y…</t>
  </si>
  <si>
    <t>Wreie</t>
  </si>
  <si>
    <t>…na del 31 el general en gefe ssícó de ella :,a guarni ción ; pero comenzando los franceses á saquear la ciudad y á maltratar i los vecinos, que se esmeraban en apagar el fuego, el general Wreie resolvió impedir la destraccion de la plaza, y mandó vo v aria á asal tar á las a de la tarde del mismo dia : se verificó el asalro con la mayor bizarría j dirigido por el mismo general en gefe si frente de una columna de granaderos y cazadoras austríacos , y…</t>
  </si>
  <si>
    <t>Wright</t>
  </si>
  <si>
    <t>…és fue totalmente derrotado. Aunque esta noticia nO sea por ahora sino una voz vaga, es creída como cierta en todo el -norte de Ale mania.” Llegó á Londres el teniente del infeliz capitán Wright , que todos sa ben fue bárbaramente asesinado por orden de Bonaparte. El teniente pudo escaparse de la prisión dei Temple en París , .-donde estuvo encerrado 10 años. Liste pues refiere que Paris se halla próximo á una grande fermentación ; que •&amp;e.iixaxon pa…</t>
  </si>
  <si>
    <t>Wslmoden</t>
  </si>
  <si>
    <t>…hausen y Osttrburgo. Protege á los habitantes de la AntiguaMarca de Brandemburgo contra los soldados que se han quedado detras del exército y el gobierno de We^tía ia. El teniente general Wslmoden, sabedor de que el príncipe de Eckmuhl había destacado la diviJon dei general Pecheux á la iz quierda del Elba, pasó aquel río en Domirz, y en su marcha el 16 se encontró con el enemigo. El general Pecheux se colocó ventajosa mente en las alturas detras de Go…</t>
  </si>
  <si>
    <t>Wt</t>
  </si>
  <si>
    <t>…on ci Sr. D. Fernando vil. (1) Expresiones terminantes del presidente del con ilinstan en la sesión del dia 30 de diciembre de tifia. greso en la respuesta que dió á la arenga del lord Wt« (23 La Abaja número 17.</t>
  </si>
  <si>
    <t>Wtttgenstein</t>
  </si>
  <si>
    <t>Núiu. 55. i GACETA DE LA REGENCIA DE LAS ESPAÑAS DEL MARTES 4 DE MAYO DE 1815. r ........ PRUSIA. Berlín 19 de Marzo. Orden del día dtl general Wtttgenstein. Al real cuerpo prusiano , mandado por el teniente general D'Yorcfc. „S. M. el rey de Prusia ha tenido ¿ bien reunir á mi exé/cito todas las tropas que manda el teniente general D Y&lt; rjk- Esta confian* za, al paso que es por todos títulos lisonjera y honrosa…</t>
  </si>
  <si>
    <t>WURTEMBERG</t>
  </si>
  <si>
    <t>…Soberano, y ha te deben pasar por aquí para el exéreito grande francés. nido varias conferencias con el gran canciller conde de Hardember?. El día 20 llegó de Breslau S. A. R. el príncipe WURTEMBERG. Augusto de Prusia. Stuttgardt 4 He diciembre. El señor conde de Bombe!, secretario de la le gación de Austria, está de vuelta en esta capital Se ha ofrecido de orden de S. M. un premio de hace algunos dias. 100 ducados al que descubra en el reino una tierra…</t>
  </si>
  <si>
    <t>Wütgensteim</t>
  </si>
  <si>
    <t>28 quien había sido destacado por el almirante TchichagoíF, con un cuerpo pequeño de caballería ligera para descubrir la posición del general Wütgensteim En su marcha tuyo el coronel la felicidad de rescatar al general barón Winzingérode y a su ayudante Narishkin, entre Wilna y Minsk , los Cuales se encaminaban á las fronteras del imperio , escoltados por gendármas , y habían salido de Terrea, denu de fueron pres…</t>
  </si>
  <si>
    <t>Wútgenstein</t>
  </si>
  <si>
    <t>…rios en el camino real y en las inmediaciones de Moscow , mientras que por otra parte se eternizará en la historia el valor y el patriotismo de los rusos. „Los últimos pliegos del conde Wútgenstein son del 3 de No viembre en Tchaslmik , á dos postas al JE. de Lepel. Después de la</t>
  </si>
  <si>
    <t>Wxede</t>
  </si>
  <si>
    <t>…, Reg— nier,. que manda el séptimo cuerpo de los saxones, Bertrand y Laurlston. Quinto. En Bayreuth y Bambérg. El mariscal Augereau con el cuerpo: de reserva. Sexto. En Munich. El general Wxede* comandante en gefe de todos los bávaros. Séptimo. En Francfort. El mariscal Keilorman con el segundo exército de reserva. Octavo. En Italia. El víre! Eugenio, lugarteniente de Bonaparte, el. mariscal Massena y el conde Grenier. Los otros generales comandante…</t>
  </si>
  <si>
    <t>Wybuki, Palatino</t>
  </si>
  <si>
    <t>Palatino Wybuki</t>
  </si>
  <si>
    <t>…de Siedie» diciarias y militares continuarán en et exércicio de (departamento de Siediec). sus túncion.s. . i n • xxv. Se enviará una diputación a S- M. el Kei Din arso del seií.r conde Palatino Wybuki, prede S.txonia ,duque de Varsovia , para suplí, me que si.lente de ¡a diputaciai. acceda A la conicderacion general de la Polonia. Señor: xv. También se enviara una diputación á S. M. La dieta del ducado de Varsovia, reuuida i la el Emperador Napoleón, Reí d…</t>
  </si>
  <si>
    <t>Xa, Francisco</t>
  </si>
  <si>
    <t>Francisco Xa</t>
  </si>
  <si>
    <t>…rretas;: su precio cada uno á quatro quartos. Plano ó vista militar de la batalla de Bailen dada el 19 de julio.de 1808 por el éxército español de Andalucía, mandado por el Excmo. Sr. D. Francisco Xa vier Castaños, como general en gefe, contra el frunces de la Gíronda, á las órde nes del general Dupont, de cuyas resultas quedó vencido el francés., f rindió sus armas, águilas, banderas, artillería, carruagc &amp;c«, quedando prisioneros de guerra. Se hallará á…</t>
  </si>
  <si>
    <t>…ahora en la imprenta nacional de Cádiz. Por providencia del Sr. D. Francisco de Assin, juez de primera instancia en esta villa, se cita, llama y emplaza al conde de Campo Alange, D. Francisco Xa vier Negrete, titulado duque de Cotadilla, marques de Branciforte, D, Manuel de Acuña, marques de Escalona, á virtud de posesión que nulamente le dio el go bierno intruso, D. Jorge Reí, D. Juan Antonio Melón, D. Manuel Narganes de Posada y 0. Juan Antonio Zam…</t>
  </si>
  <si>
    <t>Xalapa, Olazabal de</t>
  </si>
  <si>
    <t>Olazabal de Xalapa</t>
  </si>
  <si>
    <t>…s , y al teniente del batallón Americano D. José Martin, que con el piquete de su cuerpo se portó bizarramente, como también los cuerpos de Marina y Veracruz. E11 efecto, salió el señor Olazabal de Xalapa con la tropa de su mando y 3 piezas de artillería, figurando en la primera jornada que marchaba por el camino real; mas á la segunda -varió por la dere cha á buscar el vado de Apasapa, donde llegó eí 26. Reconocido el wado, y hallándolo transitable, se empren…</t>
  </si>
  <si>
    <t>Xiiil</t>
  </si>
  <si>
    <t>, . ' . 143 3 ga. Al mismo tiempo el grueso de tes fuerzas enemigas atacó vi gorósameate ei cuerpo del general Xiiil; pero este supo maniobrar.con tai acierto contra un enemigo que le era muy superior en fuerza, que no solo lo rechazó completa mente en las tres cargas que dio, si no que esparto ea sus líneas tal terror y desaliento que ni aun espí ritu conservaron para defe…</t>
  </si>
  <si>
    <t>XiLa, Ramón García</t>
  </si>
  <si>
    <t>Ramón García XiLa</t>
  </si>
  <si>
    <t>…é afecta. Quien quisiere ha el ínteres, el egoísmo y las preocupaciones de toda cer postura á ella acuda a! juzgado de dicho scSór", y especie. ' ■ por la escribanía del número de D. Ramón García XiLa España debe á las tramas artificiosas de los menez, donde iie admitirán las que se hiciesen, siendo ingleses la presencia de exércitos extrangeros ei; arregladas. su territorio. La corte de Londres sabe muí bien que no puede establecer en ella sus exércitos de una m…</t>
  </si>
  <si>
    <t>Ximenea, Cosme</t>
  </si>
  <si>
    <t>Cosme Ximenea</t>
  </si>
  <si>
    <t>…12, 144. Doa J¿an Freyre, id. por 10, 120. í). Juan Alonso , id. por 10,120. Don Juan Mores , id. por 10, |20. D Manuel Ibañez, id. par 10, 120. D Domingo Dertiaco., id. por 8,90 D. Cosme Ximenea, id. por 8, 95. D. José Híílme, id. por 8 , 90. D. AguAin Rodrigues, id. por 8, 90. D. Manuel Caandia, id. por 8, 96. 1). Jo ;é Corrales, id. por 8, 9.5. D. Maaus’- Domínguez, ii. por 0,72. 1). Miguel Rodríguez, id. por 25; 300. D. Juan Bautista Garata , por…</t>
  </si>
  <si>
    <t>Ximenez, Ramón García</t>
  </si>
  <si>
    <t>Ramón García Ximenez</t>
  </si>
  <si>
    <t>…de pri suerte, y se cree que no lo pasará bien. mera instancia de esta villa, para que la persona que quiera enterarse por menor y mejorarla, acuda á la es cribanía del número de D. Ramón García Ximenez. Los editores no privarán al público de las reTSATKOJ. «ultas de esta causa ruidosa ni de quanto vayan En el del Príncipe se representará la tragedia nuetrasluciendo de otras sesiones secretas, no menos va, traducida del francés, en cinco actos titulada Orna-…</t>
  </si>
  <si>
    <t>Ximeset, Ramón García</t>
  </si>
  <si>
    <t>Ramón García Ximeset</t>
  </si>
  <si>
    <t>…a mañamisma bucos, uh saco grande de piedras de chispa, y mas D. Cristóbal de Vicuña, como habilitado para el des de 1200 pantalones de paño ó de lienzo. pacho de la escribanía de D. Ramón García Ximeset. EN LA IMPRENTA REAL.</t>
  </si>
  <si>
    <t>Xinaeua, León Mafia</t>
  </si>
  <si>
    <t>León Mafia Xinaeua</t>
  </si>
  <si>
    <t>…por 1, í2. D. Joaquín Martínez, id. por 8 , 96¿ D. Joiá de Herrera, id. por 8, 93 D. Jor&gt;é Ramírez, id. por 2, 24. D José Pinero, id. por 4,48. D. Loresg® Leqnerica,.vd. por 6,72. D. León Mafia Xinaeua, id. por b, 935. D. Manuel Menacho, id. por 6, 72. Di Manuel de los H id. por S, 96. D.'Mariano Car ranza , id. por 8,96. D. Nicolás Git.ierres, id. p; r 8, 96*. D. Juan Santos Fiáríaní, i i. por 4, 48. ü. Aa'ouío Mora, id. por 4, 48. D. Faustino López, id. p…</t>
  </si>
  <si>
    <t>Xiraeno, Jacinto</t>
  </si>
  <si>
    <t>Jacinto Xiraeno</t>
  </si>
  <si>
    <t>…e Bartolomé, 1 id. D. Santiago Cachonfajro, 1 id. D. Tir so Estevanez, 1 id. D. Francisco Bosano , 2 id. D. José Gambini, 1 id. D. Juan de Perlica, 8 id. D. Dimaso de Arias, 6 id. D. Jacinto Xiraeno, 6 id. D. Manuel Ortiz de Villate, 4 id. D. José Rodolfo, 4 id. D. Antonio León, 4 id. D Paulino Domínguez, 3 id. D. Martin de Aramburu, 3 id. D. Francisco Vázquez de Usieda, 2 id. D. José Correa, 2 id. D. Juan Bautista Zaracondegui, 2 id. D. Francisco Antoni…</t>
  </si>
  <si>
    <t>Xuperiez, Eléuterio</t>
  </si>
  <si>
    <t>Eléuterio Xuperiez</t>
  </si>
  <si>
    <t>…por medio de&gt; procurador , con; suficiente podar á deducirle y exponer^; apercibidos desque pa-f sado dicho término sin haber comparecido, Ies parará el perjuicio que haya lugar.; Don Eléuterio Xuperiez,,vecino de Torrecilla. de‘,Cameros, zeloso dej bien publico , y particularmente dé que se foméntenla fábrieíi de paños finosrde dicha, villa hasta el grado de perfección de que es susceptible, nivelándose con las fábri cas reales de Guadalaxara y Ezcaraí, ha…</t>
  </si>
  <si>
    <t>Ya</t>
  </si>
  <si>
    <t>…o á la costa de Francia á tln gene dado en e! quartel imperial de Smorgony, ha nom ral francés y dos coroneles franceses, tus edecanes. brado al general de división conde Belltard coronel Ya nos guardaremos bien de manifestar sus nom general de coraceros por ascenso del señor condo bres, y de decir el sitio en que han desembarcado, Gouvion-Saint-Cyr á mariscal del imperio. por razones que son de mui obvio alcance. „ Es natural que tan misteriosa…</t>
  </si>
  <si>
    <t>…nifesté quan pagaré á la vista de 100® francos, que es'el. qo» to me habían significado aquellos señores; tomó los os presento ? documentos, y Jos leyó todos, y al acabar le díxe: D. Ya he tenido el honor de deciros qué al to eYono puedo salir (estaba con calentura), y en mar los dos documentos para irlos á leer al quartel mi lugar pondréis en execucion las- órdenes que da tiró el pagaré, que reconozco ser el mismo / diel general en virtud d…</t>
  </si>
  <si>
    <t>Ya, Prisco</t>
  </si>
  <si>
    <t>Prisco Ya</t>
  </si>
  <si>
    <t>….REINO DE ÑAPOLES. Durante este último ataque nuestras tropas man tuvieron el fuego con asombra-a acúvidad, y tuvi "Ñápales JO de noviembre. mos la desgracia de que alcanzase al. teniente Prisco Ya había algún. tiempo que el enemigo dexaba un casco de metralla, que le ha causado una con de inquietar la navegación c|¡* nuestros puertos por tusión. la costa del Adriático, las del reino de Italia y pro El dia 17 por la mañana se dexó ver el enemi vincias I…</t>
  </si>
  <si>
    <t>Yandiola</t>
  </si>
  <si>
    <t>…ial, compuesta de los señores Castañedo, Mendiola , Ledesma, Gordoa y Sombiela, para que en la sesión extraordinaria de esta noche presente su dictámen sobre este atroz suceso. El señor Yandiola propuso que, sin perjuicio de la resolución, se prevenga al Gobierno facilite al señor Antillon ios auxilios que su situación demanda; y asi se resolvió. Se presentó el señor Antilion, y tomando la palabra, habló substancial mente en los términos siguientes:…</t>
  </si>
  <si>
    <t>Yandipla</t>
  </si>
  <si>
    <t>…onumento en Arbísau,. donde 8© rusos contuvieron el 29 de agosto a 42© franceses. (Diaria de la Caruña.) Madrid 12 de noviembre, -■ En la sesión de Cortes del dia 2 de este més el señor Yandipla llamó la atención del Congreso presentando una exposición de 14 pueblos de Vizcaya én solicitud de que se instale aquella diputación provincial , elegida por el vo to general desde 28 de setiembre último. „ Entre los pueblos que subscriben, dixo., está el fam…</t>
  </si>
  <si>
    <t>Yanguas, Diego</t>
  </si>
  <si>
    <t>Diego Yanguas</t>
  </si>
  <si>
    <t>187</t>
  </si>
  <si>
    <t>…e 1808. r224379 240406 248766") 225306 407 841 236034 408 249341 238356 241004 396 238360 273 789 2^9000 415 • 872 223 242495 994 317 670 250031 240060 813 210 66. &lt; 199 860 35 9 &gt;D. Diego Yanguas, 391 243108 590 393 ‘344 252630 ... 394 997 254010 395 244463 050 396 246178 602 t\ 401 942 981 402 247348 255248 403 248536 256475 ¿ 404 567</t>
  </si>
  <si>
    <t>…59 335 665 272992 430 760 276573 768 312952 J f224048 240427 251625"! 234840 243084 252894 237443 246952 253755 254149 290197 319559 270778 297797 322794 31. . 782 304497 326719 )»D. Diego Yanguas. 271233 776 329139 275233 306976 468 278926 -309488 332822 286358 310712 343107 L 343158 100 de 150 pesos. Está conforme con la lista original 9 dirigida desde Madrid á la junta nacional del crédito público , que párá en está oficina general de renovación de…</t>
  </si>
  <si>
    <t>Yarza, Rafael de</t>
  </si>
  <si>
    <t>Rafael de Yarza</t>
  </si>
  <si>
    <t>…fort y Viergol , substituto pri D. T ornas Tordesillas, substituto primero. mero. t D. Santiago Conde, substituto segundo. D. Eugenio Mesa, substituto segundo. Barrio ae ¿Mortana. D. Rafael de Yarza, alcalde. QUARTEL DE SAN FRANCISCO. D. Juan Antonio Cuervo, substituto primero. Barrio de la puerta de Toledo. D. Josef Tenet, substituto segundo. I&gt;. Manuel de Manzaneque, alcalde. Barrio de S. Lu:... D. Mariano Vi!l.'c;ñor, substituto primero. El marques de…</t>
  </si>
  <si>
    <t>Ycung</t>
  </si>
  <si>
    <t>…ac El ministro de la Guerra 3 Duque de Feltre. ESPAÑA. Cádiz *p de Noviembre. Ayer llegó á esta bahía paquete ingles, y se asegura que ha traí do la interesante noticia de que el almirante Ycung habia atacado á 12 navios franceses, de los cuales apresó 10, y los 2 restantes vara ron. Ei almirante salió herido del combate. ARTICULO DE OFICIO. La Regencia del reyno, con el objeto de dar una idea del ac tual estado de la salud pública de la plaza de Cád…</t>
  </si>
  <si>
    <t>Yidal, Manuel</t>
  </si>
  <si>
    <t>Manuel Yidal</t>
  </si>
  <si>
    <t>…tos , y de 70 á 80 fusileros sostenidos por mas de 1500 hombres de caballería ; al paso que'yo no tenia terreno ni ana para formar la línea de batalla: en el momento dUpuse que el capitán D. Manuel Yidal desfilase coa su compañía á contener por mi derecha la caballería enemiga, que pretendía cortar municiones, artillería y bagages , y adelantando al go mi posición para mejorar de terreno, mandé por la izquierda al teniente D. Manuel Reynoso con SO hombres, y…</t>
  </si>
  <si>
    <t>Yíüaí</t>
  </si>
  <si>
    <t>…Gar?e. — Infantería: primera división alas órdenes del general Leva!, 4500 hombres, en Madrid. 4í ?gurqla á las del general Daricau, 7500, dé Madrid á Segó vía. Tercera á las ¿el general Yíüaí, 0200: desde Tálavsra pasó á Castilla. Cuasia á las de Conroux, 8200, en Avila y hacia Salamanca. Tota!, hombres.— 'labalíe* ría: dos divisiones de dragones y una de caballería ligera, su fuer za 3700 caballos. —.Artillería : seis compañías de a pie y dor. mo…</t>
  </si>
  <si>
    <t>Yiüamil</t>
  </si>
  <si>
    <t>…arde entró en Reus el conde Mauri cio Mathieu con los generales Espert, Deban x y Iíartoleti , 5 á 6000 infantes, 200 caballos y 5 piezas de artillería; y el mismo dia se situó el coronel Yiüamil á una hora de dicha villa con una co lumna de 1300 hombres y 100 caballos para hostilizarle en sus cor rerías ; y yo con igual objeto en el Pía si las intentaba por aquella parte. El 29 y 30 hice movimiento para proteger la reunión de los refuerzos que Y. E.…</t>
  </si>
  <si>
    <t>YiÜar, Pedro</t>
  </si>
  <si>
    <t>Pedro YiÜar</t>
  </si>
  <si>
    <t>…z , de la quinta , 16 heridos y 8 contusos. Las dos compañbs del sexto b&gt;tallón han tenido 10 heridos. La mento la pérdida del valiente capitán ée cubílíería del cuarto escua dren D. Pedro YiÜar/óya, joven á quien jusrgo digno de eterna me moria , no solo por la bondad de costumbres que le caracterizaba, síeg también por hallarlo dotado de las mas excelentes prendas mi litares : igual mente la del caplt&amp;a de la misma arma D. Custodio Fcntellas, que l…</t>
  </si>
  <si>
    <t>Yoldi, Mariano</t>
  </si>
  <si>
    <t>Mariano Yoldi</t>
  </si>
  <si>
    <t>…egundo. D. M:guel de Tena, alcalde. . Banjo de S Francisco. D. J uau Ventura Apesteguía, substituto pri D. Josef Carranza , alcalde. mero. D. Manuel Martínez , substituto primero. D. Mariano Yoldi, substituto segundo. D. Antonio González , substituto segundo. Barrio ae Bueña-Vista. D. Cayetano-de Soto, alcalde. CUARTEL DE SAN GERONIMO. D. Gieg&lt;’;¡,&gt; Sánchez, substituto primero. D. Joaquín Giardoni , substituto segundo. Barrio de las Trinitarias. Barrio…</t>
  </si>
  <si>
    <t>Yoldi, Martin de</t>
  </si>
  <si>
    <t>Martin de Yoldi</t>
  </si>
  <si>
    <t>…osé Mari a Larcano j Joaquín Mezquiriz, D. Santiago Arizavala, Dj Ildefonso Zizur, D.José Pinilla y D. Pedro Brull .* á tenientes de granaderos y. cazadores á D. Isidoro IrachMta, D. Martin de Yoldi, D. Martin Gastón, D. Vicente Pe- rez, D; Pedro Osta, D. PrudencLoBujandayD- José Orduna,D. An gel El vial de. D- Marianos Jlundain , D. Federico G billón , D. Luis Ganuza, Fan^ rancisco Ilundáin, D. Florencio Olabé ,&lt;D. Francisco Antonio Asuran D. Tomás Zubi…</t>
  </si>
  <si>
    <t>Yorck</t>
  </si>
  <si>
    <t>…ón del 10 de enero de 18 /j. de Tárenlo, Macdonald.” '■&gt;' • ' NUMERO I. : ' NUMERO ni. Cofia He .14 carta del conde He Saint-Marsan al ministro He Relaciones exteriores. Carta del general Yorck al mariscal duque de Tárenlo. ..Berlín i.° de enero de 18 tj. „Excmo. Sr. : ha .llegado un . edecán del señor duque de Tarento, Tacrroggen jo de diciembre de j8ia. ^Ex enviado por el señor principe de Neufchatel. Me ha celentísimo señor: después de marchas mu…</t>
  </si>
  <si>
    <t>…on Inglaterra. V. M. queriá que la entrega de es- las vicisitudes de la fortuna, no guardó ya ningún íjs olazas importantes iuese en las negociaciones miramiento. La deserción del general Yorck llamo á con Inglaterra un objeto de compensación por nues los enemigos á los estados del Rei de Prusia, y obli tras posesiones marítimas. gó á nuestros ejféccitos á evacuar el Vístula , y si „ El Rei de Prusia no tuvo nada que disputar tuarse detrás del Oder.…</t>
  </si>
  <si>
    <t>…entes á las disposiciones to Redactor general del t.° de abril, artículo Calle madas por la Prusia con motivo de la deserción del ancha, se dice: « Hablase de serios disturbios po general Yorck. líticos en Sicilia." Estos rumores, y las desconfian « Las piezas concernientes á la misión del prín zas que se manifiestan en los papeles públicos, in cipe Hatzreld en París. dican que va cayendo el fatal velo que hasta aquí «El extracto de un informe sobre…</t>
  </si>
  <si>
    <t>…subsistió fiel, y el cuerpo prusiano hizo su deber; mas cuando el exército francés sufrió á su vez las vicisitudes de la fortuna, no guardó ya ningún miramiento. La deserción del general Yorck lla mó á los enemigos á los estados del rey de Prusia, y obligó á nues tros exércuos á evacuar el Vístula, y situarse detras del Oder. «La Prusia para disimular sus intenciones ofreció dar un nue vo contingente. Tenia en Silesia y de este lado del Oder un núm…</t>
  </si>
  <si>
    <t>…, con el extracto de las cartas del conde Saint-Marsan acerca del mismo objeto. «El tratado y convenios concluidos en París'para establecer la alianza. «El convenio hecho entre el general Yorck y los rusos, y sus proclamas. «Las piezas concernientes á las disposiciones tomadas por la Pru sia con motivo de la deserción del general Yorck. «Las piezas concernientes á la misión deí príncipe Hartzfeld en Paris. « El extracto de un informe sobre la conniv…</t>
  </si>
  <si>
    <t>…l enemigo fue desalojado de las aldeas, las que queda ron en nuestro poder. A este tiempo ya se habían interesado en la acción el general Winzingerode en el flanco izquierdo, y el general Yorck con upa parte de las tropas rusas» mandadas por el general, Berg. Nosotros estábamos á cien pasos del enemiga, y entonces se hizo general una de las batallas mas Sangrientas que se han visto——Nuestros cuerpos de reserva se habían apro ximado al campo de batal…</t>
  </si>
  <si>
    <t>…ruid.p a¡$aí}3 X trabaje*i Janristpn.^ f MUMwtfc'ifeíggfip^ por esto suponía que aquella *colunahpp 4¡?Q?dejr¿^ 9® sx9.? cjoncepto: eljdla ,i9?á,las quafro.de Ja ñiaíViuWdestacóaj.general Yorck con 20W prusianosj y.al general Barclay de; Tójíy con 18© rusos*, estos se situaron en la aldea de Kli$,.;y aquellos en la de/Wcissig. Entre tanto el general Ber^tran,4ij pata conservar la comunicación ;con el; cuerpo destacado , hab,ia epyía^ do ó ; Koenigsw…</t>
  </si>
  <si>
    <t>Yorck, D’</t>
  </si>
  <si>
    <t>D’ Yorck</t>
  </si>
  <si>
    <t>…ombres, los 10000 de infantería y 5000 de caballería, que deberá mantener la Puerta. GRAN-BRETAÑA. Londres 16 de Enero de 1813. Documentos relativos al convenio celebrado entre el general D’ Yorck, comandante de las fuerzas prusianas , y el general ruso (1). „Caria del general ÍY York al duque de Tárenlo. — Taurcggen 30 de Diciembre.—Señor;'después de muchas y penosas marchas no me (1) Véase ¡a gaceta de 9 del corriente.</t>
  </si>
  <si>
    <t>Yordí, Raymundo Ferrcr de S.</t>
  </si>
  <si>
    <t>Raymundo Ferrcr de S. Yordí</t>
  </si>
  <si>
    <t>…lantando las compañías de cazadores para contener los tiradores enemigos que llegaban ya ai camino' de Viilaba: hice adelantar al mismo tiempo desde el campamento de Bcrriozal al brigadier Don Raymundo Ferrcr de S. Yordí, comandante general interino de la primera brigada, con el tercer batallón de reales guardias españolas, el regimiento de infantería de la Princesa, y el de tiradores de Cas tilla , para atacar al enemigo en flanco, y cubrir al mismo tiempo el redacto núm. 8…</t>
  </si>
  <si>
    <t>York</t>
  </si>
  <si>
    <t>…e su cuerpo, que ascen dían, según cartas del continente, á 13000 hombres; pero es proba ble que se escribiesen estas cartas ántes de recibir la noticia del con venio hecho por el general York, comandante del cuerpo prusiano, que formaba parte del exército de Macdonaid, y que se atribuyese por equivocación á este último la capitulación consabida. Otras cartas refieren que los reatos del exército francés seguirán retirándose hasta las márgenes del O…</t>
  </si>
  <si>
    <t>…s, que no han sabido de ron á las ocho de la noche al palacio de las 'fu fender su pais sino asolándolo, ni salvar su capital llerías. sino quemándola. En vista de la traición del general York el Rei En fin, luego que se haya concluido el invier de Ñapóles juzgó oportuno dirigirse al camino de no, quanto mas se hayan adelantado los rusos, con Elbing, y de alli á Posen , adonde llegó su quar- tanta mayor presteza serán rechazados. tei general el dia…</t>
  </si>
  <si>
    <t>…n el camino , persi guiendo al enemigo , que ya se halla en Tilsit, Dice que cercó la vanguardia de Macdonald con su caballería , separándola de las tro pas prusianas al mando del general York con el destacamento del mayor general Dieswitch, á quien dió órdenes para entrar en nego ciaciones con aquel general. Ei 30 de Diciembre, el teniente general York firmó un conve nio, según el cual debe quedar neutral caulas tropas de su man do , que consisten…</t>
  </si>
  <si>
    <t>…rticipar á V. E. que el conde Heller llegó aquí anoche, enviado por su tío el conde Wittgenstein con la noticia de haberse intrigado el cuerpo prusiano que mandaba en Curiandia el general York. Este oficial refiere también que el mariscal francés Macdonald había oficiado al conde Wittgenstein con el fin de trataT de una ca pitulación, noticioso sin duda de que se hallaba completamente cer cado. El conde Wittgenstein envió al príncipe Repnin á trata…</t>
  </si>
  <si>
    <t>…ayer núm. III, y el rey inmediatamente resolvió : 1. ° Que fuese nombrado el general Kleist teniente general co mandante del contingente. 2. ° Que este general hiciera arrestar al general York, siendo posible, para traerle á Berlín. 3.0 Que igualmente, si pudiese, conduxera las tropas prusianas a las órdenes de S. M. el rey de Nápoles, y adonde este príncipe in dicara. 4.0 Que Mr. de Natzmer, su ayuda de campo, parta esta ma ñana á Koenigsberg "con…</t>
  </si>
  <si>
    <t>…a, indignación. ; ^, 6.® Que de esta se haga igual publicidád éh B'erlm, en Póstdam, en Silesia,,, en Colberg , Graudentz., y en las gacetas, 7.0 Que si no puede ser ¡arrestado et general York se lé juzgue en rebeldía. 8.° Que el príncipe de ííartzfeId pase inmediatamente á París para llevar á S. M. el emperador la expresión de los sentimientos dei rey , y dar una prueba evidente de los mismos á toda Europa por med,k&gt; de esta ruidosa misión^ f V"j…</t>
  </si>
  <si>
    <t>…ble. Laf ca ballería de ios aliados iba en alcance del enemigo cuando -saltó e! correo. De nuestra pérdida no hay noticias positivas, como tampoco pormenores de ia acción. ''} «El general York se vio mas empeñado en la derecha contra gran des fuerzas, pues el cuerpo de Lauriston estaba reforzado con otra que se suponía ser el del mariscal Ney. Peleo hasta las ir dé i a no che contra un numero de tropas superior al suyo, y el éxito fué fa vorable á…</t>
  </si>
  <si>
    <t>…echa los cuerpos enemigos siguieron á los generales Barclay de Toíly y York en su movimiento retrógrado de la expedición que hicieron contra el general Lauriston. - «El cuerpo del general York tomó posiciones por la noche; pero el de Barclay de Tolly no lo efectuó hasta la.mañana siguiente. «El general MUl,aradowÍtcIi resistió los repetidos esfuerzos del enemigo, dirigidos con todo vigor aromper.su izquierda • de suerte que las columnas enemigas ,…</t>
  </si>
  <si>
    <t>…al de división y 11 cañones. La pérdida del enemigo en muertos y heridos fue considerable. La caballería de los aliados iba aun en alcance del enemigo quando salió el correo. ,,E1 general York se vio mas empeñado en la derecha contra grandes fuerzas, pues el cuerpo de Lauriston estaba reforzado con otro que se su ponía, ser el del mariscal Nei. Peleó hasta las 11 de la noche contra un nú mero de tropas superior al suyo, y el éxito fue favorable á l…</t>
  </si>
  <si>
    <t>…cha los cuerpos enemigos siguie ron á los generales Barclay de Tolly y York en su movimiento retrogrado de la expedición que hicieron contra el general Lauriston. ,, El cuerpo del general York tomó posiciones por la noche; pero el de Barclay de Tolly no lo efectuó hasta la mañana siguiente. ,,E1 general Millaradowitch resistió todos los ataques del enemigo, di rigidos á romper su izquierda; de suerte que las colunas enemigas, cuyo ob jeto era pasar…</t>
  </si>
  <si>
    <t>…con Francia, debió permanecer adicta á él;, y de este modo hubiera merecido aun k estimación de sus enemigos. No hubiera seguido el encono de estos,sino sus propios intereses : el general York no habría cometido entonces trayeion, ni los rusos pasado el Niemen. Tampoco el ge neral Bulow hubiera abierto á los rusos el paso del Oder exponién dolos á la catástrofe que los amenaza. Finalmente, la Framía , co nociendo la necesidad de una potencia media…</t>
  </si>
  <si>
    <t>…vanzó el general Bluch-r en 3 columnas, el día 20, desde Liegnitz, Goldbergy Jauer sobre Buntzlau y Lowenbürgo : el cuerpo de Sachen se movió por la derecha sobre Banízüau; el del general York por el centro, y el del general Lsngeron por la izquierda. El enemigo abandonó á Buntzlsu, des truyo sus obrsis y voló el almacén de pólvora qne tenia allí: las fuer zas del general Blucher avanzaron hacia el Bober, donde fueren ata cadas el 21 por el enemigo…</t>
  </si>
  <si>
    <t>habido varios encuentros, scírhndo Anegas pérdidis, á lo menos de so arti le ía y bagages. Se sabe sí un ataque del general York cerca de Friburgo: los franceses fueron derrotados con pe d?d¿ de -laoo prisioí.eft s, i8 piezas de artillería y gran número de carros dj¡ mu niciones: este movimiento los precisó á reccncent arse en.Frfurt. Ni una palabra de esto se ha publicado en los perió…</t>
  </si>
  <si>
    <t>…oabamos de recibir del exército las siguientes noticias oficiales: 5 ... Los cuerpos de los generales Langeron y Sacken pasaron la noche del 19 del corriente en Skenditz, y el del general York en Halle. El dia 20 el general Wastetschicow, que había pasado el Elster, avanzó á Lutzen, é hizo 2100 prisioneros. El general Von Blucher mandó que el dicho cuerpo de exército marchase de Skenditz á Lutzen, por no estar aun prontos los puentes en Leipsick. A…</t>
  </si>
  <si>
    <t>York, ÍY</t>
  </si>
  <si>
    <t>ÍY York</t>
  </si>
  <si>
    <t>…BRETAÑA. Londres 16 de Enero de 1813. Documentos relativos al convenio celebrado entre el general D’ Yorck, comandante de las fuerzas prusianas , y el general ruso (1). „Caria del general ÍY York al duque de Tárenlo. — Taurcggen 30 de Diciembre.—Señor;'después de muchas y penosas marchas no me (1) Véase ¡a gaceta de 9 del corriente.</t>
  </si>
  <si>
    <t>Young</t>
  </si>
  <si>
    <t>…tdale; y de resultas el intérprete de dicha impresión universal, y no lia de haberse volado un almacén de pólvora se abra tardado un instante en renovar el homenage de la saron el capitán Young y el teniente Hunter. Un inviolable adhesión y reconocimiento á vuestra aucuerpo de tropas &lt;k*l Sultán tuvo alerta toda la no austa persona, de que estuvo animada siempre ¡a che al mayor Alton y á una parte considerable de Euena ciudad de Milán. su batallón.…</t>
  </si>
  <si>
    <t>Yóung</t>
  </si>
  <si>
    <t>566</t>
  </si>
  <si>
    <t>…t. El gobierno procura tener un número suficiente de transportes para con ducir tropas á una expedición; y como no hai bastantes buques ingleses.» se recurre á los extrangeros. El almirante Yóung, comandante de la esquadra de Flesinga, llagó in esperadamente el io á las Dunas con cinco navios de línea ii]gleres, quatro rusos y una fragata: estaba para salir con 40 bueyes vivos la fragata Norge para dicha esquadra, quandose tuvo noticia del arribo de e…</t>
  </si>
  <si>
    <t>Yué, Bcrgoine</t>
  </si>
  <si>
    <t>Bcrgoine Yué</t>
  </si>
  <si>
    <t>…Ellicombe y Sinixh en adelantar las operaciones de los dos ataques, habiendo el último oficial tenido ademas el mérito de la disposición para el ataque por la derecha. El teniente coronel Bcrgoine Yué he rido, y tuvo que dexar el campo por ia pérdida de sn sanare ; pe ro me es satisfactorio decir que ya está en helado de hacer el ser vicio de su depEriaméntó.41 '</t>
  </si>
  <si>
    <t>Yung</t>
  </si>
  <si>
    <t>…tarán sa tro de lo Interior y supremo canciller, se ha man lir del Texal quatro navios de línea, destinados pa dado venir á Viena á todos los gobernadores de las ra Ja América. Ei almirante Yung manda actualmen provincias hereditarias, acompañados de sus conse te en las Dunas. jeros presidíales, con el objeto de que asistan á una conferencia solemne de corte y de estado &gt; que se PARLAMENTO BRITANICO.ha de celebrar el 4 del próximo enero. El señor con…</t>
  </si>
  <si>
    <t>Yúpangui, Manuel de Inca</t>
  </si>
  <si>
    <t>Manuel de Inca Yúpangui</t>
  </si>
  <si>
    <t>…s se presentasen; al capitán del regimiento de tira dores de Doy le D Domingo de Medina,, y al comisario de guerra é intendente en comisión que fue de los partidos de Jaca y otros D. Manuel de Inca Yúpangui, declarándolos por buenos servidores de la patria, y acreedores á que por sus buenos servicios se les in demnice de los atrasos que pudiera haberles correspondido , y que haga pública su inocencia en la gaceta del Gobierno. CADIZ; IMPREMIA NACIONAL : *8*$.</t>
  </si>
  <si>
    <t>Yurre, Mánttel</t>
  </si>
  <si>
    <t>Mánttel Yurre</t>
  </si>
  <si>
    <t>…• cisivo, cayendo como, unrcayo, sobre nuestras débiíes^gueirillas^ las que^e fueron sosteniendo hastia un irse á la primera mitad, y fpará;- cómfcper^iu^ • perú mandé al; bizarro capitán D. Mánttel Yurre (as caígase » [ofJq,ue .ejecutó -Van heroicamente!,.que? logró replegarlas al esquadron que ]as^sq$té.c¡ta£ (pe{o s«n. consecuencia; de esta:: disposidonlos enemigos;;las, - u¿ esquWtooí»|taaid«seo«¿}íBft» S&amp;ífpPÜS ÍWil|r</t>
  </si>
  <si>
    <t>YVellington</t>
  </si>
  <si>
    <t>…ueafeld ra de enero. «impugna fuertemente el decreto de 6 de diciem«bre, por el qual se confirió el mando de los exér- El doctor Mesmer, que ha permanecido 10 « citos españoles al lord YVellington; se reprocha á años en la Suiza, acaba de trasladarse á Constan « algunos otros diaristas, que no han tenido tanta za en el gran ducado de Badén. (1) Que quiere decir en buen ingles-. „si no se suje á favor de una guerra que reduce al pueblo á la mayor tan á…</t>
  </si>
  <si>
    <t>…ero sus movimientos no imponen á los aliados, cuyas fuerzas sen mui superiores. Estos se hallan bien fortificados y llenos de entusiasmo. La confianza que inspira la presencia del lord YVellington es el mayor obs táculo que hallará siempre Soult en sus empresas, en las que tiene que con tar con las mismas tropas que en 27 y 28 de julio se vieron rechazadas, perseguidas y arrolladas por un corto numero de ingleses , portugueses y españoles, que si bien…</t>
  </si>
  <si>
    <t>YVeWington</t>
  </si>
  <si>
    <t>…estino, El batallón del regimiento núme ro 37.', nuevos refuerzos de los deppsi^ mjjjtarés , y gran número de sol dados, convalecientes aumentarán considerablemente el exército de lord YVeWington. ; ^ r - EJqtoafoote genera] JphqJiape salió 4$ JpubJin ¡el viernes pasado para</t>
  </si>
  <si>
    <t>YVindtes</t>
  </si>
  <si>
    <t>…age se expidió el dís 15 de enero de lord Henrique Pettit, el lord vizconde Howick, lord 1807 con arreglo al dictamen de Jas personas siguien Grenvillc, lord Ellenboroug, el señor secretario YVindtes: el lord canciller, el lord presidente, el lord del hain, M. T. Grenville. sello privado, el conde Spcnccr, el conde de Moira, el</t>
  </si>
  <si>
    <t>YYels</t>
  </si>
  <si>
    <t>…le tes unos de otros; pero pronto sabréis acciones va gó un expreso^ que declaró verbalmente que el lerosas, porque estamos determinados á no perder destacamento á las órdenes del general YYels, que un palmo de tierra mientras nos reste un solo alien habia salido del fuerte Waine el 14 de este mes, to, y tengamos pólvora y plomo. 1 rescientos in habia vuelto el .viernes último , .despee-- de haber dios han salido para ci establecimiento .de \ ince d…</t>
  </si>
  <si>
    <t>Zabala, Fulgencio Antonio</t>
  </si>
  <si>
    <t>Fulgencio Antonio Zabala</t>
  </si>
  <si>
    <t>…e Esrrea, 2 id. D. Juan Gil, 2 id. D. Juan Anto nio d&amp;rriva, I id. i). Juan Hernández, i id. D. Antonio iiodrigsez Hernández, 1 id. D. Mateo Anta, Lid D. M;guel de Arto i a, 1 id. D. Fulgencio Antonio Zabala, 1 id. D. Francisco Antonio - Quiros, 1 id. D. Miguel Aljovin, 1 id. D. Ignacio González, 1 id. D. José Ri bera, 1 id.. D. Francisco Gavidia, 1 id. D. Juan Bautista y D. Mi guel de la V ña, 1 id.- DJ usé Aibarado, 1 id. D. Melchor í&amp;chaustegnl, 1 id. D. Franc…</t>
  </si>
  <si>
    <t>Zabalza, Antonio</t>
  </si>
  <si>
    <t>Antonio Zabalza</t>
  </si>
  <si>
    <t>…s á D. Fermín Izu , D Sebastian Echarte , D. Mariano Oliver, D Dionisio Antoñana, D. Antonio Andia, D. Eusebio Oraá , D Mariano Gayarte , D. Faustino Irigoyen , D. Antonio Ladrón, D. Antonio Zabalza, D. Felipe Vicuña, D Manuel Arragu i, D Manuel Otayza, D Ramón Tajonar, D. José Hernández, D. Gregorio Beriani, D. Domingo Ihañez, D. Eusebio Ocha de Alda, D Angel Estabulo, D Valerio Landache, D. Miguel Villacampa, D ’B'-roardo Eohsdecu, D. Cosme Vi'Hacampa…</t>
  </si>
  <si>
    <t>Zaldua, Antonio</t>
  </si>
  <si>
    <t>Antonio Zaldua</t>
  </si>
  <si>
    <t>…lo fueron de !a misma, y á ios que han salido mostrándose partís D. Julián, D. Melehor, D. Juan Francisco y Doña Manuela de Aparicio, her manos, como sobrinos carnales del citado D. Antonio Zaldua; por lo que se cita, llama y emplaza á todas y qualesquiera otras personas que puedan tener derecho i sus bienes, á fin de que en el término de 20'dias, contados de^de 31 del pasado, acudan ante d:cho señor juez y citada escribanía á deducirle; con apercibimi…</t>
  </si>
  <si>
    <t>Zally, Vicente</t>
  </si>
  <si>
    <t>Vicente Zally</t>
  </si>
  <si>
    <t>…co Gorvea , alcalde. D. Miguel de Moya, substituto segundo. D. Ramón del Casal, substituto primero. Barrio de Capuchinos de ¡a Paciencia. D. F rancisco Ortiz , substituto segundo. D. Vicente Zally, alcalde. Barrio de S. Isidro. D. Antonio Andatuce, substituto primero. D. Tomas Perez , alcalde. D. Manuel Pardo, substituto segundo. D. Pedro Brugada, substituto primero. Nuestros ministros de la Policía general, de la D. Lázaro Soto, substituto segundo. Ju…</t>
  </si>
  <si>
    <t>Zamácola, Juan Antonio</t>
  </si>
  <si>
    <t>Juan Antonio Zamácola</t>
  </si>
  <si>
    <t>…126% pies de sitio, tasada en 4 del corriente en 24736 rs. vn.. La persona que quiera hacer postura á dicha casa acuda á la escribanía de provincia vacante que sirvió últimamente D. Juan Antonio Zamácola. Don Juan González de Salcedo, vecino de Pedro Muñoz, en la Mancha , de sea saber quiénes fueron los herederos de D. Joief Cruz Mayor, caballero comen dador de Bastimentos de Castilla en la orden de Santiago, y oficial agregido á la plaza de Cádiz, para comun…</t>
  </si>
  <si>
    <t>…e hacer postura á di chas fincas acuda al juzgado del Sr. D. Francisco de Assin, juez de primera instan cia en esta villa, y escribanía de provincia vacante que sirvió últimamente D. Juan Antonio Zamácola, eri donde se admitirán las que se hicieren. Por providencia del mismo señor juez se han mandado sacar á pública subasta &gt; dos oficios de receptor de los reales consejos , tasados en 18750 rs., por término de 30 dias,1 contados desde el 19 del corriente. Quie…</t>
  </si>
  <si>
    <t>Zamácola, Juan Antóriio</t>
  </si>
  <si>
    <t>Juan Antóriio Zamácola</t>
  </si>
  <si>
    <t>…acq def Assin, juez deprimirá instancia en esta vi¡ lia, por quifeñ se ha mandado á solicitud de un acreedor en los autos que se siguen - por la escribanía de-provincia vacante de D. Juan Antóriio Zamácola, en donde se¿ admitirán, hasta dicho día las pujas y mejoras que se hicieren siendo arregladas. En virtud de exhorto librado por el Sr. I}. Tádep Rico, juez primero y mas antiguo de primera instancia de la ciudad de Murcia, refrendado de‘D. Bruno ítfa" iíuél…</t>
  </si>
  <si>
    <t>Zamora, García</t>
  </si>
  <si>
    <t>García Zamora</t>
  </si>
  <si>
    <t>…también leída otra proposición del Sr. Martínez de la Rosa, para que el gobierno informe lo que haya adelantado en la división y demarca ción de provincias; como asimismo una del Sr. García Zamora, para que el gobierno remita á las Cortes copia de las órdenes que haya pasado al gefie político de Madrid , y contestaciones de este, relativamente á ias medidas de traslación acordadas en ei mes de agosto. Se leyó otra del Sr. Antillon, para que se prevenga…</t>
  </si>
  <si>
    <t>Zamora, Juan Peñuelas de</t>
  </si>
  <si>
    <t>Juan Peñuelas de Zamora</t>
  </si>
  <si>
    <t>22 9 8.° D. Francisco Linares, natural y residente en Valdenioro. 9.0 D. Juan Peñuelas de Zamora, natural y residente en Madrid. 10. D. Felipe Artalejo , natural y residente en Pinto... . . , 11. D. Josef Martin y Montes, natural y,residente en Torrejon de Velasco. 12. D. Patricio Magano, natural de Fuencarral, y residente en Madrid. 1 ' , Del partido de…</t>
  </si>
  <si>
    <t>Zamoyski</t>
  </si>
  <si>
    <t>…do declarar el reino de Polonia res sidente en su recinto, compuesto de los siguientes tablecido. Una diputación de la confederación se presentó miembros: . Lo1 señores Estanislao conde Zamoyski, sena al Emperador en VA Una, y ha sometido á su apro dor palatino; Juan Golaszewski, obispo de Vigry; bación y protección el acta de La confederación. Alexandro Liñowki, consejero de Estado; Manía Nombres de los miembros de la diputación de la Badeny, consej…</t>
  </si>
  <si>
    <t>Zanmiski</t>
  </si>
  <si>
    <t>…ña y Portugal, y á todas las á caballo, y la caballería ligera. potencias de la Europa que se liaban independien Este reglamento se halla Armado por Estanislao, tes de la Francia. conde Zanmiski, substituto del mariscal de la dieta Creemos que estas sean las miras de la Rusia, y de la confederación general del reino de Polonia, y si nuestro gabinete se halla solamente con lis mis á 20 de diciembre de 1812; y refrendado por Ca mas disposiciones, no de…</t>
  </si>
  <si>
    <t>Zappino, Manuel</t>
  </si>
  <si>
    <t>Manuel Zappino</t>
  </si>
  <si>
    <t>■' 7-3 D. Manuel Zappino, fue execntada con tan infatigable actividad por los zapadores del exército Jy algunos trabajadores paisanos) , como fueron subidas á ella con rapidez las 6 piezas de artillería que coloco en la misma el coronel mayor general de esta arma D. Matías Ferraz, pe…</t>
  </si>
  <si>
    <t>…as se habia construido una batería para seis pie zas en la altura de la loma de la cimera, cuya construcción, dirigida por el comandante general de ingenieros el mariscal de campo D. Manuel Zappino, fue executada con tan infatigable actividad por los zapadores del exército (y algunos trabajadores paisanos), como fueron subidas á ella con rapidez las seis piezas de artillería, que colocó en la misma el coronel mayor general de esta arma D. Ma tías Ferraz…</t>
  </si>
  <si>
    <t>ZappiñQ, Manuel</t>
  </si>
  <si>
    <t>Manuel ZappiñQ</t>
  </si>
  <si>
    <t>…capitanes D. Leonardo Bónet y I&gt;. Domingo Manso; y el teniente D. Josef Ramón Ferradas han llenado‘plenamente mis deseos. ,,'El comandante general de ingenieros mariscal de campo D. Manuel ZappiñQ, el brigadier comandante general de artillería D. Agustín García Car— rasquedo, el coronel mayor general de la misma arma D. Matías Férrea, y</t>
  </si>
  <si>
    <t>Zaracondegui, Juan Bautista</t>
  </si>
  <si>
    <t>Juan Bautista Zaracondegui</t>
  </si>
  <si>
    <t>…de Villate, 4 id. D. José Rodolfo, 4 id. D. Antonio León, 4 id. D Paulino Domínguez, 3 id. D. Martin de Aramburu, 3 id. D. Francisco Vázquez de Usieda, 2 id. D. José Correa, 2 id. D. Juan Bautista Zaracondegui, 2 id. D. Francisco Antonio Goitesolo, 2 id. D. Miguel Fernando Ruiz, 2 id. D. Andrés Sánchez Quiros, 2 id. D. Francisco de Paula Calvo, 2 id. D. Pedro Juan de Olasagarri, 2 id. D. Juan Ignaoio de Mndizabal, 2 id. D. Manuel Garrido, 2 id. D. Esteban Cardona,…</t>
  </si>
  <si>
    <t>Zaragoza, Raymundo</t>
  </si>
  <si>
    <t>Raymundo Zaragoza</t>
  </si>
  <si>
    <t>…mo hizo el padre capellán de la Corona Br. D. Fran cisco Bravo y el cara de Cuenco D. Bernatdino Finí , á los patrotas y valientes D. Francisco Irazabal, D.-José María Arañe bia y D. Raymundo Zaragoza , que acompañan á esta división y le son muy útiles; y al cabo de Ía Corona Vicente Barragán , que acom pañó á pie gran tiempo á ía caballería en el alcance. Recomiendo también á todos los individuos á% esta división ,'apu s todos estuvie— ron en.peligros inm…</t>
  </si>
  <si>
    <t>Zaráquiegui, Serafín</t>
  </si>
  <si>
    <t>Serafín Zaráquiegui</t>
  </si>
  <si>
    <t>…Florencio Olabé ,&lt;D. Francisco Antonio Asuran D. Tomás Zubiri, D. Pedro Miguel Salvador , Don Prudencio Cortazar , D. Celedonio Gómez , D. Juan Braulio Diaz, D. Patricio Calvete, D. Serafín Zaráquiegui, D. Miguel Senosiain, D. José Echeverría;y D^ Clemente Diez de Tejada: á tenientes de fusileros á . D, VictorianoMangiron, D; Joaquín Mendiando , Don Pedro Oses* D José María Subirán , D. Miguel Tartas , D. Manuel Baztan ¿ D. Agustín Oro, D. José Joaquín Ároz…</t>
  </si>
  <si>
    <t>Zarate, Antonio</t>
  </si>
  <si>
    <t>Antonio Zarate</t>
  </si>
  <si>
    <t>…ición á Veracruz en 5 de Febrero, transitando por sierras inaccesibles y ásperos caminos, y manifestando en todas ocasiones el teniente coronel de artillería comandante dé su arma D. Antonio Zarate, su acreditado conocimiento é incansable celo. La compañía de indios zapadores de Xalapa cumplió sobresalientemente, y el señor Olazabal la recomien da al superior gobierno , suplicando la aprobación de una medalla que les concedió para recompensar su patriot…</t>
  </si>
  <si>
    <t>Zarate, Antonio Ortizde</t>
  </si>
  <si>
    <t>Antonio Ortizde Zarate</t>
  </si>
  <si>
    <t>…or.; el revestida de los encantos de tu estilo, haya substi encargo del juzgado de primera instancia de Segotuido quando espiraste Jas ideas siniestras de tu ais via y su tierra á D. Antonio Ortizde Zarate, pre lamiento y aniquilacioH!...... Sí, tú vives en nues sidente de la junta criminal de la misma ciudad. EN LA IMPRENTA REAL.</t>
  </si>
  <si>
    <t>Zavala, José</t>
  </si>
  <si>
    <t>José Zavala</t>
  </si>
  <si>
    <t>…de distinción con el mote de Constancia de Coro, acordado »or la Regencia á los capitulares el alcalde primero D. Andrés Tafavera, alcalde segundo D. Francisco Cuba, alférez real D. José Zavala, alguacil mayor D. Pablo Ignacio Arca? a, alcalde provisio nal D. José Míralles, y regid* res D. Manuel Uibina, D. Francisco Xavier Irsniguin, D. Miguel Gil y D. Ignacio Xavier de Emasabel; el cual se hará extensivo a los regidores D. Martin José de Echave y…</t>
  </si>
  <si>
    <t>Zavala, José Ignacio</t>
  </si>
  <si>
    <t>José Ignacio Zavala</t>
  </si>
  <si>
    <t>…Martin José de Echave y D Manuel Quintano y Valera, al síndico procurador ge neral D. Juan Eitéban de Cueto, al regidor provisional D. Ignacio Garcés, y al asesor del ayuntamiento D. José Ignacio Zavala, que por entonces no fueron comprehendidos en la gracia, en la cual no se incluye al teniente coronel D. José Cevailos, presidente del ayuntamiento, por estar prohibida en la milicia la creación de dis tinciones por decreto de 31 de Agosto de 1811. — Lo tendr…</t>
  </si>
  <si>
    <t>Zbacha</t>
  </si>
  <si>
    <t>El 3 de Setiembre Fuá destacado el teniente coronel Zbacha por el general WcronzoíF, para tomar posesión de los bosques junto á SchrM¡lkendo:f, y cxecutd sus órdenes como se deseaba. Después fué cercado por el enemigo con cuatriplicadas fuerzas, y sin embargo le hizo f¿ente, y se retiró por su camino en buen orden y…</t>
  </si>
  <si>
    <t>Zeberío, Marcos</t>
  </si>
  <si>
    <t>Marcos Zeberío</t>
  </si>
  <si>
    <t>…de la tarde supe que un posta de mucha importancia, que conducía la balija de Suchet desde Zaragoza para Francia, debía pasar por la carretera para Jaca. Destiné para el efecto al teniente D. Marcos Zeberío con 40 caballos, con orden de que dia y noche estuviese apostado en el parage que le pareciese mas conducente; en efecto, habiendo lle gado el pcsta ha sido sorprehendido con pérdida de teda su escolta: han sido degollados 5 enemigos , y los restantes hasta e…</t>
  </si>
  <si>
    <t>Zelayeta, Juan Pedro</t>
  </si>
  <si>
    <t>Juan Pedro Zelayeta</t>
  </si>
  <si>
    <t>…. José Arizmendi y D. Miguel Abnorza, 500. D. J sé Antonio Errea , 500. D. José Hipólito y Don Ambrosio Ibañez, 500 D Francisco María Zuloaga, 300. D. Pedso Moreno Altu-arra , 300 D. Juan Pedro Zelayeta, 200. D. Dámaso de Arias, 200. D Matine? Partido, 200. D. Martin Axamburu, 200. D. M afras I are a, 200. D. Toribio Acebal, secretario de gobier no, 200. D. José lio dirifo, 200. D. Miguel Fermín Escurra, 200. D. Miguel Cabe’lo, £00. D. Miguel Antonio Ar óla,…</t>
  </si>
  <si>
    <t>Zeno</t>
  </si>
  <si>
    <t>noticia de haber cesado á principios de setiembre la peste en Malta, como se demuestra en el siguiente extracto de dicho monitor. Liorna 24 de setiembre. ,, El capitán Zeno, comandante del xabeque el Conciliador, salió de Malta el 13 de este mes con una iicencia , y nos trae la agradable noticia de que la peste habia disminuido conocidamen te en aquella isla. Desde el dia 8 de setiembre no habia enfermado ni muer to persona algu…</t>
  </si>
  <si>
    <t>Zeschau</t>
  </si>
  <si>
    <t>…. Pero en este momento el exército saxon, infantería, ca ballería y artillería, y la caballería wirtemburguesa se pasaron todas al ene migo. Del exército saxon no quedó mas que el general Zeschau , que le man daba en gefe, y 500 hombres. Esta traición no solo dexó un vacío en nues tras filas, sino que entregó al enemigo el desfiladero importante confiado al exército saxon, que líevó la infamia hasta el punto de volver al instante sus 40 cañones contra…</t>
  </si>
  <si>
    <t>…rador ; mas en este momento el exér(pito saxon, infantería , caballería y artillería, y la caballería wurtemberguesa, se pasaron al enemigo. No quedó mas del exército saxon que el general Zeschau, que lo mandaba en gefe , y 500 hom bres. Esta traición no solamente dexó un vacío en nuestras líneas, sino que franqueó al enemigo la entrada importante confiada al exér cito saxon, cuya infamia llegó hasta volver al instante tus 40 piezas de canon contra la…</t>
  </si>
  <si>
    <t>Zeunert</t>
  </si>
  <si>
    <t>líos de las tropas ¿el'IandWehr, destruyó los atrincheramientos que se habían construido junto á Regatz. El e.nemigo envió de Wolmirstadt 100 hombres para oponerse á esto; pero el capitán Zeunert 2I frente de sus 30 hombres ios acometió, y después de una obstinada resistencia los derrotó. Algunos heri dos quedaron prisioneros. El capitán Zeunert quedó en esta acción grave mente herido. El coronel Bjornstierna, habiendo sido destacado con tropas suecas…</t>
  </si>
  <si>
    <t>…pero el espitan Zeunert cayó sobre ellos con sus yo hombres, y después de una obstinada'fesist me i a-, tos .desb irató : h zo algunos prisioneros , todos heridos; pero el raiimo capitán Zeunert lo fue También de gravedad. El coronel Bjorns jerna, desacado con tropas.suecas ala izquier da dei Elba, marchó-el 20 á Ke&amp;iberg con intención d¿ sorprehen • d~r á unos polacos ; pero ya se habían marchado por el cami no de Leipsiek. El coronel fué luego á re…</t>
  </si>
  <si>
    <t>Zi, D Martin</t>
  </si>
  <si>
    <t>D Martin Zi</t>
  </si>
  <si>
    <t>…tallón ha tenido de pérdida 6 muertos, en tre este? el subteniente D. Mariano Gay arre, de la de cazadores , el teniente D. Bartolomé Comas , de la segunda de fusileros , y ei sub teniente D Martin Zi&amp;urriz , de la quinta , 16 heridos y 8 contusos. Las dos compañbs del sexto b&gt;tallón han tenido 10 heridos. La mento la pérdida del valiente capitán ée cubílíería del cuarto escua dren D. Pedro YiÜar/óya, joven á quien jusrgo digno de eterna me moria , no solo…</t>
  </si>
  <si>
    <t>Zi, Luis Manuel</t>
  </si>
  <si>
    <t>Luis Manuel Zi</t>
  </si>
  <si>
    <t>…ron 6 no servicio del gobierno intruso, ya ’sé'bayád^e&amp;ritkdo implorándola generosidad del nuestro, ó fiados en los indul tas de a*'*dé efnbre-Hé'i8téP y a 5 de mayo de 1811*. por D. Luis Manuel Zi* inora. Se hallarán en ia librería de Perez, calle de las Carretas. . , ■ ' H.' , •• or&lt;j&gt; . ' ’ ■■■.■i.' ,; &gt; : r : ‘ rOr ’TT mtiUL IMPRENTA NACIONAL, 1</t>
  </si>
  <si>
    <t>Zícby</t>
  </si>
  <si>
    <t>…e fue pasada á cu chillo, y el resto con el teniente coronel que los mandaba quedaron pri sioneros. Las avanzadas del ala derecha están delante de Zittau y en Rumburg. J5I coronel conde Zícby tomó esta última plaza por asalto, é hizo allí gran número de prisioneros. Parece que el Emperador Napoleón ha dirigido por algunos dias todas sus fuerzas contra el general Blucher. Pero este no aceptó la batalla que se le presentó, y marchó contra el Neisse,…</t>
  </si>
  <si>
    <t>Zichy</t>
  </si>
  <si>
    <t>…e quedaron acuchillados, y el resto con un teniente coronel que los mandaba fueron hechos prisioneros. La vanguardia del ala derecha está delante de Zittati y Romburgo. Ei coronel conde Zichy asaltó á Romburg, donde cogió varios prisioneros. El emperador Napoleón parece haber dirigido, dias ha, toda su fuerza, contra el general B ucher. Pero e: te no aceptó la batalla f i no que se marceó hacia el Nie.se, mientras que varios cuerpos su-* yos desta…</t>
  </si>
  <si>
    <t>Zichyvantigoo</t>
  </si>
  <si>
    <t>…créditüt-el-papel que se: baila por todas partes una plaga tanto mas terrible para actualmente éñ circulación. ’ J los habitantes, quanto no hai disciplina capa* de Se dice qué el conde Zichyvantigoo; ministró contenerlos. de Hacienda, ha recibido otra órden igual, ,y q«é Esta resolución del ejército ruso parece haber s'~ su trabajo debe ser independiente del del conde de do un, efecto de las^ j&gt;érdidas que ha sufrido. Si el Waüis. Sin duda se desea saber…</t>
  </si>
  <si>
    <t>Ziesa, Francisco Fernandez</t>
  </si>
  <si>
    <t>Francisco Fernandez Ziesa</t>
  </si>
  <si>
    <t>…ancisco de Paula Calvo, 2 id. D. Pedro Juan de Olasagarri, 2 id. D. Juan Ignaoio de Mndizabal, 2 id. D. Manuel Garrido, 2 id. D. Esteban Cardona, 2 id. D. Nicolás Cameruaga, 2 id. D. Francisco Fernandez Ziesa, 1 id. D. Manuel Barreda, 1 id. D. Alonso Candamo, 1 id. D Benito Cristi, 1 id. T). José de San Martin y Blanco , l id D~ Martin Cortiguera, 1 id. D. Manuel López Díaz, 1 id. D. D amingo Ximenez, i id. D. Boni facio Vivanco, 1-id. D. José Sarria, 1 id. D. Mar…</t>
  </si>
  <si>
    <t>Ziethen</t>
  </si>
  <si>
    <t>…el enemigo, desfiló el cuerpo de los genera es de artillería conde de Collo edo y Meerfeld, á tiempo que el conde de Wittgenstein hizo avanzar contra el frente de los franceses al general Ziethen con las columnas de prusianos que mandaba. Continuamente presen taba el enemigo cuerpos de tropas, y todo su conato era adelantar terreno para poder peretror. Sus guardias de á caballo atacaron nuestras baterías con mucha arrogancia, mientras que su infanterí…</t>
  </si>
  <si>
    <t>…a durante la acción, y en medio de una continua nube de balas. El general conde Wittgenstein , el duque de Wittemberg, lo &gt; generales de arti llería conde Colloredo y Meerfeld, el general Ziethen , el teniente feld-mariscal Lichtenstein, Lopstc, Czorich, el mayor LuE Geypert y el capitán Do¿ry, han tenido una particular ocasión de distingairse. Los tres exércitos aliadoi pelearon nuevamente en este día tan fraternalmente unidos como animados del mismo…</t>
  </si>
  <si>
    <t>…ón muy reñ da á consecuencia de haber atacado el enemigo con superiores fuerzas al cuerpo del general Wiltgenstein , y á una parte del ene po del general KÍeist, á las órdenes del general Ziethen, los cuales habían avanzado de nuevo, atravesando las montañas, mal, allá de Petera wslde en el camino de Dr sde. El conde W.ittgemtein tenia su cuartel gfneral en Puna cuando el en-migo empezó á avanzar. La principal contienda tn aquel día fué por apoderarse…</t>
  </si>
  <si>
    <t>…aba el enemigo en posición en Peterswalde, y Bonaparte per noctó en Pirna. El 20 se acercó un ppeo hacia Dresde* y dexó tam bién á Nollendorf. El cuerpo prusiano á las órdenes del general Ziethen le siguió muy inmediato.— Se interceptó una orden del ma riscal Berthier para él general Lobau, que manda las tropas avanza das del enemigo 9 que le determinaba hacer todas sus disposiciones para retirarse sobre Dresde. —Todas las notieias e*tan conformes sob…</t>
  </si>
  <si>
    <t>Ziethen, Von</t>
  </si>
  <si>
    <t>Von Ziethen</t>
  </si>
  <si>
    <t>…oredo y.Meersfeld desfilaron por el camino de Neudorf y Rei¡ itz en el flanco izquierdo delenerhigo, mientras que el conde de Wittgenstein hizo que los prusianos, mandados por. el general Von Ziethen, avanza*en en quadros de infantería al frente del enemigo. Este aumentaba cada vez mas las masas de sus soldados, y todo le era necesario para ganar el terreno por .donde desfilaba.__ La caballería de la guardia acometió deliberadamente nuestras baterías, mie…</t>
  </si>
  <si>
    <t>…en la vanguardia expuesto á la continua lluvia de balas. El general conde de TVirtgepstein, el duque &lt;de Wittemberg, los generales de artillería conde de Colloredo y Meersfeld, el general Von Ziethen, el teniente feld-mariscal Aloys Von Lichtenstein, los tenientes coroneles Lemony, Lopefte y Czorich , que «e distinguió particuferMente en el principio de la acción, el ma yor Luis Geypert y el capitán Duery tuvieron ocasión de distinguirse con particularida…</t>
  </si>
  <si>
    <t>Zilmtr</t>
  </si>
  <si>
    <t>…por Dresde y Meitscn. Varios destacamentos de partidarios volvieron á la orilla izquierda del r»; con el-fin de incomodar la retaguardia enemiga. Uno de ellos y á las órdenes del teniente Zilmtr, de los húsares &lt;2e Brandemburgo cogió cerca de Zv/íekau á un oficial con pliegos de importancia y 20 caba llos , volviendo á reunirse con el exéreito el dia 10 sin riesgo alguno. . «Por este tiempo se aseguró que el rey de Saxonia se habia de clarado por el…</t>
  </si>
  <si>
    <t>Zino</t>
  </si>
  <si>
    <t>…ausado mu chos daños, señaladamente en el distrito de Faenza. Catorce personas han sido heridas en este pueblo; mas de 62) chimeneas han venido á tierra. Liorna 1.° de octubre. El capitán Zino, comandante del xabeque Conciliador, que salió de Malta con Ucencia el 13 del pasado, nos trae la agradable noticia de haber la peste disminuido sensiblemente én aquella isla. En el mes de julio últi mo morían 62 personas al día: desde el 8 de setierhbre no h…</t>
  </si>
  <si>
    <t>Zorrilla, Josef</t>
  </si>
  <si>
    <t>Josef Zorrilla</t>
  </si>
  <si>
    <t>…los nombramientos siguientes. Para diputados d las próximas cortes ordinarias d los señores D. Eugenio García, natural de Yuncidlos, de esta provincia, arcediano de Cartagena. Dr. D. Josef Zorrilla de la Rocha, natural de Arenas, vicario del Puen te del Arzobispo. D. Miguel de Frías, del Corral deAlmaguer, hacendado. Lie. D. Benito Saenz González, de Toledo, abogado de los tribunales nacionales. D. Luis Luxan y Monroi, de Arenas, hacendado. " Y para sup…</t>
  </si>
  <si>
    <t>ZoUrokjt</t>
  </si>
  <si>
    <t>298 señor ZoUrokjt*rdi*tiogoidps^por sus riquezas, su medalla de la orden del Mérito civíL por el ministe crédito y-ru amor •á~ta“Cawa",pt5btica. rio del Interior, sección d« negocios interiores. Es Las noticias que hemos recibido de los distritos te artículo esta copiado de la…</t>
  </si>
  <si>
    <t>Zucchi</t>
  </si>
  <si>
    <t>…tros deberes, no le habéis que están en-Ratisbona , juntamente con un bata-í escuchado, y venís á presentar vuestra ofrenda an llon * de ilírieds. La. quarta brigada, al mando de\ general Zucchi, espera en Augsbmgo sú destina te el altar santo de la patria./ . , «Soldados-de todo9 los cuerpos: de vosotros ulterior. El quartel general de la división se. ha fi-, mismos depende el que.os cubráis de gloria, repa atado provisionalmente, en Nuremberg. . &gt;…</t>
  </si>
  <si>
    <t>…jx de diciembre. dad ; mas sin embargo se les hicieron tres oficiales El quartel general de la brigada italiana á las y 132 soldados prisioneros; se les cogió un hospi órdenes del general Zucchi sale pasado mañana de tal en que había tres oficiales y 165 soldados, y una gran porción de provisiones de toda especie. esta ciudad, El capitán de dragones de Riesch fue destacado Nurentberg 9. de enera. por la derecha para coger al enemigo los almacenes Aye…</t>
  </si>
  <si>
    <t>…omase la pequeña ciudad de Lahn. Marchó contra ella con una brigada ita liana , y executó las órdenes con el mayor valor, causando ai enemigo una pérdida de mas de 500 hombres. El general Zucchi es un oficial de sobresa liente mérito___Xas tropas italianas atacaron á la bayoneta á los rusos, que eran superiores en número.— El día 19 el enemigo se acampo en Zobten.—— Un cuerpo de 12® rusos pasó el Bober, y ataco el puesto de Liebencelzen^) que estaba…</t>
  </si>
  <si>
    <t>Zudiaur, Ventura de</t>
  </si>
  <si>
    <t>Ventura de Zudiaur</t>
  </si>
  <si>
    <t>\ 226 4.0 Sr. Lie. D.' Francisco Hernanz de Vargas, vecino de Lozoya. '5.0 Sr. D. Baltasar Carrillo Lozano y Manrique, vecino de Atienza. 6.a Sr. D. Ventura de Zudiaur, vecino de Cifuentes. 7.0 Sr. D. Fernando García del Olmo, vecino de Alcolea del Pinar. Suplentes. i.° Sr. D. Patricio Sanz Pinilla, vecino de Alustante. 2.0 Sr. Lie. D. Pedro Josef Ibarrola, vecino de Mondejar. 3.0 Sr. Lie. D. Manuel Sabroso, vecino de Valde…</t>
  </si>
  <si>
    <t>Zumalacámgui, Miguel Amonio</t>
  </si>
  <si>
    <t>Miguel Amonio Zumalacámgui</t>
  </si>
  <si>
    <t>…tes generales y extraordinarias en la sesión de 24 del corriente á la renovación de su presidente , vice-presidente y uno de sus secretarios ; salieron electos, para presidente el Sr. D. Miguel Amonio Zumalacámgui, diputado por la provincia de Guipúzcoa; para vice-presklente el Sr. D. José Marta Calatra\a, diputado por Extremadura; y para secretario el Sr. D. Agustin Rodríguez Bahamonde, diputado por Galicia. JLa Regencia del reyno se h a servido expedir el decreto sig…</t>
  </si>
  <si>
    <t>Zumsiacarregai, Miguel Antonio</t>
  </si>
  <si>
    <t>Miguel Antonio Zumsiacarregai</t>
  </si>
  <si>
    <t>…Extremadura ; para Vice presidente el Sr. D. Gonzalo Herrera, diputado por la isla de Cu ba ; para primer secretario el Sr? D. Ramoa Felín , diputado por el Perú; para segundo el Sr. D. Miguel Antonio Zumsiacarregai, di putado por la provincia de Guipúzcoa; para tercero el Sr. D. Pedro Alcántara de Acosta, diputado por la isla de Cuba; y para cuarto el Sr. D. Antonio Díaz, diputado por la provincia de Granada. Concluida la elección ocuparon sus respectivos puestos el señ…</t>
  </si>
  <si>
    <t>Zychi</t>
  </si>
  <si>
    <t>…mbres á lo menos, y en este caso lo han de Se esperan de un día á ptro en esta ciudad va mandar un capitán de caballería, un teniente y seis tios personages , entre ellos el señor conde Zychi, sargentos. Las tropas del levantamiento que se ha ministro de Austria, y el señor conde de S. Mar llen regimentadas de esta manera tendrán en la for mación para ceremonias públicas, revistas &amp;c. la gan , 4e Francia. . y —_ Se han- comprado en el Holstein por…</t>
  </si>
  <si>
    <t>Fuentes oficiales y criterio de elaboración · 1813</t>
  </si>
  <si>
    <t>417 archivos · 2839 páginas · enlaces al facsímil oficial</t>
  </si>
  <si>
    <t>Archivo</t>
  </si>
  <si>
    <t>Páginas PDF</t>
  </si>
  <si>
    <t>Registros del índice</t>
  </si>
  <si>
    <t>Facsímil completo</t>
  </si>
  <si>
    <t>GMD-1813-1.pdf</t>
  </si>
  <si>
    <t>GMD-1813-2.pdf</t>
  </si>
  <si>
    <t>GRE-1813-1.pdf</t>
  </si>
  <si>
    <t>GMD-1813-3.pdf</t>
  </si>
  <si>
    <t>GRE-1813-69.pdf</t>
  </si>
  <si>
    <t>GMD-1813-4.pdf</t>
  </si>
  <si>
    <t>GMD-1813-5.pdf</t>
  </si>
  <si>
    <t>GRE-1813-2.pdf</t>
  </si>
  <si>
    <t>GRE-1813-3.pdf</t>
  </si>
  <si>
    <t>GMD-1813-6.pdf</t>
  </si>
  <si>
    <t>GMD-1813-7.pdf</t>
  </si>
  <si>
    <t>GMD-1813-8.pdf</t>
  </si>
  <si>
    <t>GMD-1813-9.pdf</t>
  </si>
  <si>
    <t>GRE-1813-4.pdf</t>
  </si>
  <si>
    <t>GMD-1813-10.pdf</t>
  </si>
  <si>
    <t>GMD-1813-11.pdf</t>
  </si>
  <si>
    <t>GMD-1813-12.pdf</t>
  </si>
  <si>
    <t>GRE-1813-5.pdf</t>
  </si>
  <si>
    <t>GMD-1813-13.pdf</t>
  </si>
  <si>
    <t>GMD-1813-14.pdf</t>
  </si>
  <si>
    <t>GRE-1813-6.pdf</t>
  </si>
  <si>
    <t>GMD-1813-15.pdf</t>
  </si>
  <si>
    <t>GMD-1813-16.pdf</t>
  </si>
  <si>
    <t>GRE-1813-7.pdf</t>
  </si>
  <si>
    <t>GMD-1813-17.pdf</t>
  </si>
  <si>
    <t>GMD-1813-18.pdf</t>
  </si>
  <si>
    <t>GMD-1813-19.pdf</t>
  </si>
  <si>
    <t>GRE-1813-8.pdf</t>
  </si>
  <si>
    <t>GMD-1813-20.pdf</t>
  </si>
  <si>
    <t>GMD-1813-21.pdf</t>
  </si>
  <si>
    <t>GRE-1813-9.pdf</t>
  </si>
  <si>
    <t>Gaceta de Madrid n.º 22</t>
  </si>
  <si>
    <t>GMD-1813-22.pdf</t>
  </si>
  <si>
    <t>GMD-1813-23.pdf</t>
  </si>
  <si>
    <t>GRE-1813-10.pdf</t>
  </si>
  <si>
    <t>GMD-1813-24.pdf</t>
  </si>
  <si>
    <t>GMD-1813-25.pdf</t>
  </si>
  <si>
    <t>GMD-1813-26.pdf</t>
  </si>
  <si>
    <t>GRE-1813-11.pdf</t>
  </si>
  <si>
    <t>GMD-1813-27.pdf</t>
  </si>
  <si>
    <t>GMD-1813-28.pdf</t>
  </si>
  <si>
    <t>GRE-1813-12.pdf</t>
  </si>
  <si>
    <t>GMD-1813-29.pdf</t>
  </si>
  <si>
    <t>GMD-1813-30.pdf</t>
  </si>
  <si>
    <t>GRE-1813-13.pdf</t>
  </si>
  <si>
    <t>GMD-1813-31.pdf</t>
  </si>
  <si>
    <t>GMD-1813-32.pdf</t>
  </si>
  <si>
    <t>GMD-1813-33.pdf</t>
  </si>
  <si>
    <t>GRE-1813-14.pdf</t>
  </si>
  <si>
    <t>GMD-1813-34.pdf</t>
  </si>
  <si>
    <t>GMD-1813-35.pdf</t>
  </si>
  <si>
    <t>GRE-1813-15.pdf</t>
  </si>
  <si>
    <t>GMD-1813-36.pdf</t>
  </si>
  <si>
    <t>GMD-1813-37.pdf</t>
  </si>
  <si>
    <t>GRE-1813-16.pdf</t>
  </si>
  <si>
    <t>GMD-1813-38.pdf</t>
  </si>
  <si>
    <t>GMD-1813-39.pdf</t>
  </si>
  <si>
    <t>GMD-1813-40.pdf</t>
  </si>
  <si>
    <t>GRE-1813-17.pdf</t>
  </si>
  <si>
    <t>GMD-1813-41.pdf</t>
  </si>
  <si>
    <t>GMD-1813-42.pdf</t>
  </si>
  <si>
    <t>GRE-1813-18.pdf</t>
  </si>
  <si>
    <t>GMD-1813-43.pdf</t>
  </si>
  <si>
    <t>GMD-1813-44.pdf</t>
  </si>
  <si>
    <t>GRE-1813-19.pdf</t>
  </si>
  <si>
    <t>GMD-1813-45.pdf</t>
  </si>
  <si>
    <t>GMD-1813-46.pdf</t>
  </si>
  <si>
    <t>GMD-1813-47.pdf</t>
  </si>
  <si>
    <t>GRE-1813-20.pdf</t>
  </si>
  <si>
    <t>GMD-1813-48.pdf</t>
  </si>
  <si>
    <t>GMD-1813-49.pdf</t>
  </si>
  <si>
    <t>GRE-1813-21.pdf</t>
  </si>
  <si>
    <t>GMD-1813-50.pdf</t>
  </si>
  <si>
    <t>GMD-1813-51.pdf</t>
  </si>
  <si>
    <t>GRE-1813-22.pdf</t>
  </si>
  <si>
    <t>GMD-1813-52.pdf</t>
  </si>
  <si>
    <t>GMD-1813-53.pdf</t>
  </si>
  <si>
    <t>GMD-1813-54.pdf</t>
  </si>
  <si>
    <t>GRE-1813-23.pdf</t>
  </si>
  <si>
    <t>GMD-1813-55.pdf</t>
  </si>
  <si>
    <t>GMD-1813-56.pdf</t>
  </si>
  <si>
    <t>GRE-1813-24.pdf</t>
  </si>
  <si>
    <t>GMD-1813-57.pdf</t>
  </si>
  <si>
    <t>GMD-1813-58.pdf</t>
  </si>
  <si>
    <t>GRE-1813-25.pdf</t>
  </si>
  <si>
    <t>GMD-1813-59.pdf</t>
  </si>
  <si>
    <t>GRE-1813-26E.pdf</t>
  </si>
  <si>
    <t>GMD-1813-60.pdf</t>
  </si>
  <si>
    <t>GMD-1813-61.pdf</t>
  </si>
  <si>
    <t>GRE-1813-27.pdf</t>
  </si>
  <si>
    <t>GMD-1813-62.pdf</t>
  </si>
  <si>
    <t>GMD-1813-63.pdf</t>
  </si>
  <si>
    <t>GRE-1813-28.pdf</t>
  </si>
  <si>
    <t>GMD-1813-64.pdf</t>
  </si>
  <si>
    <t>GRE-1813-99.pdf</t>
  </si>
  <si>
    <t>GMD-1813-65.pdf</t>
  </si>
  <si>
    <t>GRE-1813-29.pdf</t>
  </si>
  <si>
    <t>GMD-1813-66.pdf</t>
  </si>
  <si>
    <t>GMD-1813-67.pdf</t>
  </si>
  <si>
    <t>GMD-1813-68.pdf</t>
  </si>
  <si>
    <t>GRE-1813-30.pdf</t>
  </si>
  <si>
    <t>GMD-1813-69.pdf</t>
  </si>
  <si>
    <t>GMD-1813-70.pdf</t>
  </si>
  <si>
    <t>GRE-1813-31.pdf</t>
  </si>
  <si>
    <t>GMD-1813-71.pdf</t>
  </si>
  <si>
    <t>GMD-1813-72.pdf</t>
  </si>
  <si>
    <t>GRE-1813-32.pdf</t>
  </si>
  <si>
    <t>GMD-1813-73.pdf</t>
  </si>
  <si>
    <t>GMD-1813-74.pdf</t>
  </si>
  <si>
    <t>GMD-1813-75.pdf</t>
  </si>
  <si>
    <t>GRE-1813-33.pdf</t>
  </si>
  <si>
    <t>GMD-1813-76.pdf</t>
  </si>
  <si>
    <t>GMD-1813-77.pdf</t>
  </si>
  <si>
    <t>GRE-1813-34.pdf</t>
  </si>
  <si>
    <t>GMD-1813-78.pdf</t>
  </si>
  <si>
    <t>GMD-1813-79.pdf</t>
  </si>
  <si>
    <t>GRE-1813-35.pdf</t>
  </si>
  <si>
    <t>GMD-1813-80.pdf</t>
  </si>
  <si>
    <t>GMD-1813-81.pdf</t>
  </si>
  <si>
    <t>GMD-1813-82.pdf</t>
  </si>
  <si>
    <t>GRE-1813-36.pdf</t>
  </si>
  <si>
    <t>GMD-1813-83.pdf</t>
  </si>
  <si>
    <t>GMD-1813-84.pdf</t>
  </si>
  <si>
    <t>GRE-1813-37.pdf</t>
  </si>
  <si>
    <t>GMD-1813-85.pdf</t>
  </si>
  <si>
    <t>GMD-1813-86.pdf</t>
  </si>
  <si>
    <t>GRE-1813-38.pdf</t>
  </si>
  <si>
    <t>GMD-1813-87.pdf</t>
  </si>
  <si>
    <t>GMD-1813-88.pdf</t>
  </si>
  <si>
    <t>GMD-1813-89.pdf</t>
  </si>
  <si>
    <t>GRE-1813-39.pdf</t>
  </si>
  <si>
    <t>GMD-1813-90.pdf</t>
  </si>
  <si>
    <t>GMD-1813-91.pdf</t>
  </si>
  <si>
    <t>GRE-1813-40.pdf</t>
  </si>
  <si>
    <t>GMD-1813-92.pdf</t>
  </si>
  <si>
    <t>GMD-1813-93.pdf</t>
  </si>
  <si>
    <t>GRE-1813-41.pdf</t>
  </si>
  <si>
    <t>GMD-1813-94.pdf</t>
  </si>
  <si>
    <t>GMD-1813-95.pdf</t>
  </si>
  <si>
    <t>GMD-1813-96.pdf</t>
  </si>
  <si>
    <t>GRE-1813-42.pdf</t>
  </si>
  <si>
    <t>GMD-1813-97.pdf</t>
  </si>
  <si>
    <t>GMD-1813-98.pdf</t>
  </si>
  <si>
    <t>GRE-1813-43.pdf</t>
  </si>
  <si>
    <t>GMD-1813-99.pdf</t>
  </si>
  <si>
    <t>GMD-1813-100.pdf</t>
  </si>
  <si>
    <t>GRE-1813-44.pdf</t>
  </si>
  <si>
    <t>GMD-1813-101.pdf</t>
  </si>
  <si>
    <t>GMD-1813-102.pdf</t>
  </si>
  <si>
    <t>GMD-1813-103.pdf</t>
  </si>
  <si>
    <t>GRE-1813-45.pdf</t>
  </si>
  <si>
    <t>GMD-1813-104.pdf</t>
  </si>
  <si>
    <t>GMD-1813-105.pdf</t>
  </si>
  <si>
    <t>GRE-1813-46.pdf</t>
  </si>
  <si>
    <t>GRE-1813-47E.pdf</t>
  </si>
  <si>
    <t>GMD-1813-106.pdf</t>
  </si>
  <si>
    <t>GMD-1813-107.pdf</t>
  </si>
  <si>
    <t>GRE-1813-48.pdf</t>
  </si>
  <si>
    <t>GMD-1813-108.pdf</t>
  </si>
  <si>
    <t>Gaceta de Madrid n.º 109</t>
  </si>
  <si>
    <t>GMD-1813-109.pdf</t>
  </si>
  <si>
    <t>GMD-1813-110.pdf</t>
  </si>
  <si>
    <t>GRE-1813-49.pdf</t>
  </si>
  <si>
    <t>GMD-1813-111.pdf</t>
  </si>
  <si>
    <t>GMD-1813-112.pdf</t>
  </si>
  <si>
    <t>GRE-1813-50.pdf</t>
  </si>
  <si>
    <t>GMD-1813-113.pdf</t>
  </si>
  <si>
    <t>GMD-1813-114.pdf</t>
  </si>
  <si>
    <t>GRE-1813-51.pdf</t>
  </si>
  <si>
    <t>GMD-1813-115.pdf</t>
  </si>
  <si>
    <t>GMD-1813-116.pdf</t>
  </si>
  <si>
    <t>GMD-1813-117.pdf</t>
  </si>
  <si>
    <t>GRE-1813-52.pdf</t>
  </si>
  <si>
    <t>GMD-1813-118.pdf</t>
  </si>
  <si>
    <t>GMD-1813-119.pdf</t>
  </si>
  <si>
    <t>GRE-1813-53.pdf</t>
  </si>
  <si>
    <t>GMD-1813-120.pdf</t>
  </si>
  <si>
    <t>GMD-1813-121.pdf</t>
  </si>
  <si>
    <t>GRE-1813-54.pdf</t>
  </si>
  <si>
    <t>GMD-1813-122.pdf</t>
  </si>
  <si>
    <t>GMD-1813-123.pdf</t>
  </si>
  <si>
    <t>GMD-1813-124.pdf</t>
  </si>
  <si>
    <t>GRE-1813-55.pdf</t>
  </si>
  <si>
    <t>GMD-1813-125.pdf</t>
  </si>
  <si>
    <t>GMD-1813-126.pdf</t>
  </si>
  <si>
    <t>GRE-1813-56.pdf</t>
  </si>
  <si>
    <t>GMD-1813-127.pdf</t>
  </si>
  <si>
    <t>GMD-1813-128.pdf</t>
  </si>
  <si>
    <t>GRE-1813-57.pdf</t>
  </si>
  <si>
    <t>GMD-1813-129.pdf</t>
  </si>
  <si>
    <t>GMD-1813-130.pdf</t>
  </si>
  <si>
    <t>GMD-1813-131.pdf</t>
  </si>
  <si>
    <t>GRE-1813-58.pdf</t>
  </si>
  <si>
    <t>GMD-1813-132.pdf</t>
  </si>
  <si>
    <t>GMD-1813-133.pdf</t>
  </si>
  <si>
    <t>GRE-1813-59.pdf</t>
  </si>
  <si>
    <t>GMD-1813-134.pdf</t>
  </si>
  <si>
    <t>GMD-1813-135.pdf</t>
  </si>
  <si>
    <t>GRE-1813-60.pdf</t>
  </si>
  <si>
    <t>GMD-1813-136.pdf</t>
  </si>
  <si>
    <t>GMD-1813-137.pdf</t>
  </si>
  <si>
    <t>GMD-1813-138.pdf</t>
  </si>
  <si>
    <t>GRE-1813-61.pdf</t>
  </si>
  <si>
    <t>GMD-1813-139.pdf</t>
  </si>
  <si>
    <t>GMD-1813-140.pdf</t>
  </si>
  <si>
    <t>GRE-1813-62.pdf</t>
  </si>
  <si>
    <t>GMD-1813-141.pdf</t>
  </si>
  <si>
    <t>GMD-1813-142.pdf</t>
  </si>
  <si>
    <t>GRE-1813-63.pdf</t>
  </si>
  <si>
    <t>GMD-1813-143.pdf</t>
  </si>
  <si>
    <t>GMD-1813-144.pdf</t>
  </si>
  <si>
    <t>GMD-1813-145.pdf</t>
  </si>
  <si>
    <t>GRE-1813-64.pdf</t>
  </si>
  <si>
    <t>GMD-1813-146.pdf</t>
  </si>
  <si>
    <t>Gaceta de Madrid n.º 147</t>
  </si>
  <si>
    <t>GMD-1813-147.pdf</t>
  </si>
  <si>
    <t>GRE-1813-65.pdf</t>
  </si>
  <si>
    <t>GRE-1813-66.pdf</t>
  </si>
  <si>
    <t>GRE-1813-67.pdf</t>
  </si>
  <si>
    <t>GRE-1813-68E.pdf</t>
  </si>
  <si>
    <t>GMR-1813-1.pdf</t>
  </si>
  <si>
    <t>GMR-1813-2.pdf</t>
  </si>
  <si>
    <t>GRE-1813-70.pdf</t>
  </si>
  <si>
    <t>GMR-1813-3.pdf</t>
  </si>
  <si>
    <t>GRE-1813-71.pdf</t>
  </si>
  <si>
    <t>GRE-1813-72.pdf</t>
  </si>
  <si>
    <t>GMR-1813-4.pdf</t>
  </si>
  <si>
    <t>Gazeta de Madrid bajo el Gobierno de la Regencia n.º 5 (extraordinaria)</t>
  </si>
  <si>
    <t>GMR-1813-5E.pdf</t>
  </si>
  <si>
    <t>GRE-1813-73.pdf</t>
  </si>
  <si>
    <t>GMR-1813-6.pdf</t>
  </si>
  <si>
    <t>GRE-1813-74.pdf</t>
  </si>
  <si>
    <t>GRE-1813-75.pdf</t>
  </si>
  <si>
    <t>GMR-1813-7.pdf</t>
  </si>
  <si>
    <t>Gazeta de Madrid bajo el Gobierno de la Regencia n.º 8 (extraordinaria)</t>
  </si>
  <si>
    <t>GMR-1813-8E.pdf</t>
  </si>
  <si>
    <t>GRE-1813-76.pdf</t>
  </si>
  <si>
    <t>Gazeta de Madrid bajo el Gobierno de la Regencia n.º 10 (extraordinaria)</t>
  </si>
  <si>
    <t>GMR-1813-10E.pdf</t>
  </si>
  <si>
    <t>GMR-1813-9.pdf</t>
  </si>
  <si>
    <t>GRE-1813-77.pdf</t>
  </si>
  <si>
    <t>GRE-1813-78.pdf</t>
  </si>
  <si>
    <t>GMR-1813-11.pdf</t>
  </si>
  <si>
    <t>GMR-1813-12E.pdf</t>
  </si>
  <si>
    <t>GRE-1813-79.pdf</t>
  </si>
  <si>
    <t>GMR-1813-13.pdf</t>
  </si>
  <si>
    <t>GRE-1813-80.pdf</t>
  </si>
  <si>
    <t>GRE-1813-81.pdf</t>
  </si>
  <si>
    <t>GMR-1813-14.pdf</t>
  </si>
  <si>
    <t>GRE-1813-82.pdf</t>
  </si>
  <si>
    <t>GRE-1813-83.pdf</t>
  </si>
  <si>
    <t>GMR-1813-15.pdf</t>
  </si>
  <si>
    <t>GRE-1813-84.pdf</t>
  </si>
  <si>
    <t>GRE-1813-85.pdf</t>
  </si>
  <si>
    <t>GMR-1813-16.pdf</t>
  </si>
  <si>
    <t>GRE-1813-86.pdf</t>
  </si>
  <si>
    <t>GRE-1813-87.pdf</t>
  </si>
  <si>
    <t>GMR-1813-17.pdf</t>
  </si>
  <si>
    <t>GRE-1813-88.pdf</t>
  </si>
  <si>
    <t>GRE-1813-89.pdf</t>
  </si>
  <si>
    <t>GMR-1813-18.pdf</t>
  </si>
  <si>
    <t>GRE-1813-90.pdf</t>
  </si>
  <si>
    <t>GRE-1813-91E.pdf</t>
  </si>
  <si>
    <t>GMR-1813-19.pdf</t>
  </si>
  <si>
    <t>GRE-1813-92.pdf</t>
  </si>
  <si>
    <t>GRE-1813-93.pdf</t>
  </si>
  <si>
    <t>GMR-1813-20.pdf</t>
  </si>
  <si>
    <t>GRE-1813-94.pdf</t>
  </si>
  <si>
    <t>GMR-1813-21.pdf</t>
  </si>
  <si>
    <t>GRE-1813-95.pdf</t>
  </si>
  <si>
    <t>GRE-1813-96.pdf</t>
  </si>
  <si>
    <t>GMR-1813-22.pdf</t>
  </si>
  <si>
    <t>GRE-1813-97.pdf</t>
  </si>
  <si>
    <t>GMR-1813-23.pdf</t>
  </si>
  <si>
    <t>GRE-1813-98.pdf</t>
  </si>
  <si>
    <t>GRE-1813-113.pdf</t>
  </si>
  <si>
    <t>GMR-1813-24.pdf</t>
  </si>
  <si>
    <t>GMR-1813-25.pdf</t>
  </si>
  <si>
    <t>GRE-1813-100.pdf</t>
  </si>
  <si>
    <t>GMR-1813-26.pdf</t>
  </si>
  <si>
    <t>GRE-1813-101.pdf</t>
  </si>
  <si>
    <t>GMR-1813-27.pdf</t>
  </si>
  <si>
    <t>GRE-1813-102.pdf</t>
  </si>
  <si>
    <t>GMR-1813-28.pdf</t>
  </si>
  <si>
    <t>GRE-1813-103.pdf</t>
  </si>
  <si>
    <t>GRE-1813-104E.pdf</t>
  </si>
  <si>
    <t>GMR-1813-29.pdf</t>
  </si>
  <si>
    <t>GRE-1813-105.pdf</t>
  </si>
  <si>
    <t>GMR-1813-30.pdf</t>
  </si>
  <si>
    <t>GRE-1813-106.pdf</t>
  </si>
  <si>
    <t>GMR-1813-31.pdf</t>
  </si>
  <si>
    <t>GRE-1813-107.pdf</t>
  </si>
  <si>
    <t>GMR-1813-32.pdf</t>
  </si>
  <si>
    <t>GRE-1813-108.pdf</t>
  </si>
  <si>
    <t>GMR-1813-33.pdf</t>
  </si>
  <si>
    <t>GRE-1813-109.pdf</t>
  </si>
  <si>
    <t>GMR-1813-34.pdf</t>
  </si>
  <si>
    <t>GRE-1813-110.pdf</t>
  </si>
  <si>
    <t>GMR-1813-35.pdf</t>
  </si>
  <si>
    <t>GRE-1813-111.pdf</t>
  </si>
  <si>
    <t>GMR-1813-36.pdf</t>
  </si>
  <si>
    <t>GRE-1813-112.pdf</t>
  </si>
  <si>
    <t>GMR-1813-37.pdf</t>
  </si>
  <si>
    <t>GMR-1813-38.pdf</t>
  </si>
  <si>
    <t>GMR-1813-39E.pdf</t>
  </si>
  <si>
    <t>GRE-1813-114.pdf</t>
  </si>
  <si>
    <t>GMR-1813-40.pdf</t>
  </si>
  <si>
    <t>GRE-1813-115.pdf</t>
  </si>
  <si>
    <t>GMR-1813-41.pdf</t>
  </si>
  <si>
    <t>GRE-1813-116.pdf</t>
  </si>
  <si>
    <t>GRE-1813-117E.pdf</t>
  </si>
  <si>
    <t>GRE-1813-118E.pdf</t>
  </si>
  <si>
    <t>GMR-1813-42.pdf</t>
  </si>
  <si>
    <t>GRE-1813-119.pdf</t>
  </si>
  <si>
    <t>GMR-1813-43.pdf</t>
  </si>
  <si>
    <t>Gazeta de Madrid bajo el Gobierno de la Regencia n.º 44 (extraordinaria)</t>
  </si>
  <si>
    <t>GMR-1813-44E.pdf</t>
  </si>
  <si>
    <t>GRE-1813-120.pdf</t>
  </si>
  <si>
    <t>GMR-1813-45.pdf</t>
  </si>
  <si>
    <t>GRE-1813-121.pdf</t>
  </si>
  <si>
    <t>GRE-1813-123E.pdf</t>
  </si>
  <si>
    <t>GMR-1813-46.pdf</t>
  </si>
  <si>
    <t>GRE-1813-122.pdf</t>
  </si>
  <si>
    <t>GRE-1813-124E.pdf</t>
  </si>
  <si>
    <t>GMR-1813-47.pdf</t>
  </si>
  <si>
    <t>GRE-1813-125.pdf</t>
  </si>
  <si>
    <t>GMR-1813-48.pdf</t>
  </si>
  <si>
    <t>GRE-1813-126.pdf</t>
  </si>
  <si>
    <t>GMR-1813-49E.pdf</t>
  </si>
  <si>
    <t>GMR-1813-50.pdf</t>
  </si>
  <si>
    <t>GRE-1813-127.pdf</t>
  </si>
  <si>
    <t>GMR-1813-51.pdf</t>
  </si>
  <si>
    <t>GRE-1813-128.pdf</t>
  </si>
  <si>
    <t>GMR-1813-52.pdf</t>
  </si>
  <si>
    <t>GRE-1813-129.pdf</t>
  </si>
  <si>
    <t>GMR-1813-53E.pdf</t>
  </si>
  <si>
    <t>GMR-1813-54.pdf</t>
  </si>
  <si>
    <t>GRE-1813-130.pdf</t>
  </si>
  <si>
    <t>GMR-1813-55.pdf</t>
  </si>
  <si>
    <t>GRE-1813-131.pdf</t>
  </si>
  <si>
    <t>GMR-1813-56.pdf</t>
  </si>
  <si>
    <t>GRE-1813-132.pdf</t>
  </si>
  <si>
    <t>GMR-1813-57.pdf</t>
  </si>
  <si>
    <t>GMR-1813-58E.pdf</t>
  </si>
  <si>
    <t>GRE-1813-133.pdf</t>
  </si>
  <si>
    <t>GMR-1813-59.pdf</t>
  </si>
  <si>
    <t>GRE-1813-134.pdf</t>
  </si>
  <si>
    <t>GMR-1813-60.pdf</t>
  </si>
  <si>
    <t>GRE-1813-135.pdf</t>
  </si>
  <si>
    <t>GMR-1813-61.pdf</t>
  </si>
  <si>
    <t>GRE-1813-136.pdf</t>
  </si>
  <si>
    <t>GMR-1813-62.pdf</t>
  </si>
  <si>
    <t>GRE-1813-137.pdf</t>
  </si>
  <si>
    <t>GMR-1813-63.pdf</t>
  </si>
  <si>
    <t>GRE-1813-138.pdf</t>
  </si>
  <si>
    <t>GRE-1813-139E.pdf</t>
  </si>
  <si>
    <t>GMR-1813-64.pdf</t>
  </si>
  <si>
    <t>GRE-1813-140.pdf</t>
  </si>
  <si>
    <t>GMR-1813-65.pdf</t>
  </si>
  <si>
    <t>GRE-1813-141.pdf</t>
  </si>
  <si>
    <t>GMR-1813-66.pdf</t>
  </si>
  <si>
    <t>GRE-1813-142.pdf</t>
  </si>
  <si>
    <t>GMR-1813-67.pdf</t>
  </si>
  <si>
    <t>GRE-1813-143.pdf</t>
  </si>
  <si>
    <t>GMR-1813-68.pdf</t>
  </si>
  <si>
    <t>Gazeta de Madrid bajo el Gobierno de la Regencia n.º 69 (extraordinaria)</t>
  </si>
  <si>
    <t>GMR-1813-69E.pdf</t>
  </si>
  <si>
    <t>GRE-1813-144.pdf</t>
  </si>
  <si>
    <t>GMR-1813-70.pdf</t>
  </si>
  <si>
    <t>GRE-1813-145.pdf</t>
  </si>
  <si>
    <t>GMR-1813-71.pdf</t>
  </si>
  <si>
    <t>GRE-1813-146.pdf</t>
  </si>
  <si>
    <t>GMR-1813-72.pdf</t>
  </si>
  <si>
    <t>GRE-1813-147.pdf</t>
  </si>
  <si>
    <t>GRE-1813-148E.pdf</t>
  </si>
  <si>
    <t>GMR-1813-73.pdf</t>
  </si>
  <si>
    <t>GRE-1813-149.pdf</t>
  </si>
  <si>
    <t>GMR-1813-74.pdf</t>
  </si>
  <si>
    <t>GMR-1813-75E.pdf</t>
  </si>
  <si>
    <t>GRE-1813-150.pdf</t>
  </si>
  <si>
    <t>GMR-1813-76.pdf</t>
  </si>
  <si>
    <t>GRE-1813-151.pdf</t>
  </si>
  <si>
    <t>GMR-1813-77.pdf</t>
  </si>
  <si>
    <t>GRE-1813-152.pdf</t>
  </si>
  <si>
    <t>GMR-1813-78.pdf</t>
  </si>
  <si>
    <t>GRE-1813-153.pdf</t>
  </si>
  <si>
    <t>GMR-1813-79.pdf</t>
  </si>
  <si>
    <t>GRE-1813-154.pdf</t>
  </si>
  <si>
    <t>GRE-1813-155E.pdf</t>
  </si>
  <si>
    <t>GRE-1813-156E.pdf</t>
  </si>
  <si>
    <t>GMR-1813-80.pdf</t>
  </si>
  <si>
    <t>GRE-1813-157.pdf</t>
  </si>
  <si>
    <t>GMR-1813-81.pdf</t>
  </si>
  <si>
    <t>GRE-1813-158.pdf</t>
  </si>
  <si>
    <t>GMR-1813-82.pdf</t>
  </si>
  <si>
    <t>GRE-1813-159.pdf</t>
  </si>
  <si>
    <t>GMR-1813-83.pdf</t>
  </si>
  <si>
    <t>GRE-1813-160.pdf</t>
  </si>
  <si>
    <t>GMR-1813-84.pdf</t>
  </si>
  <si>
    <t>GRE-1813-161.pdf</t>
  </si>
  <si>
    <t>GMR-1813-85.pdf</t>
  </si>
  <si>
    <t>GRE-1813-162.pdf</t>
  </si>
  <si>
    <t>GMR-1813-86.pdf</t>
  </si>
  <si>
    <t>GRE-1813-163.pdf</t>
  </si>
  <si>
    <t>GMR-1813-87.pdf</t>
  </si>
  <si>
    <t>GRE-1813-164.pdf</t>
  </si>
  <si>
    <t>GMR-1813-88.pdf</t>
  </si>
  <si>
    <t>GRE-1813-165.pdf</t>
  </si>
  <si>
    <t>GMR-1813-89.pdf</t>
  </si>
  <si>
    <t>GRE-1813-166.pdf</t>
  </si>
  <si>
    <t>GMR-1813-90.pdf</t>
  </si>
  <si>
    <t>GRE-1813-167.pdf</t>
  </si>
  <si>
    <t>GMR-1813-91.pdf</t>
  </si>
  <si>
    <t>GRE-1813-168.pdf</t>
  </si>
  <si>
    <t>GMR-1813-92.pdf</t>
  </si>
  <si>
    <t>GRE-1813-169.pdf</t>
  </si>
  <si>
    <t>GMR-1813-93.pdf</t>
  </si>
  <si>
    <t>GRE-1813-170.pdf</t>
  </si>
  <si>
    <t>GMR-1813-94.pdf</t>
  </si>
  <si>
    <t>GRE-1813-171.pdf</t>
  </si>
  <si>
    <t>Criterios, alcance y limitaciones</t>
  </si>
  <si>
    <t>Cobertura</t>
  </si>
  <si>
    <t>Todos los archivos localizados en la hemeroteca oficial para las fechas comprendidas entre el 1 de enero y el 31 de diciembre de 1813, incluidas las ediciones extraordinarias.</t>
  </si>
  <si>
    <t>Cabeceras</t>
  </si>
  <si>
    <t>Gaceta de Madrid (147 archivos); Gazeta de la Regencia de las Españas (176 archivos); Gazeta de Madrid bajo el Gobierno de la Regencia (94 archivos).</t>
  </si>
  <si>
    <t>Numeración</t>
  </si>
  <si>
    <t>Los reinicios de numeración y las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</si>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</sst>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13" displayName="IndiceOnomasticoAnual1813" ref="A6:K8462" totalsRowShown="0">
  <autoFilter ref="A6:K8462"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13" displayName="FuentesGacetaAnual1813" ref="A4:F421" totalsRowShown="0">
  <autoFilter ref="A4:F421"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15</v>
      </c>
      <c r="C7" s="2" t="s">
        <v>16</v>
      </c>
      <c r="D7" s="2" t="s">
        <v>17</v>
      </c>
      <c r="E7" s="5">
        <v>-31434</v>
      </c>
      <c r="F7" s="3" t="s">
        <v>18</v>
      </c>
      <c r="G7" s="3" t="s">
        <v>19</v>
      </c>
      <c r="H7" s="2" t="s">
        <v>20</v>
      </c>
      <c r="I7" s="2" t="s">
        <v>21</v>
      </c>
      <c r="J7" s="3" t="str">
        <f>HYPERLINK("https://www.boe.es/gazeta/dias/1813/12/07/pdfs/GRE-1813-161.pdf#page=4","Abrir facsímil")</f>
        <v>Abrir facsímil</v>
      </c>
      <c r="K7" s="3" t="s">
        <v>22</v>
      </c>
    </row>
    <row r="8" spans="1:11" ht="42" customHeight="1">
      <c r="A8" s="2" t="s">
        <v>23</v>
      </c>
      <c r="B8" s="2" t="s">
        <v>24</v>
      </c>
      <c r="C8" s="2" t="s">
        <v>25</v>
      </c>
      <c r="D8" s="2" t="s">
        <v>26</v>
      </c>
      <c r="E8" s="5">
        <v>-31675</v>
      </c>
      <c r="F8" s="3" t="s">
        <v>27</v>
      </c>
      <c r="G8" s="3" t="s">
        <v>28</v>
      </c>
      <c r="H8" s="2" t="s">
        <v>29</v>
      </c>
      <c r="I8" s="2" t="s">
        <v>30</v>
      </c>
      <c r="J8" s="3" t="str">
        <f>HYPERLINK("https://www.boe.es/gazeta/dias/1813/04/10/pdfs/GRE-1813-44.pdf#page=8","Abrir facsímil")</f>
        <v>Abrir facsímil</v>
      </c>
      <c r="K8" s="3" t="s">
        <v>31</v>
      </c>
    </row>
    <row r="9" spans="1:11" ht="42" customHeight="1">
      <c r="A9" s="2" t="s">
        <v>32</v>
      </c>
      <c r="B9" s="2" t="s">
        <v>33</v>
      </c>
      <c r="C9" s="2" t="s">
        <v>34</v>
      </c>
      <c r="D9" s="2" t="s">
        <v>35</v>
      </c>
      <c r="E9" s="5">
        <v>-31709</v>
      </c>
      <c r="F9" s="3" t="s">
        <v>36</v>
      </c>
      <c r="G9" s="3" t="s">
        <v>19</v>
      </c>
      <c r="H9" s="2" t="s">
        <v>29</v>
      </c>
      <c r="I9" s="2" t="s">
        <v>37</v>
      </c>
      <c r="J9" s="3" t="str">
        <f>HYPERLINK("https://www.boe.es/gazeta/dias/1813/03/07/pdfs/GMD-1813-66.pdf#page=4","Abrir facsímil")</f>
        <v>Abrir facsímil</v>
      </c>
      <c r="K9" s="3" t="s">
        <v>31</v>
      </c>
    </row>
    <row r="10" spans="1:11" ht="42" customHeight="1">
      <c r="A10" s="2" t="s">
        <v>38</v>
      </c>
      <c r="B10" s="2" t="s">
        <v>39</v>
      </c>
      <c r="C10" s="2" t="s">
        <v>25</v>
      </c>
      <c r="D10" s="2" t="s">
        <v>26</v>
      </c>
      <c r="E10" s="5">
        <v>-31481</v>
      </c>
      <c r="F10" s="3" t="s">
        <v>40</v>
      </c>
      <c r="G10" s="3" t="s">
        <v>28</v>
      </c>
      <c r="H10" s="2" t="s">
        <v>29</v>
      </c>
      <c r="I10" s="2" t="s">
        <v>41</v>
      </c>
      <c r="J10" s="3" t="str">
        <f>HYPERLINK("https://www.boe.es/gazeta/dias/1813/10/21/pdfs/GMR-1813-62.pdf#page=8","Abrir facsímil")</f>
        <v>Abrir facsímil</v>
      </c>
      <c r="K10" s="3" t="s">
        <v>31</v>
      </c>
    </row>
    <row r="11" spans="1:11" ht="42" customHeight="1">
      <c r="A11" s="2" t="s">
        <v>42</v>
      </c>
      <c r="B11" s="2" t="s">
        <v>43</v>
      </c>
      <c r="C11" s="2" t="s">
        <v>16</v>
      </c>
      <c r="D11" s="2" t="s">
        <v>17</v>
      </c>
      <c r="E11" s="5">
        <v>-31544</v>
      </c>
      <c r="F11" s="3" t="s">
        <v>44</v>
      </c>
      <c r="G11" s="3" t="s">
        <v>28</v>
      </c>
      <c r="H11" s="2" t="s">
        <v>29</v>
      </c>
      <c r="I11" s="2" t="s">
        <v>45</v>
      </c>
      <c r="J11" s="3" t="str">
        <f>HYPERLINK("https://www.boe.es/gazeta/dias/1813/08/19/pdfs/GMR-1813-30.pdf#page=8","Abrir facsímil")</f>
        <v>Abrir facsímil</v>
      </c>
      <c r="K11" s="3" t="s">
        <v>31</v>
      </c>
    </row>
    <row r="12" spans="1:11" ht="42" customHeight="1">
      <c r="A12" s="2" t="s">
        <v>46</v>
      </c>
      <c r="B12" s="2" t="s">
        <v>47</v>
      </c>
      <c r="C12" s="2" t="s">
        <v>25</v>
      </c>
      <c r="D12" s="2" t="s">
        <v>26</v>
      </c>
      <c r="E12" s="5">
        <v>-31689</v>
      </c>
      <c r="F12" s="3" t="s">
        <v>48</v>
      </c>
      <c r="G12" s="3" t="s">
        <v>49</v>
      </c>
      <c r="H12" s="2" t="s">
        <v>29</v>
      </c>
      <c r="I12" s="2" t="s">
        <v>50</v>
      </c>
      <c r="J12" s="3" t="str">
        <f>HYPERLINK("https://www.boe.es/gazeta/dias/1813/03/27/pdfs/GRE-1813-38.pdf#page=7","Abrir facsímil")</f>
        <v>Abrir facsímil</v>
      </c>
      <c r="K12" s="3" t="s">
        <v>31</v>
      </c>
    </row>
    <row r="13" spans="1:11" ht="42" customHeight="1">
      <c r="A13" s="2" t="s">
        <v>51</v>
      </c>
      <c r="B13" s="2" t="s">
        <v>52</v>
      </c>
      <c r="C13" s="2" t="s">
        <v>34</v>
      </c>
      <c r="D13" s="2" t="s">
        <v>35</v>
      </c>
      <c r="E13" s="5">
        <v>-31668</v>
      </c>
      <c r="F13" s="3" t="s">
        <v>53</v>
      </c>
      <c r="G13" s="3" t="s">
        <v>54</v>
      </c>
      <c r="H13" s="2" t="s">
        <v>29</v>
      </c>
      <c r="I13" s="2" t="s">
        <v>55</v>
      </c>
      <c r="J13" s="3" t="str">
        <f>HYPERLINK("https://www.boe.es/gazeta/dias/1813/04/17/pdfs/GMD-1813-107.pdf#page=3","Abrir facsímil")</f>
        <v>Abrir facsímil</v>
      </c>
      <c r="K13" s="3" t="s">
        <v>31</v>
      </c>
    </row>
    <row r="14" spans="1:11" ht="42" customHeight="1">
      <c r="A14" s="2" t="s">
        <v>56</v>
      </c>
      <c r="B14" s="2" t="s">
        <v>56</v>
      </c>
      <c r="C14" s="2" t="s">
        <v>16</v>
      </c>
      <c r="D14" s="2" t="s">
        <v>17</v>
      </c>
      <c r="E14" s="5">
        <v>-31448</v>
      </c>
      <c r="F14" s="3" t="s">
        <v>57</v>
      </c>
      <c r="G14" s="3" t="s">
        <v>58</v>
      </c>
      <c r="H14" s="2" t="s">
        <v>20</v>
      </c>
      <c r="I14" s="2" t="s">
        <v>59</v>
      </c>
      <c r="J14" s="3" t="str">
        <f>HYPERLINK("https://www.boe.es/gazeta/dias/1813/11/23/pdfs/GRE-1813-153.pdf#page=2","Abrir facsímil")</f>
        <v>Abrir facsímil</v>
      </c>
      <c r="K14" s="3" t="s">
        <v>22</v>
      </c>
    </row>
    <row r="15" spans="1:11" ht="42" customHeight="1">
      <c r="A15" s="2" t="s">
        <v>60</v>
      </c>
      <c r="B15" s="2" t="s">
        <v>60</v>
      </c>
      <c r="C15" s="2" t="s">
        <v>16</v>
      </c>
      <c r="D15" s="2" t="s">
        <v>17</v>
      </c>
      <c r="E15" s="5">
        <v>-31507</v>
      </c>
      <c r="F15" s="3" t="s">
        <v>61</v>
      </c>
      <c r="G15" s="3" t="s">
        <v>28</v>
      </c>
      <c r="H15" s="2" t="s">
        <v>20</v>
      </c>
      <c r="I15" s="2" t="s">
        <v>62</v>
      </c>
      <c r="J15" s="3" t="str">
        <f>HYPERLINK("https://www.boe.es/gazeta/dias/1813/09/25/pdfs/GMR-1813-48.pdf#page=8","Abrir facsímil")</f>
        <v>Abrir facsímil</v>
      </c>
      <c r="K15" s="3" t="s">
        <v>22</v>
      </c>
    </row>
    <row r="16" spans="1:11" ht="42" customHeight="1">
      <c r="A16" s="2" t="s">
        <v>63</v>
      </c>
      <c r="B16" s="2" t="s">
        <v>63</v>
      </c>
      <c r="C16" s="2" t="s">
        <v>16</v>
      </c>
      <c r="D16" s="2" t="s">
        <v>17</v>
      </c>
      <c r="E16" s="5">
        <v>-31626</v>
      </c>
      <c r="F16" s="3" t="s">
        <v>64</v>
      </c>
      <c r="G16" s="3" t="s">
        <v>65</v>
      </c>
      <c r="H16" s="2" t="s">
        <v>20</v>
      </c>
      <c r="I16" s="2" t="s">
        <v>66</v>
      </c>
      <c r="J16" s="3" t="str">
        <f>HYPERLINK("https://www.boe.es/gazeta/dias/1813/05/29/pdfs/GRE-1813-66.pdf#page=1","Abrir facsímil")</f>
        <v>Abrir facsímil</v>
      </c>
      <c r="K16" s="3" t="s">
        <v>22</v>
      </c>
    </row>
    <row r="17" spans="1:11" ht="42" customHeight="1">
      <c r="A17" s="2" t="s">
        <v>67</v>
      </c>
      <c r="B17" s="2" t="s">
        <v>68</v>
      </c>
      <c r="C17" s="2" t="s">
        <v>69</v>
      </c>
      <c r="D17" s="2" t="s">
        <v>26</v>
      </c>
      <c r="E17" s="5">
        <v>-31595</v>
      </c>
      <c r="F17" s="3" t="s">
        <v>70</v>
      </c>
      <c r="G17" s="3" t="s">
        <v>71</v>
      </c>
      <c r="H17" s="2" t="s">
        <v>20</v>
      </c>
      <c r="I17" s="2" t="s">
        <v>72</v>
      </c>
      <c r="J17" s="3" t="str">
        <f>HYPERLINK("https://www.boe.es/gazeta/dias/1813/06/29/pdfs/GMR-1813-13.pdf#page=16","Abrir facsímil")</f>
        <v>Abrir facsímil</v>
      </c>
      <c r="K17" s="3" t="s">
        <v>22</v>
      </c>
    </row>
    <row r="18" spans="1:11" ht="42" customHeight="1">
      <c r="A18" s="2" t="s">
        <v>73</v>
      </c>
      <c r="B18" s="2" t="s">
        <v>74</v>
      </c>
      <c r="C18" s="2" t="s">
        <v>25</v>
      </c>
      <c r="D18" s="2" t="s">
        <v>26</v>
      </c>
      <c r="E18" s="5">
        <v>-31689</v>
      </c>
      <c r="F18" s="3" t="s">
        <v>48</v>
      </c>
      <c r="G18" s="3" t="s">
        <v>49</v>
      </c>
      <c r="H18" s="2" t="s">
        <v>20</v>
      </c>
      <c r="I18" s="2" t="s">
        <v>75</v>
      </c>
      <c r="J18" s="3" t="str">
        <f>HYPERLINK("https://www.boe.es/gazeta/dias/1813/03/27/pdfs/GRE-1813-38.pdf#page=7","Abrir facsímil")</f>
        <v>Abrir facsímil</v>
      </c>
      <c r="K18" s="3" t="s">
        <v>22</v>
      </c>
    </row>
    <row r="19" spans="1:11" ht="42" customHeight="1">
      <c r="A19" s="2" t="s">
        <v>73</v>
      </c>
      <c r="B19" s="2" t="s">
        <v>74</v>
      </c>
      <c r="C19" s="2" t="s">
        <v>25</v>
      </c>
      <c r="D19" s="2" t="s">
        <v>26</v>
      </c>
      <c r="E19" s="5">
        <v>-31677</v>
      </c>
      <c r="F19" s="3" t="s">
        <v>76</v>
      </c>
      <c r="G19" s="3" t="s">
        <v>77</v>
      </c>
      <c r="H19" s="2" t="s">
        <v>20</v>
      </c>
      <c r="I19" s="2" t="s">
        <v>78</v>
      </c>
      <c r="J19" s="3" t="str">
        <f>HYPERLINK("https://www.boe.es/gazeta/dias/1813/04/08/pdfs/GRE-1813-43.pdf#page=7","Abrir facsímil")</f>
        <v>Abrir facsímil</v>
      </c>
      <c r="K19" s="3" t="s">
        <v>22</v>
      </c>
    </row>
    <row r="20" spans="1:11" ht="42" customHeight="1">
      <c r="A20" s="2" t="s">
        <v>79</v>
      </c>
      <c r="B20" s="2" t="s">
        <v>80</v>
      </c>
      <c r="C20" s="2" t="s">
        <v>16</v>
      </c>
      <c r="D20" s="2" t="s">
        <v>17</v>
      </c>
      <c r="E20" s="5">
        <v>-31523</v>
      </c>
      <c r="F20" s="3" t="s">
        <v>81</v>
      </c>
      <c r="G20" s="3" t="s">
        <v>82</v>
      </c>
      <c r="H20" s="2" t="s">
        <v>20</v>
      </c>
      <c r="I20" s="2" t="s">
        <v>83</v>
      </c>
      <c r="J20" s="3" t="str">
        <f>HYPERLINK("https://www.boe.es/gazeta/dias/1813/09/09/pdfs/GRE-1813-115.pdf#page=5","Abrir facsímil")</f>
        <v>Abrir facsímil</v>
      </c>
      <c r="K20" s="3" t="s">
        <v>22</v>
      </c>
    </row>
    <row r="21" spans="1:11" ht="42" customHeight="1">
      <c r="A21" s="2" t="s">
        <v>84</v>
      </c>
      <c r="B21" s="2" t="s">
        <v>85</v>
      </c>
      <c r="C21" s="2" t="s">
        <v>16</v>
      </c>
      <c r="D21" s="2" t="s">
        <v>17</v>
      </c>
      <c r="E21" s="5">
        <v>-31747</v>
      </c>
      <c r="F21" s="3" t="s">
        <v>86</v>
      </c>
      <c r="G21" s="3" t="s">
        <v>87</v>
      </c>
      <c r="H21" s="2" t="s">
        <v>20</v>
      </c>
      <c r="I21" s="2" t="s">
        <v>88</v>
      </c>
      <c r="J21" s="3" t="str">
        <f>HYPERLINK("https://www.boe.es/gazeta/dias/1813/01/28/pdfs/GRE-1813-12.pdf#page=7","Abrir facsímil")</f>
        <v>Abrir facsímil</v>
      </c>
      <c r="K21" s="3" t="s">
        <v>22</v>
      </c>
    </row>
    <row r="22" spans="1:11" ht="42" customHeight="1">
      <c r="A22" s="2" t="s">
        <v>89</v>
      </c>
      <c r="B22" s="2" t="s">
        <v>89</v>
      </c>
      <c r="C22" s="2" t="s">
        <v>16</v>
      </c>
      <c r="D22" s="2" t="s">
        <v>17</v>
      </c>
      <c r="E22" s="5">
        <v>-31711</v>
      </c>
      <c r="F22" s="3" t="s">
        <v>90</v>
      </c>
      <c r="G22" s="3" t="s">
        <v>54</v>
      </c>
      <c r="H22" s="2" t="s">
        <v>20</v>
      </c>
      <c r="I22" s="2" t="s">
        <v>91</v>
      </c>
      <c r="J22" s="3" t="str">
        <f>HYPERLINK("https://www.boe.es/gazeta/dias/1813/03/05/pdfs/GMD-1813-64.pdf#page=3","Abrir facsímil")</f>
        <v>Abrir facsímil</v>
      </c>
      <c r="K22" s="3" t="s">
        <v>22</v>
      </c>
    </row>
    <row r="23" spans="1:11" ht="42" customHeight="1">
      <c r="A23" s="2" t="s">
        <v>89</v>
      </c>
      <c r="B23" s="2" t="s">
        <v>89</v>
      </c>
      <c r="C23" s="2" t="s">
        <v>16</v>
      </c>
      <c r="D23" s="2" t="s">
        <v>17</v>
      </c>
      <c r="E23" s="5">
        <v>-31670</v>
      </c>
      <c r="F23" s="3" t="s">
        <v>92</v>
      </c>
      <c r="G23" s="3" t="s">
        <v>93</v>
      </c>
      <c r="H23" s="2" t="s">
        <v>20</v>
      </c>
      <c r="I23" s="2" t="s">
        <v>94</v>
      </c>
      <c r="J23" s="3" t="str">
        <f>HYPERLINK("https://www.boe.es/gazeta/dias/1813/04/15/pdfs/GRE-1813-46.pdf#page=5","Abrir facsímil")</f>
        <v>Abrir facsímil</v>
      </c>
      <c r="K23" s="3" t="s">
        <v>22</v>
      </c>
    </row>
    <row r="24" spans="1:11" ht="42" customHeight="1">
      <c r="A24" s="2" t="s">
        <v>89</v>
      </c>
      <c r="B24" s="2" t="s">
        <v>89</v>
      </c>
      <c r="C24" s="2" t="s">
        <v>16</v>
      </c>
      <c r="D24" s="2" t="s">
        <v>17</v>
      </c>
      <c r="E24" s="5">
        <v>-31670</v>
      </c>
      <c r="F24" s="3" t="s">
        <v>92</v>
      </c>
      <c r="G24" s="3" t="s">
        <v>95</v>
      </c>
      <c r="H24" s="2" t="s">
        <v>20</v>
      </c>
      <c r="I24" s="2" t="s">
        <v>96</v>
      </c>
      <c r="J24" s="3" t="str">
        <f>HYPERLINK("https://www.boe.es/gazeta/dias/1813/04/15/pdfs/GRE-1813-46.pdf#page=6","Abrir facsímil")</f>
        <v>Abrir facsímil</v>
      </c>
      <c r="K24" s="3" t="s">
        <v>22</v>
      </c>
    </row>
    <row r="25" spans="1:11" ht="42" customHeight="1">
      <c r="A25" s="2" t="s">
        <v>89</v>
      </c>
      <c r="B25" s="2" t="s">
        <v>89</v>
      </c>
      <c r="C25" s="2" t="s">
        <v>16</v>
      </c>
      <c r="D25" s="2" t="s">
        <v>97</v>
      </c>
      <c r="E25" s="5">
        <v>-31670</v>
      </c>
      <c r="F25" s="3" t="s">
        <v>98</v>
      </c>
      <c r="G25" s="3" t="s">
        <v>99</v>
      </c>
      <c r="H25" s="2" t="s">
        <v>20</v>
      </c>
      <c r="I25" s="2" t="s">
        <v>100</v>
      </c>
      <c r="J25" s="3" t="str">
        <f>HYPERLINK("https://www.boe.es/gazeta/dias/1813/04/15/pdfs/GRE-1813-47E.pdf#page=2","Abrir facsímil")</f>
        <v>Abrir facsímil</v>
      </c>
      <c r="K25" s="3" t="s">
        <v>22</v>
      </c>
    </row>
    <row r="26" spans="1:11" ht="42" customHeight="1">
      <c r="A26" s="2" t="s">
        <v>89</v>
      </c>
      <c r="B26" s="2" t="s">
        <v>89</v>
      </c>
      <c r="C26" s="2" t="s">
        <v>16</v>
      </c>
      <c r="D26" s="2" t="s">
        <v>97</v>
      </c>
      <c r="E26" s="5">
        <v>-31670</v>
      </c>
      <c r="F26" s="3" t="s">
        <v>98</v>
      </c>
      <c r="G26" s="3" t="s">
        <v>101</v>
      </c>
      <c r="H26" s="2" t="s">
        <v>20</v>
      </c>
      <c r="I26" s="2" t="s">
        <v>102</v>
      </c>
      <c r="J26" s="3" t="str">
        <f>HYPERLINK("https://www.boe.es/gazeta/dias/1813/04/15/pdfs/GRE-1813-47E.pdf#page=4","Abrir facsímil")</f>
        <v>Abrir facsímil</v>
      </c>
      <c r="K26" s="3" t="s">
        <v>22</v>
      </c>
    </row>
    <row r="27" spans="1:11" ht="42" customHeight="1">
      <c r="A27" s="2" t="s">
        <v>89</v>
      </c>
      <c r="B27" s="2" t="s">
        <v>89</v>
      </c>
      <c r="C27" s="2" t="s">
        <v>16</v>
      </c>
      <c r="D27" s="2" t="s">
        <v>17</v>
      </c>
      <c r="E27" s="5">
        <v>-31446</v>
      </c>
      <c r="F27" s="3" t="s">
        <v>103</v>
      </c>
      <c r="G27" s="3" t="s">
        <v>95</v>
      </c>
      <c r="H27" s="2" t="s">
        <v>20</v>
      </c>
      <c r="I27" s="2" t="s">
        <v>104</v>
      </c>
      <c r="J27" s="3" t="str">
        <f>HYPERLINK("https://www.boe.es/gazeta/dias/1813/11/25/pdfs/GMR-1813-79.pdf#page=6","Abrir facsímil")</f>
        <v>Abrir facsímil</v>
      </c>
      <c r="K27" s="3" t="s">
        <v>22</v>
      </c>
    </row>
    <row r="28" spans="1:11" ht="42" customHeight="1">
      <c r="A28" s="2" t="s">
        <v>105</v>
      </c>
      <c r="B28" s="2" t="s">
        <v>105</v>
      </c>
      <c r="C28" s="2" t="s">
        <v>16</v>
      </c>
      <c r="D28" s="2" t="s">
        <v>17</v>
      </c>
      <c r="E28" s="5">
        <v>-31448</v>
      </c>
      <c r="F28" s="3" t="s">
        <v>57</v>
      </c>
      <c r="G28" s="3" t="s">
        <v>106</v>
      </c>
      <c r="H28" s="2" t="s">
        <v>20</v>
      </c>
      <c r="I28" s="2" t="s">
        <v>107</v>
      </c>
      <c r="J28" s="3" t="str">
        <f>HYPERLINK("https://www.boe.es/gazeta/dias/1813/11/23/pdfs/GRE-1813-153.pdf#page=1","Abrir facsímil")</f>
        <v>Abrir facsímil</v>
      </c>
      <c r="K28" s="3" t="s">
        <v>22</v>
      </c>
    </row>
    <row r="29" spans="1:11" ht="42" customHeight="1">
      <c r="A29" s="2" t="s">
        <v>108</v>
      </c>
      <c r="B29" s="2" t="s">
        <v>108</v>
      </c>
      <c r="C29" s="2" t="s">
        <v>109</v>
      </c>
      <c r="D29" s="2" t="s">
        <v>26</v>
      </c>
      <c r="E29" s="5">
        <v>-31416</v>
      </c>
      <c r="F29" s="3" t="s">
        <v>110</v>
      </c>
      <c r="G29" s="3" t="s">
        <v>54</v>
      </c>
      <c r="H29" s="2" t="s">
        <v>20</v>
      </c>
      <c r="I29" s="2" t="s">
        <v>111</v>
      </c>
      <c r="J29" s="3" t="str">
        <f>HYPERLINK("https://www.boe.es/gazeta/dias/1813/12/25/pdfs/GRE-1813-169.pdf#page=3","Abrir facsímil")</f>
        <v>Abrir facsímil</v>
      </c>
      <c r="K29" s="3" t="s">
        <v>22</v>
      </c>
    </row>
    <row r="30" spans="1:11" ht="42" customHeight="1">
      <c r="A30" s="2" t="s">
        <v>112</v>
      </c>
      <c r="B30" s="2" t="s">
        <v>113</v>
      </c>
      <c r="C30" s="2" t="s">
        <v>16</v>
      </c>
      <c r="D30" s="2" t="s">
        <v>17</v>
      </c>
      <c r="E30" s="5">
        <v>-31584</v>
      </c>
      <c r="F30" s="3" t="s">
        <v>114</v>
      </c>
      <c r="G30" s="3" t="s">
        <v>82</v>
      </c>
      <c r="H30" s="2" t="s">
        <v>20</v>
      </c>
      <c r="I30" s="2" t="s">
        <v>115</v>
      </c>
      <c r="J30" s="3" t="str">
        <f>HYPERLINK("https://www.boe.es/gazeta/dias/1813/07/10/pdfs/GRE-1813-86.pdf#page=5","Abrir facsímil")</f>
        <v>Abrir facsímil</v>
      </c>
      <c r="K30" s="3" t="s">
        <v>22</v>
      </c>
    </row>
    <row r="31" spans="1:11" ht="42" customHeight="1">
      <c r="A31" s="2" t="s">
        <v>116</v>
      </c>
      <c r="B31" s="2" t="s">
        <v>117</v>
      </c>
      <c r="C31" s="2" t="s">
        <v>34</v>
      </c>
      <c r="D31" s="2" t="s">
        <v>35</v>
      </c>
      <c r="E31" s="5">
        <v>-31556</v>
      </c>
      <c r="F31" s="3" t="s">
        <v>118</v>
      </c>
      <c r="G31" s="3" t="s">
        <v>28</v>
      </c>
      <c r="H31" s="2" t="s">
        <v>20</v>
      </c>
      <c r="I31" s="2" t="s">
        <v>119</v>
      </c>
      <c r="J31" s="3" t="str">
        <f>HYPERLINK("https://www.boe.es/gazeta/dias/1813/08/07/pdfs/GMR-1813-25.pdf#page=8","Abrir facsímil")</f>
        <v>Abrir facsímil</v>
      </c>
      <c r="K31" s="3" t="s">
        <v>22</v>
      </c>
    </row>
    <row r="32" spans="1:11" ht="42" customHeight="1">
      <c r="A32" s="2" t="s">
        <v>116</v>
      </c>
      <c r="B32" s="2" t="s">
        <v>117</v>
      </c>
      <c r="C32" s="2" t="s">
        <v>25</v>
      </c>
      <c r="D32" s="2" t="s">
        <v>26</v>
      </c>
      <c r="E32" s="5">
        <v>-31467</v>
      </c>
      <c r="F32" s="3" t="s">
        <v>120</v>
      </c>
      <c r="G32" s="3" t="s">
        <v>58</v>
      </c>
      <c r="H32" s="2" t="s">
        <v>20</v>
      </c>
      <c r="I32" s="2" t="s">
        <v>121</v>
      </c>
      <c r="J32" s="3" t="str">
        <f>HYPERLINK("https://www.boe.es/gazeta/dias/1813/11/04/pdfs/GMR-1813-68.pdf#page=2","Abrir facsímil")</f>
        <v>Abrir facsímil</v>
      </c>
      <c r="K32" s="3" t="s">
        <v>22</v>
      </c>
    </row>
    <row r="33" spans="1:11" ht="42" customHeight="1">
      <c r="A33" s="2" t="s">
        <v>122</v>
      </c>
      <c r="B33" s="2" t="s">
        <v>123</v>
      </c>
      <c r="C33" s="2" t="s">
        <v>16</v>
      </c>
      <c r="D33" s="2" t="s">
        <v>17</v>
      </c>
      <c r="E33" s="5">
        <v>-31606</v>
      </c>
      <c r="F33" s="3" t="s">
        <v>124</v>
      </c>
      <c r="G33" s="3" t="s">
        <v>87</v>
      </c>
      <c r="H33" s="2" t="s">
        <v>20</v>
      </c>
      <c r="I33" s="2" t="s">
        <v>125</v>
      </c>
      <c r="J33" s="3" t="str">
        <f>HYPERLINK("https://www.boe.es/gazeta/dias/1813/06/18/pdfs/GMR-1813-7.pdf#page=7","Abrir facsímil")</f>
        <v>Abrir facsímil</v>
      </c>
      <c r="K33" s="3" t="s">
        <v>22</v>
      </c>
    </row>
    <row r="34" spans="1:11" ht="42" customHeight="1">
      <c r="A34" s="2" t="s">
        <v>126</v>
      </c>
      <c r="B34" s="2" t="s">
        <v>126</v>
      </c>
      <c r="C34" s="2" t="s">
        <v>16</v>
      </c>
      <c r="D34" s="2" t="s">
        <v>17</v>
      </c>
      <c r="E34" s="5">
        <v>-31451</v>
      </c>
      <c r="F34" s="3" t="s">
        <v>127</v>
      </c>
      <c r="G34" s="3" t="s">
        <v>58</v>
      </c>
      <c r="H34" s="2" t="s">
        <v>20</v>
      </c>
      <c r="I34" s="2" t="s">
        <v>128</v>
      </c>
      <c r="J34" s="3" t="str">
        <f>HYPERLINK("https://www.boe.es/gazeta/dias/1813/11/20/pdfs/GRE-1813-152.pdf#page=2","Abrir facsímil")</f>
        <v>Abrir facsímil</v>
      </c>
      <c r="K34" s="3" t="s">
        <v>22</v>
      </c>
    </row>
    <row r="35" spans="1:11" ht="42" customHeight="1">
      <c r="A35" s="2" t="s">
        <v>129</v>
      </c>
      <c r="B35" s="2" t="s">
        <v>129</v>
      </c>
      <c r="C35" s="2" t="s">
        <v>34</v>
      </c>
      <c r="D35" s="2" t="s">
        <v>35</v>
      </c>
      <c r="E35" s="5">
        <v>-31474</v>
      </c>
      <c r="F35" s="3" t="s">
        <v>130</v>
      </c>
      <c r="G35" s="3" t="s">
        <v>87</v>
      </c>
      <c r="H35" s="2" t="s">
        <v>20</v>
      </c>
      <c r="I35" s="2" t="s">
        <v>131</v>
      </c>
      <c r="J35" s="3" t="str">
        <f>HYPERLINK("https://www.boe.es/gazeta/dias/1813/10/28/pdfs/GRE-1813-141.pdf#page=7","Abrir facsímil")</f>
        <v>Abrir facsímil</v>
      </c>
      <c r="K35" s="3" t="s">
        <v>22</v>
      </c>
    </row>
    <row r="36" spans="1:11" ht="42" customHeight="1">
      <c r="A36" s="2" t="s">
        <v>132</v>
      </c>
      <c r="B36" s="2" t="s">
        <v>132</v>
      </c>
      <c r="C36" s="2" t="s">
        <v>34</v>
      </c>
      <c r="D36" s="2" t="s">
        <v>35</v>
      </c>
      <c r="E36" s="5">
        <v>-31530</v>
      </c>
      <c r="F36" s="3" t="s">
        <v>133</v>
      </c>
      <c r="G36" s="3" t="s">
        <v>58</v>
      </c>
      <c r="H36" s="2" t="s">
        <v>20</v>
      </c>
      <c r="I36" s="2" t="s">
        <v>134</v>
      </c>
      <c r="J36" s="3" t="str">
        <f>HYPERLINK("https://www.boe.es/gazeta/dias/1813/09/02/pdfs/GMR-1813-36.pdf#page=2","Abrir facsímil")</f>
        <v>Abrir facsímil</v>
      </c>
      <c r="K36" s="3" t="s">
        <v>22</v>
      </c>
    </row>
    <row r="37" spans="1:11" ht="42" customHeight="1">
      <c r="A37" s="2" t="s">
        <v>132</v>
      </c>
      <c r="B37" s="2" t="s">
        <v>132</v>
      </c>
      <c r="C37" s="2" t="s">
        <v>34</v>
      </c>
      <c r="D37" s="2" t="s">
        <v>35</v>
      </c>
      <c r="E37" s="5">
        <v>-31525</v>
      </c>
      <c r="F37" s="3" t="s">
        <v>135</v>
      </c>
      <c r="G37" s="3" t="s">
        <v>54</v>
      </c>
      <c r="H37" s="2" t="s">
        <v>20</v>
      </c>
      <c r="I37" s="2" t="s">
        <v>136</v>
      </c>
      <c r="J37" s="3" t="str">
        <f>HYPERLINK("https://www.boe.es/gazeta/dias/1813/09/07/pdfs/GMR-1813-38.pdf#page=3","Abrir facsímil")</f>
        <v>Abrir facsímil</v>
      </c>
      <c r="K37" s="3" t="s">
        <v>22</v>
      </c>
    </row>
    <row r="38" spans="1:11" ht="42" customHeight="1">
      <c r="A38" s="2" t="s">
        <v>137</v>
      </c>
      <c r="B38" s="2" t="s">
        <v>137</v>
      </c>
      <c r="C38" s="2" t="s">
        <v>34</v>
      </c>
      <c r="D38" s="2" t="s">
        <v>35</v>
      </c>
      <c r="E38" s="5">
        <v>-31537</v>
      </c>
      <c r="F38" s="3" t="s">
        <v>138</v>
      </c>
      <c r="G38" s="3" t="s">
        <v>58</v>
      </c>
      <c r="H38" s="2" t="s">
        <v>20</v>
      </c>
      <c r="I38" s="2" t="s">
        <v>139</v>
      </c>
      <c r="J38" s="3" t="str">
        <f>HYPERLINK("https://www.boe.es/gazeta/dias/1813/08/26/pdfs/GMR-1813-33.pdf#page=2","Abrir facsímil")</f>
        <v>Abrir facsímil</v>
      </c>
      <c r="K38" s="3" t="s">
        <v>22</v>
      </c>
    </row>
    <row r="39" spans="1:11" ht="42" customHeight="1">
      <c r="A39" s="2" t="s">
        <v>140</v>
      </c>
      <c r="B39" s="2" t="s">
        <v>140</v>
      </c>
      <c r="C39" s="2" t="s">
        <v>25</v>
      </c>
      <c r="D39" s="2" t="s">
        <v>26</v>
      </c>
      <c r="E39" s="5">
        <v>-31528</v>
      </c>
      <c r="F39" s="3" t="s">
        <v>141</v>
      </c>
      <c r="G39" s="3" t="s">
        <v>54</v>
      </c>
      <c r="H39" s="2" t="s">
        <v>20</v>
      </c>
      <c r="I39" s="2" t="s">
        <v>142</v>
      </c>
      <c r="J39" s="3" t="str">
        <f>HYPERLINK("https://www.boe.es/gazeta/dias/1813/09/04/pdfs/GMR-1813-37.pdf#page=3","Abrir facsímil")</f>
        <v>Abrir facsímil</v>
      </c>
      <c r="K39" s="3" t="s">
        <v>22</v>
      </c>
    </row>
    <row r="40" spans="1:11" ht="42" customHeight="1">
      <c r="A40" s="2" t="s">
        <v>140</v>
      </c>
      <c r="B40" s="2" t="s">
        <v>140</v>
      </c>
      <c r="C40" s="2" t="s">
        <v>25</v>
      </c>
      <c r="D40" s="2" t="s">
        <v>26</v>
      </c>
      <c r="E40" s="5">
        <v>-31472</v>
      </c>
      <c r="F40" s="3" t="s">
        <v>143</v>
      </c>
      <c r="G40" s="3" t="s">
        <v>65</v>
      </c>
      <c r="H40" s="2" t="s">
        <v>20</v>
      </c>
      <c r="I40" s="2" t="s">
        <v>144</v>
      </c>
      <c r="J40" s="3" t="str">
        <f>HYPERLINK("https://www.boe.es/gazeta/dias/1813/10/30/pdfs/GMR-1813-66.pdf#page=1","Abrir facsímil")</f>
        <v>Abrir facsímil</v>
      </c>
      <c r="K40" s="3" t="s">
        <v>22</v>
      </c>
    </row>
    <row r="41" spans="1:11" ht="42" customHeight="1">
      <c r="A41" s="2" t="s">
        <v>140</v>
      </c>
      <c r="B41" s="2" t="s">
        <v>140</v>
      </c>
      <c r="C41" s="2" t="s">
        <v>16</v>
      </c>
      <c r="D41" s="2" t="s">
        <v>17</v>
      </c>
      <c r="E41" s="5">
        <v>-31420</v>
      </c>
      <c r="F41" s="3" t="s">
        <v>145</v>
      </c>
      <c r="G41" s="3" t="s">
        <v>65</v>
      </c>
      <c r="H41" s="2" t="s">
        <v>20</v>
      </c>
      <c r="I41" s="2" t="s">
        <v>146</v>
      </c>
      <c r="J41" s="3" t="str">
        <f>HYPERLINK("https://www.boe.es/gazeta/dias/1813/12/21/pdfs/GMR-1813-90.pdf#page=1","Abrir facsímil")</f>
        <v>Abrir facsímil</v>
      </c>
      <c r="K41" s="3" t="s">
        <v>22</v>
      </c>
    </row>
    <row r="42" spans="1:11" ht="42" customHeight="1">
      <c r="A42" s="2" t="s">
        <v>140</v>
      </c>
      <c r="B42" s="2" t="s">
        <v>140</v>
      </c>
      <c r="C42" s="2" t="s">
        <v>16</v>
      </c>
      <c r="D42" s="2" t="s">
        <v>17</v>
      </c>
      <c r="E42" s="5">
        <v>-31418</v>
      </c>
      <c r="F42" s="3" t="s">
        <v>147</v>
      </c>
      <c r="G42" s="3" t="s">
        <v>65</v>
      </c>
      <c r="H42" s="2" t="s">
        <v>20</v>
      </c>
      <c r="I42" s="2" t="s">
        <v>148</v>
      </c>
      <c r="J42" s="3" t="str">
        <f>HYPERLINK("https://www.boe.es/gazeta/dias/1813/12/23/pdfs/GRE-1813-168.pdf#page=1","Abrir facsímil")</f>
        <v>Abrir facsímil</v>
      </c>
      <c r="K42" s="3" t="s">
        <v>22</v>
      </c>
    </row>
    <row r="43" spans="1:11" ht="42" customHeight="1">
      <c r="A43" s="2" t="s">
        <v>140</v>
      </c>
      <c r="B43" s="2" t="s">
        <v>140</v>
      </c>
      <c r="C43" s="2" t="s">
        <v>16</v>
      </c>
      <c r="D43" s="2" t="s">
        <v>17</v>
      </c>
      <c r="E43" s="5">
        <v>-31413</v>
      </c>
      <c r="F43" s="3" t="s">
        <v>149</v>
      </c>
      <c r="G43" s="3" t="s">
        <v>54</v>
      </c>
      <c r="H43" s="2" t="s">
        <v>20</v>
      </c>
      <c r="I43" s="2" t="s">
        <v>150</v>
      </c>
      <c r="J43" s="3" t="str">
        <f>HYPERLINK("https://www.boe.es/gazeta/dias/1813/12/28/pdfs/GMR-1813-93.pdf#page=3","Abrir facsímil")</f>
        <v>Abrir facsímil</v>
      </c>
      <c r="K43" s="3" t="s">
        <v>22</v>
      </c>
    </row>
    <row r="44" spans="1:11" ht="42" customHeight="1">
      <c r="A44" s="2" t="s">
        <v>151</v>
      </c>
      <c r="B44" s="2" t="s">
        <v>151</v>
      </c>
      <c r="C44" s="2" t="s">
        <v>25</v>
      </c>
      <c r="D44" s="2" t="s">
        <v>26</v>
      </c>
      <c r="E44" s="5">
        <v>-31413</v>
      </c>
      <c r="F44" s="3" t="s">
        <v>152</v>
      </c>
      <c r="G44" s="3" t="s">
        <v>65</v>
      </c>
      <c r="H44" s="2" t="s">
        <v>20</v>
      </c>
      <c r="I44" s="2" t="s">
        <v>153</v>
      </c>
      <c r="J44" s="3" t="str">
        <f>HYPERLINK("https://www.boe.es/gazeta/dias/1813/12/28/pdfs/GRE-1813-170.pdf#page=1","Abrir facsímil")</f>
        <v>Abrir facsímil</v>
      </c>
      <c r="K44" s="3" t="s">
        <v>22</v>
      </c>
    </row>
    <row r="45" spans="1:11" ht="42" customHeight="1">
      <c r="A45" s="2" t="s">
        <v>154</v>
      </c>
      <c r="B45" s="2" t="s">
        <v>154</v>
      </c>
      <c r="C45" s="2" t="s">
        <v>16</v>
      </c>
      <c r="D45" s="2" t="s">
        <v>17</v>
      </c>
      <c r="E45" s="5">
        <v>-31518</v>
      </c>
      <c r="F45" s="3" t="s">
        <v>155</v>
      </c>
      <c r="G45" s="3" t="s">
        <v>58</v>
      </c>
      <c r="H45" s="2" t="s">
        <v>20</v>
      </c>
      <c r="I45" s="2" t="s">
        <v>156</v>
      </c>
      <c r="J45" s="3" t="str">
        <f>HYPERLINK("https://www.boe.es/gazeta/dias/1813/09/14/pdfs/GRE-1813-119.pdf#page=2","Abrir facsímil")</f>
        <v>Abrir facsímil</v>
      </c>
      <c r="K45" s="3" t="s">
        <v>22</v>
      </c>
    </row>
    <row r="46" spans="1:11" ht="42" customHeight="1">
      <c r="A46" s="2" t="s">
        <v>157</v>
      </c>
      <c r="B46" s="2" t="s">
        <v>157</v>
      </c>
      <c r="C46" s="2" t="s">
        <v>109</v>
      </c>
      <c r="D46" s="2" t="s">
        <v>26</v>
      </c>
      <c r="E46" s="5">
        <v>-31476</v>
      </c>
      <c r="F46" s="3" t="s">
        <v>158</v>
      </c>
      <c r="G46" s="3" t="s">
        <v>65</v>
      </c>
      <c r="H46" s="2" t="s">
        <v>20</v>
      </c>
      <c r="I46" s="2" t="s">
        <v>159</v>
      </c>
      <c r="J46" s="3" t="str">
        <f>HYPERLINK("https://www.boe.es/gazeta/dias/1813/10/26/pdfs/GMR-1813-64.pdf#page=1","Abrir facsímil")</f>
        <v>Abrir facsímil</v>
      </c>
      <c r="K46" s="3" t="s">
        <v>22</v>
      </c>
    </row>
    <row r="47" spans="1:11" ht="42" customHeight="1">
      <c r="A47" s="2" t="s">
        <v>160</v>
      </c>
      <c r="B47" s="2" t="s">
        <v>161</v>
      </c>
      <c r="C47" s="2" t="s">
        <v>25</v>
      </c>
      <c r="D47" s="2" t="s">
        <v>26</v>
      </c>
      <c r="E47" s="5">
        <v>-31689</v>
      </c>
      <c r="F47" s="3" t="s">
        <v>48</v>
      </c>
      <c r="G47" s="3" t="s">
        <v>162</v>
      </c>
      <c r="H47" s="2" t="s">
        <v>20</v>
      </c>
      <c r="I47" s="2" t="s">
        <v>163</v>
      </c>
      <c r="J47" s="3" t="str">
        <f>HYPERLINK("https://www.boe.es/gazeta/dias/1813/03/27/pdfs/GRE-1813-38.pdf#page=8","Abrir facsímil")</f>
        <v>Abrir facsímil</v>
      </c>
      <c r="K47" s="3" t="s">
        <v>22</v>
      </c>
    </row>
    <row r="48" spans="1:11" ht="42" customHeight="1">
      <c r="A48" s="2" t="s">
        <v>164</v>
      </c>
      <c r="B48" s="2" t="s">
        <v>165</v>
      </c>
      <c r="C48" s="2" t="s">
        <v>16</v>
      </c>
      <c r="D48" s="2" t="s">
        <v>17</v>
      </c>
      <c r="E48" s="5">
        <v>-31708</v>
      </c>
      <c r="F48" s="3" t="s">
        <v>166</v>
      </c>
      <c r="G48" s="3" t="s">
        <v>167</v>
      </c>
      <c r="H48" s="2" t="s">
        <v>20</v>
      </c>
      <c r="I48" s="2" t="s">
        <v>168</v>
      </c>
      <c r="J48" s="3" t="str">
        <f>HYPERLINK("https://www.boe.es/gazeta/dias/1813/03/08/pdfs/GMD-1813-67.pdf#page=3","Abrir facsímil")</f>
        <v>Abrir facsímil</v>
      </c>
      <c r="K48" s="3" t="s">
        <v>22</v>
      </c>
    </row>
    <row r="49" spans="1:11" ht="42" customHeight="1">
      <c r="A49" s="2" t="s">
        <v>169</v>
      </c>
      <c r="B49" s="2" t="s">
        <v>169</v>
      </c>
      <c r="C49" s="2" t="s">
        <v>25</v>
      </c>
      <c r="D49" s="2" t="s">
        <v>26</v>
      </c>
      <c r="E49" s="5">
        <v>-31416</v>
      </c>
      <c r="F49" s="3" t="s">
        <v>110</v>
      </c>
      <c r="G49" s="3" t="s">
        <v>58</v>
      </c>
      <c r="H49" s="2" t="s">
        <v>20</v>
      </c>
      <c r="I49" s="2" t="s">
        <v>170</v>
      </c>
      <c r="J49" s="3" t="str">
        <f>HYPERLINK("https://www.boe.es/gazeta/dias/1813/12/25/pdfs/GRE-1813-169.pdf#page=2","Abrir facsímil")</f>
        <v>Abrir facsímil</v>
      </c>
      <c r="K49" s="3" t="s">
        <v>22</v>
      </c>
    </row>
    <row r="50" spans="1:11" ht="42" customHeight="1">
      <c r="A50" s="2" t="s">
        <v>171</v>
      </c>
      <c r="B50" s="2" t="s">
        <v>172</v>
      </c>
      <c r="C50" s="2" t="s">
        <v>34</v>
      </c>
      <c r="D50" s="2" t="s">
        <v>35</v>
      </c>
      <c r="E50" s="5">
        <v>-31689</v>
      </c>
      <c r="F50" s="3" t="s">
        <v>48</v>
      </c>
      <c r="G50" s="3" t="s">
        <v>49</v>
      </c>
      <c r="H50" s="2" t="s">
        <v>20</v>
      </c>
      <c r="I50" s="2" t="s">
        <v>173</v>
      </c>
      <c r="J50" s="3" t="str">
        <f>HYPERLINK("https://www.boe.es/gazeta/dias/1813/03/27/pdfs/GRE-1813-38.pdf#page=7","Abrir facsímil")</f>
        <v>Abrir facsímil</v>
      </c>
      <c r="K50" s="3" t="s">
        <v>22</v>
      </c>
    </row>
    <row r="51" spans="1:11" ht="42" customHeight="1">
      <c r="A51" s="2" t="s">
        <v>174</v>
      </c>
      <c r="B51" s="2" t="s">
        <v>174</v>
      </c>
      <c r="C51" s="2" t="s">
        <v>16</v>
      </c>
      <c r="D51" s="2" t="s">
        <v>17</v>
      </c>
      <c r="E51" s="5">
        <v>-31592</v>
      </c>
      <c r="F51" s="3" t="s">
        <v>175</v>
      </c>
      <c r="G51" s="3" t="s">
        <v>95</v>
      </c>
      <c r="H51" s="2" t="s">
        <v>20</v>
      </c>
      <c r="I51" s="2" t="s">
        <v>176</v>
      </c>
      <c r="J51" s="3" t="str">
        <f>HYPERLINK("https://www.boe.es/gazeta/dias/1813/07/02/pdfs/GRE-1813-82.pdf#page=6","Abrir facsímil")</f>
        <v>Abrir facsímil</v>
      </c>
      <c r="K51" s="3" t="s">
        <v>22</v>
      </c>
    </row>
    <row r="52" spans="1:11" ht="42" customHeight="1">
      <c r="A52" s="2" t="s">
        <v>174</v>
      </c>
      <c r="B52" s="2" t="s">
        <v>174</v>
      </c>
      <c r="C52" s="2" t="s">
        <v>16</v>
      </c>
      <c r="D52" s="2" t="s">
        <v>17</v>
      </c>
      <c r="E52" s="5">
        <v>-31585</v>
      </c>
      <c r="F52" s="3" t="s">
        <v>177</v>
      </c>
      <c r="G52" s="3" t="s">
        <v>178</v>
      </c>
      <c r="H52" s="2" t="s">
        <v>20</v>
      </c>
      <c r="I52" s="2" t="s">
        <v>179</v>
      </c>
      <c r="J52" s="3" t="str">
        <f>HYPERLINK("https://www.boe.es/gazeta/dias/1813/07/09/pdfs/GMR-1813-16.pdf#page=11","Abrir facsímil")</f>
        <v>Abrir facsímil</v>
      </c>
      <c r="K52" s="3" t="s">
        <v>22</v>
      </c>
    </row>
    <row r="53" spans="1:11" ht="42" customHeight="1">
      <c r="A53" s="2" t="s">
        <v>180</v>
      </c>
      <c r="B53" s="2" t="s">
        <v>181</v>
      </c>
      <c r="C53" s="2" t="s">
        <v>25</v>
      </c>
      <c r="D53" s="2" t="s">
        <v>26</v>
      </c>
      <c r="E53" s="5">
        <v>-31752</v>
      </c>
      <c r="F53" s="3" t="s">
        <v>182</v>
      </c>
      <c r="G53" s="3" t="s">
        <v>183</v>
      </c>
      <c r="H53" s="2" t="s">
        <v>20</v>
      </c>
      <c r="I53" s="2" t="s">
        <v>184</v>
      </c>
      <c r="J53" s="3" t="str">
        <f>HYPERLINK("https://www.boe.es/gazeta/dias/1813/01/23/pdfs/GRE-1813-10.pdf#page=8","Abrir facsímil")</f>
        <v>Abrir facsímil</v>
      </c>
      <c r="K53" s="3" t="s">
        <v>22</v>
      </c>
    </row>
    <row r="54" spans="1:11" ht="42" customHeight="1">
      <c r="A54" s="2" t="s">
        <v>185</v>
      </c>
      <c r="B54" s="2" t="s">
        <v>186</v>
      </c>
      <c r="C54" s="2" t="s">
        <v>187</v>
      </c>
      <c r="D54" s="2" t="s">
        <v>26</v>
      </c>
      <c r="E54" s="5">
        <v>-31770</v>
      </c>
      <c r="F54" s="3" t="s">
        <v>188</v>
      </c>
      <c r="G54" s="3" t="s">
        <v>28</v>
      </c>
      <c r="H54" s="2" t="s">
        <v>20</v>
      </c>
      <c r="I54" s="2" t="s">
        <v>189</v>
      </c>
      <c r="J54" s="3" t="str">
        <f>HYPERLINK("https://www.boe.es/gazeta/dias/1813/01/05/pdfs/GRE-1813-3.pdf#page=8","Abrir facsímil")</f>
        <v>Abrir facsímil</v>
      </c>
      <c r="K54" s="3" t="s">
        <v>22</v>
      </c>
    </row>
    <row r="55" spans="1:11" ht="42" customHeight="1">
      <c r="A55" s="2" t="s">
        <v>185</v>
      </c>
      <c r="B55" s="2" t="s">
        <v>186</v>
      </c>
      <c r="C55" s="2" t="s">
        <v>187</v>
      </c>
      <c r="D55" s="2" t="s">
        <v>26</v>
      </c>
      <c r="E55" s="5">
        <v>-31768</v>
      </c>
      <c r="F55" s="3" t="s">
        <v>188</v>
      </c>
      <c r="G55" s="3" t="s">
        <v>28</v>
      </c>
      <c r="H55" s="2" t="s">
        <v>20</v>
      </c>
      <c r="I55" s="2" t="s">
        <v>189</v>
      </c>
      <c r="J55" s="3" t="str">
        <f>HYPERLINK("https://www.boe.es/gazeta/dias/1813/01/07/pdfs/GRE-1813-3.pdf#page=8","Abrir facsímil")</f>
        <v>Abrir facsímil</v>
      </c>
      <c r="K55" s="3" t="s">
        <v>22</v>
      </c>
    </row>
    <row r="56" spans="1:11" ht="42" customHeight="1">
      <c r="A56" s="2" t="s">
        <v>190</v>
      </c>
      <c r="B56" s="2" t="s">
        <v>191</v>
      </c>
      <c r="C56" s="2" t="s">
        <v>34</v>
      </c>
      <c r="D56" s="2" t="s">
        <v>35</v>
      </c>
      <c r="E56" s="5">
        <v>-31504</v>
      </c>
      <c r="F56" s="3" t="s">
        <v>192</v>
      </c>
      <c r="G56" s="3" t="s">
        <v>82</v>
      </c>
      <c r="H56" s="2" t="s">
        <v>20</v>
      </c>
      <c r="I56" s="2" t="s">
        <v>193</v>
      </c>
      <c r="J56" s="3" t="str">
        <f>HYPERLINK("https://www.boe.es/gazeta/dias/1813/09/28/pdfs/GRE-1813-127.pdf#page=5","Abrir facsímil")</f>
        <v>Abrir facsímil</v>
      </c>
      <c r="K56" s="3" t="s">
        <v>22</v>
      </c>
    </row>
    <row r="57" spans="1:11" ht="42" customHeight="1">
      <c r="A57" s="2" t="s">
        <v>190</v>
      </c>
      <c r="B57" s="2" t="s">
        <v>191</v>
      </c>
      <c r="C57" s="2" t="s">
        <v>34</v>
      </c>
      <c r="D57" s="2" t="s">
        <v>35</v>
      </c>
      <c r="E57" s="5">
        <v>-31495</v>
      </c>
      <c r="F57" s="3" t="s">
        <v>194</v>
      </c>
      <c r="G57" s="3" t="s">
        <v>82</v>
      </c>
      <c r="H57" s="2" t="s">
        <v>20</v>
      </c>
      <c r="I57" s="2" t="s">
        <v>195</v>
      </c>
      <c r="J57" s="3" t="str">
        <f>HYPERLINK("https://www.boe.es/gazeta/dias/1813/10/07/pdfs/GMR-1813-55.pdf#page=5","Abrir facsímil")</f>
        <v>Abrir facsímil</v>
      </c>
      <c r="K57" s="3" t="s">
        <v>22</v>
      </c>
    </row>
    <row r="58" spans="1:11" ht="42" customHeight="1">
      <c r="A58" s="2" t="s">
        <v>196</v>
      </c>
      <c r="B58" s="2" t="s">
        <v>197</v>
      </c>
      <c r="C58" s="2" t="s">
        <v>25</v>
      </c>
      <c r="D58" s="2" t="s">
        <v>26</v>
      </c>
      <c r="E58" s="5">
        <v>-31528</v>
      </c>
      <c r="F58" s="3" t="s">
        <v>141</v>
      </c>
      <c r="G58" s="3" t="s">
        <v>28</v>
      </c>
      <c r="H58" s="2" t="s">
        <v>20</v>
      </c>
      <c r="I58" s="2" t="s">
        <v>198</v>
      </c>
      <c r="J58" s="3" t="str">
        <f>HYPERLINK("https://www.boe.es/gazeta/dias/1813/09/04/pdfs/GMR-1813-37.pdf#page=8","Abrir facsímil")</f>
        <v>Abrir facsímil</v>
      </c>
      <c r="K58" s="3" t="s">
        <v>22</v>
      </c>
    </row>
    <row r="59" spans="1:11" ht="42" customHeight="1">
      <c r="A59" s="2" t="s">
        <v>199</v>
      </c>
      <c r="B59" s="2" t="s">
        <v>199</v>
      </c>
      <c r="C59" s="2" t="s">
        <v>16</v>
      </c>
      <c r="D59" s="2" t="s">
        <v>17</v>
      </c>
      <c r="E59" s="5">
        <v>-31544</v>
      </c>
      <c r="F59" s="3" t="s">
        <v>200</v>
      </c>
      <c r="G59" s="3" t="s">
        <v>58</v>
      </c>
      <c r="H59" s="2" t="s">
        <v>20</v>
      </c>
      <c r="I59" s="2" t="s">
        <v>201</v>
      </c>
      <c r="J59" s="3" t="str">
        <f>HYPERLINK("https://www.boe.es/gazeta/dias/1813/08/19/pdfs/GRE-1813-106.pdf#page=2","Abrir facsímil")</f>
        <v>Abrir facsímil</v>
      </c>
      <c r="K59" s="3" t="s">
        <v>22</v>
      </c>
    </row>
    <row r="60" spans="1:11" ht="42" customHeight="1">
      <c r="A60" s="2" t="s">
        <v>199</v>
      </c>
      <c r="B60" s="2" t="s">
        <v>199</v>
      </c>
      <c r="C60" s="2" t="s">
        <v>16</v>
      </c>
      <c r="D60" s="2" t="s">
        <v>17</v>
      </c>
      <c r="E60" s="5">
        <v>-31509</v>
      </c>
      <c r="F60" s="3" t="s">
        <v>202</v>
      </c>
      <c r="G60" s="3" t="s">
        <v>87</v>
      </c>
      <c r="H60" s="2" t="s">
        <v>20</v>
      </c>
      <c r="I60" s="2" t="s">
        <v>203</v>
      </c>
      <c r="J60" s="3" t="str">
        <f>HYPERLINK("https://www.boe.es/gazeta/dias/1813/09/23/pdfs/GMR-1813-47.pdf#page=7","Abrir facsímil")</f>
        <v>Abrir facsímil</v>
      </c>
      <c r="K60" s="3" t="s">
        <v>22</v>
      </c>
    </row>
    <row r="61" spans="1:11" ht="42" customHeight="1">
      <c r="A61" s="2" t="s">
        <v>204</v>
      </c>
      <c r="B61" s="2" t="s">
        <v>205</v>
      </c>
      <c r="C61" s="2" t="s">
        <v>16</v>
      </c>
      <c r="D61" s="2" t="s">
        <v>17</v>
      </c>
      <c r="E61" s="5">
        <v>-31564</v>
      </c>
      <c r="F61" s="3" t="s">
        <v>206</v>
      </c>
      <c r="G61" s="3" t="s">
        <v>207</v>
      </c>
      <c r="H61" s="2" t="s">
        <v>29</v>
      </c>
      <c r="I61" s="2" t="s">
        <v>208</v>
      </c>
      <c r="J61" s="3" t="str">
        <f>HYPERLINK("https://www.boe.es/gazeta/dias/1813/07/30/pdfs/GMR-1813-22.pdf#page=10","Abrir facsímil")</f>
        <v>Abrir facsímil</v>
      </c>
      <c r="K61" s="3" t="s">
        <v>31</v>
      </c>
    </row>
    <row r="62" spans="1:11" ht="42" customHeight="1">
      <c r="A62" s="2" t="s">
        <v>209</v>
      </c>
      <c r="B62" s="2" t="s">
        <v>209</v>
      </c>
      <c r="C62" s="2" t="s">
        <v>16</v>
      </c>
      <c r="D62" s="2" t="s">
        <v>17</v>
      </c>
      <c r="E62" s="5">
        <v>-31420</v>
      </c>
      <c r="F62" s="3" t="s">
        <v>210</v>
      </c>
      <c r="G62" s="3" t="s">
        <v>95</v>
      </c>
      <c r="H62" s="2" t="s">
        <v>20</v>
      </c>
      <c r="I62" s="2" t="s">
        <v>211</v>
      </c>
      <c r="J62" s="3" t="str">
        <f>HYPERLINK("https://www.boe.es/gazeta/dias/1813/12/21/pdfs/GRE-1813-167.pdf#page=6","Abrir facsímil")</f>
        <v>Abrir facsímil</v>
      </c>
      <c r="K62" s="3" t="s">
        <v>22</v>
      </c>
    </row>
    <row r="63" spans="1:11" ht="42" customHeight="1">
      <c r="A63" s="2" t="s">
        <v>212</v>
      </c>
      <c r="B63" s="2" t="s">
        <v>212</v>
      </c>
      <c r="C63" s="2" t="s">
        <v>16</v>
      </c>
      <c r="D63" s="2" t="s">
        <v>17</v>
      </c>
      <c r="E63" s="5">
        <v>-31420</v>
      </c>
      <c r="F63" s="3" t="s">
        <v>145</v>
      </c>
      <c r="G63" s="3" t="s">
        <v>58</v>
      </c>
      <c r="H63" s="2" t="s">
        <v>20</v>
      </c>
      <c r="I63" s="2" t="s">
        <v>213</v>
      </c>
      <c r="J63" s="3" t="str">
        <f>HYPERLINK("https://www.boe.es/gazeta/dias/1813/12/21/pdfs/GMR-1813-90.pdf#page=2","Abrir facsímil")</f>
        <v>Abrir facsímil</v>
      </c>
      <c r="K63" s="3" t="s">
        <v>22</v>
      </c>
    </row>
    <row r="64" spans="1:11" ht="42" customHeight="1">
      <c r="A64" s="2" t="s">
        <v>214</v>
      </c>
      <c r="B64" s="2" t="s">
        <v>214</v>
      </c>
      <c r="C64" s="2" t="s">
        <v>16</v>
      </c>
      <c r="D64" s="2" t="s">
        <v>17</v>
      </c>
      <c r="E64" s="5">
        <v>-31532</v>
      </c>
      <c r="F64" s="3" t="s">
        <v>215</v>
      </c>
      <c r="G64" s="3" t="s">
        <v>65</v>
      </c>
      <c r="H64" s="2" t="s">
        <v>20</v>
      </c>
      <c r="I64" s="2" t="s">
        <v>216</v>
      </c>
      <c r="J64" s="3" t="str">
        <f>HYPERLINK("https://www.boe.es/gazeta/dias/1813/08/31/pdfs/GRE-1813-111.pdf#page=1","Abrir facsímil")</f>
        <v>Abrir facsímil</v>
      </c>
      <c r="K64" s="3" t="s">
        <v>22</v>
      </c>
    </row>
    <row r="65" spans="1:11" ht="42" customHeight="1">
      <c r="A65" s="2" t="s">
        <v>214</v>
      </c>
      <c r="B65" s="2" t="s">
        <v>214</v>
      </c>
      <c r="C65" s="2" t="s">
        <v>16</v>
      </c>
      <c r="D65" s="2" t="s">
        <v>17</v>
      </c>
      <c r="E65" s="5">
        <v>-31437</v>
      </c>
      <c r="F65" s="3" t="s">
        <v>217</v>
      </c>
      <c r="G65" s="3" t="s">
        <v>58</v>
      </c>
      <c r="H65" s="2" t="s">
        <v>20</v>
      </c>
      <c r="I65" s="2" t="s">
        <v>218</v>
      </c>
      <c r="J65" s="3" t="str">
        <f>HYPERLINK("https://www.boe.es/gazeta/dias/1813/12/04/pdfs/GRE-1813-160.pdf#page=2","Abrir facsímil")</f>
        <v>Abrir facsímil</v>
      </c>
      <c r="K65" s="3" t="s">
        <v>22</v>
      </c>
    </row>
    <row r="66" spans="1:11" ht="42" customHeight="1">
      <c r="A66" s="2" t="s">
        <v>219</v>
      </c>
      <c r="B66" s="2" t="s">
        <v>219</v>
      </c>
      <c r="C66" s="2" t="s">
        <v>16</v>
      </c>
      <c r="D66" s="2" t="s">
        <v>97</v>
      </c>
      <c r="E66" s="5">
        <v>-31499</v>
      </c>
      <c r="F66" s="3" t="s">
        <v>220</v>
      </c>
      <c r="G66" s="3" t="s">
        <v>54</v>
      </c>
      <c r="H66" s="2" t="s">
        <v>20</v>
      </c>
      <c r="I66" s="2" t="s">
        <v>221</v>
      </c>
      <c r="J66" s="3" t="str">
        <f>HYPERLINK("https://www.boe.es/gazeta/dias/1813/10/03/pdfs/GMR-1813-53E.pdf#page=3","Abrir facsímil")</f>
        <v>Abrir facsímil</v>
      </c>
      <c r="K66" s="3" t="s">
        <v>22</v>
      </c>
    </row>
    <row r="67" spans="1:11" ht="42" customHeight="1">
      <c r="A67" s="2" t="s">
        <v>222</v>
      </c>
      <c r="B67" s="2" t="s">
        <v>222</v>
      </c>
      <c r="C67" s="2" t="s">
        <v>16</v>
      </c>
      <c r="D67" s="2" t="s">
        <v>17</v>
      </c>
      <c r="E67" s="5">
        <v>-31497</v>
      </c>
      <c r="F67" s="3" t="s">
        <v>223</v>
      </c>
      <c r="G67" s="3" t="s">
        <v>19</v>
      </c>
      <c r="H67" s="2" t="s">
        <v>20</v>
      </c>
      <c r="I67" s="2" t="s">
        <v>224</v>
      </c>
      <c r="J67" s="3" t="str">
        <f>HYPERLINK("https://www.boe.es/gazeta/dias/1813/10/05/pdfs/GRE-1813-130.pdf#page=4","Abrir facsímil")</f>
        <v>Abrir facsímil</v>
      </c>
      <c r="K67" s="3" t="s">
        <v>22</v>
      </c>
    </row>
    <row r="68" spans="1:11" ht="42" customHeight="1">
      <c r="A68" s="2" t="s">
        <v>225</v>
      </c>
      <c r="B68" s="2" t="s">
        <v>225</v>
      </c>
      <c r="C68" s="2" t="s">
        <v>16</v>
      </c>
      <c r="D68" s="2" t="s">
        <v>17</v>
      </c>
      <c r="E68" s="5">
        <v>-31700</v>
      </c>
      <c r="F68" s="3" t="s">
        <v>226</v>
      </c>
      <c r="G68" s="3" t="s">
        <v>87</v>
      </c>
      <c r="H68" s="2" t="s">
        <v>20</v>
      </c>
      <c r="I68" s="2" t="s">
        <v>227</v>
      </c>
      <c r="J68" s="3" t="str">
        <f>HYPERLINK("https://www.boe.es/gazeta/dias/1813/03/16/pdfs/GRE-1813-33.pdf#page=7","Abrir facsímil")</f>
        <v>Abrir facsímil</v>
      </c>
      <c r="K68" s="3" t="s">
        <v>22</v>
      </c>
    </row>
    <row r="69" spans="1:11" ht="42" customHeight="1">
      <c r="A69" s="2" t="s">
        <v>228</v>
      </c>
      <c r="B69" s="2" t="s">
        <v>228</v>
      </c>
      <c r="C69" s="2" t="s">
        <v>16</v>
      </c>
      <c r="D69" s="2" t="s">
        <v>17</v>
      </c>
      <c r="E69" s="5">
        <v>-31476</v>
      </c>
      <c r="F69" s="3" t="s">
        <v>229</v>
      </c>
      <c r="G69" s="3" t="s">
        <v>230</v>
      </c>
      <c r="H69" s="2" t="s">
        <v>20</v>
      </c>
      <c r="I69" s="2" t="s">
        <v>231</v>
      </c>
      <c r="J69" s="3" t="str">
        <f>HYPERLINK("https://www.boe.es/gazeta/dias/1813/10/26/pdfs/GRE-1813-140.pdf#page=6","Abrir facsímil")</f>
        <v>Abrir facsímil</v>
      </c>
      <c r="K69" s="3" t="s">
        <v>22</v>
      </c>
    </row>
    <row r="70" spans="1:11" ht="42" customHeight="1">
      <c r="A70" s="2" t="s">
        <v>232</v>
      </c>
      <c r="B70" s="2" t="s">
        <v>233</v>
      </c>
      <c r="C70" s="2" t="s">
        <v>16</v>
      </c>
      <c r="D70" s="2" t="s">
        <v>17</v>
      </c>
      <c r="E70" s="5">
        <v>-31637</v>
      </c>
      <c r="F70" s="3" t="s">
        <v>234</v>
      </c>
      <c r="G70" s="3" t="s">
        <v>19</v>
      </c>
      <c r="H70" s="2" t="s">
        <v>20</v>
      </c>
      <c r="I70" s="2" t="s">
        <v>235</v>
      </c>
      <c r="J70" s="3" t="str">
        <f>HYPERLINK("https://www.boe.es/gazeta/dias/1813/05/18/pdfs/GRE-1813-61.pdf#page=4","Abrir facsímil")</f>
        <v>Abrir facsímil</v>
      </c>
      <c r="K70" s="3" t="s">
        <v>22</v>
      </c>
    </row>
    <row r="71" spans="1:11" ht="42" customHeight="1">
      <c r="A71" s="2" t="s">
        <v>236</v>
      </c>
      <c r="B71" s="2" t="s">
        <v>237</v>
      </c>
      <c r="C71" s="2" t="s">
        <v>16</v>
      </c>
      <c r="D71" s="2" t="s">
        <v>17</v>
      </c>
      <c r="E71" s="5">
        <v>-31672</v>
      </c>
      <c r="F71" s="3" t="s">
        <v>238</v>
      </c>
      <c r="G71" s="3" t="s">
        <v>239</v>
      </c>
      <c r="H71" s="2" t="s">
        <v>29</v>
      </c>
      <c r="I71" s="2" t="s">
        <v>240</v>
      </c>
      <c r="J71" s="3" t="str">
        <f>HYPERLINK("https://www.boe.es/gazeta/dias/1813/04/13/pdfs/GRE-1813-45.pdf#page=4","Abrir facsímil")</f>
        <v>Abrir facsímil</v>
      </c>
      <c r="K71" s="3" t="s">
        <v>31</v>
      </c>
    </row>
    <row r="72" spans="1:11" ht="42" customHeight="1">
      <c r="A72" s="2" t="s">
        <v>241</v>
      </c>
      <c r="B72" s="2" t="s">
        <v>242</v>
      </c>
      <c r="C72" s="2" t="s">
        <v>34</v>
      </c>
      <c r="D72" s="2" t="s">
        <v>35</v>
      </c>
      <c r="E72" s="5">
        <v>-31705</v>
      </c>
      <c r="F72" s="3" t="s">
        <v>243</v>
      </c>
      <c r="G72" s="3" t="s">
        <v>54</v>
      </c>
      <c r="H72" s="2" t="s">
        <v>20</v>
      </c>
      <c r="I72" s="2" t="s">
        <v>244</v>
      </c>
      <c r="J72" s="3" t="str">
        <f>HYPERLINK("https://www.boe.es/gazeta/dias/1813/03/11/pdfs/GRE-1813-31.pdf#page=3","Abrir facsímil")</f>
        <v>Abrir facsímil</v>
      </c>
      <c r="K72" s="3" t="s">
        <v>22</v>
      </c>
    </row>
    <row r="73" spans="1:11" ht="42" customHeight="1">
      <c r="A73" s="2" t="s">
        <v>245</v>
      </c>
      <c r="B73" s="2" t="s">
        <v>245</v>
      </c>
      <c r="C73" s="2" t="s">
        <v>16</v>
      </c>
      <c r="D73" s="2" t="s">
        <v>17</v>
      </c>
      <c r="E73" s="5">
        <v>-31516</v>
      </c>
      <c r="F73" s="3" t="s">
        <v>246</v>
      </c>
      <c r="G73" s="3" t="s">
        <v>247</v>
      </c>
      <c r="H73" s="2" t="s">
        <v>20</v>
      </c>
      <c r="I73" s="2" t="s">
        <v>248</v>
      </c>
      <c r="J73" s="3" t="str">
        <f>HYPERLINK("https://www.boe.es/gazeta/dias/1813/09/16/pdfs/GMR-1813-43.pdf#page=8","Abrir facsímil")</f>
        <v>Abrir facsímil</v>
      </c>
      <c r="K73" s="3" t="s">
        <v>22</v>
      </c>
    </row>
    <row r="74" spans="1:11" ht="42" customHeight="1">
      <c r="A74" s="2" t="s">
        <v>249</v>
      </c>
      <c r="B74" s="2" t="s">
        <v>250</v>
      </c>
      <c r="C74" s="2" t="s">
        <v>16</v>
      </c>
      <c r="D74" s="2" t="s">
        <v>17</v>
      </c>
      <c r="E74" s="5">
        <v>-31719</v>
      </c>
      <c r="F74" s="3" t="s">
        <v>251</v>
      </c>
      <c r="G74" s="3" t="s">
        <v>19</v>
      </c>
      <c r="H74" s="2" t="s">
        <v>20</v>
      </c>
      <c r="I74" s="2" t="s">
        <v>252</v>
      </c>
      <c r="J74" s="3" t="str">
        <f>HYPERLINK("https://www.boe.es/gazeta/dias/1813/02/25/pdfs/GMD-1813-56.pdf#page=4","Abrir facsímil")</f>
        <v>Abrir facsímil</v>
      </c>
      <c r="K74" s="3" t="s">
        <v>22</v>
      </c>
    </row>
    <row r="75" spans="1:11" ht="42" customHeight="1">
      <c r="A75" s="2" t="s">
        <v>253</v>
      </c>
      <c r="B75" s="2" t="s">
        <v>253</v>
      </c>
      <c r="C75" s="2" t="s">
        <v>34</v>
      </c>
      <c r="D75" s="2" t="s">
        <v>35</v>
      </c>
      <c r="E75" s="5">
        <v>-31509</v>
      </c>
      <c r="F75" s="3" t="s">
        <v>202</v>
      </c>
      <c r="G75" s="3" t="s">
        <v>207</v>
      </c>
      <c r="H75" s="2" t="s">
        <v>20</v>
      </c>
      <c r="I75" s="2" t="s">
        <v>254</v>
      </c>
      <c r="J75" s="3" t="str">
        <f>HYPERLINK("https://www.boe.es/gazeta/dias/1813/09/23/pdfs/GMR-1813-47.pdf#page=10","Abrir facsímil")</f>
        <v>Abrir facsímil</v>
      </c>
      <c r="K75" s="3" t="s">
        <v>22</v>
      </c>
    </row>
    <row r="76" spans="1:11" ht="42" customHeight="1">
      <c r="A76" s="2" t="s">
        <v>255</v>
      </c>
      <c r="B76" s="2" t="s">
        <v>256</v>
      </c>
      <c r="C76" s="2" t="s">
        <v>187</v>
      </c>
      <c r="D76" s="2" t="s">
        <v>26</v>
      </c>
      <c r="E76" s="5">
        <v>-31502</v>
      </c>
      <c r="F76" s="3" t="s">
        <v>257</v>
      </c>
      <c r="G76" s="3" t="s">
        <v>258</v>
      </c>
      <c r="H76" s="2" t="s">
        <v>29</v>
      </c>
      <c r="I76" s="2" t="s">
        <v>259</v>
      </c>
      <c r="J76" s="3" t="str">
        <f>HYPERLINK("https://www.boe.es/gazeta/dias/1813/09/30/pdfs/GMR-1813-51.pdf#page=12","Abrir facsímil")</f>
        <v>Abrir facsímil</v>
      </c>
      <c r="K76" s="3" t="s">
        <v>31</v>
      </c>
    </row>
    <row r="77" spans="1:11" ht="42" customHeight="1">
      <c r="A77" s="2" t="s">
        <v>260</v>
      </c>
      <c r="B77" s="2" t="s">
        <v>261</v>
      </c>
      <c r="C77" s="2" t="s">
        <v>34</v>
      </c>
      <c r="D77" s="2" t="s">
        <v>35</v>
      </c>
      <c r="E77" s="5">
        <v>-31585</v>
      </c>
      <c r="F77" s="3" t="s">
        <v>177</v>
      </c>
      <c r="G77" s="3" t="s">
        <v>71</v>
      </c>
      <c r="H77" s="2" t="s">
        <v>20</v>
      </c>
      <c r="I77" s="2" t="s">
        <v>262</v>
      </c>
      <c r="J77" s="3" t="str">
        <f>HYPERLINK("https://www.boe.es/gazeta/dias/1813/07/09/pdfs/GMR-1813-16.pdf#page=16","Abrir facsímil")</f>
        <v>Abrir facsímil</v>
      </c>
      <c r="K77" s="3" t="s">
        <v>22</v>
      </c>
    </row>
    <row r="78" spans="1:11" ht="42" customHeight="1">
      <c r="A78" s="2" t="s">
        <v>263</v>
      </c>
      <c r="B78" s="2" t="s">
        <v>264</v>
      </c>
      <c r="C78" s="2" t="s">
        <v>16</v>
      </c>
      <c r="D78" s="2" t="s">
        <v>17</v>
      </c>
      <c r="E78" s="5">
        <v>-31626</v>
      </c>
      <c r="F78" s="3" t="s">
        <v>64</v>
      </c>
      <c r="G78" s="3" t="s">
        <v>265</v>
      </c>
      <c r="H78" s="2" t="s">
        <v>20</v>
      </c>
      <c r="I78" s="2" t="s">
        <v>266</v>
      </c>
      <c r="J78" s="3" t="str">
        <f>HYPERLINK("https://www.boe.es/gazeta/dias/1813/05/29/pdfs/GRE-1813-66.pdf#page=2","Abrir facsímil")</f>
        <v>Abrir facsímil</v>
      </c>
      <c r="K78" s="3" t="s">
        <v>22</v>
      </c>
    </row>
    <row r="79" spans="1:11" ht="42" customHeight="1">
      <c r="A79" s="2" t="s">
        <v>263</v>
      </c>
      <c r="B79" s="2" t="s">
        <v>264</v>
      </c>
      <c r="C79" s="2" t="s">
        <v>16</v>
      </c>
      <c r="D79" s="2" t="s">
        <v>17</v>
      </c>
      <c r="E79" s="5">
        <v>-31623</v>
      </c>
      <c r="F79" s="3" t="s">
        <v>267</v>
      </c>
      <c r="G79" s="3" t="s">
        <v>268</v>
      </c>
      <c r="H79" s="2" t="s">
        <v>20</v>
      </c>
      <c r="I79" s="2" t="s">
        <v>269</v>
      </c>
      <c r="J79" s="3" t="str">
        <f>HYPERLINK("https://www.boe.es/gazeta/dias/1813/06/01/pdfs/GRE-1813-67.pdf#page=3","Abrir facsímil")</f>
        <v>Abrir facsímil</v>
      </c>
      <c r="K79" s="3" t="s">
        <v>22</v>
      </c>
    </row>
    <row r="80" spans="1:11" ht="42" customHeight="1">
      <c r="A80" s="2" t="s">
        <v>263</v>
      </c>
      <c r="B80" s="2" t="s">
        <v>264</v>
      </c>
      <c r="C80" s="2" t="s">
        <v>16</v>
      </c>
      <c r="D80" s="2" t="s">
        <v>17</v>
      </c>
      <c r="E80" s="5">
        <v>-31623</v>
      </c>
      <c r="F80" s="3" t="s">
        <v>267</v>
      </c>
      <c r="G80" s="3" t="s">
        <v>270</v>
      </c>
      <c r="H80" s="2" t="s">
        <v>20</v>
      </c>
      <c r="I80" s="2" t="s">
        <v>271</v>
      </c>
      <c r="J80" s="3" t="str">
        <f>HYPERLINK("https://www.boe.es/gazeta/dias/1813/06/01/pdfs/GRE-1813-67.pdf#page=5","Abrir facsímil")</f>
        <v>Abrir facsímil</v>
      </c>
      <c r="K80" s="3" t="s">
        <v>22</v>
      </c>
    </row>
    <row r="81" spans="1:11" ht="42" customHeight="1">
      <c r="A81" s="2" t="s">
        <v>272</v>
      </c>
      <c r="B81" s="2" t="s">
        <v>272</v>
      </c>
      <c r="C81" s="2" t="s">
        <v>25</v>
      </c>
      <c r="D81" s="2" t="s">
        <v>26</v>
      </c>
      <c r="E81" s="5">
        <v>-31723</v>
      </c>
      <c r="F81" s="3" t="s">
        <v>273</v>
      </c>
      <c r="G81" s="3" t="s">
        <v>19</v>
      </c>
      <c r="H81" s="2" t="s">
        <v>20</v>
      </c>
      <c r="I81" s="2" t="s">
        <v>274</v>
      </c>
      <c r="J81" s="3" t="str">
        <f>HYPERLINK("https://www.boe.es/gazeta/dias/1813/02/21/pdfs/GMD-1813-52.pdf#page=4","Abrir facsímil")</f>
        <v>Abrir facsímil</v>
      </c>
      <c r="K81" s="3" t="s">
        <v>22</v>
      </c>
    </row>
    <row r="82" spans="1:11" ht="42" customHeight="1">
      <c r="A82" s="2" t="s">
        <v>275</v>
      </c>
      <c r="B82" s="2" t="s">
        <v>276</v>
      </c>
      <c r="C82" s="2" t="s">
        <v>277</v>
      </c>
      <c r="D82" s="2" t="s">
        <v>26</v>
      </c>
      <c r="E82" s="5">
        <v>-31416</v>
      </c>
      <c r="F82" s="3" t="s">
        <v>278</v>
      </c>
      <c r="G82" s="3" t="s">
        <v>279</v>
      </c>
      <c r="H82" s="2" t="s">
        <v>20</v>
      </c>
      <c r="I82" s="2" t="s">
        <v>280</v>
      </c>
      <c r="J82" s="3" t="str">
        <f>HYPERLINK("https://www.boe.es/gazeta/dias/1813/12/25/pdfs/GMR-1813-92.pdf#page=11","Abrir facsímil")</f>
        <v>Abrir facsímil</v>
      </c>
      <c r="K82" s="3" t="s">
        <v>22</v>
      </c>
    </row>
    <row r="83" spans="1:11" ht="42" customHeight="1">
      <c r="A83" s="2" t="s">
        <v>281</v>
      </c>
      <c r="B83" s="2" t="s">
        <v>282</v>
      </c>
      <c r="C83" s="2" t="s">
        <v>16</v>
      </c>
      <c r="D83" s="2" t="s">
        <v>17</v>
      </c>
      <c r="E83" s="5">
        <v>-31709</v>
      </c>
      <c r="F83" s="3" t="s">
        <v>36</v>
      </c>
      <c r="G83" s="3" t="s">
        <v>58</v>
      </c>
      <c r="H83" s="2" t="s">
        <v>20</v>
      </c>
      <c r="I83" s="2" t="s">
        <v>283</v>
      </c>
      <c r="J83" s="3" t="str">
        <f>HYPERLINK("https://www.boe.es/gazeta/dias/1813/03/07/pdfs/GMD-1813-66.pdf#page=2","Abrir facsímil")</f>
        <v>Abrir facsímil</v>
      </c>
      <c r="K83" s="3" t="s">
        <v>22</v>
      </c>
    </row>
    <row r="84" spans="1:11" ht="42" customHeight="1">
      <c r="A84" s="2" t="s">
        <v>284</v>
      </c>
      <c r="B84" s="2" t="s">
        <v>285</v>
      </c>
      <c r="C84" s="2" t="s">
        <v>16</v>
      </c>
      <c r="D84" s="2" t="s">
        <v>17</v>
      </c>
      <c r="E84" s="5">
        <v>-31598</v>
      </c>
      <c r="F84" s="3" t="s">
        <v>286</v>
      </c>
      <c r="G84" s="3" t="s">
        <v>82</v>
      </c>
      <c r="H84" s="2" t="s">
        <v>20</v>
      </c>
      <c r="I84" s="2" t="s">
        <v>287</v>
      </c>
      <c r="J84" s="3" t="str">
        <f>HYPERLINK("https://www.boe.es/gazeta/dias/1813/06/26/pdfs/GRE-1813-79.pdf#page=5","Abrir facsímil")</f>
        <v>Abrir facsímil</v>
      </c>
      <c r="K84" s="3" t="s">
        <v>22</v>
      </c>
    </row>
    <row r="85" spans="1:11" ht="42" customHeight="1">
      <c r="A85" s="2" t="s">
        <v>288</v>
      </c>
      <c r="B85" s="2" t="s">
        <v>288</v>
      </c>
      <c r="C85" s="2" t="s">
        <v>16</v>
      </c>
      <c r="D85" s="2" t="s">
        <v>17</v>
      </c>
      <c r="E85" s="5">
        <v>-31507</v>
      </c>
      <c r="F85" s="3" t="s">
        <v>61</v>
      </c>
      <c r="G85" s="3" t="s">
        <v>28</v>
      </c>
      <c r="H85" s="2" t="s">
        <v>20</v>
      </c>
      <c r="I85" s="2" t="s">
        <v>289</v>
      </c>
      <c r="J85" s="3" t="str">
        <f>HYPERLINK("https://www.boe.es/gazeta/dias/1813/09/25/pdfs/GMR-1813-48.pdf#page=8","Abrir facsímil")</f>
        <v>Abrir facsímil</v>
      </c>
      <c r="K85" s="3" t="s">
        <v>22</v>
      </c>
    </row>
    <row r="86" spans="1:11" ht="42" customHeight="1">
      <c r="A86" s="2" t="s">
        <v>288</v>
      </c>
      <c r="B86" s="2" t="s">
        <v>288</v>
      </c>
      <c r="C86" s="2" t="s">
        <v>16</v>
      </c>
      <c r="D86" s="2" t="s">
        <v>97</v>
      </c>
      <c r="E86" s="5">
        <v>-31479</v>
      </c>
      <c r="F86" s="3" t="s">
        <v>290</v>
      </c>
      <c r="G86" s="3" t="s">
        <v>87</v>
      </c>
      <c r="H86" s="2" t="s">
        <v>20</v>
      </c>
      <c r="I86" s="2" t="s">
        <v>291</v>
      </c>
      <c r="J86" s="3" t="str">
        <f>HYPERLINK("https://www.boe.es/gazeta/dias/1813/10/23/pdfs/GRE-1813-139E.pdf#page=7","Abrir facsímil")</f>
        <v>Abrir facsímil</v>
      </c>
      <c r="K86" s="3" t="s">
        <v>22</v>
      </c>
    </row>
    <row r="87" spans="1:11" ht="42" customHeight="1">
      <c r="A87" s="2" t="s">
        <v>292</v>
      </c>
      <c r="B87" s="2" t="s">
        <v>293</v>
      </c>
      <c r="C87" s="2" t="s">
        <v>16</v>
      </c>
      <c r="D87" s="2" t="s">
        <v>17</v>
      </c>
      <c r="E87" s="5">
        <v>-31549</v>
      </c>
      <c r="F87" s="3" t="s">
        <v>294</v>
      </c>
      <c r="G87" s="3" t="s">
        <v>295</v>
      </c>
      <c r="H87" s="2" t="s">
        <v>20</v>
      </c>
      <c r="I87" s="2" t="s">
        <v>296</v>
      </c>
      <c r="J87" s="3" t="str">
        <f>HYPERLINK("https://www.boe.es/gazeta/dias/1813/08/14/pdfs/GRE-1813-103.pdf#page=5","Abrir facsímil")</f>
        <v>Abrir facsímil</v>
      </c>
      <c r="K87" s="3" t="s">
        <v>22</v>
      </c>
    </row>
    <row r="88" spans="1:11" ht="42" customHeight="1">
      <c r="A88" s="2" t="s">
        <v>297</v>
      </c>
      <c r="B88" s="2" t="s">
        <v>298</v>
      </c>
      <c r="C88" s="2" t="s">
        <v>16</v>
      </c>
      <c r="D88" s="2" t="s">
        <v>97</v>
      </c>
      <c r="E88" s="5">
        <v>-31445</v>
      </c>
      <c r="F88" s="3" t="s">
        <v>299</v>
      </c>
      <c r="G88" s="3" t="s">
        <v>300</v>
      </c>
      <c r="H88" s="2" t="s">
        <v>20</v>
      </c>
      <c r="I88" s="2" t="s">
        <v>301</v>
      </c>
      <c r="J88" s="3" t="str">
        <f>HYPERLINK("https://www.boe.es/gazeta/dias/1813/11/26/pdfs/GRE-1813-156E.pdf#page=3","Abrir facsímil")</f>
        <v>Abrir facsímil</v>
      </c>
      <c r="K88" s="3" t="s">
        <v>22</v>
      </c>
    </row>
    <row r="89" spans="1:11" ht="42" customHeight="1">
      <c r="A89" s="2" t="s">
        <v>302</v>
      </c>
      <c r="B89" s="2" t="s">
        <v>302</v>
      </c>
      <c r="C89" s="2" t="s">
        <v>34</v>
      </c>
      <c r="D89" s="2" t="s">
        <v>35</v>
      </c>
      <c r="E89" s="5">
        <v>-31709</v>
      </c>
      <c r="F89" s="3" t="s">
        <v>36</v>
      </c>
      <c r="G89" s="3" t="s">
        <v>303</v>
      </c>
      <c r="H89" s="2" t="s">
        <v>20</v>
      </c>
      <c r="I89" s="2" t="s">
        <v>304</v>
      </c>
      <c r="J89" s="3" t="str">
        <f>HYPERLINK("https://www.boe.es/gazeta/dias/1813/03/07/pdfs/GMD-1813-66.pdf#page=3","Abrir facsímil")</f>
        <v>Abrir facsímil</v>
      </c>
      <c r="K89" s="3" t="s">
        <v>22</v>
      </c>
    </row>
    <row r="90" spans="1:11" ht="42" customHeight="1">
      <c r="A90" s="2" t="s">
        <v>305</v>
      </c>
      <c r="B90" s="2" t="s">
        <v>305</v>
      </c>
      <c r="C90" s="2" t="s">
        <v>16</v>
      </c>
      <c r="D90" s="2" t="s">
        <v>17</v>
      </c>
      <c r="E90" s="5">
        <v>-31565</v>
      </c>
      <c r="F90" s="3" t="s">
        <v>306</v>
      </c>
      <c r="G90" s="3" t="s">
        <v>95</v>
      </c>
      <c r="H90" s="2" t="s">
        <v>20</v>
      </c>
      <c r="I90" s="2" t="s">
        <v>307</v>
      </c>
      <c r="J90" s="3" t="str">
        <f>HYPERLINK("https://www.boe.es/gazeta/dias/1813/07/29/pdfs/GRE-1813-96.pdf#page=6","Abrir facsímil")</f>
        <v>Abrir facsímil</v>
      </c>
      <c r="K90" s="3" t="s">
        <v>22</v>
      </c>
    </row>
    <row r="91" spans="1:11" ht="42" customHeight="1">
      <c r="A91" s="2" t="s">
        <v>305</v>
      </c>
      <c r="B91" s="2" t="s">
        <v>305</v>
      </c>
      <c r="C91" s="2" t="s">
        <v>16</v>
      </c>
      <c r="D91" s="2" t="s">
        <v>17</v>
      </c>
      <c r="E91" s="5">
        <v>-31483</v>
      </c>
      <c r="F91" s="3" t="s">
        <v>308</v>
      </c>
      <c r="G91" s="3" t="s">
        <v>19</v>
      </c>
      <c r="H91" s="2" t="s">
        <v>20</v>
      </c>
      <c r="I91" s="2" t="s">
        <v>309</v>
      </c>
      <c r="J91" s="3" t="str">
        <f>HYPERLINK("https://www.boe.es/gazeta/dias/1813/10/19/pdfs/GRE-1813-136.pdf#page=4","Abrir facsímil")</f>
        <v>Abrir facsímil</v>
      </c>
      <c r="K91" s="3" t="s">
        <v>22</v>
      </c>
    </row>
    <row r="92" spans="1:11" ht="42" customHeight="1">
      <c r="A92" s="2" t="s">
        <v>310</v>
      </c>
      <c r="B92" s="2" t="s">
        <v>311</v>
      </c>
      <c r="C92" s="2" t="s">
        <v>16</v>
      </c>
      <c r="D92" s="2" t="s">
        <v>97</v>
      </c>
      <c r="E92" s="5">
        <v>-31519</v>
      </c>
      <c r="F92" s="3" t="s">
        <v>312</v>
      </c>
      <c r="G92" s="3" t="s">
        <v>313</v>
      </c>
      <c r="H92" s="2" t="s">
        <v>20</v>
      </c>
      <c r="I92" s="2" t="s">
        <v>314</v>
      </c>
      <c r="J92" s="3" t="str">
        <f>HYPERLINK("https://www.boe.es/gazeta/dias/1813/09/13/pdfs/GRE-1813-118E.pdf#page=9","Abrir facsímil")</f>
        <v>Abrir facsímil</v>
      </c>
      <c r="K92" s="3" t="s">
        <v>22</v>
      </c>
    </row>
    <row r="93" spans="1:11" ht="42" customHeight="1">
      <c r="A93" s="2" t="s">
        <v>315</v>
      </c>
      <c r="B93" s="2" t="s">
        <v>316</v>
      </c>
      <c r="C93" s="2" t="s">
        <v>16</v>
      </c>
      <c r="D93" s="2" t="s">
        <v>17</v>
      </c>
      <c r="E93" s="5">
        <v>-31572</v>
      </c>
      <c r="F93" s="3" t="s">
        <v>317</v>
      </c>
      <c r="G93" s="3" t="s">
        <v>95</v>
      </c>
      <c r="H93" s="2" t="s">
        <v>20</v>
      </c>
      <c r="I93" s="2" t="s">
        <v>318</v>
      </c>
      <c r="J93" s="3" t="str">
        <f>HYPERLINK("https://www.boe.es/gazeta/dias/1813/07/22/pdfs/GRE-1813-93.pdf#page=6","Abrir facsímil")</f>
        <v>Abrir facsímil</v>
      </c>
      <c r="K93" s="3" t="s">
        <v>22</v>
      </c>
    </row>
    <row r="94" spans="1:11" ht="42" customHeight="1">
      <c r="A94" s="2" t="s">
        <v>315</v>
      </c>
      <c r="B94" s="2" t="s">
        <v>316</v>
      </c>
      <c r="C94" s="2" t="s">
        <v>16</v>
      </c>
      <c r="D94" s="2" t="s">
        <v>17</v>
      </c>
      <c r="E94" s="5">
        <v>-31530</v>
      </c>
      <c r="F94" s="3" t="s">
        <v>319</v>
      </c>
      <c r="G94" s="3" t="s">
        <v>320</v>
      </c>
      <c r="H94" s="2" t="s">
        <v>20</v>
      </c>
      <c r="I94" s="2" t="s">
        <v>321</v>
      </c>
      <c r="J94" s="3" t="str">
        <f>HYPERLINK("https://www.boe.es/gazeta/dias/1813/09/02/pdfs/GRE-1813-112.pdf#page=6","Abrir facsímil")</f>
        <v>Abrir facsímil</v>
      </c>
      <c r="K94" s="3" t="s">
        <v>22</v>
      </c>
    </row>
    <row r="95" spans="1:11" ht="42" customHeight="1">
      <c r="A95" s="2" t="s">
        <v>315</v>
      </c>
      <c r="B95" s="2" t="s">
        <v>316</v>
      </c>
      <c r="C95" s="2" t="s">
        <v>16</v>
      </c>
      <c r="D95" s="2" t="s">
        <v>17</v>
      </c>
      <c r="E95" s="5">
        <v>-31479</v>
      </c>
      <c r="F95" s="3" t="s">
        <v>322</v>
      </c>
      <c r="G95" s="3" t="s">
        <v>323</v>
      </c>
      <c r="H95" s="2" t="s">
        <v>20</v>
      </c>
      <c r="I95" s="2" t="s">
        <v>324</v>
      </c>
      <c r="J95" s="3" t="str">
        <f>HYPERLINK("https://www.boe.es/gazeta/dias/1813/10/23/pdfs/GMR-1813-63.pdf#page=10","Abrir facsímil")</f>
        <v>Abrir facsímil</v>
      </c>
      <c r="K95" s="3" t="s">
        <v>22</v>
      </c>
    </row>
    <row r="96" spans="1:11" ht="42" customHeight="1">
      <c r="A96" s="2" t="s">
        <v>315</v>
      </c>
      <c r="B96" s="2" t="s">
        <v>316</v>
      </c>
      <c r="C96" s="2" t="s">
        <v>16</v>
      </c>
      <c r="D96" s="2" t="s">
        <v>17</v>
      </c>
      <c r="E96" s="5">
        <v>-31448</v>
      </c>
      <c r="F96" s="3" t="s">
        <v>325</v>
      </c>
      <c r="G96" s="3" t="s">
        <v>207</v>
      </c>
      <c r="H96" s="2" t="s">
        <v>20</v>
      </c>
      <c r="I96" s="2" t="s">
        <v>326</v>
      </c>
      <c r="J96" s="3" t="str">
        <f>HYPERLINK("https://www.boe.es/gazeta/dias/1813/11/23/pdfs/GMR-1813-78.pdf#page=10","Abrir facsímil")</f>
        <v>Abrir facsímil</v>
      </c>
      <c r="K96" s="3" t="s">
        <v>22</v>
      </c>
    </row>
    <row r="97" spans="1:11" ht="42" customHeight="1">
      <c r="A97" s="2" t="s">
        <v>327</v>
      </c>
      <c r="B97" s="2" t="s">
        <v>328</v>
      </c>
      <c r="C97" s="2" t="s">
        <v>16</v>
      </c>
      <c r="D97" s="2" t="s">
        <v>97</v>
      </c>
      <c r="E97" s="5">
        <v>-31519</v>
      </c>
      <c r="F97" s="3" t="s">
        <v>312</v>
      </c>
      <c r="G97" s="3" t="s">
        <v>313</v>
      </c>
      <c r="H97" s="2" t="s">
        <v>20</v>
      </c>
      <c r="I97" s="2" t="s">
        <v>329</v>
      </c>
      <c r="J97" s="3" t="str">
        <f>HYPERLINK("https://www.boe.es/gazeta/dias/1813/09/13/pdfs/GRE-1813-118E.pdf#page=9","Abrir facsímil")</f>
        <v>Abrir facsímil</v>
      </c>
      <c r="K97" s="3" t="s">
        <v>22</v>
      </c>
    </row>
    <row r="98" spans="1:11" ht="42" customHeight="1">
      <c r="A98" s="2" t="s">
        <v>330</v>
      </c>
      <c r="B98" s="2" t="s">
        <v>331</v>
      </c>
      <c r="C98" s="2" t="s">
        <v>16</v>
      </c>
      <c r="D98" s="2" t="s">
        <v>17</v>
      </c>
      <c r="E98" s="5">
        <v>-31549</v>
      </c>
      <c r="F98" s="3" t="s">
        <v>332</v>
      </c>
      <c r="G98" s="3" t="s">
        <v>82</v>
      </c>
      <c r="H98" s="2" t="s">
        <v>20</v>
      </c>
      <c r="I98" s="2" t="s">
        <v>333</v>
      </c>
      <c r="J98" s="3" t="str">
        <f>HYPERLINK("https://www.boe.es/gazeta/dias/1813/08/14/pdfs/GMR-1813-28.pdf#page=5","Abrir facsímil")</f>
        <v>Abrir facsímil</v>
      </c>
      <c r="K98" s="3" t="s">
        <v>22</v>
      </c>
    </row>
    <row r="99" spans="1:11" ht="42" customHeight="1">
      <c r="A99" s="2" t="s">
        <v>334</v>
      </c>
      <c r="B99" s="2" t="s">
        <v>334</v>
      </c>
      <c r="C99" s="2" t="s">
        <v>25</v>
      </c>
      <c r="D99" s="2" t="s">
        <v>26</v>
      </c>
      <c r="E99" s="5">
        <v>-31565</v>
      </c>
      <c r="F99" s="3" t="s">
        <v>306</v>
      </c>
      <c r="G99" s="3" t="s">
        <v>65</v>
      </c>
      <c r="H99" s="2" t="s">
        <v>20</v>
      </c>
      <c r="I99" s="2" t="s">
        <v>335</v>
      </c>
      <c r="J99" s="3" t="str">
        <f>HYPERLINK("https://www.boe.es/gazeta/dias/1813/07/29/pdfs/GRE-1813-96.pdf#page=1","Abrir facsímil")</f>
        <v>Abrir facsímil</v>
      </c>
      <c r="K99" s="3" t="s">
        <v>22</v>
      </c>
    </row>
    <row r="100" spans="1:11" ht="42" customHeight="1">
      <c r="A100" s="2" t="s">
        <v>336</v>
      </c>
      <c r="B100" s="2" t="s">
        <v>336</v>
      </c>
      <c r="C100" s="2" t="s">
        <v>25</v>
      </c>
      <c r="D100" s="2" t="s">
        <v>26</v>
      </c>
      <c r="E100" s="5">
        <v>-31542</v>
      </c>
      <c r="F100" s="3" t="s">
        <v>337</v>
      </c>
      <c r="G100" s="3" t="s">
        <v>58</v>
      </c>
      <c r="H100" s="2" t="s">
        <v>20</v>
      </c>
      <c r="I100" s="2" t="s">
        <v>338</v>
      </c>
      <c r="J100" s="3" t="str">
        <f>HYPERLINK("https://www.boe.es/gazeta/dias/1813/08/21/pdfs/GRE-1813-107.pdf#page=2","Abrir facsímil")</f>
        <v>Abrir facsímil</v>
      </c>
      <c r="K100" s="3" t="s">
        <v>22</v>
      </c>
    </row>
    <row r="101" spans="1:11" ht="42" customHeight="1">
      <c r="A101" s="2" t="s">
        <v>339</v>
      </c>
      <c r="B101" s="2" t="s">
        <v>339</v>
      </c>
      <c r="C101" s="2" t="s">
        <v>16</v>
      </c>
      <c r="D101" s="2" t="s">
        <v>17</v>
      </c>
      <c r="E101" s="5">
        <v>-31423</v>
      </c>
      <c r="F101" s="3" t="s">
        <v>340</v>
      </c>
      <c r="G101" s="3" t="s">
        <v>341</v>
      </c>
      <c r="H101" s="2" t="s">
        <v>20</v>
      </c>
      <c r="I101" s="2" t="s">
        <v>342</v>
      </c>
      <c r="J101" s="3" t="str">
        <f>HYPERLINK("https://www.boe.es/gazeta/dias/1813/12/18/pdfs/GRE-1813-166.pdf#page=7","Abrir facsímil")</f>
        <v>Abrir facsímil</v>
      </c>
      <c r="K101" s="3" t="s">
        <v>22</v>
      </c>
    </row>
    <row r="102" spans="1:11" ht="42" customHeight="1">
      <c r="A102" s="2" t="s">
        <v>343</v>
      </c>
      <c r="B102" s="2" t="s">
        <v>343</v>
      </c>
      <c r="C102" s="2" t="s">
        <v>16</v>
      </c>
      <c r="D102" s="2" t="s">
        <v>17</v>
      </c>
      <c r="E102" s="5">
        <v>-31451</v>
      </c>
      <c r="F102" s="3" t="s">
        <v>127</v>
      </c>
      <c r="G102" s="3" t="s">
        <v>65</v>
      </c>
      <c r="H102" s="2" t="s">
        <v>20</v>
      </c>
      <c r="I102" s="2" t="s">
        <v>344</v>
      </c>
      <c r="J102" s="3" t="str">
        <f>HYPERLINK("https://www.boe.es/gazeta/dias/1813/11/20/pdfs/GRE-1813-152.pdf#page=1","Abrir facsímil")</f>
        <v>Abrir facsímil</v>
      </c>
      <c r="K102" s="3" t="s">
        <v>22</v>
      </c>
    </row>
    <row r="103" spans="1:11" ht="42" customHeight="1">
      <c r="A103" s="2" t="s">
        <v>345</v>
      </c>
      <c r="B103" s="2" t="s">
        <v>346</v>
      </c>
      <c r="C103" s="2" t="s">
        <v>16</v>
      </c>
      <c r="D103" s="2" t="s">
        <v>17</v>
      </c>
      <c r="E103" s="5">
        <v>-31542</v>
      </c>
      <c r="F103" s="3" t="s">
        <v>347</v>
      </c>
      <c r="G103" s="3" t="s">
        <v>28</v>
      </c>
      <c r="H103" s="2" t="s">
        <v>29</v>
      </c>
      <c r="I103" s="2" t="s">
        <v>348</v>
      </c>
      <c r="J103" s="3" t="str">
        <f>HYPERLINK("https://www.boe.es/gazeta/dias/1813/08/21/pdfs/GMR-1813-31.pdf#page=8","Abrir facsímil")</f>
        <v>Abrir facsímil</v>
      </c>
      <c r="K103" s="3" t="s">
        <v>31</v>
      </c>
    </row>
    <row r="104" spans="1:11" ht="42" customHeight="1">
      <c r="A104" s="2" t="s">
        <v>349</v>
      </c>
      <c r="B104" s="2" t="s">
        <v>350</v>
      </c>
      <c r="C104" s="2" t="s">
        <v>25</v>
      </c>
      <c r="D104" s="2" t="s">
        <v>26</v>
      </c>
      <c r="E104" s="5">
        <v>-31476</v>
      </c>
      <c r="F104" s="3" t="s">
        <v>158</v>
      </c>
      <c r="G104" s="3" t="s">
        <v>82</v>
      </c>
      <c r="H104" s="2" t="s">
        <v>20</v>
      </c>
      <c r="I104" s="2" t="s">
        <v>351</v>
      </c>
      <c r="J104" s="3" t="str">
        <f>HYPERLINK("https://www.boe.es/gazeta/dias/1813/10/26/pdfs/GMR-1813-64.pdf#page=5","Abrir facsímil")</f>
        <v>Abrir facsímil</v>
      </c>
      <c r="K104" s="3" t="s">
        <v>22</v>
      </c>
    </row>
    <row r="105" spans="1:11" ht="42" customHeight="1">
      <c r="A105" s="2" t="s">
        <v>352</v>
      </c>
      <c r="B105" s="2" t="s">
        <v>353</v>
      </c>
      <c r="C105" s="2" t="s">
        <v>25</v>
      </c>
      <c r="D105" s="2" t="s">
        <v>26</v>
      </c>
      <c r="E105" s="5">
        <v>-31740</v>
      </c>
      <c r="F105" s="3" t="s">
        <v>354</v>
      </c>
      <c r="G105" s="3" t="s">
        <v>82</v>
      </c>
      <c r="H105" s="2" t="s">
        <v>20</v>
      </c>
      <c r="I105" s="2" t="s">
        <v>355</v>
      </c>
      <c r="J105" s="3" t="str">
        <f>HYPERLINK("https://www.boe.es/gazeta/dias/1813/02/04/pdfs/GRE-1813-15.pdf#page=5","Abrir facsímil")</f>
        <v>Abrir facsímil</v>
      </c>
      <c r="K105" s="3" t="s">
        <v>22</v>
      </c>
    </row>
    <row r="106" spans="1:11" ht="42" customHeight="1">
      <c r="A106" s="2" t="s">
        <v>356</v>
      </c>
      <c r="B106" s="2" t="s">
        <v>357</v>
      </c>
      <c r="C106" s="2" t="s">
        <v>16</v>
      </c>
      <c r="D106" s="2" t="s">
        <v>17</v>
      </c>
      <c r="E106" s="5">
        <v>-31628</v>
      </c>
      <c r="F106" s="3" t="s">
        <v>358</v>
      </c>
      <c r="G106" s="3" t="s">
        <v>359</v>
      </c>
      <c r="H106" s="2" t="s">
        <v>20</v>
      </c>
      <c r="I106" s="2" t="s">
        <v>360</v>
      </c>
      <c r="J106" s="3" t="str">
        <f>HYPERLINK("https://www.boe.es/gazeta/dias/1813/05/27/pdfs/GRE-1813-65.pdf#page=6","Abrir facsímil")</f>
        <v>Abrir facsímil</v>
      </c>
      <c r="K106" s="3" t="s">
        <v>22</v>
      </c>
    </row>
    <row r="107" spans="1:11" ht="42" customHeight="1">
      <c r="A107" s="2" t="s">
        <v>361</v>
      </c>
      <c r="B107" s="2" t="s">
        <v>361</v>
      </c>
      <c r="C107" s="2" t="s">
        <v>25</v>
      </c>
      <c r="D107" s="2" t="s">
        <v>26</v>
      </c>
      <c r="E107" s="5">
        <v>-31734</v>
      </c>
      <c r="F107" s="3" t="s">
        <v>362</v>
      </c>
      <c r="G107" s="3" t="s">
        <v>58</v>
      </c>
      <c r="H107" s="2" t="s">
        <v>20</v>
      </c>
      <c r="I107" s="2" t="s">
        <v>363</v>
      </c>
      <c r="J107" s="3" t="str">
        <f>HYPERLINK("https://www.boe.es/gazeta/dias/1813/02/10/pdfs/GMD-1813-41.pdf#page=2","Abrir facsímil")</f>
        <v>Abrir facsímil</v>
      </c>
      <c r="K107" s="3" t="s">
        <v>22</v>
      </c>
    </row>
    <row r="108" spans="1:11" ht="42" customHeight="1">
      <c r="A108" s="2" t="s">
        <v>364</v>
      </c>
      <c r="B108" s="2" t="s">
        <v>365</v>
      </c>
      <c r="C108" s="2" t="s">
        <v>16</v>
      </c>
      <c r="D108" s="2" t="s">
        <v>17</v>
      </c>
      <c r="E108" s="5">
        <v>-31535</v>
      </c>
      <c r="F108" s="3" t="s">
        <v>366</v>
      </c>
      <c r="G108" s="3" t="s">
        <v>19</v>
      </c>
      <c r="H108" s="2" t="s">
        <v>20</v>
      </c>
      <c r="I108" s="2" t="s">
        <v>367</v>
      </c>
      <c r="J108" s="3" t="str">
        <f>HYPERLINK("https://www.boe.es/gazeta/dias/1813/08/28/pdfs/GRE-1813-110.pdf#page=4","Abrir facsímil")</f>
        <v>Abrir facsímil</v>
      </c>
      <c r="K108" s="3" t="s">
        <v>22</v>
      </c>
    </row>
    <row r="109" spans="1:11" ht="42" customHeight="1">
      <c r="A109" s="2" t="s">
        <v>368</v>
      </c>
      <c r="B109" s="2" t="s">
        <v>369</v>
      </c>
      <c r="C109" s="2" t="s">
        <v>16</v>
      </c>
      <c r="D109" s="2" t="s">
        <v>17</v>
      </c>
      <c r="E109" s="5">
        <v>-31413</v>
      </c>
      <c r="F109" s="3" t="s">
        <v>152</v>
      </c>
      <c r="G109" s="3" t="s">
        <v>82</v>
      </c>
      <c r="H109" s="2" t="s">
        <v>20</v>
      </c>
      <c r="I109" s="2" t="s">
        <v>370</v>
      </c>
      <c r="J109" s="3" t="str">
        <f>HYPERLINK("https://www.boe.es/gazeta/dias/1813/12/28/pdfs/GRE-1813-170.pdf#page=5","Abrir facsímil")</f>
        <v>Abrir facsímil</v>
      </c>
      <c r="K109" s="3" t="s">
        <v>22</v>
      </c>
    </row>
    <row r="110" spans="1:11" ht="42" customHeight="1">
      <c r="A110" s="2" t="s">
        <v>371</v>
      </c>
      <c r="B110" s="2" t="s">
        <v>371</v>
      </c>
      <c r="C110" s="2" t="s">
        <v>34</v>
      </c>
      <c r="D110" s="2" t="s">
        <v>35</v>
      </c>
      <c r="E110" s="5">
        <v>-31686</v>
      </c>
      <c r="F110" s="3" t="s">
        <v>372</v>
      </c>
      <c r="G110" s="3" t="s">
        <v>373</v>
      </c>
      <c r="H110" s="2" t="s">
        <v>20</v>
      </c>
      <c r="I110" s="2" t="s">
        <v>374</v>
      </c>
      <c r="J110" s="3" t="str">
        <f>HYPERLINK("https://www.boe.es/gazeta/dias/1813/03/30/pdfs/GRE-1813-39.pdf#page=4","Abrir facsímil")</f>
        <v>Abrir facsímil</v>
      </c>
      <c r="K110" s="3" t="s">
        <v>22</v>
      </c>
    </row>
    <row r="111" spans="1:11" ht="42" customHeight="1">
      <c r="A111" s="2" t="s">
        <v>375</v>
      </c>
      <c r="B111" s="2" t="s">
        <v>375</v>
      </c>
      <c r="C111" s="2" t="s">
        <v>16</v>
      </c>
      <c r="D111" s="2" t="s">
        <v>17</v>
      </c>
      <c r="E111" s="5">
        <v>-31761</v>
      </c>
      <c r="F111" s="3" t="s">
        <v>376</v>
      </c>
      <c r="G111" s="3" t="s">
        <v>377</v>
      </c>
      <c r="H111" s="2" t="s">
        <v>20</v>
      </c>
      <c r="I111" s="2" t="s">
        <v>378</v>
      </c>
      <c r="J111" s="3" t="str">
        <f>HYPERLINK("https://www.boe.es/gazeta/dias/1813/01/14/pdfs/GRE-1813-6.pdf#page=3","Abrir facsímil")</f>
        <v>Abrir facsímil</v>
      </c>
      <c r="K111" s="3" t="s">
        <v>22</v>
      </c>
    </row>
    <row r="112" spans="1:11" ht="42" customHeight="1">
      <c r="A112" s="2" t="s">
        <v>379</v>
      </c>
      <c r="B112" s="2" t="s">
        <v>379</v>
      </c>
      <c r="C112" s="2" t="s">
        <v>16</v>
      </c>
      <c r="D112" s="2" t="s">
        <v>17</v>
      </c>
      <c r="E112" s="5">
        <v>-31481</v>
      </c>
      <c r="F112" s="3" t="s">
        <v>380</v>
      </c>
      <c r="G112" s="3" t="s">
        <v>381</v>
      </c>
      <c r="H112" s="2" t="s">
        <v>20</v>
      </c>
      <c r="I112" s="2" t="s">
        <v>382</v>
      </c>
      <c r="J112" s="3" t="str">
        <f>HYPERLINK("https://www.boe.es/gazeta/dias/1813/10/21/pdfs/GRE-1813-137.pdf#page=4","Abrir facsímil")</f>
        <v>Abrir facsímil</v>
      </c>
      <c r="K112" s="3" t="s">
        <v>22</v>
      </c>
    </row>
    <row r="113" spans="1:11" ht="42" customHeight="1">
      <c r="A113" s="2" t="s">
        <v>383</v>
      </c>
      <c r="B113" s="2" t="s">
        <v>384</v>
      </c>
      <c r="C113" s="2" t="s">
        <v>16</v>
      </c>
      <c r="D113" s="2" t="s">
        <v>17</v>
      </c>
      <c r="E113" s="5">
        <v>-31711</v>
      </c>
      <c r="F113" s="3" t="s">
        <v>385</v>
      </c>
      <c r="G113" s="3" t="s">
        <v>54</v>
      </c>
      <c r="H113" s="2" t="s">
        <v>20</v>
      </c>
      <c r="I113" s="2" t="s">
        <v>386</v>
      </c>
      <c r="J113" s="3" t="str">
        <f>HYPERLINK("https://www.boe.es/gazeta/dias/1813/03/05/pdfs/GRE-1813-99.pdf#page=3","Abrir facsímil")</f>
        <v>Abrir facsímil</v>
      </c>
      <c r="K113" s="3" t="s">
        <v>22</v>
      </c>
    </row>
    <row r="114" spans="1:11" ht="42" customHeight="1">
      <c r="A114" s="2" t="s">
        <v>383</v>
      </c>
      <c r="B114" s="2" t="s">
        <v>384</v>
      </c>
      <c r="C114" s="2" t="s">
        <v>16</v>
      </c>
      <c r="D114" s="2" t="s">
        <v>17</v>
      </c>
      <c r="E114" s="5">
        <v>-31558</v>
      </c>
      <c r="F114" s="3" t="s">
        <v>385</v>
      </c>
      <c r="G114" s="3" t="s">
        <v>54</v>
      </c>
      <c r="H114" s="2" t="s">
        <v>20</v>
      </c>
      <c r="I114" s="2" t="s">
        <v>386</v>
      </c>
      <c r="J114" s="3" t="str">
        <f>HYPERLINK("https://www.boe.es/gazeta/dias/1813/08/05/pdfs/GRE-1813-99.pdf#page=3","Abrir facsímil")</f>
        <v>Abrir facsímil</v>
      </c>
      <c r="K114" s="3" t="s">
        <v>22</v>
      </c>
    </row>
    <row r="115" spans="1:11" ht="42" customHeight="1">
      <c r="A115" s="2" t="s">
        <v>387</v>
      </c>
      <c r="B115" s="2" t="s">
        <v>388</v>
      </c>
      <c r="C115" s="2" t="s">
        <v>16</v>
      </c>
      <c r="D115" s="2" t="s">
        <v>17</v>
      </c>
      <c r="E115" s="5">
        <v>-31444</v>
      </c>
      <c r="F115" s="3" t="s">
        <v>389</v>
      </c>
      <c r="G115" s="3" t="s">
        <v>19</v>
      </c>
      <c r="H115" s="2" t="s">
        <v>20</v>
      </c>
      <c r="I115" s="2" t="s">
        <v>390</v>
      </c>
      <c r="J115" s="3" t="str">
        <f>HYPERLINK("https://www.boe.es/gazeta/dias/1813/11/27/pdfs/GMR-1813-80.pdf#page=4","Abrir facsímil")</f>
        <v>Abrir facsímil</v>
      </c>
      <c r="K115" s="3" t="s">
        <v>22</v>
      </c>
    </row>
    <row r="116" spans="1:11" ht="42" customHeight="1">
      <c r="A116" s="2" t="s">
        <v>391</v>
      </c>
      <c r="B116" s="2" t="s">
        <v>392</v>
      </c>
      <c r="C116" s="2" t="s">
        <v>187</v>
      </c>
      <c r="D116" s="2" t="s">
        <v>26</v>
      </c>
      <c r="E116" s="5">
        <v>-31770</v>
      </c>
      <c r="F116" s="3" t="s">
        <v>188</v>
      </c>
      <c r="G116" s="3" t="s">
        <v>28</v>
      </c>
      <c r="H116" s="2" t="s">
        <v>20</v>
      </c>
      <c r="I116" s="2" t="s">
        <v>393</v>
      </c>
      <c r="J116" s="3" t="str">
        <f>HYPERLINK("https://www.boe.es/gazeta/dias/1813/01/05/pdfs/GRE-1813-3.pdf#page=8","Abrir facsímil")</f>
        <v>Abrir facsímil</v>
      </c>
      <c r="K116" s="3" t="s">
        <v>22</v>
      </c>
    </row>
    <row r="117" spans="1:11" ht="42" customHeight="1">
      <c r="A117" s="2" t="s">
        <v>391</v>
      </c>
      <c r="B117" s="2" t="s">
        <v>392</v>
      </c>
      <c r="C117" s="2" t="s">
        <v>187</v>
      </c>
      <c r="D117" s="2" t="s">
        <v>26</v>
      </c>
      <c r="E117" s="5">
        <v>-31768</v>
      </c>
      <c r="F117" s="3" t="s">
        <v>188</v>
      </c>
      <c r="G117" s="3" t="s">
        <v>28</v>
      </c>
      <c r="H117" s="2" t="s">
        <v>20</v>
      </c>
      <c r="I117" s="2" t="s">
        <v>393</v>
      </c>
      <c r="J117" s="3" t="str">
        <f>HYPERLINK("https://www.boe.es/gazeta/dias/1813/01/07/pdfs/GRE-1813-3.pdf#page=8","Abrir facsímil")</f>
        <v>Abrir facsímil</v>
      </c>
      <c r="K117" s="3" t="s">
        <v>22</v>
      </c>
    </row>
    <row r="118" spans="1:11" ht="42" customHeight="1">
      <c r="A118" s="2" t="s">
        <v>394</v>
      </c>
      <c r="B118" s="2" t="s">
        <v>395</v>
      </c>
      <c r="C118" s="2" t="s">
        <v>16</v>
      </c>
      <c r="D118" s="2" t="s">
        <v>17</v>
      </c>
      <c r="E118" s="5">
        <v>-31665</v>
      </c>
      <c r="F118" s="3" t="s">
        <v>396</v>
      </c>
      <c r="G118" s="3" t="s">
        <v>397</v>
      </c>
      <c r="H118" s="2" t="s">
        <v>20</v>
      </c>
      <c r="I118" s="2" t="s">
        <v>398</v>
      </c>
      <c r="J118" s="3" t="str">
        <f>HYPERLINK("https://www.boe.es/gazeta/dias/1813/04/20/pdfs/GRE-1813-49.pdf#page=8","Abrir facsímil")</f>
        <v>Abrir facsímil</v>
      </c>
      <c r="K118" s="3" t="s">
        <v>22</v>
      </c>
    </row>
    <row r="119" spans="1:11" ht="42" customHeight="1">
      <c r="A119" s="2" t="s">
        <v>399</v>
      </c>
      <c r="B119" s="2" t="s">
        <v>400</v>
      </c>
      <c r="C119" s="2" t="s">
        <v>25</v>
      </c>
      <c r="D119" s="2" t="s">
        <v>26</v>
      </c>
      <c r="E119" s="5">
        <v>-31719</v>
      </c>
      <c r="F119" s="3" t="s">
        <v>251</v>
      </c>
      <c r="G119" s="3" t="s">
        <v>19</v>
      </c>
      <c r="H119" s="2" t="s">
        <v>20</v>
      </c>
      <c r="I119" s="2" t="s">
        <v>401</v>
      </c>
      <c r="J119" s="3" t="str">
        <f>HYPERLINK("https://www.boe.es/gazeta/dias/1813/02/25/pdfs/GMD-1813-56.pdf#page=4","Abrir facsímil")</f>
        <v>Abrir facsímil</v>
      </c>
      <c r="K119" s="3" t="s">
        <v>22</v>
      </c>
    </row>
    <row r="120" spans="1:11" ht="42" customHeight="1">
      <c r="A120" s="2" t="s">
        <v>402</v>
      </c>
      <c r="B120" s="2" t="s">
        <v>403</v>
      </c>
      <c r="C120" s="2" t="s">
        <v>34</v>
      </c>
      <c r="D120" s="2" t="s">
        <v>35</v>
      </c>
      <c r="E120" s="5">
        <v>-31709</v>
      </c>
      <c r="F120" s="3" t="s">
        <v>36</v>
      </c>
      <c r="G120" s="3" t="s">
        <v>303</v>
      </c>
      <c r="H120" s="2" t="s">
        <v>20</v>
      </c>
      <c r="I120" s="2" t="s">
        <v>404</v>
      </c>
      <c r="J120" s="3" t="str">
        <f>HYPERLINK("https://www.boe.es/gazeta/dias/1813/03/07/pdfs/GMD-1813-66.pdf#page=3","Abrir facsímil")</f>
        <v>Abrir facsímil</v>
      </c>
      <c r="K120" s="3" t="s">
        <v>22</v>
      </c>
    </row>
    <row r="121" spans="1:11" ht="42" customHeight="1">
      <c r="A121" s="2" t="s">
        <v>405</v>
      </c>
      <c r="B121" s="2" t="s">
        <v>406</v>
      </c>
      <c r="C121" s="2" t="s">
        <v>16</v>
      </c>
      <c r="D121" s="2" t="s">
        <v>17</v>
      </c>
      <c r="E121" s="5">
        <v>-31465</v>
      </c>
      <c r="F121" s="3" t="s">
        <v>407</v>
      </c>
      <c r="G121" s="3" t="s">
        <v>87</v>
      </c>
      <c r="H121" s="2" t="s">
        <v>20</v>
      </c>
      <c r="I121" s="2" t="s">
        <v>408</v>
      </c>
      <c r="J121" s="3" t="str">
        <f>HYPERLINK("https://www.boe.es/gazeta/dias/1813/11/06/pdfs/GMR-1813-70.pdf#page=7","Abrir facsímil")</f>
        <v>Abrir facsímil</v>
      </c>
      <c r="K121" s="3" t="s">
        <v>22</v>
      </c>
    </row>
    <row r="122" spans="1:11" ht="42" customHeight="1">
      <c r="A122" s="2" t="s">
        <v>409</v>
      </c>
      <c r="B122" s="2" t="s">
        <v>410</v>
      </c>
      <c r="C122" s="2" t="s">
        <v>16</v>
      </c>
      <c r="D122" s="2" t="s">
        <v>17</v>
      </c>
      <c r="E122" s="5">
        <v>-31592</v>
      </c>
      <c r="F122" s="3" t="s">
        <v>175</v>
      </c>
      <c r="G122" s="3" t="s">
        <v>95</v>
      </c>
      <c r="H122" s="2" t="s">
        <v>20</v>
      </c>
      <c r="I122" s="2" t="s">
        <v>411</v>
      </c>
      <c r="J122" s="3" t="str">
        <f>HYPERLINK("https://www.boe.es/gazeta/dias/1813/07/02/pdfs/GRE-1813-82.pdf#page=6","Abrir facsímil")</f>
        <v>Abrir facsímil</v>
      </c>
      <c r="K122" s="3" t="s">
        <v>22</v>
      </c>
    </row>
    <row r="123" spans="1:11" ht="42" customHeight="1">
      <c r="A123" s="2" t="s">
        <v>409</v>
      </c>
      <c r="B123" s="2" t="s">
        <v>410</v>
      </c>
      <c r="C123" s="2" t="s">
        <v>16</v>
      </c>
      <c r="D123" s="2" t="s">
        <v>17</v>
      </c>
      <c r="E123" s="5">
        <v>-31585</v>
      </c>
      <c r="F123" s="3" t="s">
        <v>177</v>
      </c>
      <c r="G123" s="3" t="s">
        <v>178</v>
      </c>
      <c r="H123" s="2" t="s">
        <v>20</v>
      </c>
      <c r="I123" s="2" t="s">
        <v>412</v>
      </c>
      <c r="J123" s="3" t="str">
        <f>HYPERLINK("https://www.boe.es/gazeta/dias/1813/07/09/pdfs/GMR-1813-16.pdf#page=11","Abrir facsímil")</f>
        <v>Abrir facsímil</v>
      </c>
      <c r="K123" s="3" t="s">
        <v>22</v>
      </c>
    </row>
    <row r="124" spans="1:11" ht="42" customHeight="1">
      <c r="A124" s="2" t="s">
        <v>413</v>
      </c>
      <c r="B124" s="2" t="s">
        <v>414</v>
      </c>
      <c r="C124" s="2" t="s">
        <v>16</v>
      </c>
      <c r="D124" s="2" t="s">
        <v>17</v>
      </c>
      <c r="E124" s="5">
        <v>-31656</v>
      </c>
      <c r="F124" s="3" t="s">
        <v>415</v>
      </c>
      <c r="G124" s="3" t="s">
        <v>65</v>
      </c>
      <c r="H124" s="2" t="s">
        <v>20</v>
      </c>
      <c r="I124" s="2" t="s">
        <v>416</v>
      </c>
      <c r="J124" s="3" t="str">
        <f>HYPERLINK("https://www.boe.es/gazeta/dias/1813/04/29/pdfs/GMD-1813-119.pdf#page=1","Abrir facsímil")</f>
        <v>Abrir facsímil</v>
      </c>
      <c r="K124" s="3" t="s">
        <v>22</v>
      </c>
    </row>
    <row r="125" spans="1:11" ht="42" customHeight="1">
      <c r="A125" s="2" t="s">
        <v>417</v>
      </c>
      <c r="B125" s="2" t="s">
        <v>418</v>
      </c>
      <c r="C125" s="2" t="s">
        <v>16</v>
      </c>
      <c r="D125" s="2" t="s">
        <v>17</v>
      </c>
      <c r="E125" s="5">
        <v>-31759</v>
      </c>
      <c r="F125" s="3" t="s">
        <v>419</v>
      </c>
      <c r="G125" s="3" t="s">
        <v>420</v>
      </c>
      <c r="H125" s="2" t="s">
        <v>20</v>
      </c>
      <c r="I125" s="2" t="s">
        <v>421</v>
      </c>
      <c r="J125" s="3" t="str">
        <f>HYPERLINK("https://www.boe.es/gazeta/dias/1813/01/16/pdfs/GRE-1813-7.pdf#page=8","Abrir facsímil")</f>
        <v>Abrir facsímil</v>
      </c>
      <c r="K125" s="3" t="s">
        <v>22</v>
      </c>
    </row>
    <row r="126" spans="1:11" ht="42" customHeight="1">
      <c r="A126" s="2" t="s">
        <v>422</v>
      </c>
      <c r="B126" s="2" t="s">
        <v>423</v>
      </c>
      <c r="C126" s="2" t="s">
        <v>34</v>
      </c>
      <c r="D126" s="2" t="s">
        <v>35</v>
      </c>
      <c r="E126" s="5">
        <v>-31709</v>
      </c>
      <c r="F126" s="3" t="s">
        <v>36</v>
      </c>
      <c r="G126" s="3" t="s">
        <v>19</v>
      </c>
      <c r="H126" s="2" t="s">
        <v>20</v>
      </c>
      <c r="I126" s="2" t="s">
        <v>424</v>
      </c>
      <c r="J126" s="3" t="str">
        <f>HYPERLINK("https://www.boe.es/gazeta/dias/1813/03/07/pdfs/GMD-1813-66.pdf#page=4","Abrir facsímil")</f>
        <v>Abrir facsímil</v>
      </c>
      <c r="K126" s="3" t="s">
        <v>22</v>
      </c>
    </row>
    <row r="127" spans="1:11" ht="42" customHeight="1">
      <c r="A127" s="2" t="s">
        <v>425</v>
      </c>
      <c r="B127" s="2" t="s">
        <v>426</v>
      </c>
      <c r="C127" s="2" t="s">
        <v>25</v>
      </c>
      <c r="D127" s="2" t="s">
        <v>26</v>
      </c>
      <c r="E127" s="5">
        <v>-31684</v>
      </c>
      <c r="F127" s="3" t="s">
        <v>427</v>
      </c>
      <c r="G127" s="3" t="s">
        <v>428</v>
      </c>
      <c r="H127" s="2" t="s">
        <v>29</v>
      </c>
      <c r="I127" s="2" t="s">
        <v>429</v>
      </c>
      <c r="J127" s="3" t="str">
        <f>HYPERLINK("https://www.boe.es/gazeta/dias/1813/04/01/pdfs/GRE-1813-40.pdf#page=7","Abrir facsímil")</f>
        <v>Abrir facsímil</v>
      </c>
      <c r="K127" s="3" t="s">
        <v>31</v>
      </c>
    </row>
    <row r="128" spans="1:11" ht="42" customHeight="1">
      <c r="A128" s="2" t="s">
        <v>430</v>
      </c>
      <c r="B128" s="2" t="s">
        <v>430</v>
      </c>
      <c r="C128" s="2" t="s">
        <v>16</v>
      </c>
      <c r="D128" s="2" t="s">
        <v>17</v>
      </c>
      <c r="E128" s="5">
        <v>-31769</v>
      </c>
      <c r="F128" s="3" t="s">
        <v>431</v>
      </c>
      <c r="G128" s="3" t="s">
        <v>58</v>
      </c>
      <c r="H128" s="2" t="s">
        <v>20</v>
      </c>
      <c r="I128" s="2" t="s">
        <v>432</v>
      </c>
      <c r="J128" s="3" t="str">
        <f>HYPERLINK("https://www.boe.es/gazeta/dias/1813/01/06/pdfs/GMD-1813-6.pdf#page=2","Abrir facsímil")</f>
        <v>Abrir facsímil</v>
      </c>
      <c r="K128" s="3" t="s">
        <v>22</v>
      </c>
    </row>
    <row r="129" spans="1:11" ht="42" customHeight="1">
      <c r="A129" s="2" t="s">
        <v>433</v>
      </c>
      <c r="B129" s="2" t="s">
        <v>434</v>
      </c>
      <c r="C129" s="2" t="s">
        <v>435</v>
      </c>
      <c r="D129" s="2" t="s">
        <v>26</v>
      </c>
      <c r="E129" s="5">
        <v>-31556</v>
      </c>
      <c r="F129" s="3" t="s">
        <v>118</v>
      </c>
      <c r="G129" s="3" t="s">
        <v>28</v>
      </c>
      <c r="H129" s="2" t="s">
        <v>20</v>
      </c>
      <c r="I129" s="2" t="s">
        <v>436</v>
      </c>
      <c r="J129" s="3" t="str">
        <f>HYPERLINK("https://www.boe.es/gazeta/dias/1813/08/07/pdfs/GMR-1813-25.pdf#page=8","Abrir facsímil")</f>
        <v>Abrir facsímil</v>
      </c>
      <c r="K129" s="3" t="s">
        <v>22</v>
      </c>
    </row>
    <row r="130" spans="1:11" ht="42" customHeight="1">
      <c r="A130" s="2" t="s">
        <v>437</v>
      </c>
      <c r="B130" s="2" t="s">
        <v>438</v>
      </c>
      <c r="C130" s="2" t="s">
        <v>16</v>
      </c>
      <c r="D130" s="2" t="s">
        <v>17</v>
      </c>
      <c r="E130" s="5">
        <v>-31481</v>
      </c>
      <c r="F130" s="3" t="s">
        <v>40</v>
      </c>
      <c r="G130" s="3" t="s">
        <v>87</v>
      </c>
      <c r="H130" s="2" t="s">
        <v>20</v>
      </c>
      <c r="I130" s="2" t="s">
        <v>439</v>
      </c>
      <c r="J130" s="3" t="str">
        <f>HYPERLINK("https://www.boe.es/gazeta/dias/1813/10/21/pdfs/GMR-1813-62.pdf#page=7","Abrir facsímil")</f>
        <v>Abrir facsímil</v>
      </c>
      <c r="K130" s="3" t="s">
        <v>22</v>
      </c>
    </row>
    <row r="131" spans="1:11" ht="42" customHeight="1">
      <c r="A131" s="2" t="s">
        <v>440</v>
      </c>
      <c r="B131" s="2" t="s">
        <v>441</v>
      </c>
      <c r="C131" s="2" t="s">
        <v>16</v>
      </c>
      <c r="D131" s="2" t="s">
        <v>97</v>
      </c>
      <c r="E131" s="5">
        <v>-31519</v>
      </c>
      <c r="F131" s="3" t="s">
        <v>312</v>
      </c>
      <c r="G131" s="3" t="s">
        <v>28</v>
      </c>
      <c r="H131" s="2" t="s">
        <v>20</v>
      </c>
      <c r="I131" s="2" t="s">
        <v>442</v>
      </c>
      <c r="J131" s="3" t="str">
        <f>HYPERLINK("https://www.boe.es/gazeta/dias/1813/09/13/pdfs/GRE-1813-118E.pdf#page=8","Abrir facsímil")</f>
        <v>Abrir facsímil</v>
      </c>
      <c r="K131" s="3" t="s">
        <v>22</v>
      </c>
    </row>
    <row r="132" spans="1:11" ht="42" customHeight="1">
      <c r="A132" s="2" t="s">
        <v>443</v>
      </c>
      <c r="B132" s="2" t="s">
        <v>444</v>
      </c>
      <c r="C132" s="2" t="s">
        <v>25</v>
      </c>
      <c r="D132" s="2" t="s">
        <v>26</v>
      </c>
      <c r="E132" s="5">
        <v>-31745</v>
      </c>
      <c r="F132" s="3" t="s">
        <v>445</v>
      </c>
      <c r="G132" s="3" t="s">
        <v>28</v>
      </c>
      <c r="H132" s="2" t="s">
        <v>20</v>
      </c>
      <c r="I132" s="2" t="s">
        <v>446</v>
      </c>
      <c r="J132" s="3" t="str">
        <f>HYPERLINK("https://www.boe.es/gazeta/dias/1813/01/30/pdfs/GRE-1813-13.pdf#page=8","Abrir facsímil")</f>
        <v>Abrir facsímil</v>
      </c>
      <c r="K132" s="3" t="s">
        <v>22</v>
      </c>
    </row>
    <row r="133" spans="1:11" ht="42" customHeight="1">
      <c r="A133" s="2" t="s">
        <v>447</v>
      </c>
      <c r="B133" s="2" t="s">
        <v>448</v>
      </c>
      <c r="C133" s="2" t="s">
        <v>16</v>
      </c>
      <c r="D133" s="2" t="s">
        <v>17</v>
      </c>
      <c r="E133" s="5">
        <v>-31507</v>
      </c>
      <c r="F133" s="3" t="s">
        <v>61</v>
      </c>
      <c r="G133" s="3" t="s">
        <v>28</v>
      </c>
      <c r="H133" s="2" t="s">
        <v>20</v>
      </c>
      <c r="I133" s="2" t="s">
        <v>449</v>
      </c>
      <c r="J133" s="3" t="str">
        <f>HYPERLINK("https://www.boe.es/gazeta/dias/1813/09/25/pdfs/GMR-1813-48.pdf#page=8","Abrir facsímil")</f>
        <v>Abrir facsímil</v>
      </c>
      <c r="K133" s="3" t="s">
        <v>22</v>
      </c>
    </row>
    <row r="134" spans="1:11" ht="42" customHeight="1">
      <c r="A134" s="2" t="s">
        <v>450</v>
      </c>
      <c r="B134" s="2" t="s">
        <v>451</v>
      </c>
      <c r="C134" s="2" t="s">
        <v>16</v>
      </c>
      <c r="D134" s="2" t="s">
        <v>17</v>
      </c>
      <c r="E134" s="5">
        <v>-31544</v>
      </c>
      <c r="F134" s="3" t="s">
        <v>200</v>
      </c>
      <c r="G134" s="3" t="s">
        <v>87</v>
      </c>
      <c r="H134" s="2" t="s">
        <v>20</v>
      </c>
      <c r="I134" s="2" t="s">
        <v>452</v>
      </c>
      <c r="J134" s="3" t="str">
        <f>HYPERLINK("https://www.boe.es/gazeta/dias/1813/08/19/pdfs/GRE-1813-106.pdf#page=7","Abrir facsímil")</f>
        <v>Abrir facsímil</v>
      </c>
      <c r="K134" s="3" t="s">
        <v>22</v>
      </c>
    </row>
    <row r="135" spans="1:11" ht="42" customHeight="1">
      <c r="A135" s="2" t="s">
        <v>453</v>
      </c>
      <c r="B135" s="2" t="s">
        <v>454</v>
      </c>
      <c r="C135" s="2" t="s">
        <v>16</v>
      </c>
      <c r="D135" s="2" t="s">
        <v>97</v>
      </c>
      <c r="E135" s="5">
        <v>-31519</v>
      </c>
      <c r="F135" s="3" t="s">
        <v>312</v>
      </c>
      <c r="G135" s="3" t="s">
        <v>28</v>
      </c>
      <c r="H135" s="2" t="s">
        <v>20</v>
      </c>
      <c r="I135" s="2" t="s">
        <v>455</v>
      </c>
      <c r="J135" s="3" t="str">
        <f>HYPERLINK("https://www.boe.es/gazeta/dias/1813/09/13/pdfs/GRE-1813-118E.pdf#page=8","Abrir facsímil")</f>
        <v>Abrir facsímil</v>
      </c>
      <c r="K135" s="3" t="s">
        <v>22</v>
      </c>
    </row>
    <row r="136" spans="1:11" ht="42" customHeight="1">
      <c r="A136" s="2" t="s">
        <v>456</v>
      </c>
      <c r="B136" s="2" t="s">
        <v>457</v>
      </c>
      <c r="C136" s="2" t="s">
        <v>34</v>
      </c>
      <c r="D136" s="2" t="s">
        <v>35</v>
      </c>
      <c r="E136" s="5">
        <v>-31709</v>
      </c>
      <c r="F136" s="3" t="s">
        <v>36</v>
      </c>
      <c r="G136" s="3" t="s">
        <v>19</v>
      </c>
      <c r="H136" s="2" t="s">
        <v>20</v>
      </c>
      <c r="I136" s="2" t="s">
        <v>458</v>
      </c>
      <c r="J136" s="3" t="str">
        <f>HYPERLINK("https://www.boe.es/gazeta/dias/1813/03/07/pdfs/GMD-1813-66.pdf#page=4","Abrir facsímil")</f>
        <v>Abrir facsímil</v>
      </c>
      <c r="K136" s="3" t="s">
        <v>22</v>
      </c>
    </row>
    <row r="137" spans="1:11" ht="42" customHeight="1">
      <c r="A137" s="2" t="s">
        <v>459</v>
      </c>
      <c r="B137" s="2" t="s">
        <v>460</v>
      </c>
      <c r="C137" s="2" t="s">
        <v>16</v>
      </c>
      <c r="D137" s="2" t="s">
        <v>17</v>
      </c>
      <c r="E137" s="5">
        <v>-31546</v>
      </c>
      <c r="F137" s="3" t="s">
        <v>461</v>
      </c>
      <c r="G137" s="3" t="s">
        <v>87</v>
      </c>
      <c r="H137" s="2" t="s">
        <v>20</v>
      </c>
      <c r="I137" s="2" t="s">
        <v>462</v>
      </c>
      <c r="J137" s="3" t="str">
        <f>HYPERLINK("https://www.boe.es/gazeta/dias/1813/08/17/pdfs/GMR-1813-29.pdf#page=7","Abrir facsímil")</f>
        <v>Abrir facsímil</v>
      </c>
      <c r="K137" s="3" t="s">
        <v>22</v>
      </c>
    </row>
    <row r="138" spans="1:11" ht="42" customHeight="1">
      <c r="A138" s="2" t="s">
        <v>463</v>
      </c>
      <c r="B138" s="2" t="s">
        <v>464</v>
      </c>
      <c r="C138" s="2" t="s">
        <v>16</v>
      </c>
      <c r="D138" s="2" t="s">
        <v>97</v>
      </c>
      <c r="E138" s="5">
        <v>-31479</v>
      </c>
      <c r="F138" s="3" t="s">
        <v>290</v>
      </c>
      <c r="G138" s="3" t="s">
        <v>95</v>
      </c>
      <c r="H138" s="2" t="s">
        <v>20</v>
      </c>
      <c r="I138" s="2" t="s">
        <v>465</v>
      </c>
      <c r="J138" s="3" t="str">
        <f>HYPERLINK("https://www.boe.es/gazeta/dias/1813/10/23/pdfs/GRE-1813-139E.pdf#page=6","Abrir facsímil")</f>
        <v>Abrir facsímil</v>
      </c>
      <c r="K138" s="3" t="s">
        <v>22</v>
      </c>
    </row>
    <row r="139" spans="1:11" ht="42" customHeight="1">
      <c r="A139" s="2" t="s">
        <v>463</v>
      </c>
      <c r="B139" s="2" t="s">
        <v>464</v>
      </c>
      <c r="C139" s="2" t="s">
        <v>16</v>
      </c>
      <c r="D139" s="2" t="s">
        <v>17</v>
      </c>
      <c r="E139" s="5">
        <v>-31465</v>
      </c>
      <c r="F139" s="3" t="s">
        <v>407</v>
      </c>
      <c r="G139" s="3" t="s">
        <v>82</v>
      </c>
      <c r="H139" s="2" t="s">
        <v>20</v>
      </c>
      <c r="I139" s="2" t="s">
        <v>466</v>
      </c>
      <c r="J139" s="3" t="str">
        <f>HYPERLINK("https://www.boe.es/gazeta/dias/1813/11/06/pdfs/GMR-1813-70.pdf#page=5","Abrir facsímil")</f>
        <v>Abrir facsímil</v>
      </c>
      <c r="K139" s="3" t="s">
        <v>22</v>
      </c>
    </row>
    <row r="140" spans="1:11" ht="42" customHeight="1">
      <c r="A140" s="2" t="s">
        <v>467</v>
      </c>
      <c r="B140" s="2" t="s">
        <v>467</v>
      </c>
      <c r="C140" s="2" t="s">
        <v>16</v>
      </c>
      <c r="D140" s="2" t="s">
        <v>17</v>
      </c>
      <c r="E140" s="5">
        <v>-31684</v>
      </c>
      <c r="F140" s="3" t="s">
        <v>427</v>
      </c>
      <c r="G140" s="3" t="s">
        <v>65</v>
      </c>
      <c r="H140" s="2" t="s">
        <v>20</v>
      </c>
      <c r="I140" s="2" t="s">
        <v>468</v>
      </c>
      <c r="J140" s="3" t="str">
        <f>HYPERLINK("https://www.boe.es/gazeta/dias/1813/04/01/pdfs/GRE-1813-40.pdf#page=1","Abrir facsímil")</f>
        <v>Abrir facsímil</v>
      </c>
      <c r="K140" s="3" t="s">
        <v>22</v>
      </c>
    </row>
    <row r="141" spans="1:11" ht="42" customHeight="1">
      <c r="A141" s="2" t="s">
        <v>469</v>
      </c>
      <c r="B141" s="2" t="s">
        <v>469</v>
      </c>
      <c r="C141" s="2" t="s">
        <v>16</v>
      </c>
      <c r="D141" s="2" t="s">
        <v>17</v>
      </c>
      <c r="E141" s="5">
        <v>-31698</v>
      </c>
      <c r="F141" s="3" t="s">
        <v>470</v>
      </c>
      <c r="G141" s="3" t="s">
        <v>471</v>
      </c>
      <c r="H141" s="2" t="s">
        <v>20</v>
      </c>
      <c r="I141" s="2" t="s">
        <v>472</v>
      </c>
      <c r="J141" s="3" t="str">
        <f>HYPERLINK("https://www.boe.es/gazeta/dias/1813/03/18/pdfs/GRE-1813-34.pdf#page=7","Abrir facsímil")</f>
        <v>Abrir facsímil</v>
      </c>
      <c r="K141" s="3" t="s">
        <v>22</v>
      </c>
    </row>
    <row r="142" spans="1:11" ht="42" customHeight="1">
      <c r="A142" s="2" t="s">
        <v>473</v>
      </c>
      <c r="B142" s="2" t="s">
        <v>474</v>
      </c>
      <c r="C142" s="2" t="s">
        <v>25</v>
      </c>
      <c r="D142" s="2" t="s">
        <v>26</v>
      </c>
      <c r="E142" s="5">
        <v>-31745</v>
      </c>
      <c r="F142" s="3" t="s">
        <v>445</v>
      </c>
      <c r="G142" s="3" t="s">
        <v>475</v>
      </c>
      <c r="H142" s="2" t="s">
        <v>20</v>
      </c>
      <c r="I142" s="2" t="s">
        <v>476</v>
      </c>
      <c r="J142" s="3" t="str">
        <f>HYPERLINK("https://www.boe.es/gazeta/dias/1813/01/30/pdfs/GRE-1813-13.pdf#page=7","Abrir facsímil")</f>
        <v>Abrir facsímil</v>
      </c>
      <c r="K142" s="3" t="s">
        <v>22</v>
      </c>
    </row>
    <row r="143" spans="1:11" ht="42" customHeight="1">
      <c r="A143" s="2" t="s">
        <v>477</v>
      </c>
      <c r="B143" s="2" t="s">
        <v>478</v>
      </c>
      <c r="C143" s="2" t="s">
        <v>16</v>
      </c>
      <c r="D143" s="2" t="s">
        <v>17</v>
      </c>
      <c r="E143" s="5">
        <v>-31714</v>
      </c>
      <c r="F143" s="3" t="s">
        <v>479</v>
      </c>
      <c r="G143" s="3" t="s">
        <v>480</v>
      </c>
      <c r="H143" s="2" t="s">
        <v>20</v>
      </c>
      <c r="I143" s="2" t="s">
        <v>481</v>
      </c>
      <c r="J143" s="3" t="str">
        <f>HYPERLINK("https://www.boe.es/gazeta/dias/1813/03/02/pdfs/GRE-1813-27.pdf#page=5","Abrir facsímil")</f>
        <v>Abrir facsímil</v>
      </c>
      <c r="K143" s="3" t="s">
        <v>22</v>
      </c>
    </row>
    <row r="144" spans="1:11" ht="42" customHeight="1">
      <c r="A144" s="2" t="s">
        <v>482</v>
      </c>
      <c r="B144" s="2" t="s">
        <v>483</v>
      </c>
      <c r="C144" s="2" t="s">
        <v>16</v>
      </c>
      <c r="D144" s="2" t="s">
        <v>17</v>
      </c>
      <c r="E144" s="5">
        <v>-31495</v>
      </c>
      <c r="F144" s="3" t="s">
        <v>484</v>
      </c>
      <c r="G144" s="3" t="s">
        <v>19</v>
      </c>
      <c r="H144" s="2" t="s">
        <v>20</v>
      </c>
      <c r="I144" s="2" t="s">
        <v>485</v>
      </c>
      <c r="J144" s="3" t="str">
        <f>HYPERLINK("https://www.boe.es/gazeta/dias/1813/10/07/pdfs/GRE-1813-131.pdf#page=4","Abrir facsímil")</f>
        <v>Abrir facsímil</v>
      </c>
      <c r="K144" s="3" t="s">
        <v>22</v>
      </c>
    </row>
    <row r="145" spans="1:11" ht="42" customHeight="1">
      <c r="A145" s="2" t="s">
        <v>486</v>
      </c>
      <c r="B145" s="2" t="s">
        <v>486</v>
      </c>
      <c r="C145" s="2" t="s">
        <v>16</v>
      </c>
      <c r="D145" s="2" t="s">
        <v>17</v>
      </c>
      <c r="E145" s="5">
        <v>-31448</v>
      </c>
      <c r="F145" s="3" t="s">
        <v>325</v>
      </c>
      <c r="G145" s="3" t="s">
        <v>19</v>
      </c>
      <c r="H145" s="2" t="s">
        <v>20</v>
      </c>
      <c r="I145" s="2" t="s">
        <v>487</v>
      </c>
      <c r="J145" s="3" t="str">
        <f>HYPERLINK("https://www.boe.es/gazeta/dias/1813/11/23/pdfs/GMR-1813-78.pdf#page=4","Abrir facsímil")</f>
        <v>Abrir facsímil</v>
      </c>
      <c r="K145" s="3" t="s">
        <v>22</v>
      </c>
    </row>
    <row r="146" spans="1:11" ht="42" customHeight="1">
      <c r="A146" s="2" t="s">
        <v>488</v>
      </c>
      <c r="B146" s="2" t="s">
        <v>488</v>
      </c>
      <c r="C146" s="2" t="s">
        <v>16</v>
      </c>
      <c r="D146" s="2" t="s">
        <v>17</v>
      </c>
      <c r="E146" s="5">
        <v>-31427</v>
      </c>
      <c r="F146" s="3" t="s">
        <v>489</v>
      </c>
      <c r="G146" s="3" t="s">
        <v>490</v>
      </c>
      <c r="H146" s="2" t="s">
        <v>20</v>
      </c>
      <c r="I146" s="2" t="s">
        <v>491</v>
      </c>
      <c r="J146" s="3" t="str">
        <f>HYPERLINK("https://www.boe.es/gazeta/dias/1813/12/14/pdfs/GMR-1813-87.pdf#page=5","Abrir facsímil")</f>
        <v>Abrir facsímil</v>
      </c>
      <c r="K146" s="3" t="s">
        <v>22</v>
      </c>
    </row>
    <row r="147" spans="1:11" ht="42" customHeight="1">
      <c r="A147" s="2" t="s">
        <v>492</v>
      </c>
      <c r="B147" s="2" t="s">
        <v>492</v>
      </c>
      <c r="C147" s="2" t="s">
        <v>16</v>
      </c>
      <c r="D147" s="2" t="s">
        <v>17</v>
      </c>
      <c r="E147" s="5">
        <v>-31726</v>
      </c>
      <c r="F147" s="3" t="s">
        <v>493</v>
      </c>
      <c r="G147" s="3" t="s">
        <v>19</v>
      </c>
      <c r="H147" s="2" t="s">
        <v>20</v>
      </c>
      <c r="I147" s="2" t="s">
        <v>494</v>
      </c>
      <c r="J147" s="3" t="str">
        <f>HYPERLINK("https://www.boe.es/gazeta/dias/1813/02/18/pdfs/GMD-1813-49.pdf#page=4","Abrir facsímil")</f>
        <v>Abrir facsímil</v>
      </c>
      <c r="K147" s="3" t="s">
        <v>22</v>
      </c>
    </row>
    <row r="148" spans="1:11" ht="42" customHeight="1">
      <c r="A148" s="2" t="s">
        <v>495</v>
      </c>
      <c r="B148" s="2" t="s">
        <v>495</v>
      </c>
      <c r="C148" s="2" t="s">
        <v>16</v>
      </c>
      <c r="D148" s="2" t="s">
        <v>17</v>
      </c>
      <c r="E148" s="5">
        <v>-31507</v>
      </c>
      <c r="F148" s="3" t="s">
        <v>61</v>
      </c>
      <c r="G148" s="3" t="s">
        <v>58</v>
      </c>
      <c r="H148" s="2" t="s">
        <v>20</v>
      </c>
      <c r="I148" s="2" t="s">
        <v>496</v>
      </c>
      <c r="J148" s="3" t="str">
        <f>HYPERLINK("https://www.boe.es/gazeta/dias/1813/09/25/pdfs/GMR-1813-48.pdf#page=2","Abrir facsímil")</f>
        <v>Abrir facsímil</v>
      </c>
      <c r="K148" s="3" t="s">
        <v>22</v>
      </c>
    </row>
    <row r="149" spans="1:11" ht="42" customHeight="1">
      <c r="A149" s="2" t="s">
        <v>497</v>
      </c>
      <c r="B149" s="2" t="s">
        <v>497</v>
      </c>
      <c r="C149" s="2" t="s">
        <v>16</v>
      </c>
      <c r="D149" s="2" t="s">
        <v>17</v>
      </c>
      <c r="E149" s="5">
        <v>-31614</v>
      </c>
      <c r="F149" s="3" t="s">
        <v>498</v>
      </c>
      <c r="G149" s="3" t="s">
        <v>82</v>
      </c>
      <c r="H149" s="2" t="s">
        <v>20</v>
      </c>
      <c r="I149" s="2" t="s">
        <v>499</v>
      </c>
      <c r="J149" s="3" t="str">
        <f>HYPERLINK("https://www.boe.es/gazeta/dias/1813/06/10/pdfs/GRE-1813-72.pdf#page=5","Abrir facsímil")</f>
        <v>Abrir facsímil</v>
      </c>
      <c r="K149" s="3" t="s">
        <v>22</v>
      </c>
    </row>
    <row r="150" spans="1:11" ht="42" customHeight="1">
      <c r="A150" s="2" t="s">
        <v>497</v>
      </c>
      <c r="B150" s="2" t="s">
        <v>497</v>
      </c>
      <c r="C150" s="2" t="s">
        <v>16</v>
      </c>
      <c r="D150" s="2" t="s">
        <v>17</v>
      </c>
      <c r="E150" s="5">
        <v>-31465</v>
      </c>
      <c r="F150" s="3" t="s">
        <v>407</v>
      </c>
      <c r="G150" s="3" t="s">
        <v>65</v>
      </c>
      <c r="H150" s="2" t="s">
        <v>20</v>
      </c>
      <c r="I150" s="2" t="s">
        <v>500</v>
      </c>
      <c r="J150" s="3" t="str">
        <f>HYPERLINK("https://www.boe.es/gazeta/dias/1813/11/06/pdfs/GMR-1813-70.pdf#page=1","Abrir facsímil")</f>
        <v>Abrir facsímil</v>
      </c>
      <c r="K150" s="3" t="s">
        <v>22</v>
      </c>
    </row>
    <row r="151" spans="1:11" ht="42" customHeight="1">
      <c r="A151" s="2" t="s">
        <v>501</v>
      </c>
      <c r="B151" s="2" t="s">
        <v>502</v>
      </c>
      <c r="C151" s="2" t="s">
        <v>109</v>
      </c>
      <c r="D151" s="2" t="s">
        <v>26</v>
      </c>
      <c r="E151" s="5">
        <v>-31546</v>
      </c>
      <c r="F151" s="3" t="s">
        <v>461</v>
      </c>
      <c r="G151" s="3" t="s">
        <v>87</v>
      </c>
      <c r="H151" s="2" t="s">
        <v>20</v>
      </c>
      <c r="I151" s="2" t="s">
        <v>503</v>
      </c>
      <c r="J151" s="3" t="str">
        <f>HYPERLINK("https://www.boe.es/gazeta/dias/1813/08/17/pdfs/GMR-1813-29.pdf#page=7","Abrir facsímil")</f>
        <v>Abrir facsímil</v>
      </c>
      <c r="K151" s="3" t="s">
        <v>22</v>
      </c>
    </row>
    <row r="152" spans="1:11" ht="42" customHeight="1">
      <c r="A152" s="2" t="s">
        <v>504</v>
      </c>
      <c r="B152" s="2" t="s">
        <v>505</v>
      </c>
      <c r="C152" s="2" t="s">
        <v>16</v>
      </c>
      <c r="D152" s="2" t="s">
        <v>97</v>
      </c>
      <c r="E152" s="5">
        <v>-31479</v>
      </c>
      <c r="F152" s="3" t="s">
        <v>290</v>
      </c>
      <c r="G152" s="3" t="s">
        <v>313</v>
      </c>
      <c r="H152" s="2" t="s">
        <v>20</v>
      </c>
      <c r="I152" s="2" t="s">
        <v>506</v>
      </c>
      <c r="J152" s="3" t="str">
        <f>HYPERLINK("https://www.boe.es/gazeta/dias/1813/10/23/pdfs/GRE-1813-139E.pdf#page=9","Abrir facsímil")</f>
        <v>Abrir facsímil</v>
      </c>
      <c r="K152" s="3" t="s">
        <v>22</v>
      </c>
    </row>
    <row r="153" spans="1:11" ht="42" customHeight="1">
      <c r="A153" s="2" t="s">
        <v>507</v>
      </c>
      <c r="B153" s="2" t="s">
        <v>508</v>
      </c>
      <c r="C153" s="2" t="s">
        <v>109</v>
      </c>
      <c r="D153" s="2" t="s">
        <v>26</v>
      </c>
      <c r="E153" s="5">
        <v>-31574</v>
      </c>
      <c r="F153" s="3" t="s">
        <v>509</v>
      </c>
      <c r="G153" s="3" t="s">
        <v>28</v>
      </c>
      <c r="H153" s="2" t="s">
        <v>20</v>
      </c>
      <c r="I153" s="2" t="s">
        <v>510</v>
      </c>
      <c r="J153" s="3" t="str">
        <f>HYPERLINK("https://www.boe.es/gazeta/dias/1813/07/20/pdfs/GRE-1813-92.pdf#page=8","Abrir facsímil")</f>
        <v>Abrir facsímil</v>
      </c>
      <c r="K153" s="3" t="s">
        <v>22</v>
      </c>
    </row>
    <row r="154" spans="1:11" ht="42" customHeight="1">
      <c r="A154" s="2" t="s">
        <v>511</v>
      </c>
      <c r="B154" s="2" t="s">
        <v>512</v>
      </c>
      <c r="C154" s="2" t="s">
        <v>16</v>
      </c>
      <c r="D154" s="2" t="s">
        <v>17</v>
      </c>
      <c r="E154" s="5">
        <v>-31637</v>
      </c>
      <c r="F154" s="3" t="s">
        <v>234</v>
      </c>
      <c r="G154" s="3" t="s">
        <v>82</v>
      </c>
      <c r="H154" s="2" t="s">
        <v>20</v>
      </c>
      <c r="I154" s="2" t="s">
        <v>513</v>
      </c>
      <c r="J154" s="3" t="str">
        <f>HYPERLINK("https://www.boe.es/gazeta/dias/1813/05/18/pdfs/GRE-1813-61.pdf#page=5","Abrir facsímil")</f>
        <v>Abrir facsímil</v>
      </c>
      <c r="K154" s="3" t="s">
        <v>22</v>
      </c>
    </row>
    <row r="155" spans="1:11" ht="42" customHeight="1">
      <c r="A155" s="2" t="s">
        <v>514</v>
      </c>
      <c r="B155" s="2" t="s">
        <v>515</v>
      </c>
      <c r="C155" s="2" t="s">
        <v>16</v>
      </c>
      <c r="D155" s="2" t="s">
        <v>17</v>
      </c>
      <c r="E155" s="5">
        <v>-31637</v>
      </c>
      <c r="F155" s="3" t="s">
        <v>234</v>
      </c>
      <c r="G155" s="3" t="s">
        <v>19</v>
      </c>
      <c r="H155" s="2" t="s">
        <v>20</v>
      </c>
      <c r="I155" s="2" t="s">
        <v>516</v>
      </c>
      <c r="J155" s="3" t="str">
        <f>HYPERLINK("https://www.boe.es/gazeta/dias/1813/05/18/pdfs/GRE-1813-61.pdf#page=4","Abrir facsímil")</f>
        <v>Abrir facsímil</v>
      </c>
      <c r="K155" s="3" t="s">
        <v>22</v>
      </c>
    </row>
    <row r="156" spans="1:11" ht="42" customHeight="1">
      <c r="A156" s="2" t="s">
        <v>517</v>
      </c>
      <c r="B156" s="2" t="s">
        <v>517</v>
      </c>
      <c r="C156" s="2" t="s">
        <v>16</v>
      </c>
      <c r="D156" s="2" t="s">
        <v>97</v>
      </c>
      <c r="E156" s="5">
        <v>-31479</v>
      </c>
      <c r="F156" s="3" t="s">
        <v>290</v>
      </c>
      <c r="G156" s="3" t="s">
        <v>95</v>
      </c>
      <c r="H156" s="2" t="s">
        <v>20</v>
      </c>
      <c r="I156" s="2" t="s">
        <v>518</v>
      </c>
      <c r="J156" s="3" t="str">
        <f>HYPERLINK("https://www.boe.es/gazeta/dias/1813/10/23/pdfs/GRE-1813-139E.pdf#page=6","Abrir facsímil")</f>
        <v>Abrir facsímil</v>
      </c>
      <c r="K156" s="3" t="s">
        <v>22</v>
      </c>
    </row>
    <row r="157" spans="1:11" ht="42" customHeight="1">
      <c r="A157" s="2" t="s">
        <v>519</v>
      </c>
      <c r="B157" s="2" t="s">
        <v>519</v>
      </c>
      <c r="C157" s="2" t="s">
        <v>25</v>
      </c>
      <c r="D157" s="2" t="s">
        <v>26</v>
      </c>
      <c r="E157" s="5">
        <v>-31696</v>
      </c>
      <c r="F157" s="3" t="s">
        <v>520</v>
      </c>
      <c r="G157" s="3" t="s">
        <v>521</v>
      </c>
      <c r="H157" s="2" t="s">
        <v>20</v>
      </c>
      <c r="I157" s="2" t="s">
        <v>522</v>
      </c>
      <c r="J157" s="3" t="str">
        <f>HYPERLINK("https://www.boe.es/gazeta/dias/1813/03/20/pdfs/GRE-1813-35.pdf#page=7","Abrir facsímil")</f>
        <v>Abrir facsímil</v>
      </c>
      <c r="K157" s="3" t="s">
        <v>22</v>
      </c>
    </row>
    <row r="158" spans="1:11" ht="42" customHeight="1">
      <c r="A158" s="2" t="s">
        <v>519</v>
      </c>
      <c r="B158" s="2" t="s">
        <v>519</v>
      </c>
      <c r="C158" s="2" t="s">
        <v>187</v>
      </c>
      <c r="D158" s="2" t="s">
        <v>26</v>
      </c>
      <c r="E158" s="5">
        <v>-31413</v>
      </c>
      <c r="F158" s="3" t="s">
        <v>152</v>
      </c>
      <c r="G158" s="3" t="s">
        <v>65</v>
      </c>
      <c r="H158" s="2" t="s">
        <v>20</v>
      </c>
      <c r="I158" s="2" t="s">
        <v>523</v>
      </c>
      <c r="J158" s="3" t="str">
        <f>HYPERLINK("https://www.boe.es/gazeta/dias/1813/12/28/pdfs/GRE-1813-170.pdf#page=1","Abrir facsímil")</f>
        <v>Abrir facsímil</v>
      </c>
      <c r="K158" s="3" t="s">
        <v>22</v>
      </c>
    </row>
    <row r="159" spans="1:11" ht="42" customHeight="1">
      <c r="A159" s="2" t="s">
        <v>524</v>
      </c>
      <c r="B159" s="2" t="s">
        <v>525</v>
      </c>
      <c r="C159" s="2" t="s">
        <v>16</v>
      </c>
      <c r="D159" s="2" t="s">
        <v>17</v>
      </c>
      <c r="E159" s="5">
        <v>-31703</v>
      </c>
      <c r="F159" s="3" t="s">
        <v>526</v>
      </c>
      <c r="G159" s="3" t="s">
        <v>65</v>
      </c>
      <c r="H159" s="2" t="s">
        <v>20</v>
      </c>
      <c r="I159" s="2" t="s">
        <v>527</v>
      </c>
      <c r="J159" s="3" t="str">
        <f>HYPERLINK("https://www.boe.es/gazeta/dias/1813/03/13/pdfs/GMD-1813-72.pdf#page=1","Abrir facsímil")</f>
        <v>Abrir facsímil</v>
      </c>
      <c r="K159" s="3" t="s">
        <v>22</v>
      </c>
    </row>
    <row r="160" spans="1:11" ht="42" customHeight="1">
      <c r="A160" s="2" t="s">
        <v>528</v>
      </c>
      <c r="B160" s="2" t="s">
        <v>528</v>
      </c>
      <c r="C160" s="2" t="s">
        <v>16</v>
      </c>
      <c r="D160" s="2" t="s">
        <v>17</v>
      </c>
      <c r="E160" s="5">
        <v>-31696</v>
      </c>
      <c r="F160" s="3" t="s">
        <v>520</v>
      </c>
      <c r="G160" s="3" t="s">
        <v>529</v>
      </c>
      <c r="H160" s="2" t="s">
        <v>20</v>
      </c>
      <c r="I160" s="2" t="s">
        <v>530</v>
      </c>
      <c r="J160" s="3" t="str">
        <f>HYPERLINK("https://www.boe.es/gazeta/dias/1813/03/20/pdfs/GRE-1813-35.pdf#page=6","Abrir facsímil")</f>
        <v>Abrir facsímil</v>
      </c>
      <c r="K160" s="3" t="s">
        <v>22</v>
      </c>
    </row>
    <row r="161" spans="1:11" ht="42" customHeight="1">
      <c r="A161" s="2" t="s">
        <v>528</v>
      </c>
      <c r="B161" s="2" t="s">
        <v>528</v>
      </c>
      <c r="C161" s="2" t="s">
        <v>16</v>
      </c>
      <c r="D161" s="2" t="s">
        <v>17</v>
      </c>
      <c r="E161" s="5">
        <v>-31598</v>
      </c>
      <c r="F161" s="3" t="s">
        <v>286</v>
      </c>
      <c r="G161" s="3" t="s">
        <v>65</v>
      </c>
      <c r="H161" s="2" t="s">
        <v>20</v>
      </c>
      <c r="I161" s="2" t="s">
        <v>531</v>
      </c>
      <c r="J161" s="3" t="str">
        <f>HYPERLINK("https://www.boe.es/gazeta/dias/1813/06/26/pdfs/GRE-1813-79.pdf#page=1","Abrir facsímil")</f>
        <v>Abrir facsímil</v>
      </c>
      <c r="K161" s="3" t="s">
        <v>22</v>
      </c>
    </row>
    <row r="162" spans="1:11" ht="42" customHeight="1">
      <c r="A162" s="2" t="s">
        <v>532</v>
      </c>
      <c r="B162" s="2" t="s">
        <v>532</v>
      </c>
      <c r="C162" s="2" t="s">
        <v>16</v>
      </c>
      <c r="D162" s="2" t="s">
        <v>17</v>
      </c>
      <c r="E162" s="5">
        <v>-31726</v>
      </c>
      <c r="F162" s="3" t="s">
        <v>533</v>
      </c>
      <c r="G162" s="3" t="s">
        <v>534</v>
      </c>
      <c r="H162" s="2" t="s">
        <v>20</v>
      </c>
      <c r="I162" s="2" t="s">
        <v>535</v>
      </c>
      <c r="J162" s="3" t="str">
        <f>HYPERLINK("https://www.boe.es/gazeta/dias/1813/02/18/pdfs/GRE-1813-21.pdf#page=4","Abrir facsímil")</f>
        <v>Abrir facsímil</v>
      </c>
      <c r="K162" s="3" t="s">
        <v>22</v>
      </c>
    </row>
    <row r="163" spans="1:11" ht="42" customHeight="1">
      <c r="A163" s="2" t="s">
        <v>536</v>
      </c>
      <c r="B163" s="2" t="s">
        <v>536</v>
      </c>
      <c r="C163" s="2" t="s">
        <v>16</v>
      </c>
      <c r="D163" s="2" t="s">
        <v>17</v>
      </c>
      <c r="E163" s="5">
        <v>-31467</v>
      </c>
      <c r="F163" s="3" t="s">
        <v>120</v>
      </c>
      <c r="G163" s="3" t="s">
        <v>95</v>
      </c>
      <c r="H163" s="2" t="s">
        <v>20</v>
      </c>
      <c r="I163" s="2" t="s">
        <v>537</v>
      </c>
      <c r="J163" s="3" t="str">
        <f>HYPERLINK("https://www.boe.es/gazeta/dias/1813/11/04/pdfs/GMR-1813-68.pdf#page=6","Abrir facsímil")</f>
        <v>Abrir facsímil</v>
      </c>
      <c r="K163" s="3" t="s">
        <v>22</v>
      </c>
    </row>
    <row r="164" spans="1:11" ht="42" customHeight="1">
      <c r="A164" s="2" t="s">
        <v>538</v>
      </c>
      <c r="B164" s="2" t="s">
        <v>538</v>
      </c>
      <c r="C164" s="2" t="s">
        <v>16</v>
      </c>
      <c r="D164" s="2" t="s">
        <v>17</v>
      </c>
      <c r="E164" s="5">
        <v>-31437</v>
      </c>
      <c r="F164" s="3" t="s">
        <v>217</v>
      </c>
      <c r="G164" s="3" t="s">
        <v>539</v>
      </c>
      <c r="H164" s="2" t="s">
        <v>20</v>
      </c>
      <c r="I164" s="2" t="s">
        <v>540</v>
      </c>
      <c r="J164" s="3" t="str">
        <f>HYPERLINK("https://www.boe.es/gazeta/dias/1813/12/04/pdfs/GRE-1813-160.pdf#page=4","Abrir facsímil")</f>
        <v>Abrir facsímil</v>
      </c>
      <c r="K164" s="3" t="s">
        <v>22</v>
      </c>
    </row>
    <row r="165" spans="1:11" ht="42" customHeight="1">
      <c r="A165" s="2" t="s">
        <v>541</v>
      </c>
      <c r="B165" s="2" t="s">
        <v>541</v>
      </c>
      <c r="C165" s="2" t="s">
        <v>16</v>
      </c>
      <c r="D165" s="2" t="s">
        <v>17</v>
      </c>
      <c r="E165" s="5">
        <v>-31462</v>
      </c>
      <c r="F165" s="3" t="s">
        <v>542</v>
      </c>
      <c r="G165" s="3" t="s">
        <v>87</v>
      </c>
      <c r="H165" s="2" t="s">
        <v>20</v>
      </c>
      <c r="I165" s="2" t="s">
        <v>543</v>
      </c>
      <c r="J165" s="3" t="str">
        <f>HYPERLINK("https://www.boe.es/gazeta/dias/1813/11/09/pdfs/GRE-1813-146.pdf#page=7","Abrir facsímil")</f>
        <v>Abrir facsímil</v>
      </c>
      <c r="K165" s="3" t="s">
        <v>22</v>
      </c>
    </row>
    <row r="166" spans="1:11" ht="42" customHeight="1">
      <c r="A166" s="2" t="s">
        <v>544</v>
      </c>
      <c r="B166" s="2" t="s">
        <v>544</v>
      </c>
      <c r="C166" s="2" t="s">
        <v>16</v>
      </c>
      <c r="D166" s="2" t="s">
        <v>17</v>
      </c>
      <c r="E166" s="5">
        <v>-31616</v>
      </c>
      <c r="F166" s="3" t="s">
        <v>545</v>
      </c>
      <c r="G166" s="3" t="s">
        <v>58</v>
      </c>
      <c r="H166" s="2" t="s">
        <v>20</v>
      </c>
      <c r="I166" s="2" t="s">
        <v>546</v>
      </c>
      <c r="J166" s="3" t="str">
        <f>HYPERLINK("https://www.boe.es/gazeta/dias/1813/06/08/pdfs/GRE-1813-71.pdf#page=2","Abrir facsímil")</f>
        <v>Abrir facsímil</v>
      </c>
      <c r="K166" s="3" t="s">
        <v>22</v>
      </c>
    </row>
    <row r="167" spans="1:11" ht="42" customHeight="1">
      <c r="A167" s="2" t="s">
        <v>547</v>
      </c>
      <c r="B167" s="2" t="s">
        <v>547</v>
      </c>
      <c r="C167" s="2" t="s">
        <v>16</v>
      </c>
      <c r="D167" s="2" t="s">
        <v>17</v>
      </c>
      <c r="E167" s="5">
        <v>-31677</v>
      </c>
      <c r="F167" s="3" t="s">
        <v>76</v>
      </c>
      <c r="G167" s="3" t="s">
        <v>65</v>
      </c>
      <c r="H167" s="2" t="s">
        <v>20</v>
      </c>
      <c r="I167" s="2" t="s">
        <v>548</v>
      </c>
      <c r="J167" s="3" t="str">
        <f>HYPERLINK("https://www.boe.es/gazeta/dias/1813/04/08/pdfs/GRE-1813-43.pdf#page=1","Abrir facsímil")</f>
        <v>Abrir facsímil</v>
      </c>
      <c r="K167" s="3" t="s">
        <v>22</v>
      </c>
    </row>
    <row r="168" spans="1:11" ht="42" customHeight="1">
      <c r="A168" s="2" t="s">
        <v>549</v>
      </c>
      <c r="B168" s="2" t="s">
        <v>549</v>
      </c>
      <c r="C168" s="2" t="s">
        <v>16</v>
      </c>
      <c r="D168" s="2" t="s">
        <v>17</v>
      </c>
      <c r="E168" s="5">
        <v>-31761</v>
      </c>
      <c r="F168" s="3" t="s">
        <v>376</v>
      </c>
      <c r="G168" s="3" t="s">
        <v>65</v>
      </c>
      <c r="H168" s="2" t="s">
        <v>20</v>
      </c>
      <c r="I168" s="2" t="s">
        <v>550</v>
      </c>
      <c r="J168" s="3" t="str">
        <f>HYPERLINK("https://www.boe.es/gazeta/dias/1813/01/14/pdfs/GRE-1813-6.pdf#page=1","Abrir facsímil")</f>
        <v>Abrir facsímil</v>
      </c>
      <c r="K168" s="3" t="s">
        <v>22</v>
      </c>
    </row>
    <row r="169" spans="1:11" ht="42" customHeight="1">
      <c r="A169" s="2" t="s">
        <v>549</v>
      </c>
      <c r="B169" s="2" t="s">
        <v>549</v>
      </c>
      <c r="C169" s="2" t="s">
        <v>16</v>
      </c>
      <c r="D169" s="2" t="s">
        <v>17</v>
      </c>
      <c r="E169" s="5">
        <v>-31759</v>
      </c>
      <c r="F169" s="3" t="s">
        <v>419</v>
      </c>
      <c r="G169" s="3" t="s">
        <v>19</v>
      </c>
      <c r="H169" s="2" t="s">
        <v>20</v>
      </c>
      <c r="I169" s="2" t="s">
        <v>551</v>
      </c>
      <c r="J169" s="3" t="str">
        <f>HYPERLINK("https://www.boe.es/gazeta/dias/1813/01/16/pdfs/GRE-1813-7.pdf#page=4","Abrir facsímil")</f>
        <v>Abrir facsímil</v>
      </c>
      <c r="K169" s="3" t="s">
        <v>22</v>
      </c>
    </row>
    <row r="170" spans="1:11" ht="42" customHeight="1">
      <c r="A170" s="2" t="s">
        <v>552</v>
      </c>
      <c r="B170" s="2" t="s">
        <v>552</v>
      </c>
      <c r="C170" s="2" t="s">
        <v>16</v>
      </c>
      <c r="D170" s="2" t="s">
        <v>17</v>
      </c>
      <c r="E170" s="5">
        <v>-31752</v>
      </c>
      <c r="F170" s="3" t="s">
        <v>182</v>
      </c>
      <c r="G170" s="3" t="s">
        <v>553</v>
      </c>
      <c r="H170" s="2" t="s">
        <v>20</v>
      </c>
      <c r="I170" s="2" t="s">
        <v>554</v>
      </c>
      <c r="J170" s="3" t="str">
        <f>HYPERLINK("https://www.boe.es/gazeta/dias/1813/01/23/pdfs/GRE-1813-10.pdf#page=4","Abrir facsímil")</f>
        <v>Abrir facsímil</v>
      </c>
      <c r="K170" s="3" t="s">
        <v>22</v>
      </c>
    </row>
    <row r="171" spans="1:11" ht="42" customHeight="1">
      <c r="A171" s="2" t="s">
        <v>549</v>
      </c>
      <c r="B171" s="2" t="s">
        <v>549</v>
      </c>
      <c r="C171" s="2" t="s">
        <v>16</v>
      </c>
      <c r="D171" s="2" t="s">
        <v>17</v>
      </c>
      <c r="E171" s="5">
        <v>-31747</v>
      </c>
      <c r="F171" s="3" t="s">
        <v>86</v>
      </c>
      <c r="G171" s="3" t="s">
        <v>65</v>
      </c>
      <c r="H171" s="2" t="s">
        <v>20</v>
      </c>
      <c r="I171" s="2" t="s">
        <v>555</v>
      </c>
      <c r="J171" s="3" t="str">
        <f>HYPERLINK("https://www.boe.es/gazeta/dias/1813/01/28/pdfs/GRE-1813-12.pdf#page=1","Abrir facsímil")</f>
        <v>Abrir facsímil</v>
      </c>
      <c r="K171" s="3" t="s">
        <v>22</v>
      </c>
    </row>
    <row r="172" spans="1:11" ht="42" customHeight="1">
      <c r="A172" s="2" t="s">
        <v>549</v>
      </c>
      <c r="B172" s="2" t="s">
        <v>549</v>
      </c>
      <c r="C172" s="2" t="s">
        <v>69</v>
      </c>
      <c r="D172" s="2" t="s">
        <v>26</v>
      </c>
      <c r="E172" s="5">
        <v>-31738</v>
      </c>
      <c r="F172" s="3" t="s">
        <v>556</v>
      </c>
      <c r="G172" s="3" t="s">
        <v>19</v>
      </c>
      <c r="H172" s="2" t="s">
        <v>20</v>
      </c>
      <c r="I172" s="2" t="s">
        <v>557</v>
      </c>
      <c r="J172" s="3" t="str">
        <f>HYPERLINK("https://www.boe.es/gazeta/dias/1813/02/06/pdfs/GRE-1813-16.pdf#page=4","Abrir facsímil")</f>
        <v>Abrir facsímil</v>
      </c>
      <c r="K172" s="3" t="s">
        <v>22</v>
      </c>
    </row>
    <row r="173" spans="1:11" ht="42" customHeight="1">
      <c r="A173" s="2" t="s">
        <v>549</v>
      </c>
      <c r="B173" s="2" t="s">
        <v>549</v>
      </c>
      <c r="C173" s="2" t="s">
        <v>16</v>
      </c>
      <c r="D173" s="2" t="s">
        <v>17</v>
      </c>
      <c r="E173" s="5">
        <v>-31735</v>
      </c>
      <c r="F173" s="3" t="s">
        <v>558</v>
      </c>
      <c r="G173" s="3" t="s">
        <v>559</v>
      </c>
      <c r="H173" s="2" t="s">
        <v>20</v>
      </c>
      <c r="I173" s="2" t="s">
        <v>560</v>
      </c>
      <c r="J173" s="3" t="str">
        <f>HYPERLINK("https://www.boe.es/gazeta/dias/1813/02/09/pdfs/GRE-1813-17.pdf#page=5","Abrir facsímil")</f>
        <v>Abrir facsímil</v>
      </c>
      <c r="K173" s="3" t="s">
        <v>22</v>
      </c>
    </row>
    <row r="174" spans="1:11" ht="42" customHeight="1">
      <c r="A174" s="2" t="s">
        <v>549</v>
      </c>
      <c r="B174" s="2" t="s">
        <v>549</v>
      </c>
      <c r="C174" s="2" t="s">
        <v>25</v>
      </c>
      <c r="D174" s="2" t="s">
        <v>26</v>
      </c>
      <c r="E174" s="5">
        <v>-31726</v>
      </c>
      <c r="F174" s="3" t="s">
        <v>533</v>
      </c>
      <c r="G174" s="3" t="s">
        <v>534</v>
      </c>
      <c r="H174" s="2" t="s">
        <v>20</v>
      </c>
      <c r="I174" s="2" t="s">
        <v>561</v>
      </c>
      <c r="J174" s="3" t="str">
        <f>HYPERLINK("https://www.boe.es/gazeta/dias/1813/02/18/pdfs/GRE-1813-21.pdf#page=4","Abrir facsímil")</f>
        <v>Abrir facsímil</v>
      </c>
      <c r="K174" s="3" t="s">
        <v>22</v>
      </c>
    </row>
    <row r="175" spans="1:11" ht="42" customHeight="1">
      <c r="A175" s="2" t="s">
        <v>549</v>
      </c>
      <c r="B175" s="2" t="s">
        <v>549</v>
      </c>
      <c r="C175" s="2" t="s">
        <v>16</v>
      </c>
      <c r="D175" s="2" t="s">
        <v>17</v>
      </c>
      <c r="E175" s="5">
        <v>-31721</v>
      </c>
      <c r="F175" s="3" t="s">
        <v>562</v>
      </c>
      <c r="G175" s="3" t="s">
        <v>563</v>
      </c>
      <c r="H175" s="2" t="s">
        <v>20</v>
      </c>
      <c r="I175" s="2" t="s">
        <v>564</v>
      </c>
      <c r="J175" s="3" t="str">
        <f>HYPERLINK("https://www.boe.es/gazeta/dias/1813/02/23/pdfs/GRE-1813-23.pdf#page=4","Abrir facsímil")</f>
        <v>Abrir facsímil</v>
      </c>
      <c r="K175" s="3" t="s">
        <v>22</v>
      </c>
    </row>
    <row r="176" spans="1:11" ht="42" customHeight="1">
      <c r="A176" s="2" t="s">
        <v>549</v>
      </c>
      <c r="B176" s="2" t="s">
        <v>549</v>
      </c>
      <c r="C176" s="2" t="s">
        <v>25</v>
      </c>
      <c r="D176" s="2" t="s">
        <v>26</v>
      </c>
      <c r="E176" s="5">
        <v>-31696</v>
      </c>
      <c r="F176" s="3" t="s">
        <v>520</v>
      </c>
      <c r="G176" s="3" t="s">
        <v>565</v>
      </c>
      <c r="H176" s="2" t="s">
        <v>20</v>
      </c>
      <c r="I176" s="2" t="s">
        <v>566</v>
      </c>
      <c r="J176" s="3" t="str">
        <f>HYPERLINK("https://www.boe.es/gazeta/dias/1813/03/20/pdfs/GRE-1813-35.pdf#page=4","Abrir facsímil")</f>
        <v>Abrir facsímil</v>
      </c>
      <c r="K176" s="3" t="s">
        <v>22</v>
      </c>
    </row>
    <row r="177" spans="1:11" ht="42" customHeight="1">
      <c r="A177" s="2" t="s">
        <v>549</v>
      </c>
      <c r="B177" s="2" t="s">
        <v>549</v>
      </c>
      <c r="C177" s="2" t="s">
        <v>25</v>
      </c>
      <c r="D177" s="2" t="s">
        <v>26</v>
      </c>
      <c r="E177" s="5">
        <v>-31686</v>
      </c>
      <c r="F177" s="3" t="s">
        <v>372</v>
      </c>
      <c r="G177" s="3" t="s">
        <v>373</v>
      </c>
      <c r="H177" s="2" t="s">
        <v>20</v>
      </c>
      <c r="I177" s="2" t="s">
        <v>567</v>
      </c>
      <c r="J177" s="3" t="str">
        <f>HYPERLINK("https://www.boe.es/gazeta/dias/1813/03/30/pdfs/GRE-1813-39.pdf#page=4","Abrir facsímil")</f>
        <v>Abrir facsímil</v>
      </c>
      <c r="K177" s="3" t="s">
        <v>22</v>
      </c>
    </row>
    <row r="178" spans="1:11" ht="42" customHeight="1">
      <c r="A178" s="2" t="s">
        <v>549</v>
      </c>
      <c r="B178" s="2" t="s">
        <v>549</v>
      </c>
      <c r="C178" s="2" t="s">
        <v>16</v>
      </c>
      <c r="D178" s="2" t="s">
        <v>17</v>
      </c>
      <c r="E178" s="5">
        <v>-31686</v>
      </c>
      <c r="F178" s="3" t="s">
        <v>372</v>
      </c>
      <c r="G178" s="3" t="s">
        <v>568</v>
      </c>
      <c r="H178" s="2" t="s">
        <v>20</v>
      </c>
      <c r="I178" s="2" t="s">
        <v>569</v>
      </c>
      <c r="J178" s="3" t="str">
        <f>HYPERLINK("https://www.boe.es/gazeta/dias/1813/03/30/pdfs/GRE-1813-39.pdf#page=5","Abrir facsímil")</f>
        <v>Abrir facsímil</v>
      </c>
      <c r="K178" s="3" t="s">
        <v>22</v>
      </c>
    </row>
    <row r="179" spans="1:11" ht="42" customHeight="1">
      <c r="A179" s="2" t="s">
        <v>570</v>
      </c>
      <c r="B179" s="2" t="s">
        <v>570</v>
      </c>
      <c r="C179" s="2" t="s">
        <v>16</v>
      </c>
      <c r="D179" s="2" t="s">
        <v>17</v>
      </c>
      <c r="E179" s="5">
        <v>-31679</v>
      </c>
      <c r="F179" s="3" t="s">
        <v>571</v>
      </c>
      <c r="G179" s="3" t="s">
        <v>95</v>
      </c>
      <c r="H179" s="2" t="s">
        <v>20</v>
      </c>
      <c r="I179" s="2" t="s">
        <v>572</v>
      </c>
      <c r="J179" s="3" t="str">
        <f>HYPERLINK("https://www.boe.es/gazeta/dias/1813/04/06/pdfs/GRE-1813-42.pdf#page=6","Abrir facsímil")</f>
        <v>Abrir facsímil</v>
      </c>
      <c r="K179" s="3" t="s">
        <v>22</v>
      </c>
    </row>
    <row r="180" spans="1:11" ht="42" customHeight="1">
      <c r="A180" s="2" t="s">
        <v>573</v>
      </c>
      <c r="B180" s="2" t="s">
        <v>573</v>
      </c>
      <c r="C180" s="2" t="s">
        <v>25</v>
      </c>
      <c r="D180" s="2" t="s">
        <v>26</v>
      </c>
      <c r="E180" s="5">
        <v>-31668</v>
      </c>
      <c r="F180" s="3" t="s">
        <v>574</v>
      </c>
      <c r="G180" s="3" t="s">
        <v>58</v>
      </c>
      <c r="H180" s="2" t="s">
        <v>20</v>
      </c>
      <c r="I180" s="2" t="s">
        <v>575</v>
      </c>
      <c r="J180" s="3" t="str">
        <f>HYPERLINK("https://www.boe.es/gazeta/dias/1813/04/17/pdfs/GRE-1813-48.pdf#page=2","Abrir facsímil")</f>
        <v>Abrir facsímil</v>
      </c>
      <c r="K180" s="3" t="s">
        <v>22</v>
      </c>
    </row>
    <row r="181" spans="1:11" ht="42" customHeight="1">
      <c r="A181" s="2" t="s">
        <v>549</v>
      </c>
      <c r="B181" s="2" t="s">
        <v>549</v>
      </c>
      <c r="C181" s="2" t="s">
        <v>16</v>
      </c>
      <c r="D181" s="2" t="s">
        <v>17</v>
      </c>
      <c r="E181" s="5">
        <v>-31656</v>
      </c>
      <c r="F181" s="3" t="s">
        <v>576</v>
      </c>
      <c r="G181" s="3" t="s">
        <v>577</v>
      </c>
      <c r="H181" s="2" t="s">
        <v>20</v>
      </c>
      <c r="I181" s="2" t="s">
        <v>578</v>
      </c>
      <c r="J181" s="3" t="str">
        <f>HYPERLINK("https://www.boe.es/gazeta/dias/1813/04/29/pdfs/GRE-1813-53.pdf#page=2","Abrir facsímil")</f>
        <v>Abrir facsímil</v>
      </c>
      <c r="K181" s="3" t="s">
        <v>22</v>
      </c>
    </row>
    <row r="182" spans="1:11" ht="42" customHeight="1">
      <c r="A182" s="2" t="s">
        <v>549</v>
      </c>
      <c r="B182" s="2" t="s">
        <v>549</v>
      </c>
      <c r="C182" s="2" t="s">
        <v>16</v>
      </c>
      <c r="D182" s="2" t="s">
        <v>17</v>
      </c>
      <c r="E182" s="5">
        <v>-31651</v>
      </c>
      <c r="F182" s="3" t="s">
        <v>579</v>
      </c>
      <c r="G182" s="3" t="s">
        <v>580</v>
      </c>
      <c r="H182" s="2" t="s">
        <v>20</v>
      </c>
      <c r="I182" s="2" t="s">
        <v>581</v>
      </c>
      <c r="J182" s="3" t="str">
        <f>HYPERLINK("https://www.boe.es/gazeta/dias/1813/05/04/pdfs/GRE-1813-55.pdf#page=5","Abrir facsímil")</f>
        <v>Abrir facsímil</v>
      </c>
      <c r="K182" s="3" t="s">
        <v>22</v>
      </c>
    </row>
    <row r="183" spans="1:11" ht="42" customHeight="1">
      <c r="A183" s="2" t="s">
        <v>549</v>
      </c>
      <c r="B183" s="2" t="s">
        <v>549</v>
      </c>
      <c r="C183" s="2" t="s">
        <v>16</v>
      </c>
      <c r="D183" s="2" t="s">
        <v>17</v>
      </c>
      <c r="E183" s="5">
        <v>-31642</v>
      </c>
      <c r="F183" s="3" t="s">
        <v>582</v>
      </c>
      <c r="G183" s="3" t="s">
        <v>65</v>
      </c>
      <c r="H183" s="2" t="s">
        <v>20</v>
      </c>
      <c r="I183" s="2" t="s">
        <v>583</v>
      </c>
      <c r="J183" s="3" t="str">
        <f>HYPERLINK("https://www.boe.es/gazeta/dias/1813/05/13/pdfs/GRE-1813-59.pdf#page=1","Abrir facsímil")</f>
        <v>Abrir facsímil</v>
      </c>
      <c r="K183" s="3" t="s">
        <v>22</v>
      </c>
    </row>
    <row r="184" spans="1:11" ht="42" customHeight="1">
      <c r="A184" s="2" t="s">
        <v>549</v>
      </c>
      <c r="B184" s="2" t="s">
        <v>549</v>
      </c>
      <c r="C184" s="2" t="s">
        <v>16</v>
      </c>
      <c r="D184" s="2" t="s">
        <v>17</v>
      </c>
      <c r="E184" s="5">
        <v>-31609</v>
      </c>
      <c r="F184" s="3" t="s">
        <v>584</v>
      </c>
      <c r="G184" s="3" t="s">
        <v>95</v>
      </c>
      <c r="H184" s="2" t="s">
        <v>20</v>
      </c>
      <c r="I184" s="2" t="s">
        <v>585</v>
      </c>
      <c r="J184" s="3" t="str">
        <f>HYPERLINK("https://www.boe.es/gazeta/dias/1813/06/15/pdfs/GRE-1813-74.pdf#page=6","Abrir facsímil")</f>
        <v>Abrir facsímil</v>
      </c>
      <c r="K184" s="3" t="s">
        <v>22</v>
      </c>
    </row>
    <row r="185" spans="1:11" ht="42" customHeight="1">
      <c r="A185" s="2" t="s">
        <v>549</v>
      </c>
      <c r="B185" s="2" t="s">
        <v>549</v>
      </c>
      <c r="C185" s="2" t="s">
        <v>16</v>
      </c>
      <c r="D185" s="2" t="s">
        <v>17</v>
      </c>
      <c r="E185" s="5">
        <v>-31577</v>
      </c>
      <c r="F185" s="3" t="s">
        <v>586</v>
      </c>
      <c r="G185" s="3" t="s">
        <v>82</v>
      </c>
      <c r="H185" s="2" t="s">
        <v>20</v>
      </c>
      <c r="I185" s="2" t="s">
        <v>587</v>
      </c>
      <c r="J185" s="3" t="str">
        <f>HYPERLINK("https://www.boe.es/gazeta/dias/1813/07/17/pdfs/GRE-1813-90.pdf#page=5","Abrir facsímil")</f>
        <v>Abrir facsímil</v>
      </c>
      <c r="K185" s="3" t="s">
        <v>22</v>
      </c>
    </row>
    <row r="186" spans="1:11" ht="42" customHeight="1">
      <c r="A186" s="2" t="s">
        <v>549</v>
      </c>
      <c r="B186" s="2" t="s">
        <v>549</v>
      </c>
      <c r="C186" s="2" t="s">
        <v>16</v>
      </c>
      <c r="D186" s="2" t="s">
        <v>17</v>
      </c>
      <c r="E186" s="5">
        <v>-31572</v>
      </c>
      <c r="F186" s="3" t="s">
        <v>317</v>
      </c>
      <c r="G186" s="3" t="s">
        <v>95</v>
      </c>
      <c r="H186" s="2" t="s">
        <v>20</v>
      </c>
      <c r="I186" s="2" t="s">
        <v>588</v>
      </c>
      <c r="J186" s="3" t="str">
        <f>HYPERLINK("https://www.boe.es/gazeta/dias/1813/07/22/pdfs/GRE-1813-93.pdf#page=6","Abrir facsímil")</f>
        <v>Abrir facsímil</v>
      </c>
      <c r="K186" s="3" t="s">
        <v>22</v>
      </c>
    </row>
    <row r="187" spans="1:11" ht="42" customHeight="1">
      <c r="A187" s="2" t="s">
        <v>549</v>
      </c>
      <c r="B187" s="2" t="s">
        <v>549</v>
      </c>
      <c r="C187" s="2" t="s">
        <v>16</v>
      </c>
      <c r="D187" s="2" t="s">
        <v>17</v>
      </c>
      <c r="E187" s="5">
        <v>-31565</v>
      </c>
      <c r="F187" s="3" t="s">
        <v>306</v>
      </c>
      <c r="G187" s="3" t="s">
        <v>19</v>
      </c>
      <c r="H187" s="2" t="s">
        <v>20</v>
      </c>
      <c r="I187" s="2" t="s">
        <v>589</v>
      </c>
      <c r="J187" s="3" t="str">
        <f>HYPERLINK("https://www.boe.es/gazeta/dias/1813/07/29/pdfs/GRE-1813-96.pdf#page=4","Abrir facsímil")</f>
        <v>Abrir facsímil</v>
      </c>
      <c r="K187" s="3" t="s">
        <v>22</v>
      </c>
    </row>
    <row r="188" spans="1:11" ht="42" customHeight="1">
      <c r="A188" s="2" t="s">
        <v>549</v>
      </c>
      <c r="B188" s="2" t="s">
        <v>549</v>
      </c>
      <c r="C188" s="2" t="s">
        <v>25</v>
      </c>
      <c r="D188" s="2" t="s">
        <v>26</v>
      </c>
      <c r="E188" s="5">
        <v>-31560</v>
      </c>
      <c r="F188" s="3" t="s">
        <v>590</v>
      </c>
      <c r="G188" s="3" t="s">
        <v>65</v>
      </c>
      <c r="H188" s="2" t="s">
        <v>20</v>
      </c>
      <c r="I188" s="2" t="s">
        <v>591</v>
      </c>
      <c r="J188" s="3" t="str">
        <f>HYPERLINK("https://www.boe.es/gazeta/dias/1813/08/03/pdfs/GRE-1813-98.pdf#page=1","Abrir facsímil")</f>
        <v>Abrir facsímil</v>
      </c>
      <c r="K188" s="3" t="s">
        <v>22</v>
      </c>
    </row>
    <row r="189" spans="1:11" ht="42" customHeight="1">
      <c r="A189" s="2" t="s">
        <v>549</v>
      </c>
      <c r="B189" s="2" t="s">
        <v>549</v>
      </c>
      <c r="C189" s="2" t="s">
        <v>34</v>
      </c>
      <c r="D189" s="2" t="s">
        <v>35</v>
      </c>
      <c r="E189" s="5">
        <v>-31553</v>
      </c>
      <c r="F189" s="3" t="s">
        <v>592</v>
      </c>
      <c r="G189" s="3" t="s">
        <v>95</v>
      </c>
      <c r="H189" s="2" t="s">
        <v>20</v>
      </c>
      <c r="I189" s="2" t="s">
        <v>593</v>
      </c>
      <c r="J189" s="3" t="str">
        <f>HYPERLINK("https://www.boe.es/gazeta/dias/1813/08/10/pdfs/GRE-1813-101.pdf#page=6","Abrir facsímil")</f>
        <v>Abrir facsímil</v>
      </c>
      <c r="K189" s="3" t="s">
        <v>22</v>
      </c>
    </row>
    <row r="190" spans="1:11" ht="42" customHeight="1">
      <c r="A190" s="2" t="s">
        <v>549</v>
      </c>
      <c r="B190" s="2" t="s">
        <v>549</v>
      </c>
      <c r="C190" s="2" t="s">
        <v>16</v>
      </c>
      <c r="D190" s="2" t="s">
        <v>17</v>
      </c>
      <c r="E190" s="5">
        <v>-31532</v>
      </c>
      <c r="F190" s="3" t="s">
        <v>215</v>
      </c>
      <c r="G190" s="3" t="s">
        <v>19</v>
      </c>
      <c r="H190" s="2" t="s">
        <v>20</v>
      </c>
      <c r="I190" s="2" t="s">
        <v>594</v>
      </c>
      <c r="J190" s="3" t="str">
        <f>HYPERLINK("https://www.boe.es/gazeta/dias/1813/08/31/pdfs/GRE-1813-111.pdf#page=4","Abrir facsímil")</f>
        <v>Abrir facsímil</v>
      </c>
      <c r="K190" s="3" t="s">
        <v>22</v>
      </c>
    </row>
    <row r="191" spans="1:11" ht="42" customHeight="1">
      <c r="A191" s="2" t="s">
        <v>549</v>
      </c>
      <c r="B191" s="2" t="s">
        <v>549</v>
      </c>
      <c r="C191" s="2" t="s">
        <v>16</v>
      </c>
      <c r="D191" s="2" t="s">
        <v>17</v>
      </c>
      <c r="E191" s="5">
        <v>-31530</v>
      </c>
      <c r="F191" s="3" t="s">
        <v>319</v>
      </c>
      <c r="G191" s="3" t="s">
        <v>65</v>
      </c>
      <c r="H191" s="2" t="s">
        <v>20</v>
      </c>
      <c r="I191" s="2" t="s">
        <v>595</v>
      </c>
      <c r="J191" s="3" t="str">
        <f>HYPERLINK("https://www.boe.es/gazeta/dias/1813/09/02/pdfs/GRE-1813-112.pdf#page=1","Abrir facsímil")</f>
        <v>Abrir facsímil</v>
      </c>
      <c r="K191" s="3" t="s">
        <v>22</v>
      </c>
    </row>
    <row r="192" spans="1:11" ht="42" customHeight="1">
      <c r="A192" s="2" t="s">
        <v>549</v>
      </c>
      <c r="B192" s="2" t="s">
        <v>549</v>
      </c>
      <c r="C192" s="2" t="s">
        <v>16</v>
      </c>
      <c r="D192" s="2" t="s">
        <v>17</v>
      </c>
      <c r="E192" s="5">
        <v>-31504</v>
      </c>
      <c r="F192" s="3" t="s">
        <v>192</v>
      </c>
      <c r="G192" s="3" t="s">
        <v>28</v>
      </c>
      <c r="H192" s="2" t="s">
        <v>20</v>
      </c>
      <c r="I192" s="2" t="s">
        <v>596</v>
      </c>
      <c r="J192" s="3" t="str">
        <f>HYPERLINK("https://www.boe.es/gazeta/dias/1813/09/28/pdfs/GRE-1813-127.pdf#page=8","Abrir facsímil")</f>
        <v>Abrir facsímil</v>
      </c>
      <c r="K192" s="3" t="s">
        <v>22</v>
      </c>
    </row>
    <row r="193" spans="1:11" ht="42" customHeight="1">
      <c r="A193" s="2" t="s">
        <v>570</v>
      </c>
      <c r="B193" s="2" t="s">
        <v>570</v>
      </c>
      <c r="C193" s="2" t="s">
        <v>16</v>
      </c>
      <c r="D193" s="2" t="s">
        <v>17</v>
      </c>
      <c r="E193" s="5">
        <v>-31486</v>
      </c>
      <c r="F193" s="3" t="s">
        <v>597</v>
      </c>
      <c r="G193" s="3" t="s">
        <v>82</v>
      </c>
      <c r="H193" s="2" t="s">
        <v>20</v>
      </c>
      <c r="I193" s="2" t="s">
        <v>598</v>
      </c>
      <c r="J193" s="3" t="str">
        <f>HYPERLINK("https://www.boe.es/gazeta/dias/1813/10/16/pdfs/GRE-1813-135.pdf#page=5","Abrir facsímil")</f>
        <v>Abrir facsímil</v>
      </c>
      <c r="K193" s="3" t="s">
        <v>22</v>
      </c>
    </row>
    <row r="194" spans="1:11" ht="42" customHeight="1">
      <c r="A194" s="2" t="s">
        <v>549</v>
      </c>
      <c r="B194" s="2" t="s">
        <v>549</v>
      </c>
      <c r="C194" s="2" t="s">
        <v>16</v>
      </c>
      <c r="D194" s="2" t="s">
        <v>17</v>
      </c>
      <c r="E194" s="5">
        <v>-31460</v>
      </c>
      <c r="F194" s="3" t="s">
        <v>599</v>
      </c>
      <c r="G194" s="3" t="s">
        <v>28</v>
      </c>
      <c r="H194" s="2" t="s">
        <v>20</v>
      </c>
      <c r="I194" s="2" t="s">
        <v>600</v>
      </c>
      <c r="J194" s="3" t="str">
        <f>HYPERLINK("https://www.boe.es/gazeta/dias/1813/11/11/pdfs/GMR-1813-72.pdf#page=8","Abrir facsímil")</f>
        <v>Abrir facsímil</v>
      </c>
      <c r="K194" s="3" t="s">
        <v>22</v>
      </c>
    </row>
    <row r="195" spans="1:11" ht="42" customHeight="1">
      <c r="A195" s="2" t="s">
        <v>549</v>
      </c>
      <c r="B195" s="2" t="s">
        <v>549</v>
      </c>
      <c r="C195" s="2" t="s">
        <v>16</v>
      </c>
      <c r="D195" s="2" t="s">
        <v>17</v>
      </c>
      <c r="E195" s="5">
        <v>-31418</v>
      </c>
      <c r="F195" s="3" t="s">
        <v>147</v>
      </c>
      <c r="G195" s="3" t="s">
        <v>65</v>
      </c>
      <c r="H195" s="2" t="s">
        <v>20</v>
      </c>
      <c r="I195" s="2" t="s">
        <v>601</v>
      </c>
      <c r="J195" s="3" t="str">
        <f>HYPERLINK("https://www.boe.es/gazeta/dias/1813/12/23/pdfs/GRE-1813-168.pdf#page=1","Abrir facsímil")</f>
        <v>Abrir facsímil</v>
      </c>
      <c r="K195" s="3" t="s">
        <v>22</v>
      </c>
    </row>
    <row r="196" spans="1:11" ht="42" customHeight="1">
      <c r="A196" s="2" t="s">
        <v>549</v>
      </c>
      <c r="B196" s="2" t="s">
        <v>549</v>
      </c>
      <c r="C196" s="2" t="s">
        <v>16</v>
      </c>
      <c r="D196" s="2" t="s">
        <v>17</v>
      </c>
      <c r="E196" s="5">
        <v>-31413</v>
      </c>
      <c r="F196" s="3" t="s">
        <v>152</v>
      </c>
      <c r="G196" s="3" t="s">
        <v>58</v>
      </c>
      <c r="H196" s="2" t="s">
        <v>20</v>
      </c>
      <c r="I196" s="2" t="s">
        <v>602</v>
      </c>
      <c r="J196" s="3" t="str">
        <f>HYPERLINK("https://www.boe.es/gazeta/dias/1813/12/28/pdfs/GRE-1813-170.pdf#page=2","Abrir facsímil")</f>
        <v>Abrir facsímil</v>
      </c>
      <c r="K196" s="3" t="s">
        <v>22</v>
      </c>
    </row>
    <row r="197" spans="1:11" ht="42" customHeight="1">
      <c r="A197" s="2" t="s">
        <v>603</v>
      </c>
      <c r="B197" s="2" t="s">
        <v>603</v>
      </c>
      <c r="C197" s="2" t="s">
        <v>16</v>
      </c>
      <c r="D197" s="2" t="s">
        <v>17</v>
      </c>
      <c r="E197" s="5">
        <v>-31762</v>
      </c>
      <c r="F197" s="3" t="s">
        <v>604</v>
      </c>
      <c r="G197" s="3" t="s">
        <v>65</v>
      </c>
      <c r="H197" s="2" t="s">
        <v>20</v>
      </c>
      <c r="I197" s="2" t="s">
        <v>605</v>
      </c>
      <c r="J197" s="3" t="str">
        <f>HYPERLINK("https://www.boe.es/gazeta/dias/1813/01/13/pdfs/GMD-1813-13.pdf#page=1","Abrir facsímil")</f>
        <v>Abrir facsímil</v>
      </c>
      <c r="K197" s="3" t="s">
        <v>22</v>
      </c>
    </row>
    <row r="198" spans="1:11" ht="42" customHeight="1">
      <c r="A198" s="2" t="s">
        <v>606</v>
      </c>
      <c r="B198" s="2" t="s">
        <v>606</v>
      </c>
      <c r="C198" s="2" t="s">
        <v>16</v>
      </c>
      <c r="D198" s="2" t="s">
        <v>17</v>
      </c>
      <c r="E198" s="5">
        <v>-31696</v>
      </c>
      <c r="F198" s="3" t="s">
        <v>520</v>
      </c>
      <c r="G198" s="3" t="s">
        <v>521</v>
      </c>
      <c r="H198" s="2" t="s">
        <v>20</v>
      </c>
      <c r="I198" s="2" t="s">
        <v>607</v>
      </c>
      <c r="J198" s="3" t="str">
        <f>HYPERLINK("https://www.boe.es/gazeta/dias/1813/03/20/pdfs/GRE-1813-35.pdf#page=7","Abrir facsímil")</f>
        <v>Abrir facsímil</v>
      </c>
      <c r="K198" s="3" t="s">
        <v>22</v>
      </c>
    </row>
    <row r="199" spans="1:11" ht="42" customHeight="1">
      <c r="A199" s="2" t="s">
        <v>608</v>
      </c>
      <c r="B199" s="2" t="s">
        <v>608</v>
      </c>
      <c r="C199" s="2" t="s">
        <v>25</v>
      </c>
      <c r="D199" s="2" t="s">
        <v>26</v>
      </c>
      <c r="E199" s="5">
        <v>-31579</v>
      </c>
      <c r="F199" s="3" t="s">
        <v>609</v>
      </c>
      <c r="G199" s="3" t="s">
        <v>610</v>
      </c>
      <c r="H199" s="2" t="s">
        <v>20</v>
      </c>
      <c r="I199" s="2" t="s">
        <v>611</v>
      </c>
      <c r="J199" s="3" t="str">
        <f>HYPERLINK("https://www.boe.es/gazeta/dias/1813/07/15/pdfs/GRE-1813-89.pdf#page=2","Abrir facsímil")</f>
        <v>Abrir facsímil</v>
      </c>
      <c r="K199" s="3" t="s">
        <v>22</v>
      </c>
    </row>
    <row r="200" spans="1:11" ht="42" customHeight="1">
      <c r="A200" s="2" t="s">
        <v>612</v>
      </c>
      <c r="B200" s="2" t="s">
        <v>613</v>
      </c>
      <c r="C200" s="2" t="s">
        <v>187</v>
      </c>
      <c r="D200" s="2" t="s">
        <v>26</v>
      </c>
      <c r="E200" s="5">
        <v>-31689</v>
      </c>
      <c r="F200" s="3" t="s">
        <v>48</v>
      </c>
      <c r="G200" s="3" t="s">
        <v>162</v>
      </c>
      <c r="H200" s="2" t="s">
        <v>20</v>
      </c>
      <c r="I200" s="2" t="s">
        <v>614</v>
      </c>
      <c r="J200" s="3" t="str">
        <f>HYPERLINK("https://www.boe.es/gazeta/dias/1813/03/27/pdfs/GRE-1813-38.pdf#page=8","Abrir facsímil")</f>
        <v>Abrir facsímil</v>
      </c>
      <c r="K200" s="3" t="s">
        <v>22</v>
      </c>
    </row>
    <row r="201" spans="1:11" ht="42" customHeight="1">
      <c r="A201" s="2" t="s">
        <v>615</v>
      </c>
      <c r="B201" s="2" t="s">
        <v>616</v>
      </c>
      <c r="C201" s="2" t="s">
        <v>187</v>
      </c>
      <c r="D201" s="2" t="s">
        <v>26</v>
      </c>
      <c r="E201" s="5">
        <v>-31677</v>
      </c>
      <c r="F201" s="3" t="s">
        <v>76</v>
      </c>
      <c r="G201" s="3" t="s">
        <v>28</v>
      </c>
      <c r="H201" s="2" t="s">
        <v>20</v>
      </c>
      <c r="I201" s="2" t="s">
        <v>617</v>
      </c>
      <c r="J201" s="3" t="str">
        <f>HYPERLINK("https://www.boe.es/gazeta/dias/1813/04/08/pdfs/GRE-1813-43.pdf#page=8","Abrir facsímil")</f>
        <v>Abrir facsímil</v>
      </c>
      <c r="K201" s="3" t="s">
        <v>22</v>
      </c>
    </row>
    <row r="202" spans="1:11" ht="42" customHeight="1">
      <c r="A202" s="2" t="s">
        <v>618</v>
      </c>
      <c r="B202" s="2" t="s">
        <v>618</v>
      </c>
      <c r="C202" s="2" t="s">
        <v>25</v>
      </c>
      <c r="D202" s="2" t="s">
        <v>26</v>
      </c>
      <c r="E202" s="5">
        <v>-31544</v>
      </c>
      <c r="F202" s="3" t="s">
        <v>44</v>
      </c>
      <c r="G202" s="3" t="s">
        <v>49</v>
      </c>
      <c r="H202" s="2" t="s">
        <v>20</v>
      </c>
      <c r="I202" s="2" t="s">
        <v>619</v>
      </c>
      <c r="J202" s="3" t="str">
        <f>HYPERLINK("https://www.boe.es/gazeta/dias/1813/08/19/pdfs/GMR-1813-30.pdf#page=5","Abrir facsímil")</f>
        <v>Abrir facsímil</v>
      </c>
      <c r="K202" s="3" t="s">
        <v>22</v>
      </c>
    </row>
    <row r="203" spans="1:11" ht="42" customHeight="1">
      <c r="A203" s="2" t="s">
        <v>620</v>
      </c>
      <c r="B203" s="2" t="s">
        <v>620</v>
      </c>
      <c r="C203" s="2" t="s">
        <v>25</v>
      </c>
      <c r="D203" s="2" t="s">
        <v>26</v>
      </c>
      <c r="E203" s="5">
        <v>-31759</v>
      </c>
      <c r="F203" s="3" t="s">
        <v>621</v>
      </c>
      <c r="G203" s="3" t="s">
        <v>622</v>
      </c>
      <c r="H203" s="2" t="s">
        <v>20</v>
      </c>
      <c r="I203" s="2" t="s">
        <v>623</v>
      </c>
      <c r="J203" s="3" t="str">
        <f>HYPERLINK("https://www.boe.es/gazeta/dias/1813/01/16/pdfs/GMD-1813-16.pdf#page=3","Abrir facsímil")</f>
        <v>Abrir facsímil</v>
      </c>
      <c r="K203" s="3" t="s">
        <v>22</v>
      </c>
    </row>
    <row r="204" spans="1:11" ht="42" customHeight="1">
      <c r="A204" s="2" t="s">
        <v>624</v>
      </c>
      <c r="B204" s="2" t="s">
        <v>625</v>
      </c>
      <c r="C204" s="2" t="s">
        <v>109</v>
      </c>
      <c r="D204" s="2" t="s">
        <v>26</v>
      </c>
      <c r="E204" s="5">
        <v>-31724</v>
      </c>
      <c r="F204" s="3" t="s">
        <v>626</v>
      </c>
      <c r="G204" s="3" t="s">
        <v>627</v>
      </c>
      <c r="H204" s="2" t="s">
        <v>20</v>
      </c>
      <c r="I204" s="2" t="s">
        <v>628</v>
      </c>
      <c r="J204" s="3" t="str">
        <f>HYPERLINK("https://www.boe.es/gazeta/dias/1813/02/20/pdfs/GRE-1813-22.pdf#page=8","Abrir facsímil")</f>
        <v>Abrir facsímil</v>
      </c>
      <c r="K204" s="3" t="s">
        <v>22</v>
      </c>
    </row>
    <row r="205" spans="1:11" ht="42" customHeight="1">
      <c r="A205" s="2" t="s">
        <v>629</v>
      </c>
      <c r="B205" s="2" t="s">
        <v>630</v>
      </c>
      <c r="C205" s="2" t="s">
        <v>16</v>
      </c>
      <c r="D205" s="2" t="s">
        <v>17</v>
      </c>
      <c r="E205" s="5">
        <v>-31656</v>
      </c>
      <c r="F205" s="3" t="s">
        <v>576</v>
      </c>
      <c r="G205" s="3" t="s">
        <v>631</v>
      </c>
      <c r="H205" s="2" t="s">
        <v>20</v>
      </c>
      <c r="I205" s="2" t="s">
        <v>632</v>
      </c>
      <c r="J205" s="3" t="str">
        <f>HYPERLINK("https://www.boe.es/gazeta/dias/1813/04/29/pdfs/GRE-1813-53.pdf#page=5","Abrir facsímil")</f>
        <v>Abrir facsímil</v>
      </c>
      <c r="K205" s="3" t="s">
        <v>22</v>
      </c>
    </row>
    <row r="206" spans="1:11" ht="42" customHeight="1">
      <c r="A206" s="2" t="s">
        <v>633</v>
      </c>
      <c r="B206" s="2" t="s">
        <v>634</v>
      </c>
      <c r="C206" s="2" t="s">
        <v>109</v>
      </c>
      <c r="D206" s="2" t="s">
        <v>26</v>
      </c>
      <c r="E206" s="5">
        <v>-31537</v>
      </c>
      <c r="F206" s="3" t="s">
        <v>138</v>
      </c>
      <c r="G206" s="3" t="s">
        <v>95</v>
      </c>
      <c r="H206" s="2" t="s">
        <v>20</v>
      </c>
      <c r="I206" s="2" t="s">
        <v>635</v>
      </c>
      <c r="J206" s="3" t="str">
        <f>HYPERLINK("https://www.boe.es/gazeta/dias/1813/08/26/pdfs/GMR-1813-33.pdf#page=6","Abrir facsímil")</f>
        <v>Abrir facsímil</v>
      </c>
      <c r="K206" s="3" t="s">
        <v>22</v>
      </c>
    </row>
    <row r="207" spans="1:11" ht="42" customHeight="1">
      <c r="A207" s="2" t="s">
        <v>636</v>
      </c>
      <c r="B207" s="2" t="s">
        <v>637</v>
      </c>
      <c r="C207" s="2" t="s">
        <v>16</v>
      </c>
      <c r="D207" s="2" t="s">
        <v>17</v>
      </c>
      <c r="E207" s="5">
        <v>-31523</v>
      </c>
      <c r="F207" s="3" t="s">
        <v>81</v>
      </c>
      <c r="G207" s="3" t="s">
        <v>82</v>
      </c>
      <c r="H207" s="2" t="s">
        <v>20</v>
      </c>
      <c r="I207" s="2" t="s">
        <v>638</v>
      </c>
      <c r="J207" s="3" t="str">
        <f>HYPERLINK("https://www.boe.es/gazeta/dias/1813/09/09/pdfs/GRE-1813-115.pdf#page=5","Abrir facsímil")</f>
        <v>Abrir facsímil</v>
      </c>
      <c r="K207" s="3" t="s">
        <v>22</v>
      </c>
    </row>
    <row r="208" spans="1:11" ht="42" customHeight="1">
      <c r="A208" s="2" t="s">
        <v>639</v>
      </c>
      <c r="B208" s="2" t="s">
        <v>640</v>
      </c>
      <c r="C208" s="2" t="s">
        <v>16</v>
      </c>
      <c r="D208" s="2" t="s">
        <v>17</v>
      </c>
      <c r="E208" s="5">
        <v>-31770</v>
      </c>
      <c r="F208" s="3" t="s">
        <v>641</v>
      </c>
      <c r="G208" s="3" t="s">
        <v>58</v>
      </c>
      <c r="H208" s="2" t="s">
        <v>20</v>
      </c>
      <c r="I208" s="2" t="s">
        <v>642</v>
      </c>
      <c r="J208" s="3" t="str">
        <f>HYPERLINK("https://www.boe.es/gazeta/dias/1813/01/05/pdfs/GMD-1813-5.pdf#page=2","Abrir facsímil")</f>
        <v>Abrir facsímil</v>
      </c>
      <c r="K208" s="3" t="s">
        <v>22</v>
      </c>
    </row>
    <row r="209" spans="1:11" ht="42" customHeight="1">
      <c r="A209" s="2" t="s">
        <v>643</v>
      </c>
      <c r="B209" s="2" t="s">
        <v>644</v>
      </c>
      <c r="C209" s="2" t="s">
        <v>34</v>
      </c>
      <c r="D209" s="2" t="s">
        <v>35</v>
      </c>
      <c r="E209" s="5">
        <v>-31556</v>
      </c>
      <c r="F209" s="3" t="s">
        <v>118</v>
      </c>
      <c r="G209" s="3" t="s">
        <v>28</v>
      </c>
      <c r="H209" s="2" t="s">
        <v>20</v>
      </c>
      <c r="I209" s="2" t="s">
        <v>645</v>
      </c>
      <c r="J209" s="3" t="str">
        <f>HYPERLINK("https://www.boe.es/gazeta/dias/1813/08/07/pdfs/GMR-1813-25.pdf#page=8","Abrir facsímil")</f>
        <v>Abrir facsímil</v>
      </c>
      <c r="K209" s="3" t="s">
        <v>22</v>
      </c>
    </row>
    <row r="210" spans="1:11" ht="42" customHeight="1">
      <c r="A210" s="2" t="s">
        <v>646</v>
      </c>
      <c r="B210" s="2" t="s">
        <v>647</v>
      </c>
      <c r="C210" s="2" t="s">
        <v>25</v>
      </c>
      <c r="D210" s="2" t="s">
        <v>26</v>
      </c>
      <c r="E210" s="5">
        <v>-31675</v>
      </c>
      <c r="F210" s="3" t="s">
        <v>27</v>
      </c>
      <c r="G210" s="3" t="s">
        <v>648</v>
      </c>
      <c r="H210" s="2" t="s">
        <v>20</v>
      </c>
      <c r="I210" s="2" t="s">
        <v>649</v>
      </c>
      <c r="J210" s="3" t="str">
        <f>HYPERLINK("https://www.boe.es/gazeta/dias/1813/04/10/pdfs/GRE-1813-44.pdf#page=7","Abrir facsímil")</f>
        <v>Abrir facsímil</v>
      </c>
      <c r="K210" s="3" t="s">
        <v>22</v>
      </c>
    </row>
    <row r="211" spans="1:11" ht="42" customHeight="1">
      <c r="A211" s="2" t="s">
        <v>650</v>
      </c>
      <c r="B211" s="2" t="s">
        <v>650</v>
      </c>
      <c r="C211" s="2" t="s">
        <v>16</v>
      </c>
      <c r="D211" s="2" t="s">
        <v>17</v>
      </c>
      <c r="E211" s="5">
        <v>-31721</v>
      </c>
      <c r="F211" s="3" t="s">
        <v>562</v>
      </c>
      <c r="G211" s="3" t="s">
        <v>82</v>
      </c>
      <c r="H211" s="2" t="s">
        <v>20</v>
      </c>
      <c r="I211" s="2" t="s">
        <v>651</v>
      </c>
      <c r="J211" s="3" t="str">
        <f>HYPERLINK("https://www.boe.es/gazeta/dias/1813/02/23/pdfs/GRE-1813-23.pdf#page=5","Abrir facsímil")</f>
        <v>Abrir facsímil</v>
      </c>
      <c r="K211" s="3" t="s">
        <v>22</v>
      </c>
    </row>
    <row r="212" spans="1:11" ht="42" customHeight="1">
      <c r="A212" s="2" t="s">
        <v>652</v>
      </c>
      <c r="B212" s="2" t="s">
        <v>653</v>
      </c>
      <c r="C212" s="2" t="s">
        <v>25</v>
      </c>
      <c r="D212" s="2" t="s">
        <v>26</v>
      </c>
      <c r="E212" s="5">
        <v>-31416</v>
      </c>
      <c r="F212" s="3" t="s">
        <v>278</v>
      </c>
      <c r="G212" s="3" t="s">
        <v>207</v>
      </c>
      <c r="H212" s="2" t="s">
        <v>20</v>
      </c>
      <c r="I212" s="2" t="s">
        <v>654</v>
      </c>
      <c r="J212" s="3" t="str">
        <f>HYPERLINK("https://www.boe.es/gazeta/dias/1813/12/25/pdfs/GMR-1813-92.pdf#page=10","Abrir facsímil")</f>
        <v>Abrir facsímil</v>
      </c>
      <c r="K212" s="3" t="s">
        <v>22</v>
      </c>
    </row>
    <row r="213" spans="1:11" ht="42" customHeight="1">
      <c r="A213" s="2" t="s">
        <v>655</v>
      </c>
      <c r="B213" s="2" t="s">
        <v>656</v>
      </c>
      <c r="C213" s="2" t="s">
        <v>16</v>
      </c>
      <c r="D213" s="2" t="s">
        <v>17</v>
      </c>
      <c r="E213" s="5">
        <v>-31467</v>
      </c>
      <c r="F213" s="3" t="s">
        <v>120</v>
      </c>
      <c r="G213" s="3" t="s">
        <v>58</v>
      </c>
      <c r="H213" s="2" t="s">
        <v>20</v>
      </c>
      <c r="I213" s="2" t="s">
        <v>657</v>
      </c>
      <c r="J213" s="3" t="str">
        <f>HYPERLINK("https://www.boe.es/gazeta/dias/1813/11/04/pdfs/GMR-1813-68.pdf#page=2","Abrir facsímil")</f>
        <v>Abrir facsímil</v>
      </c>
      <c r="K213" s="3" t="s">
        <v>22</v>
      </c>
    </row>
    <row r="214" spans="1:11" ht="42" customHeight="1">
      <c r="A214" s="2" t="s">
        <v>658</v>
      </c>
      <c r="B214" s="2" t="s">
        <v>659</v>
      </c>
      <c r="C214" s="2" t="s">
        <v>16</v>
      </c>
      <c r="D214" s="2" t="s">
        <v>17</v>
      </c>
      <c r="E214" s="5">
        <v>-31542</v>
      </c>
      <c r="F214" s="3" t="s">
        <v>347</v>
      </c>
      <c r="G214" s="3" t="s">
        <v>54</v>
      </c>
      <c r="H214" s="2" t="s">
        <v>20</v>
      </c>
      <c r="I214" s="2" t="s">
        <v>660</v>
      </c>
      <c r="J214" s="3" t="str">
        <f>HYPERLINK("https://www.boe.es/gazeta/dias/1813/08/21/pdfs/GMR-1813-31.pdf#page=3","Abrir facsímil")</f>
        <v>Abrir facsímil</v>
      </c>
      <c r="K214" s="3" t="s">
        <v>22</v>
      </c>
    </row>
    <row r="215" spans="1:11" ht="42" customHeight="1">
      <c r="A215" s="2" t="s">
        <v>661</v>
      </c>
      <c r="B215" s="2" t="s">
        <v>662</v>
      </c>
      <c r="C215" s="2" t="s">
        <v>16</v>
      </c>
      <c r="D215" s="2" t="s">
        <v>17</v>
      </c>
      <c r="E215" s="5">
        <v>-31542</v>
      </c>
      <c r="F215" s="3" t="s">
        <v>347</v>
      </c>
      <c r="G215" s="3" t="s">
        <v>54</v>
      </c>
      <c r="H215" s="2" t="s">
        <v>20</v>
      </c>
      <c r="I215" s="2" t="s">
        <v>663</v>
      </c>
      <c r="J215" s="3" t="str">
        <f>HYPERLINK("https://www.boe.es/gazeta/dias/1813/08/21/pdfs/GMR-1813-31.pdf#page=3","Abrir facsímil")</f>
        <v>Abrir facsímil</v>
      </c>
      <c r="K215" s="3" t="s">
        <v>22</v>
      </c>
    </row>
    <row r="216" spans="1:11" ht="42" customHeight="1">
      <c r="A216" s="2" t="s">
        <v>664</v>
      </c>
      <c r="B216" s="2" t="s">
        <v>665</v>
      </c>
      <c r="C216" s="2" t="s">
        <v>25</v>
      </c>
      <c r="D216" s="2" t="s">
        <v>26</v>
      </c>
      <c r="E216" s="5">
        <v>-31677</v>
      </c>
      <c r="F216" s="3" t="s">
        <v>76</v>
      </c>
      <c r="G216" s="3" t="s">
        <v>28</v>
      </c>
      <c r="H216" s="2" t="s">
        <v>20</v>
      </c>
      <c r="I216" s="2" t="s">
        <v>666</v>
      </c>
      <c r="J216" s="3" t="str">
        <f>HYPERLINK("https://www.boe.es/gazeta/dias/1813/04/08/pdfs/GRE-1813-43.pdf#page=8","Abrir facsímil")</f>
        <v>Abrir facsímil</v>
      </c>
      <c r="K216" s="3" t="s">
        <v>22</v>
      </c>
    </row>
    <row r="217" spans="1:11" ht="42" customHeight="1">
      <c r="A217" s="2" t="s">
        <v>667</v>
      </c>
      <c r="B217" s="2" t="s">
        <v>667</v>
      </c>
      <c r="C217" s="2" t="s">
        <v>16</v>
      </c>
      <c r="D217" s="2" t="s">
        <v>17</v>
      </c>
      <c r="E217" s="5">
        <v>-31763</v>
      </c>
      <c r="F217" s="3" t="s">
        <v>668</v>
      </c>
      <c r="G217" s="3" t="s">
        <v>669</v>
      </c>
      <c r="H217" s="2" t="s">
        <v>20</v>
      </c>
      <c r="I217" s="2" t="s">
        <v>670</v>
      </c>
      <c r="J217" s="3" t="str">
        <f>HYPERLINK("https://www.boe.es/gazeta/dias/1813/01/12/pdfs/GRE-1813-5.pdf#page=6","Abrir facsímil")</f>
        <v>Abrir facsímil</v>
      </c>
      <c r="K217" s="3" t="s">
        <v>22</v>
      </c>
    </row>
    <row r="218" spans="1:11" ht="42" customHeight="1">
      <c r="A218" s="2" t="s">
        <v>671</v>
      </c>
      <c r="B218" s="2" t="s">
        <v>671</v>
      </c>
      <c r="C218" s="2" t="s">
        <v>25</v>
      </c>
      <c r="D218" s="2" t="s">
        <v>26</v>
      </c>
      <c r="E218" s="5">
        <v>-31720</v>
      </c>
      <c r="F218" s="3" t="s">
        <v>672</v>
      </c>
      <c r="G218" s="3" t="s">
        <v>58</v>
      </c>
      <c r="H218" s="2" t="s">
        <v>20</v>
      </c>
      <c r="I218" s="2" t="s">
        <v>673</v>
      </c>
      <c r="J218" s="3" t="str">
        <f>HYPERLINK("https://www.boe.es/gazeta/dias/1813/02/24/pdfs/GMD-1813-55.pdf#page=2","Abrir facsímil")</f>
        <v>Abrir facsímil</v>
      </c>
      <c r="K218" s="3" t="s">
        <v>22</v>
      </c>
    </row>
    <row r="219" spans="1:11" ht="42" customHeight="1">
      <c r="A219" s="2" t="s">
        <v>674</v>
      </c>
      <c r="B219" s="2" t="s">
        <v>675</v>
      </c>
      <c r="C219" s="2" t="s">
        <v>16</v>
      </c>
      <c r="D219" s="2" t="s">
        <v>17</v>
      </c>
      <c r="E219" s="5">
        <v>-31623</v>
      </c>
      <c r="F219" s="3" t="s">
        <v>267</v>
      </c>
      <c r="G219" s="3" t="s">
        <v>676</v>
      </c>
      <c r="H219" s="2" t="s">
        <v>20</v>
      </c>
      <c r="I219" s="2" t="s">
        <v>677</v>
      </c>
      <c r="J219" s="3" t="str">
        <f>HYPERLINK("https://www.boe.es/gazeta/dias/1813/06/01/pdfs/GRE-1813-67.pdf#page=4","Abrir facsímil")</f>
        <v>Abrir facsímil</v>
      </c>
      <c r="K219" s="3" t="s">
        <v>22</v>
      </c>
    </row>
    <row r="220" spans="1:11" ht="42" customHeight="1">
      <c r="A220" s="2" t="s">
        <v>678</v>
      </c>
      <c r="B220" s="2" t="s">
        <v>679</v>
      </c>
      <c r="C220" s="2" t="s">
        <v>16</v>
      </c>
      <c r="D220" s="2" t="s">
        <v>17</v>
      </c>
      <c r="E220" s="5">
        <v>-31437</v>
      </c>
      <c r="F220" s="3" t="s">
        <v>680</v>
      </c>
      <c r="G220" s="3" t="s">
        <v>28</v>
      </c>
      <c r="H220" s="2" t="s">
        <v>20</v>
      </c>
      <c r="I220" s="2" t="s">
        <v>681</v>
      </c>
      <c r="J220" s="3" t="str">
        <f>HYPERLINK("https://www.boe.es/gazeta/dias/1813/12/04/pdfs/GMR-1813-83.pdf#page=8","Abrir facsímil")</f>
        <v>Abrir facsímil</v>
      </c>
      <c r="K220" s="3" t="s">
        <v>22</v>
      </c>
    </row>
    <row r="221" spans="1:11" ht="42" customHeight="1">
      <c r="A221" s="2" t="s">
        <v>682</v>
      </c>
      <c r="B221" s="2" t="s">
        <v>683</v>
      </c>
      <c r="C221" s="2" t="s">
        <v>34</v>
      </c>
      <c r="D221" s="2" t="s">
        <v>35</v>
      </c>
      <c r="E221" s="5">
        <v>-31724</v>
      </c>
      <c r="F221" s="3" t="s">
        <v>684</v>
      </c>
      <c r="G221" s="3" t="s">
        <v>65</v>
      </c>
      <c r="H221" s="2" t="s">
        <v>20</v>
      </c>
      <c r="I221" s="2" t="s">
        <v>685</v>
      </c>
      <c r="J221" s="3" t="str">
        <f>HYPERLINK("https://www.boe.es/gazeta/dias/1813/02/20/pdfs/GMD-1813-51.pdf#page=1","Abrir facsímil")</f>
        <v>Abrir facsímil</v>
      </c>
      <c r="K221" s="3" t="s">
        <v>22</v>
      </c>
    </row>
    <row r="222" spans="1:11" ht="42" customHeight="1">
      <c r="A222" s="2" t="s">
        <v>686</v>
      </c>
      <c r="B222" s="2" t="s">
        <v>686</v>
      </c>
      <c r="C222" s="2" t="s">
        <v>34</v>
      </c>
      <c r="D222" s="2" t="s">
        <v>35</v>
      </c>
      <c r="E222" s="5">
        <v>-31700</v>
      </c>
      <c r="F222" s="3" t="s">
        <v>226</v>
      </c>
      <c r="G222" s="3" t="s">
        <v>687</v>
      </c>
      <c r="H222" s="2" t="s">
        <v>20</v>
      </c>
      <c r="I222" s="2" t="s">
        <v>688</v>
      </c>
      <c r="J222" s="3" t="str">
        <f>HYPERLINK("https://www.boe.es/gazeta/dias/1813/03/16/pdfs/GRE-1813-33.pdf#page=4","Abrir facsímil")</f>
        <v>Abrir facsímil</v>
      </c>
      <c r="K222" s="3" t="s">
        <v>22</v>
      </c>
    </row>
    <row r="223" spans="1:11" ht="42" customHeight="1">
      <c r="A223" s="2" t="s">
        <v>686</v>
      </c>
      <c r="B223" s="2" t="s">
        <v>686</v>
      </c>
      <c r="C223" s="2" t="s">
        <v>16</v>
      </c>
      <c r="D223" s="2" t="s">
        <v>17</v>
      </c>
      <c r="E223" s="5">
        <v>-31700</v>
      </c>
      <c r="F223" s="3" t="s">
        <v>226</v>
      </c>
      <c r="G223" s="3" t="s">
        <v>54</v>
      </c>
      <c r="H223" s="2" t="s">
        <v>20</v>
      </c>
      <c r="I223" s="2" t="s">
        <v>689</v>
      </c>
      <c r="J223" s="3" t="str">
        <f>HYPERLINK("https://www.boe.es/gazeta/dias/1813/03/16/pdfs/GRE-1813-33.pdf#page=3","Abrir facsímil")</f>
        <v>Abrir facsímil</v>
      </c>
      <c r="K223" s="3" t="s">
        <v>22</v>
      </c>
    </row>
    <row r="224" spans="1:11" ht="42" customHeight="1">
      <c r="A224" s="2" t="s">
        <v>686</v>
      </c>
      <c r="B224" s="2" t="s">
        <v>686</v>
      </c>
      <c r="C224" s="2" t="s">
        <v>16</v>
      </c>
      <c r="D224" s="2" t="s">
        <v>17</v>
      </c>
      <c r="E224" s="5">
        <v>-31677</v>
      </c>
      <c r="F224" s="3" t="s">
        <v>76</v>
      </c>
      <c r="G224" s="3" t="s">
        <v>54</v>
      </c>
      <c r="H224" s="2" t="s">
        <v>20</v>
      </c>
      <c r="I224" s="2" t="s">
        <v>690</v>
      </c>
      <c r="J224" s="3" t="str">
        <f>HYPERLINK("https://www.boe.es/gazeta/dias/1813/04/08/pdfs/GRE-1813-43.pdf#page=3","Abrir facsímil")</f>
        <v>Abrir facsímil</v>
      </c>
      <c r="K224" s="3" t="s">
        <v>22</v>
      </c>
    </row>
    <row r="225" spans="1:11" ht="42" customHeight="1">
      <c r="A225" s="2" t="s">
        <v>686</v>
      </c>
      <c r="B225" s="2" t="s">
        <v>686</v>
      </c>
      <c r="C225" s="2" t="s">
        <v>25</v>
      </c>
      <c r="D225" s="2" t="s">
        <v>26</v>
      </c>
      <c r="E225" s="5">
        <v>-31668</v>
      </c>
      <c r="F225" s="3" t="s">
        <v>574</v>
      </c>
      <c r="G225" s="3" t="s">
        <v>65</v>
      </c>
      <c r="H225" s="2" t="s">
        <v>20</v>
      </c>
      <c r="I225" s="2" t="s">
        <v>691</v>
      </c>
      <c r="J225" s="3" t="str">
        <f>HYPERLINK("https://www.boe.es/gazeta/dias/1813/04/17/pdfs/GRE-1813-48.pdf#page=1","Abrir facsímil")</f>
        <v>Abrir facsímil</v>
      </c>
      <c r="K225" s="3" t="s">
        <v>22</v>
      </c>
    </row>
    <row r="226" spans="1:11" ht="42" customHeight="1">
      <c r="A226" s="2" t="s">
        <v>686</v>
      </c>
      <c r="B226" s="2" t="s">
        <v>686</v>
      </c>
      <c r="C226" s="2" t="s">
        <v>16</v>
      </c>
      <c r="D226" s="2" t="s">
        <v>17</v>
      </c>
      <c r="E226" s="5">
        <v>-31460</v>
      </c>
      <c r="F226" s="3" t="s">
        <v>599</v>
      </c>
      <c r="G226" s="3" t="s">
        <v>54</v>
      </c>
      <c r="H226" s="2" t="s">
        <v>20</v>
      </c>
      <c r="I226" s="2" t="s">
        <v>692</v>
      </c>
      <c r="J226" s="3" t="str">
        <f>HYPERLINK("https://www.boe.es/gazeta/dias/1813/11/11/pdfs/GMR-1813-72.pdf#page=3","Abrir facsímil")</f>
        <v>Abrir facsímil</v>
      </c>
      <c r="K226" s="3" t="s">
        <v>22</v>
      </c>
    </row>
    <row r="227" spans="1:11" ht="42" customHeight="1">
      <c r="A227" s="2" t="s">
        <v>686</v>
      </c>
      <c r="B227" s="2" t="s">
        <v>686</v>
      </c>
      <c r="C227" s="2" t="s">
        <v>34</v>
      </c>
      <c r="D227" s="2" t="s">
        <v>35</v>
      </c>
      <c r="E227" s="5">
        <v>-31455</v>
      </c>
      <c r="F227" s="3" t="s">
        <v>693</v>
      </c>
      <c r="G227" s="3" t="s">
        <v>87</v>
      </c>
      <c r="H227" s="2" t="s">
        <v>20</v>
      </c>
      <c r="I227" s="2" t="s">
        <v>694</v>
      </c>
      <c r="J227" s="3" t="str">
        <f>HYPERLINK("https://www.boe.es/gazeta/dias/1813/11/16/pdfs/GRE-1813-150.pdf#page=7","Abrir facsímil")</f>
        <v>Abrir facsímil</v>
      </c>
      <c r="K227" s="3" t="s">
        <v>22</v>
      </c>
    </row>
    <row r="228" spans="1:11" ht="42" customHeight="1">
      <c r="A228" s="2" t="s">
        <v>686</v>
      </c>
      <c r="B228" s="2" t="s">
        <v>686</v>
      </c>
      <c r="C228" s="2" t="s">
        <v>16</v>
      </c>
      <c r="D228" s="2" t="s">
        <v>17</v>
      </c>
      <c r="E228" s="5">
        <v>-31453</v>
      </c>
      <c r="F228" s="3" t="s">
        <v>695</v>
      </c>
      <c r="G228" s="3" t="s">
        <v>54</v>
      </c>
      <c r="H228" s="2" t="s">
        <v>20</v>
      </c>
      <c r="I228" s="2" t="s">
        <v>696</v>
      </c>
      <c r="J228" s="3" t="str">
        <f>HYPERLINK("https://www.boe.es/gazeta/dias/1813/11/18/pdfs/GRE-1813-151.pdf#page=3","Abrir facsímil")</f>
        <v>Abrir facsímil</v>
      </c>
      <c r="K228" s="3" t="s">
        <v>22</v>
      </c>
    </row>
    <row r="229" spans="1:11" ht="42" customHeight="1">
      <c r="A229" s="2" t="s">
        <v>697</v>
      </c>
      <c r="B229" s="2" t="s">
        <v>698</v>
      </c>
      <c r="C229" s="2" t="s">
        <v>16</v>
      </c>
      <c r="D229" s="2" t="s">
        <v>17</v>
      </c>
      <c r="E229" s="5">
        <v>-31628</v>
      </c>
      <c r="F229" s="3" t="s">
        <v>358</v>
      </c>
      <c r="G229" s="3" t="s">
        <v>54</v>
      </c>
      <c r="H229" s="2" t="s">
        <v>20</v>
      </c>
      <c r="I229" s="2" t="s">
        <v>699</v>
      </c>
      <c r="J229" s="3" t="str">
        <f>HYPERLINK("https://www.boe.es/gazeta/dias/1813/05/27/pdfs/GRE-1813-65.pdf#page=3","Abrir facsímil")</f>
        <v>Abrir facsímil</v>
      </c>
      <c r="K229" s="3" t="s">
        <v>22</v>
      </c>
    </row>
    <row r="230" spans="1:11" ht="42" customHeight="1">
      <c r="A230" s="2" t="s">
        <v>700</v>
      </c>
      <c r="B230" s="2" t="s">
        <v>700</v>
      </c>
      <c r="C230" s="2" t="s">
        <v>16</v>
      </c>
      <c r="D230" s="2" t="s">
        <v>97</v>
      </c>
      <c r="E230" s="5">
        <v>-31445</v>
      </c>
      <c r="F230" s="3" t="s">
        <v>299</v>
      </c>
      <c r="G230" s="3" t="s">
        <v>300</v>
      </c>
      <c r="H230" s="2" t="s">
        <v>20</v>
      </c>
      <c r="I230" s="2" t="s">
        <v>701</v>
      </c>
      <c r="J230" s="3" t="str">
        <f>HYPERLINK("https://www.boe.es/gazeta/dias/1813/11/26/pdfs/GRE-1813-156E.pdf#page=3","Abrir facsímil")</f>
        <v>Abrir facsímil</v>
      </c>
      <c r="K230" s="3" t="s">
        <v>22</v>
      </c>
    </row>
    <row r="231" spans="1:11" ht="42" customHeight="1">
      <c r="A231" s="2" t="s">
        <v>700</v>
      </c>
      <c r="B231" s="2" t="s">
        <v>700</v>
      </c>
      <c r="C231" s="2" t="s">
        <v>16</v>
      </c>
      <c r="D231" s="2" t="s">
        <v>17</v>
      </c>
      <c r="E231" s="5">
        <v>-31432</v>
      </c>
      <c r="F231" s="3" t="s">
        <v>702</v>
      </c>
      <c r="G231" s="3" t="s">
        <v>19</v>
      </c>
      <c r="H231" s="2" t="s">
        <v>20</v>
      </c>
      <c r="I231" s="2" t="s">
        <v>703</v>
      </c>
      <c r="J231" s="3" t="str">
        <f>HYPERLINK("https://www.boe.es/gazeta/dias/1813/12/09/pdfs/GMR-1813-85.pdf#page=4","Abrir facsímil")</f>
        <v>Abrir facsímil</v>
      </c>
      <c r="K231" s="3" t="s">
        <v>22</v>
      </c>
    </row>
    <row r="232" spans="1:11" ht="42" customHeight="1">
      <c r="A232" s="2" t="s">
        <v>704</v>
      </c>
      <c r="B232" s="2" t="s">
        <v>705</v>
      </c>
      <c r="C232" s="2" t="s">
        <v>16</v>
      </c>
      <c r="D232" s="2" t="s">
        <v>97</v>
      </c>
      <c r="E232" s="5">
        <v>-31445</v>
      </c>
      <c r="F232" s="3" t="s">
        <v>299</v>
      </c>
      <c r="G232" s="3" t="s">
        <v>300</v>
      </c>
      <c r="H232" s="2" t="s">
        <v>20</v>
      </c>
      <c r="I232" s="2" t="s">
        <v>706</v>
      </c>
      <c r="J232" s="3" t="str">
        <f>HYPERLINK("https://www.boe.es/gazeta/dias/1813/11/26/pdfs/GRE-1813-156E.pdf#page=3","Abrir facsímil")</f>
        <v>Abrir facsímil</v>
      </c>
      <c r="K232" s="3" t="s">
        <v>22</v>
      </c>
    </row>
    <row r="233" spans="1:11" ht="42" customHeight="1">
      <c r="A233" s="2" t="s">
        <v>707</v>
      </c>
      <c r="B233" s="2" t="s">
        <v>708</v>
      </c>
      <c r="C233" s="2" t="s">
        <v>16</v>
      </c>
      <c r="D233" s="2" t="s">
        <v>17</v>
      </c>
      <c r="E233" s="5">
        <v>-31772</v>
      </c>
      <c r="F233" s="3" t="s">
        <v>709</v>
      </c>
      <c r="G233" s="3" t="s">
        <v>28</v>
      </c>
      <c r="H233" s="2" t="s">
        <v>20</v>
      </c>
      <c r="I233" s="2" t="s">
        <v>710</v>
      </c>
      <c r="J233" s="3" t="str">
        <f>HYPERLINK("https://www.boe.es/gazeta/dias/1813/01/03/pdfs/GRE-1813-69.pdf#page=8","Abrir facsímil")</f>
        <v>Abrir facsímil</v>
      </c>
      <c r="K233" s="3" t="s">
        <v>22</v>
      </c>
    </row>
    <row r="234" spans="1:11" ht="42" customHeight="1">
      <c r="A234" s="2" t="s">
        <v>707</v>
      </c>
      <c r="B234" s="2" t="s">
        <v>708</v>
      </c>
      <c r="C234" s="2" t="s">
        <v>16</v>
      </c>
      <c r="D234" s="2" t="s">
        <v>17</v>
      </c>
      <c r="E234" s="5">
        <v>-31621</v>
      </c>
      <c r="F234" s="3" t="s">
        <v>709</v>
      </c>
      <c r="G234" s="3" t="s">
        <v>28</v>
      </c>
      <c r="H234" s="2" t="s">
        <v>20</v>
      </c>
      <c r="I234" s="2" t="s">
        <v>710</v>
      </c>
      <c r="J234" s="3" t="str">
        <f>HYPERLINK("https://www.boe.es/gazeta/dias/1813/06/03/pdfs/GRE-1813-69.pdf#page=8","Abrir facsímil")</f>
        <v>Abrir facsímil</v>
      </c>
      <c r="K234" s="3" t="s">
        <v>22</v>
      </c>
    </row>
    <row r="235" spans="1:11" ht="42" customHeight="1">
      <c r="A235" s="2" t="s">
        <v>707</v>
      </c>
      <c r="B235" s="2" t="s">
        <v>708</v>
      </c>
      <c r="C235" s="2" t="s">
        <v>16</v>
      </c>
      <c r="D235" s="2" t="s">
        <v>17</v>
      </c>
      <c r="E235" s="5">
        <v>-31609</v>
      </c>
      <c r="F235" s="3" t="s">
        <v>711</v>
      </c>
      <c r="G235" s="3" t="s">
        <v>87</v>
      </c>
      <c r="H235" s="2" t="s">
        <v>20</v>
      </c>
      <c r="I235" s="2" t="s">
        <v>712</v>
      </c>
      <c r="J235" s="3" t="str">
        <f>HYPERLINK("https://www.boe.es/gazeta/dias/1813/06/15/pdfs/GMR-1813-6.pdf#page=7","Abrir facsímil")</f>
        <v>Abrir facsímil</v>
      </c>
      <c r="K235" s="3" t="s">
        <v>22</v>
      </c>
    </row>
    <row r="236" spans="1:11" ht="42" customHeight="1">
      <c r="A236" s="2" t="s">
        <v>707</v>
      </c>
      <c r="B236" s="2" t="s">
        <v>708</v>
      </c>
      <c r="C236" s="2" t="s">
        <v>16</v>
      </c>
      <c r="D236" s="2" t="s">
        <v>17</v>
      </c>
      <c r="E236" s="5">
        <v>-31598</v>
      </c>
      <c r="F236" s="3" t="s">
        <v>286</v>
      </c>
      <c r="G236" s="3" t="s">
        <v>28</v>
      </c>
      <c r="H236" s="2" t="s">
        <v>20</v>
      </c>
      <c r="I236" s="2" t="s">
        <v>713</v>
      </c>
      <c r="J236" s="3" t="str">
        <f>HYPERLINK("https://www.boe.es/gazeta/dias/1813/06/26/pdfs/GRE-1813-79.pdf#page=8","Abrir facsímil")</f>
        <v>Abrir facsímil</v>
      </c>
      <c r="K236" s="3" t="s">
        <v>22</v>
      </c>
    </row>
    <row r="237" spans="1:11" ht="42" customHeight="1">
      <c r="A237" s="2" t="s">
        <v>714</v>
      </c>
      <c r="B237" s="2" t="s">
        <v>715</v>
      </c>
      <c r="C237" s="2" t="s">
        <v>16</v>
      </c>
      <c r="D237" s="2" t="s">
        <v>17</v>
      </c>
      <c r="E237" s="5">
        <v>-31432</v>
      </c>
      <c r="F237" s="3" t="s">
        <v>702</v>
      </c>
      <c r="G237" s="3" t="s">
        <v>19</v>
      </c>
      <c r="H237" s="2" t="s">
        <v>20</v>
      </c>
      <c r="I237" s="2" t="s">
        <v>716</v>
      </c>
      <c r="J237" s="3" t="str">
        <f>HYPERLINK("https://www.boe.es/gazeta/dias/1813/12/09/pdfs/GMR-1813-85.pdf#page=4","Abrir facsímil")</f>
        <v>Abrir facsímil</v>
      </c>
      <c r="K237" s="3" t="s">
        <v>22</v>
      </c>
    </row>
    <row r="238" spans="1:11" ht="42" customHeight="1">
      <c r="A238" s="2" t="s">
        <v>717</v>
      </c>
      <c r="B238" s="2" t="s">
        <v>718</v>
      </c>
      <c r="C238" s="2" t="s">
        <v>25</v>
      </c>
      <c r="D238" s="2" t="s">
        <v>26</v>
      </c>
      <c r="E238" s="5">
        <v>-31712</v>
      </c>
      <c r="F238" s="3" t="s">
        <v>719</v>
      </c>
      <c r="G238" s="3" t="s">
        <v>54</v>
      </c>
      <c r="H238" s="2" t="s">
        <v>20</v>
      </c>
      <c r="I238" s="2" t="s">
        <v>720</v>
      </c>
      <c r="J238" s="3" t="str">
        <f>HYPERLINK("https://www.boe.es/gazeta/dias/1813/03/04/pdfs/GMD-1813-63.pdf#page=3","Abrir facsímil")</f>
        <v>Abrir facsímil</v>
      </c>
      <c r="K238" s="3" t="s">
        <v>22</v>
      </c>
    </row>
    <row r="239" spans="1:11" ht="42" customHeight="1">
      <c r="A239" s="2" t="s">
        <v>721</v>
      </c>
      <c r="B239" s="2" t="s">
        <v>722</v>
      </c>
      <c r="C239" s="2" t="s">
        <v>34</v>
      </c>
      <c r="D239" s="2" t="s">
        <v>35</v>
      </c>
      <c r="E239" s="5">
        <v>-31689</v>
      </c>
      <c r="F239" s="3" t="s">
        <v>48</v>
      </c>
      <c r="G239" s="3" t="s">
        <v>49</v>
      </c>
      <c r="H239" s="2" t="s">
        <v>20</v>
      </c>
      <c r="I239" s="2" t="s">
        <v>723</v>
      </c>
      <c r="J239" s="3" t="str">
        <f>HYPERLINK("https://www.boe.es/gazeta/dias/1813/03/27/pdfs/GRE-1813-38.pdf#page=7","Abrir facsímil")</f>
        <v>Abrir facsímil</v>
      </c>
      <c r="K239" s="3" t="s">
        <v>22</v>
      </c>
    </row>
    <row r="240" spans="1:11" ht="42" customHeight="1">
      <c r="A240" s="2" t="s">
        <v>724</v>
      </c>
      <c r="B240" s="2" t="s">
        <v>725</v>
      </c>
      <c r="C240" s="2" t="s">
        <v>187</v>
      </c>
      <c r="D240" s="2" t="s">
        <v>26</v>
      </c>
      <c r="E240" s="5">
        <v>-31677</v>
      </c>
      <c r="F240" s="3" t="s">
        <v>76</v>
      </c>
      <c r="G240" s="3" t="s">
        <v>28</v>
      </c>
      <c r="H240" s="2" t="s">
        <v>20</v>
      </c>
      <c r="I240" s="2" t="s">
        <v>726</v>
      </c>
      <c r="J240" s="3" t="str">
        <f>HYPERLINK("https://www.boe.es/gazeta/dias/1813/04/08/pdfs/GRE-1813-43.pdf#page=8","Abrir facsímil")</f>
        <v>Abrir facsímil</v>
      </c>
      <c r="K240" s="3" t="s">
        <v>22</v>
      </c>
    </row>
    <row r="241" spans="1:11" ht="42" customHeight="1">
      <c r="A241" s="2" t="s">
        <v>727</v>
      </c>
      <c r="B241" s="2" t="s">
        <v>728</v>
      </c>
      <c r="C241" s="2" t="s">
        <v>16</v>
      </c>
      <c r="D241" s="2" t="s">
        <v>97</v>
      </c>
      <c r="E241" s="5">
        <v>-31519</v>
      </c>
      <c r="F241" s="3" t="s">
        <v>312</v>
      </c>
      <c r="G241" s="3" t="s">
        <v>313</v>
      </c>
      <c r="H241" s="2" t="s">
        <v>20</v>
      </c>
      <c r="I241" s="2" t="s">
        <v>729</v>
      </c>
      <c r="J241" s="3" t="str">
        <f>HYPERLINK("https://www.boe.es/gazeta/dias/1813/09/13/pdfs/GRE-1813-118E.pdf#page=9","Abrir facsímil")</f>
        <v>Abrir facsímil</v>
      </c>
      <c r="K241" s="3" t="s">
        <v>22</v>
      </c>
    </row>
    <row r="242" spans="1:11" ht="42" customHeight="1">
      <c r="A242" s="2" t="s">
        <v>730</v>
      </c>
      <c r="B242" s="2" t="s">
        <v>730</v>
      </c>
      <c r="C242" s="2" t="s">
        <v>16</v>
      </c>
      <c r="D242" s="2" t="s">
        <v>17</v>
      </c>
      <c r="E242" s="5">
        <v>-31560</v>
      </c>
      <c r="F242" s="3" t="s">
        <v>590</v>
      </c>
      <c r="G242" s="3" t="s">
        <v>54</v>
      </c>
      <c r="H242" s="2" t="s">
        <v>20</v>
      </c>
      <c r="I242" s="2" t="s">
        <v>731</v>
      </c>
      <c r="J242" s="3" t="str">
        <f>HYPERLINK("https://www.boe.es/gazeta/dias/1813/08/03/pdfs/GRE-1813-98.pdf#page=3","Abrir facsímil")</f>
        <v>Abrir facsímil</v>
      </c>
      <c r="K242" s="3" t="s">
        <v>22</v>
      </c>
    </row>
    <row r="243" spans="1:11" ht="42" customHeight="1">
      <c r="A243" s="2" t="s">
        <v>732</v>
      </c>
      <c r="B243" s="2" t="s">
        <v>733</v>
      </c>
      <c r="C243" s="2" t="s">
        <v>25</v>
      </c>
      <c r="D243" s="2" t="s">
        <v>26</v>
      </c>
      <c r="E243" s="5">
        <v>-31745</v>
      </c>
      <c r="F243" s="3" t="s">
        <v>445</v>
      </c>
      <c r="G243" s="3" t="s">
        <v>475</v>
      </c>
      <c r="H243" s="2" t="s">
        <v>20</v>
      </c>
      <c r="I243" s="2" t="s">
        <v>734</v>
      </c>
      <c r="J243" s="3" t="str">
        <f>HYPERLINK("https://www.boe.es/gazeta/dias/1813/01/30/pdfs/GRE-1813-13.pdf#page=7","Abrir facsímil")</f>
        <v>Abrir facsímil</v>
      </c>
      <c r="K243" s="3" t="s">
        <v>22</v>
      </c>
    </row>
    <row r="244" spans="1:11" ht="42" customHeight="1">
      <c r="A244" s="2" t="s">
        <v>735</v>
      </c>
      <c r="B244" s="2" t="s">
        <v>736</v>
      </c>
      <c r="C244" s="2" t="s">
        <v>16</v>
      </c>
      <c r="D244" s="2" t="s">
        <v>97</v>
      </c>
      <c r="E244" s="5">
        <v>-31519</v>
      </c>
      <c r="F244" s="3" t="s">
        <v>312</v>
      </c>
      <c r="G244" s="3" t="s">
        <v>313</v>
      </c>
      <c r="H244" s="2" t="s">
        <v>20</v>
      </c>
      <c r="I244" s="2" t="s">
        <v>737</v>
      </c>
      <c r="J244" s="3" t="str">
        <f>HYPERLINK("https://www.boe.es/gazeta/dias/1813/09/13/pdfs/GRE-1813-118E.pdf#page=9","Abrir facsímil")</f>
        <v>Abrir facsímil</v>
      </c>
      <c r="K244" s="3" t="s">
        <v>22</v>
      </c>
    </row>
    <row r="245" spans="1:11" ht="42" customHeight="1">
      <c r="A245" s="2" t="s">
        <v>735</v>
      </c>
      <c r="B245" s="2" t="s">
        <v>736</v>
      </c>
      <c r="C245" s="2" t="s">
        <v>16</v>
      </c>
      <c r="D245" s="2" t="s">
        <v>17</v>
      </c>
      <c r="E245" s="5">
        <v>-31507</v>
      </c>
      <c r="F245" s="3" t="s">
        <v>61</v>
      </c>
      <c r="G245" s="3" t="s">
        <v>28</v>
      </c>
      <c r="H245" s="2" t="s">
        <v>20</v>
      </c>
      <c r="I245" s="2" t="s">
        <v>738</v>
      </c>
      <c r="J245" s="3" t="str">
        <f>HYPERLINK("https://www.boe.es/gazeta/dias/1813/09/25/pdfs/GMR-1813-48.pdf#page=8","Abrir facsímil")</f>
        <v>Abrir facsímil</v>
      </c>
      <c r="K245" s="3" t="s">
        <v>22</v>
      </c>
    </row>
    <row r="246" spans="1:11" ht="42" customHeight="1">
      <c r="A246" s="2" t="s">
        <v>739</v>
      </c>
      <c r="B246" s="2" t="s">
        <v>740</v>
      </c>
      <c r="C246" s="2" t="s">
        <v>16</v>
      </c>
      <c r="D246" s="2" t="s">
        <v>17</v>
      </c>
      <c r="E246" s="5">
        <v>-31560</v>
      </c>
      <c r="F246" s="3" t="s">
        <v>590</v>
      </c>
      <c r="G246" s="3" t="s">
        <v>58</v>
      </c>
      <c r="H246" s="2" t="s">
        <v>20</v>
      </c>
      <c r="I246" s="2" t="s">
        <v>741</v>
      </c>
      <c r="J246" s="3" t="str">
        <f>HYPERLINK("https://www.boe.es/gazeta/dias/1813/08/03/pdfs/GRE-1813-98.pdf#page=2","Abrir facsímil")</f>
        <v>Abrir facsímil</v>
      </c>
      <c r="K246" s="3" t="s">
        <v>22</v>
      </c>
    </row>
    <row r="247" spans="1:11" ht="42" customHeight="1">
      <c r="A247" s="2" t="s">
        <v>742</v>
      </c>
      <c r="B247" s="2" t="s">
        <v>743</v>
      </c>
      <c r="C247" s="2" t="s">
        <v>25</v>
      </c>
      <c r="D247" s="2" t="s">
        <v>26</v>
      </c>
      <c r="E247" s="5">
        <v>-31772</v>
      </c>
      <c r="F247" s="3" t="s">
        <v>709</v>
      </c>
      <c r="G247" s="3" t="s">
        <v>82</v>
      </c>
      <c r="H247" s="2" t="s">
        <v>20</v>
      </c>
      <c r="I247" s="2" t="s">
        <v>744</v>
      </c>
      <c r="J247" s="3" t="str">
        <f>HYPERLINK("https://www.boe.es/gazeta/dias/1813/01/03/pdfs/GRE-1813-69.pdf#page=5","Abrir facsímil")</f>
        <v>Abrir facsímil</v>
      </c>
      <c r="K247" s="3" t="s">
        <v>22</v>
      </c>
    </row>
    <row r="248" spans="1:11" ht="42" customHeight="1">
      <c r="A248" s="2" t="s">
        <v>745</v>
      </c>
      <c r="B248" s="2" t="s">
        <v>746</v>
      </c>
      <c r="C248" s="2" t="s">
        <v>16</v>
      </c>
      <c r="D248" s="2" t="s">
        <v>17</v>
      </c>
      <c r="E248" s="5">
        <v>-31711</v>
      </c>
      <c r="F248" s="3" t="s">
        <v>385</v>
      </c>
      <c r="G248" s="3" t="s">
        <v>747</v>
      </c>
      <c r="H248" s="2" t="s">
        <v>20</v>
      </c>
      <c r="I248" s="2" t="s">
        <v>748</v>
      </c>
      <c r="J248" s="3" t="str">
        <f>HYPERLINK("https://www.boe.es/gazeta/dias/1813/03/05/pdfs/GRE-1813-99.pdf#page=2","Abrir facsímil")</f>
        <v>Abrir facsímil</v>
      </c>
      <c r="K248" s="3" t="s">
        <v>22</v>
      </c>
    </row>
    <row r="249" spans="1:11" ht="42" customHeight="1">
      <c r="A249" s="2" t="s">
        <v>742</v>
      </c>
      <c r="B249" s="2" t="s">
        <v>743</v>
      </c>
      <c r="C249" s="2" t="s">
        <v>25</v>
      </c>
      <c r="D249" s="2" t="s">
        <v>26</v>
      </c>
      <c r="E249" s="5">
        <v>-31621</v>
      </c>
      <c r="F249" s="3" t="s">
        <v>709</v>
      </c>
      <c r="G249" s="3" t="s">
        <v>82</v>
      </c>
      <c r="H249" s="2" t="s">
        <v>20</v>
      </c>
      <c r="I249" s="2" t="s">
        <v>744</v>
      </c>
      <c r="J249" s="3" t="str">
        <f>HYPERLINK("https://www.boe.es/gazeta/dias/1813/06/03/pdfs/GRE-1813-69.pdf#page=5","Abrir facsímil")</f>
        <v>Abrir facsímil</v>
      </c>
      <c r="K249" s="3" t="s">
        <v>22</v>
      </c>
    </row>
    <row r="250" spans="1:11" ht="42" customHeight="1">
      <c r="A250" s="2" t="s">
        <v>745</v>
      </c>
      <c r="B250" s="2" t="s">
        <v>746</v>
      </c>
      <c r="C250" s="2" t="s">
        <v>25</v>
      </c>
      <c r="D250" s="2" t="s">
        <v>26</v>
      </c>
      <c r="E250" s="5">
        <v>-31619</v>
      </c>
      <c r="F250" s="3" t="s">
        <v>749</v>
      </c>
      <c r="G250" s="3" t="s">
        <v>54</v>
      </c>
      <c r="H250" s="2" t="s">
        <v>20</v>
      </c>
      <c r="I250" s="2" t="s">
        <v>750</v>
      </c>
      <c r="J250" s="3" t="str">
        <f>HYPERLINK("https://www.boe.es/gazeta/dias/1813/06/05/pdfs/GRE-1813-70.pdf#page=3","Abrir facsímil")</f>
        <v>Abrir facsímil</v>
      </c>
      <c r="K250" s="3" t="s">
        <v>22</v>
      </c>
    </row>
    <row r="251" spans="1:11" ht="42" customHeight="1">
      <c r="A251" s="2" t="s">
        <v>745</v>
      </c>
      <c r="B251" s="2" t="s">
        <v>746</v>
      </c>
      <c r="C251" s="2" t="s">
        <v>16</v>
      </c>
      <c r="D251" s="2" t="s">
        <v>17</v>
      </c>
      <c r="E251" s="5">
        <v>-31558</v>
      </c>
      <c r="F251" s="3" t="s">
        <v>385</v>
      </c>
      <c r="G251" s="3" t="s">
        <v>747</v>
      </c>
      <c r="H251" s="2" t="s">
        <v>20</v>
      </c>
      <c r="I251" s="2" t="s">
        <v>748</v>
      </c>
      <c r="J251" s="3" t="str">
        <f>HYPERLINK("https://www.boe.es/gazeta/dias/1813/08/05/pdfs/GRE-1813-99.pdf#page=2","Abrir facsímil")</f>
        <v>Abrir facsímil</v>
      </c>
      <c r="K251" s="3" t="s">
        <v>22</v>
      </c>
    </row>
    <row r="252" spans="1:11" ht="42" customHeight="1">
      <c r="A252" s="2" t="s">
        <v>751</v>
      </c>
      <c r="B252" s="2" t="s">
        <v>752</v>
      </c>
      <c r="C252" s="2" t="s">
        <v>16</v>
      </c>
      <c r="D252" s="2" t="s">
        <v>17</v>
      </c>
      <c r="E252" s="5">
        <v>-31507</v>
      </c>
      <c r="F252" s="3" t="s">
        <v>61</v>
      </c>
      <c r="G252" s="3" t="s">
        <v>28</v>
      </c>
      <c r="H252" s="2" t="s">
        <v>20</v>
      </c>
      <c r="I252" s="2" t="s">
        <v>753</v>
      </c>
      <c r="J252" s="3" t="str">
        <f>HYPERLINK("https://www.boe.es/gazeta/dias/1813/09/25/pdfs/GMR-1813-48.pdf#page=8","Abrir facsímil")</f>
        <v>Abrir facsímil</v>
      </c>
      <c r="K252" s="3" t="s">
        <v>22</v>
      </c>
    </row>
    <row r="253" spans="1:11" ht="42" customHeight="1">
      <c r="A253" s="2" t="s">
        <v>754</v>
      </c>
      <c r="B253" s="2" t="s">
        <v>755</v>
      </c>
      <c r="C253" s="2" t="s">
        <v>25</v>
      </c>
      <c r="D253" s="2" t="s">
        <v>26</v>
      </c>
      <c r="E253" s="5">
        <v>-31745</v>
      </c>
      <c r="F253" s="3" t="s">
        <v>445</v>
      </c>
      <c r="G253" s="3" t="s">
        <v>28</v>
      </c>
      <c r="H253" s="2" t="s">
        <v>20</v>
      </c>
      <c r="I253" s="2" t="s">
        <v>756</v>
      </c>
      <c r="J253" s="3" t="str">
        <f>HYPERLINK("https://www.boe.es/gazeta/dias/1813/01/30/pdfs/GRE-1813-13.pdf#page=8","Abrir facsímil")</f>
        <v>Abrir facsímil</v>
      </c>
      <c r="K253" s="3" t="s">
        <v>22</v>
      </c>
    </row>
    <row r="254" spans="1:11" ht="42" customHeight="1">
      <c r="A254" s="2" t="s">
        <v>757</v>
      </c>
      <c r="B254" s="2" t="s">
        <v>758</v>
      </c>
      <c r="C254" s="2" t="s">
        <v>16</v>
      </c>
      <c r="D254" s="2" t="s">
        <v>17</v>
      </c>
      <c r="E254" s="5">
        <v>-31651</v>
      </c>
      <c r="F254" s="3" t="s">
        <v>579</v>
      </c>
      <c r="G254" s="3" t="s">
        <v>759</v>
      </c>
      <c r="H254" s="2" t="s">
        <v>20</v>
      </c>
      <c r="I254" s="2" t="s">
        <v>760</v>
      </c>
      <c r="J254" s="3" t="str">
        <f>HYPERLINK("https://www.boe.es/gazeta/dias/1813/05/04/pdfs/GRE-1813-55.pdf#page=8","Abrir facsímil")</f>
        <v>Abrir facsímil</v>
      </c>
      <c r="K254" s="3" t="s">
        <v>22</v>
      </c>
    </row>
    <row r="255" spans="1:11" ht="42" customHeight="1">
      <c r="A255" s="2" t="s">
        <v>761</v>
      </c>
      <c r="B255" s="2" t="s">
        <v>762</v>
      </c>
      <c r="C255" s="2" t="s">
        <v>25</v>
      </c>
      <c r="D255" s="2" t="s">
        <v>26</v>
      </c>
      <c r="E255" s="5">
        <v>-31675</v>
      </c>
      <c r="F255" s="3" t="s">
        <v>27</v>
      </c>
      <c r="G255" s="3" t="s">
        <v>648</v>
      </c>
      <c r="H255" s="2" t="s">
        <v>20</v>
      </c>
      <c r="I255" s="2" t="s">
        <v>763</v>
      </c>
      <c r="J255" s="3" t="str">
        <f>HYPERLINK("https://www.boe.es/gazeta/dias/1813/04/10/pdfs/GRE-1813-44.pdf#page=7","Abrir facsímil")</f>
        <v>Abrir facsímil</v>
      </c>
      <c r="K255" s="3" t="s">
        <v>22</v>
      </c>
    </row>
    <row r="256" spans="1:11" ht="42" customHeight="1">
      <c r="A256" s="2" t="s">
        <v>764</v>
      </c>
      <c r="B256" s="2" t="s">
        <v>765</v>
      </c>
      <c r="C256" s="2" t="s">
        <v>25</v>
      </c>
      <c r="D256" s="2" t="s">
        <v>26</v>
      </c>
      <c r="E256" s="5">
        <v>-31745</v>
      </c>
      <c r="F256" s="3" t="s">
        <v>445</v>
      </c>
      <c r="G256" s="3" t="s">
        <v>28</v>
      </c>
      <c r="H256" s="2" t="s">
        <v>20</v>
      </c>
      <c r="I256" s="2" t="s">
        <v>766</v>
      </c>
      <c r="J256" s="3" t="str">
        <f>HYPERLINK("https://www.boe.es/gazeta/dias/1813/01/30/pdfs/GRE-1813-13.pdf#page=8","Abrir facsímil")</f>
        <v>Abrir facsímil</v>
      </c>
      <c r="K256" s="3" t="s">
        <v>22</v>
      </c>
    </row>
    <row r="257" spans="1:11" ht="42" customHeight="1">
      <c r="A257" s="2" t="s">
        <v>767</v>
      </c>
      <c r="B257" s="2" t="s">
        <v>768</v>
      </c>
      <c r="C257" s="2" t="s">
        <v>16</v>
      </c>
      <c r="D257" s="2" t="s">
        <v>97</v>
      </c>
      <c r="E257" s="5">
        <v>-31445</v>
      </c>
      <c r="F257" s="3" t="s">
        <v>299</v>
      </c>
      <c r="G257" s="3" t="s">
        <v>58</v>
      </c>
      <c r="H257" s="2" t="s">
        <v>20</v>
      </c>
      <c r="I257" s="2" t="s">
        <v>769</v>
      </c>
      <c r="J257" s="3" t="str">
        <f>HYPERLINK("https://www.boe.es/gazeta/dias/1813/11/26/pdfs/GRE-1813-156E.pdf#page=2","Abrir facsímil")</f>
        <v>Abrir facsímil</v>
      </c>
      <c r="K257" s="3" t="s">
        <v>22</v>
      </c>
    </row>
    <row r="258" spans="1:11" ht="42" customHeight="1">
      <c r="A258" s="2" t="s">
        <v>770</v>
      </c>
      <c r="B258" s="2" t="s">
        <v>771</v>
      </c>
      <c r="C258" s="2" t="s">
        <v>16</v>
      </c>
      <c r="D258" s="2" t="s">
        <v>97</v>
      </c>
      <c r="E258" s="5">
        <v>-31670</v>
      </c>
      <c r="F258" s="3" t="s">
        <v>98</v>
      </c>
      <c r="G258" s="3" t="s">
        <v>772</v>
      </c>
      <c r="H258" s="2" t="s">
        <v>20</v>
      </c>
      <c r="I258" s="2" t="s">
        <v>773</v>
      </c>
      <c r="J258" s="3" t="str">
        <f>HYPERLINK("https://www.boe.es/gazeta/dias/1813/04/15/pdfs/GRE-1813-47E.pdf#page=3","Abrir facsímil")</f>
        <v>Abrir facsímil</v>
      </c>
      <c r="K258" s="3" t="s">
        <v>22</v>
      </c>
    </row>
    <row r="259" spans="1:11" ht="42" customHeight="1">
      <c r="A259" s="2" t="s">
        <v>774</v>
      </c>
      <c r="B259" s="2" t="s">
        <v>775</v>
      </c>
      <c r="C259" s="2" t="s">
        <v>25</v>
      </c>
      <c r="D259" s="2" t="s">
        <v>26</v>
      </c>
      <c r="E259" s="5">
        <v>-31745</v>
      </c>
      <c r="F259" s="3" t="s">
        <v>445</v>
      </c>
      <c r="G259" s="3" t="s">
        <v>28</v>
      </c>
      <c r="H259" s="2" t="s">
        <v>20</v>
      </c>
      <c r="I259" s="2" t="s">
        <v>776</v>
      </c>
      <c r="J259" s="3" t="str">
        <f>HYPERLINK("https://www.boe.es/gazeta/dias/1813/01/30/pdfs/GRE-1813-13.pdf#page=8","Abrir facsímil")</f>
        <v>Abrir facsímil</v>
      </c>
      <c r="K259" s="3" t="s">
        <v>22</v>
      </c>
    </row>
    <row r="260" spans="1:11" ht="42" customHeight="1">
      <c r="A260" s="2" t="s">
        <v>777</v>
      </c>
      <c r="B260" s="2" t="s">
        <v>777</v>
      </c>
      <c r="C260" s="2" t="s">
        <v>16</v>
      </c>
      <c r="D260" s="2" t="s">
        <v>17</v>
      </c>
      <c r="E260" s="5">
        <v>-31700</v>
      </c>
      <c r="F260" s="3" t="s">
        <v>778</v>
      </c>
      <c r="G260" s="3" t="s">
        <v>779</v>
      </c>
      <c r="H260" s="2" t="s">
        <v>20</v>
      </c>
      <c r="I260" s="2" t="s">
        <v>780</v>
      </c>
      <c r="J260" s="3" t="str">
        <f>HYPERLINK("https://www.boe.es/gazeta/dias/1813/03/16/pdfs/GMD-1813-75.pdf#page=3","Abrir facsímil")</f>
        <v>Abrir facsímil</v>
      </c>
      <c r="K260" s="3" t="s">
        <v>22</v>
      </c>
    </row>
    <row r="261" spans="1:11" ht="42" customHeight="1">
      <c r="A261" s="2" t="s">
        <v>781</v>
      </c>
      <c r="B261" s="2" t="s">
        <v>781</v>
      </c>
      <c r="C261" s="2" t="s">
        <v>25</v>
      </c>
      <c r="D261" s="2" t="s">
        <v>26</v>
      </c>
      <c r="E261" s="5">
        <v>-31752</v>
      </c>
      <c r="F261" s="3" t="s">
        <v>182</v>
      </c>
      <c r="G261" s="3" t="s">
        <v>183</v>
      </c>
      <c r="H261" s="2" t="s">
        <v>20</v>
      </c>
      <c r="I261" s="2" t="s">
        <v>782</v>
      </c>
      <c r="J261" s="3" t="str">
        <f>HYPERLINK("https://www.boe.es/gazeta/dias/1813/01/23/pdfs/GRE-1813-10.pdf#page=8","Abrir facsímil")</f>
        <v>Abrir facsímil</v>
      </c>
      <c r="K261" s="3" t="s">
        <v>22</v>
      </c>
    </row>
    <row r="262" spans="1:11" ht="42" customHeight="1">
      <c r="A262" s="2" t="s">
        <v>781</v>
      </c>
      <c r="B262" s="2" t="s">
        <v>781</v>
      </c>
      <c r="C262" s="2" t="s">
        <v>25</v>
      </c>
      <c r="D262" s="2" t="s">
        <v>26</v>
      </c>
      <c r="E262" s="5">
        <v>-31745</v>
      </c>
      <c r="F262" s="3" t="s">
        <v>445</v>
      </c>
      <c r="G262" s="3" t="s">
        <v>28</v>
      </c>
      <c r="H262" s="2" t="s">
        <v>20</v>
      </c>
      <c r="I262" s="2" t="s">
        <v>783</v>
      </c>
      <c r="J262" s="3" t="str">
        <f>HYPERLINK("https://www.boe.es/gazeta/dias/1813/01/30/pdfs/GRE-1813-13.pdf#page=8","Abrir facsímil")</f>
        <v>Abrir facsímil</v>
      </c>
      <c r="K262" s="3" t="s">
        <v>22</v>
      </c>
    </row>
    <row r="263" spans="1:11" ht="42" customHeight="1">
      <c r="A263" s="2" t="s">
        <v>781</v>
      </c>
      <c r="B263" s="2" t="s">
        <v>781</v>
      </c>
      <c r="C263" s="2" t="s">
        <v>187</v>
      </c>
      <c r="D263" s="2" t="s">
        <v>26</v>
      </c>
      <c r="E263" s="5">
        <v>-31739</v>
      </c>
      <c r="F263" s="3" t="s">
        <v>784</v>
      </c>
      <c r="G263" s="3" t="s">
        <v>19</v>
      </c>
      <c r="H263" s="2" t="s">
        <v>20</v>
      </c>
      <c r="I263" s="2" t="s">
        <v>785</v>
      </c>
      <c r="J263" s="3" t="str">
        <f>HYPERLINK("https://www.boe.es/gazeta/dias/1813/02/05/pdfs/GMD-1813-36.pdf#page=4","Abrir facsímil")</f>
        <v>Abrir facsímil</v>
      </c>
      <c r="K263" s="3" t="s">
        <v>22</v>
      </c>
    </row>
    <row r="264" spans="1:11" ht="42" customHeight="1">
      <c r="A264" s="2" t="s">
        <v>781</v>
      </c>
      <c r="B264" s="2" t="s">
        <v>781</v>
      </c>
      <c r="C264" s="2" t="s">
        <v>16</v>
      </c>
      <c r="D264" s="2" t="s">
        <v>97</v>
      </c>
      <c r="E264" s="5">
        <v>-31623</v>
      </c>
      <c r="F264" s="3" t="s">
        <v>786</v>
      </c>
      <c r="G264" s="3" t="s">
        <v>58</v>
      </c>
      <c r="H264" s="2" t="s">
        <v>20</v>
      </c>
      <c r="I264" s="2" t="s">
        <v>787</v>
      </c>
      <c r="J264" s="3" t="str">
        <f>HYPERLINK("https://www.boe.es/gazeta/dias/1813/06/01/pdfs/GRE-1813-68E.pdf#page=2","Abrir facsímil")</f>
        <v>Abrir facsímil</v>
      </c>
      <c r="K264" s="3" t="s">
        <v>22</v>
      </c>
    </row>
    <row r="265" spans="1:11" ht="42" customHeight="1">
      <c r="A265" s="2" t="s">
        <v>781</v>
      </c>
      <c r="B265" s="2" t="s">
        <v>781</v>
      </c>
      <c r="C265" s="2" t="s">
        <v>34</v>
      </c>
      <c r="D265" s="2" t="s">
        <v>35</v>
      </c>
      <c r="E265" s="5">
        <v>-31571</v>
      </c>
      <c r="F265" s="3" t="s">
        <v>788</v>
      </c>
      <c r="G265" s="3" t="s">
        <v>789</v>
      </c>
      <c r="H265" s="2" t="s">
        <v>20</v>
      </c>
      <c r="I265" s="2" t="s">
        <v>790</v>
      </c>
      <c r="J265" s="3" t="str">
        <f>HYPERLINK("https://www.boe.es/gazeta/dias/1813/07/23/pdfs/GMR-1813-20.pdf#page=12","Abrir facsímil")</f>
        <v>Abrir facsímil</v>
      </c>
      <c r="K265" s="3" t="s">
        <v>22</v>
      </c>
    </row>
    <row r="266" spans="1:11" ht="42" customHeight="1">
      <c r="A266" s="2" t="s">
        <v>781</v>
      </c>
      <c r="B266" s="2" t="s">
        <v>781</v>
      </c>
      <c r="C266" s="2" t="s">
        <v>16</v>
      </c>
      <c r="D266" s="2" t="s">
        <v>17</v>
      </c>
      <c r="E266" s="5">
        <v>-31507</v>
      </c>
      <c r="F266" s="3" t="s">
        <v>61</v>
      </c>
      <c r="G266" s="3" t="s">
        <v>791</v>
      </c>
      <c r="H266" s="2" t="s">
        <v>20</v>
      </c>
      <c r="I266" s="2" t="s">
        <v>792</v>
      </c>
      <c r="J266" s="3" t="str">
        <f>HYPERLINK("https://www.boe.es/gazeta/dias/1813/09/25/pdfs/GMR-1813-48.pdf#page=7","Abrir facsímil")</f>
        <v>Abrir facsímil</v>
      </c>
      <c r="K266" s="3" t="s">
        <v>22</v>
      </c>
    </row>
    <row r="267" spans="1:11" ht="42" customHeight="1">
      <c r="A267" s="2" t="s">
        <v>781</v>
      </c>
      <c r="B267" s="2" t="s">
        <v>781</v>
      </c>
      <c r="C267" s="2" t="s">
        <v>34</v>
      </c>
      <c r="D267" s="2" t="s">
        <v>35</v>
      </c>
      <c r="E267" s="5">
        <v>-31502</v>
      </c>
      <c r="F267" s="3" t="s">
        <v>257</v>
      </c>
      <c r="G267" s="3" t="s">
        <v>258</v>
      </c>
      <c r="H267" s="2" t="s">
        <v>20</v>
      </c>
      <c r="I267" s="2" t="s">
        <v>793</v>
      </c>
      <c r="J267" s="3" t="str">
        <f>HYPERLINK("https://www.boe.es/gazeta/dias/1813/09/30/pdfs/GMR-1813-51.pdf#page=12","Abrir facsímil")</f>
        <v>Abrir facsímil</v>
      </c>
      <c r="K267" s="3" t="s">
        <v>22</v>
      </c>
    </row>
    <row r="268" spans="1:11" ht="42" customHeight="1">
      <c r="A268" s="2" t="s">
        <v>781</v>
      </c>
      <c r="B268" s="2" t="s">
        <v>781</v>
      </c>
      <c r="C268" s="2" t="s">
        <v>16</v>
      </c>
      <c r="D268" s="2" t="s">
        <v>17</v>
      </c>
      <c r="E268" s="5">
        <v>-31481</v>
      </c>
      <c r="F268" s="3" t="s">
        <v>380</v>
      </c>
      <c r="G268" s="3" t="s">
        <v>794</v>
      </c>
      <c r="H268" s="2" t="s">
        <v>20</v>
      </c>
      <c r="I268" s="2" t="s">
        <v>795</v>
      </c>
      <c r="J268" s="3" t="str">
        <f>HYPERLINK("https://www.boe.es/gazeta/dias/1813/10/21/pdfs/GRE-1813-137.pdf#page=7","Abrir facsímil")</f>
        <v>Abrir facsímil</v>
      </c>
      <c r="K268" s="3" t="s">
        <v>22</v>
      </c>
    </row>
    <row r="269" spans="1:11" ht="42" customHeight="1">
      <c r="A269" s="2" t="s">
        <v>796</v>
      </c>
      <c r="B269" s="2" t="s">
        <v>797</v>
      </c>
      <c r="C269" s="2" t="s">
        <v>16</v>
      </c>
      <c r="D269" s="2" t="s">
        <v>97</v>
      </c>
      <c r="E269" s="5">
        <v>-31599</v>
      </c>
      <c r="F269" s="3" t="s">
        <v>798</v>
      </c>
      <c r="G269" s="3" t="s">
        <v>65</v>
      </c>
      <c r="H269" s="2" t="s">
        <v>20</v>
      </c>
      <c r="I269" s="2" t="s">
        <v>799</v>
      </c>
      <c r="J269" s="3" t="str">
        <f>HYPERLINK("https://www.boe.es/gazeta/dias/1813/06/25/pdfs/GMR-1813-12E.pdf#page=1","Abrir facsímil")</f>
        <v>Abrir facsímil</v>
      </c>
      <c r="K269" s="3" t="s">
        <v>22</v>
      </c>
    </row>
    <row r="270" spans="1:11" ht="42" customHeight="1">
      <c r="A270" s="2" t="s">
        <v>800</v>
      </c>
      <c r="B270" s="2" t="s">
        <v>801</v>
      </c>
      <c r="C270" s="2" t="s">
        <v>16</v>
      </c>
      <c r="D270" s="2" t="s">
        <v>97</v>
      </c>
      <c r="E270" s="5">
        <v>-31479</v>
      </c>
      <c r="F270" s="3" t="s">
        <v>290</v>
      </c>
      <c r="G270" s="3" t="s">
        <v>87</v>
      </c>
      <c r="H270" s="2" t="s">
        <v>20</v>
      </c>
      <c r="I270" s="2" t="s">
        <v>802</v>
      </c>
      <c r="J270" s="3" t="str">
        <f>HYPERLINK("https://www.boe.es/gazeta/dias/1813/10/23/pdfs/GRE-1813-139E.pdf#page=7","Abrir facsímil")</f>
        <v>Abrir facsímil</v>
      </c>
      <c r="K270" s="3" t="s">
        <v>22</v>
      </c>
    </row>
    <row r="271" spans="1:11" ht="42" customHeight="1">
      <c r="A271" s="2" t="s">
        <v>800</v>
      </c>
      <c r="B271" s="2" t="s">
        <v>801</v>
      </c>
      <c r="C271" s="2" t="s">
        <v>16</v>
      </c>
      <c r="D271" s="2" t="s">
        <v>17</v>
      </c>
      <c r="E271" s="5">
        <v>-31432</v>
      </c>
      <c r="F271" s="3" t="s">
        <v>803</v>
      </c>
      <c r="G271" s="3" t="s">
        <v>28</v>
      </c>
      <c r="H271" s="2" t="s">
        <v>20</v>
      </c>
      <c r="I271" s="2" t="s">
        <v>804</v>
      </c>
      <c r="J271" s="3" t="str">
        <f>HYPERLINK("https://www.boe.es/gazeta/dias/1813/12/09/pdfs/GRE-1813-162.pdf#page=8","Abrir facsímil")</f>
        <v>Abrir facsímil</v>
      </c>
      <c r="K271" s="3" t="s">
        <v>22</v>
      </c>
    </row>
    <row r="272" spans="1:11" ht="42" customHeight="1">
      <c r="A272" s="2" t="s">
        <v>805</v>
      </c>
      <c r="B272" s="2" t="s">
        <v>805</v>
      </c>
      <c r="C272" s="2" t="s">
        <v>16</v>
      </c>
      <c r="D272" s="2" t="s">
        <v>17</v>
      </c>
      <c r="E272" s="5">
        <v>-31542</v>
      </c>
      <c r="F272" s="3" t="s">
        <v>347</v>
      </c>
      <c r="G272" s="3" t="s">
        <v>54</v>
      </c>
      <c r="H272" s="2" t="s">
        <v>20</v>
      </c>
      <c r="I272" s="2" t="s">
        <v>806</v>
      </c>
      <c r="J272" s="3" t="str">
        <f>HYPERLINK("https://www.boe.es/gazeta/dias/1813/08/21/pdfs/GMR-1813-31.pdf#page=3","Abrir facsímil")</f>
        <v>Abrir facsímil</v>
      </c>
      <c r="K272" s="3" t="s">
        <v>22</v>
      </c>
    </row>
    <row r="273" spans="1:11" ht="42" customHeight="1">
      <c r="A273" s="2" t="s">
        <v>805</v>
      </c>
      <c r="B273" s="2" t="s">
        <v>805</v>
      </c>
      <c r="C273" s="2" t="s">
        <v>16</v>
      </c>
      <c r="D273" s="2" t="s">
        <v>17</v>
      </c>
      <c r="E273" s="5">
        <v>-31523</v>
      </c>
      <c r="F273" s="3" t="s">
        <v>81</v>
      </c>
      <c r="G273" s="3" t="s">
        <v>807</v>
      </c>
      <c r="H273" s="2" t="s">
        <v>20</v>
      </c>
      <c r="I273" s="2" t="s">
        <v>808</v>
      </c>
      <c r="J273" s="3" t="str">
        <f>HYPERLINK("https://www.boe.es/gazeta/dias/1813/09/09/pdfs/GRE-1813-115.pdf#page=2","Abrir facsímil")</f>
        <v>Abrir facsímil</v>
      </c>
      <c r="K273" s="3" t="s">
        <v>22</v>
      </c>
    </row>
    <row r="274" spans="1:11" ht="42" customHeight="1">
      <c r="A274" s="2" t="s">
        <v>809</v>
      </c>
      <c r="B274" s="2" t="s">
        <v>810</v>
      </c>
      <c r="C274" s="2" t="s">
        <v>16</v>
      </c>
      <c r="D274" s="2" t="s">
        <v>17</v>
      </c>
      <c r="E274" s="5">
        <v>-31504</v>
      </c>
      <c r="F274" s="3" t="s">
        <v>192</v>
      </c>
      <c r="G274" s="3" t="s">
        <v>82</v>
      </c>
      <c r="H274" s="2" t="s">
        <v>20</v>
      </c>
      <c r="I274" s="2" t="s">
        <v>811</v>
      </c>
      <c r="J274" s="3" t="str">
        <f>HYPERLINK("https://www.boe.es/gazeta/dias/1813/09/28/pdfs/GRE-1813-127.pdf#page=5","Abrir facsímil")</f>
        <v>Abrir facsímil</v>
      </c>
      <c r="K274" s="3" t="s">
        <v>22</v>
      </c>
    </row>
    <row r="275" spans="1:11" ht="42" customHeight="1">
      <c r="A275" s="2" t="s">
        <v>809</v>
      </c>
      <c r="B275" s="2" t="s">
        <v>810</v>
      </c>
      <c r="C275" s="2" t="s">
        <v>25</v>
      </c>
      <c r="D275" s="2" t="s">
        <v>26</v>
      </c>
      <c r="E275" s="5">
        <v>-31495</v>
      </c>
      <c r="F275" s="3" t="s">
        <v>194</v>
      </c>
      <c r="G275" s="3" t="s">
        <v>812</v>
      </c>
      <c r="H275" s="2" t="s">
        <v>20</v>
      </c>
      <c r="I275" s="2" t="s">
        <v>813</v>
      </c>
      <c r="J275" s="3" t="str">
        <f>HYPERLINK("https://www.boe.es/gazeta/dias/1813/10/07/pdfs/GMR-1813-55.pdf#page=4","Abrir facsímil")</f>
        <v>Abrir facsímil</v>
      </c>
      <c r="K275" s="3" t="s">
        <v>22</v>
      </c>
    </row>
    <row r="276" spans="1:11" ht="42" customHeight="1">
      <c r="A276" s="2" t="s">
        <v>809</v>
      </c>
      <c r="B276" s="2" t="s">
        <v>810</v>
      </c>
      <c r="C276" s="2" t="s">
        <v>16</v>
      </c>
      <c r="D276" s="2" t="s">
        <v>17</v>
      </c>
      <c r="E276" s="5">
        <v>-31416</v>
      </c>
      <c r="F276" s="3" t="s">
        <v>110</v>
      </c>
      <c r="G276" s="3" t="s">
        <v>87</v>
      </c>
      <c r="H276" s="2" t="s">
        <v>20</v>
      </c>
      <c r="I276" s="2" t="s">
        <v>814</v>
      </c>
      <c r="J276" s="3" t="str">
        <f>HYPERLINK("https://www.boe.es/gazeta/dias/1813/12/25/pdfs/GRE-1813-169.pdf#page=7","Abrir facsímil")</f>
        <v>Abrir facsímil</v>
      </c>
      <c r="K276" s="3" t="s">
        <v>22</v>
      </c>
    </row>
    <row r="277" spans="1:11" ht="42" customHeight="1">
      <c r="A277" s="2" t="s">
        <v>815</v>
      </c>
      <c r="B277" s="2" t="s">
        <v>816</v>
      </c>
      <c r="C277" s="2" t="s">
        <v>25</v>
      </c>
      <c r="D277" s="2" t="s">
        <v>26</v>
      </c>
      <c r="E277" s="5">
        <v>-31752</v>
      </c>
      <c r="F277" s="3" t="s">
        <v>182</v>
      </c>
      <c r="G277" s="3" t="s">
        <v>183</v>
      </c>
      <c r="H277" s="2" t="s">
        <v>20</v>
      </c>
      <c r="I277" s="2" t="s">
        <v>817</v>
      </c>
      <c r="J277" s="3" t="str">
        <f>HYPERLINK("https://www.boe.es/gazeta/dias/1813/01/23/pdfs/GRE-1813-10.pdf#page=8","Abrir facsímil")</f>
        <v>Abrir facsímil</v>
      </c>
      <c r="K277" s="3" t="s">
        <v>22</v>
      </c>
    </row>
    <row r="278" spans="1:11" ht="42" customHeight="1">
      <c r="A278" s="2" t="s">
        <v>818</v>
      </c>
      <c r="B278" s="2" t="s">
        <v>819</v>
      </c>
      <c r="C278" s="2" t="s">
        <v>16</v>
      </c>
      <c r="D278" s="2" t="s">
        <v>17</v>
      </c>
      <c r="E278" s="5">
        <v>-31567</v>
      </c>
      <c r="F278" s="3" t="s">
        <v>820</v>
      </c>
      <c r="G278" s="3" t="s">
        <v>821</v>
      </c>
      <c r="H278" s="2" t="s">
        <v>20</v>
      </c>
      <c r="I278" s="2" t="s">
        <v>822</v>
      </c>
      <c r="J278" s="3" t="str">
        <f>HYPERLINK("https://www.boe.es/gazeta/dias/1813/07/27/pdfs/GMR-1813-21.pdf#page=13","Abrir facsímil")</f>
        <v>Abrir facsímil</v>
      </c>
      <c r="K278" s="3" t="s">
        <v>22</v>
      </c>
    </row>
    <row r="279" spans="1:11" ht="42" customHeight="1">
      <c r="A279" s="2" t="s">
        <v>823</v>
      </c>
      <c r="B279" s="2" t="s">
        <v>824</v>
      </c>
      <c r="C279" s="2" t="s">
        <v>16</v>
      </c>
      <c r="D279" s="2" t="s">
        <v>17</v>
      </c>
      <c r="E279" s="5">
        <v>-31709</v>
      </c>
      <c r="F279" s="3" t="s">
        <v>36</v>
      </c>
      <c r="G279" s="3" t="s">
        <v>19</v>
      </c>
      <c r="H279" s="2" t="s">
        <v>20</v>
      </c>
      <c r="I279" s="2" t="s">
        <v>825</v>
      </c>
      <c r="J279" s="3" t="str">
        <f>HYPERLINK("https://www.boe.es/gazeta/dias/1813/03/07/pdfs/GMD-1813-66.pdf#page=4","Abrir facsímil")</f>
        <v>Abrir facsímil</v>
      </c>
      <c r="K279" s="3" t="s">
        <v>22</v>
      </c>
    </row>
    <row r="280" spans="1:11" ht="42" customHeight="1">
      <c r="A280" s="2" t="s">
        <v>826</v>
      </c>
      <c r="B280" s="2" t="s">
        <v>827</v>
      </c>
      <c r="C280" s="2" t="s">
        <v>25</v>
      </c>
      <c r="D280" s="2" t="s">
        <v>26</v>
      </c>
      <c r="E280" s="5">
        <v>-31745</v>
      </c>
      <c r="F280" s="3" t="s">
        <v>445</v>
      </c>
      <c r="G280" s="3" t="s">
        <v>475</v>
      </c>
      <c r="H280" s="2" t="s">
        <v>20</v>
      </c>
      <c r="I280" s="2" t="s">
        <v>828</v>
      </c>
      <c r="J280" s="3" t="str">
        <f>HYPERLINK("https://www.boe.es/gazeta/dias/1813/01/30/pdfs/GRE-1813-13.pdf#page=7","Abrir facsímil")</f>
        <v>Abrir facsímil</v>
      </c>
      <c r="K280" s="3" t="s">
        <v>22</v>
      </c>
    </row>
    <row r="281" spans="1:11" ht="42" customHeight="1">
      <c r="A281" s="2" t="s">
        <v>829</v>
      </c>
      <c r="B281" s="2" t="s">
        <v>830</v>
      </c>
      <c r="C281" s="2" t="s">
        <v>16</v>
      </c>
      <c r="D281" s="2" t="s">
        <v>17</v>
      </c>
      <c r="E281" s="5">
        <v>-31637</v>
      </c>
      <c r="F281" s="3" t="s">
        <v>234</v>
      </c>
      <c r="G281" s="3" t="s">
        <v>19</v>
      </c>
      <c r="H281" s="2" t="s">
        <v>20</v>
      </c>
      <c r="I281" s="2" t="s">
        <v>831</v>
      </c>
      <c r="J281" s="3" t="str">
        <f>HYPERLINK("https://www.boe.es/gazeta/dias/1813/05/18/pdfs/GRE-1813-61.pdf#page=4","Abrir facsímil")</f>
        <v>Abrir facsímil</v>
      </c>
      <c r="K281" s="3" t="s">
        <v>22</v>
      </c>
    </row>
    <row r="282" spans="1:11" ht="42" customHeight="1">
      <c r="A282" s="2" t="s">
        <v>832</v>
      </c>
      <c r="B282" s="2" t="s">
        <v>833</v>
      </c>
      <c r="C282" s="2" t="s">
        <v>25</v>
      </c>
      <c r="D282" s="2" t="s">
        <v>26</v>
      </c>
      <c r="E282" s="5">
        <v>-31675</v>
      </c>
      <c r="F282" s="3" t="s">
        <v>27</v>
      </c>
      <c r="G282" s="3" t="s">
        <v>28</v>
      </c>
      <c r="H282" s="2" t="s">
        <v>20</v>
      </c>
      <c r="I282" s="2" t="s">
        <v>834</v>
      </c>
      <c r="J282" s="3" t="str">
        <f>HYPERLINK("https://www.boe.es/gazeta/dias/1813/04/10/pdfs/GRE-1813-44.pdf#page=8","Abrir facsímil")</f>
        <v>Abrir facsímil</v>
      </c>
      <c r="K282" s="3" t="s">
        <v>22</v>
      </c>
    </row>
    <row r="283" spans="1:11" ht="42" customHeight="1">
      <c r="A283" s="2" t="s">
        <v>835</v>
      </c>
      <c r="B283" s="2" t="s">
        <v>836</v>
      </c>
      <c r="C283" s="2" t="s">
        <v>109</v>
      </c>
      <c r="D283" s="2" t="s">
        <v>26</v>
      </c>
      <c r="E283" s="5">
        <v>-31574</v>
      </c>
      <c r="F283" s="3" t="s">
        <v>509</v>
      </c>
      <c r="G283" s="3" t="s">
        <v>28</v>
      </c>
      <c r="H283" s="2" t="s">
        <v>20</v>
      </c>
      <c r="I283" s="2" t="s">
        <v>837</v>
      </c>
      <c r="J283" s="3" t="str">
        <f>HYPERLINK("https://www.boe.es/gazeta/dias/1813/07/20/pdfs/GRE-1813-92.pdf#page=8","Abrir facsímil")</f>
        <v>Abrir facsímil</v>
      </c>
      <c r="K283" s="3" t="s">
        <v>22</v>
      </c>
    </row>
    <row r="284" spans="1:11" ht="42" customHeight="1">
      <c r="A284" s="2" t="s">
        <v>838</v>
      </c>
      <c r="B284" s="2" t="s">
        <v>839</v>
      </c>
      <c r="C284" s="2" t="s">
        <v>109</v>
      </c>
      <c r="D284" s="2" t="s">
        <v>26</v>
      </c>
      <c r="E284" s="5">
        <v>-31623</v>
      </c>
      <c r="F284" s="3" t="s">
        <v>267</v>
      </c>
      <c r="G284" s="3" t="s">
        <v>840</v>
      </c>
      <c r="H284" s="2" t="s">
        <v>20</v>
      </c>
      <c r="I284" s="2" t="s">
        <v>841</v>
      </c>
      <c r="J284" s="3" t="str">
        <f>HYPERLINK("https://www.boe.es/gazeta/dias/1813/06/01/pdfs/GRE-1813-67.pdf#page=8","Abrir facsímil")</f>
        <v>Abrir facsímil</v>
      </c>
      <c r="K284" s="3" t="s">
        <v>22</v>
      </c>
    </row>
    <row r="285" spans="1:11" ht="42" customHeight="1">
      <c r="A285" s="2" t="s">
        <v>842</v>
      </c>
      <c r="B285" s="2" t="s">
        <v>843</v>
      </c>
      <c r="C285" s="2" t="s">
        <v>16</v>
      </c>
      <c r="D285" s="2" t="s">
        <v>17</v>
      </c>
      <c r="E285" s="5">
        <v>-31476</v>
      </c>
      <c r="F285" s="3" t="s">
        <v>158</v>
      </c>
      <c r="G285" s="3" t="s">
        <v>54</v>
      </c>
      <c r="H285" s="2" t="s">
        <v>20</v>
      </c>
      <c r="I285" s="2" t="s">
        <v>844</v>
      </c>
      <c r="J285" s="3" t="str">
        <f>HYPERLINK("https://www.boe.es/gazeta/dias/1813/10/26/pdfs/GMR-1813-64.pdf#page=3","Abrir facsímil")</f>
        <v>Abrir facsímil</v>
      </c>
      <c r="K285" s="3" t="s">
        <v>22</v>
      </c>
    </row>
    <row r="286" spans="1:11" ht="42" customHeight="1">
      <c r="A286" s="2" t="s">
        <v>845</v>
      </c>
      <c r="B286" s="2" t="s">
        <v>845</v>
      </c>
      <c r="C286" s="2" t="s">
        <v>16</v>
      </c>
      <c r="D286" s="2" t="s">
        <v>17</v>
      </c>
      <c r="E286" s="5">
        <v>-31462</v>
      </c>
      <c r="F286" s="3" t="s">
        <v>542</v>
      </c>
      <c r="G286" s="3" t="s">
        <v>54</v>
      </c>
      <c r="H286" s="2" t="s">
        <v>20</v>
      </c>
      <c r="I286" s="2" t="s">
        <v>846</v>
      </c>
      <c r="J286" s="3" t="str">
        <f>HYPERLINK("https://www.boe.es/gazeta/dias/1813/11/09/pdfs/GRE-1813-146.pdf#page=3","Abrir facsímil")</f>
        <v>Abrir facsímil</v>
      </c>
      <c r="K286" s="3" t="s">
        <v>22</v>
      </c>
    </row>
    <row r="287" spans="1:11" ht="42" customHeight="1">
      <c r="A287" s="2" t="s">
        <v>847</v>
      </c>
      <c r="B287" s="2" t="s">
        <v>848</v>
      </c>
      <c r="C287" s="2" t="s">
        <v>16</v>
      </c>
      <c r="D287" s="2" t="s">
        <v>17</v>
      </c>
      <c r="E287" s="5">
        <v>-31460</v>
      </c>
      <c r="F287" s="3" t="s">
        <v>599</v>
      </c>
      <c r="G287" s="3" t="s">
        <v>849</v>
      </c>
      <c r="H287" s="2" t="s">
        <v>20</v>
      </c>
      <c r="I287" s="2" t="s">
        <v>850</v>
      </c>
      <c r="J287" s="3" t="str">
        <f>HYPERLINK("https://www.boe.es/gazeta/dias/1813/11/11/pdfs/GMR-1813-72.pdf#page=12","Abrir facsímil")</f>
        <v>Abrir facsímil</v>
      </c>
      <c r="K287" s="3" t="s">
        <v>22</v>
      </c>
    </row>
    <row r="288" spans="1:11" ht="42" customHeight="1">
      <c r="A288" s="2" t="s">
        <v>851</v>
      </c>
      <c r="B288" s="2" t="s">
        <v>851</v>
      </c>
      <c r="C288" s="2" t="s">
        <v>16</v>
      </c>
      <c r="D288" s="2" t="s">
        <v>17</v>
      </c>
      <c r="E288" s="5">
        <v>-31654</v>
      </c>
      <c r="F288" s="3" t="s">
        <v>852</v>
      </c>
      <c r="G288" s="3" t="s">
        <v>65</v>
      </c>
      <c r="H288" s="2" t="s">
        <v>20</v>
      </c>
      <c r="I288" s="2" t="s">
        <v>853</v>
      </c>
      <c r="J288" s="3" t="str">
        <f>HYPERLINK("https://www.boe.es/gazeta/dias/1813/05/01/pdfs/GMD-1813-121.pdf#page=1","Abrir facsímil")</f>
        <v>Abrir facsímil</v>
      </c>
      <c r="K288" s="3" t="s">
        <v>22</v>
      </c>
    </row>
    <row r="289" spans="1:11" ht="42" customHeight="1">
      <c r="A289" s="2" t="s">
        <v>854</v>
      </c>
      <c r="B289" s="2" t="s">
        <v>854</v>
      </c>
      <c r="C289" s="2" t="s">
        <v>16</v>
      </c>
      <c r="D289" s="2" t="s">
        <v>17</v>
      </c>
      <c r="E289" s="5">
        <v>-31637</v>
      </c>
      <c r="F289" s="3" t="s">
        <v>855</v>
      </c>
      <c r="G289" s="3" t="s">
        <v>65</v>
      </c>
      <c r="H289" s="2" t="s">
        <v>20</v>
      </c>
      <c r="I289" s="2" t="s">
        <v>856</v>
      </c>
      <c r="J289" s="3" t="str">
        <f>HYPERLINK("https://www.boe.es/gazeta/dias/1813/05/18/pdfs/GMD-1813-138.pdf#page=1","Abrir facsímil")</f>
        <v>Abrir facsímil</v>
      </c>
      <c r="K289" s="3" t="s">
        <v>22</v>
      </c>
    </row>
    <row r="290" spans="1:11" ht="42" customHeight="1">
      <c r="A290" s="2" t="s">
        <v>857</v>
      </c>
      <c r="B290" s="2" t="s">
        <v>857</v>
      </c>
      <c r="C290" s="2" t="s">
        <v>16</v>
      </c>
      <c r="D290" s="2" t="s">
        <v>17</v>
      </c>
      <c r="E290" s="5">
        <v>-31655</v>
      </c>
      <c r="F290" s="3" t="s">
        <v>858</v>
      </c>
      <c r="G290" s="3" t="s">
        <v>65</v>
      </c>
      <c r="H290" s="2" t="s">
        <v>20</v>
      </c>
      <c r="I290" s="2" t="s">
        <v>859</v>
      </c>
      <c r="J290" s="3" t="str">
        <f>HYPERLINK("https://www.boe.es/gazeta/dias/1813/04/30/pdfs/GMD-1813-120.pdf#page=1","Abrir facsímil")</f>
        <v>Abrir facsímil</v>
      </c>
      <c r="K290" s="3" t="s">
        <v>22</v>
      </c>
    </row>
    <row r="291" spans="1:11" ht="42" customHeight="1">
      <c r="A291" s="2" t="s">
        <v>860</v>
      </c>
      <c r="B291" s="2" t="s">
        <v>860</v>
      </c>
      <c r="C291" s="2" t="s">
        <v>16</v>
      </c>
      <c r="D291" s="2" t="s">
        <v>17</v>
      </c>
      <c r="E291" s="5">
        <v>-31726</v>
      </c>
      <c r="F291" s="3" t="s">
        <v>533</v>
      </c>
      <c r="G291" s="3" t="s">
        <v>28</v>
      </c>
      <c r="H291" s="2" t="s">
        <v>20</v>
      </c>
      <c r="I291" s="2" t="s">
        <v>861</v>
      </c>
      <c r="J291" s="3" t="str">
        <f>HYPERLINK("https://www.boe.es/gazeta/dias/1813/02/18/pdfs/GRE-1813-21.pdf#page=8","Abrir facsímil")</f>
        <v>Abrir facsímil</v>
      </c>
      <c r="K291" s="3" t="s">
        <v>22</v>
      </c>
    </row>
    <row r="292" spans="1:11" ht="42" customHeight="1">
      <c r="A292" s="2" t="s">
        <v>862</v>
      </c>
      <c r="B292" s="2" t="s">
        <v>863</v>
      </c>
      <c r="C292" s="2" t="s">
        <v>16</v>
      </c>
      <c r="D292" s="2" t="s">
        <v>17</v>
      </c>
      <c r="E292" s="5">
        <v>-31444</v>
      </c>
      <c r="F292" s="3" t="s">
        <v>389</v>
      </c>
      <c r="G292" s="3" t="s">
        <v>95</v>
      </c>
      <c r="H292" s="2" t="s">
        <v>20</v>
      </c>
      <c r="I292" s="2" t="s">
        <v>864</v>
      </c>
      <c r="J292" s="3" t="str">
        <f>HYPERLINK("https://www.boe.es/gazeta/dias/1813/11/27/pdfs/GMR-1813-80.pdf#page=6","Abrir facsímil")</f>
        <v>Abrir facsímil</v>
      </c>
      <c r="K292" s="3" t="s">
        <v>22</v>
      </c>
    </row>
    <row r="293" spans="1:11" ht="42" customHeight="1">
      <c r="A293" s="2" t="s">
        <v>865</v>
      </c>
      <c r="B293" s="2" t="s">
        <v>865</v>
      </c>
      <c r="C293" s="2" t="s">
        <v>16</v>
      </c>
      <c r="D293" s="2" t="s">
        <v>17</v>
      </c>
      <c r="E293" s="5">
        <v>-31731</v>
      </c>
      <c r="F293" s="3" t="s">
        <v>866</v>
      </c>
      <c r="G293" s="3" t="s">
        <v>867</v>
      </c>
      <c r="H293" s="2" t="s">
        <v>20</v>
      </c>
      <c r="I293" s="2" t="s">
        <v>868</v>
      </c>
      <c r="J293" s="3" t="str">
        <f>HYPERLINK("https://www.boe.es/gazeta/dias/1813/02/13/pdfs/GRE-1813-19.pdf#page=6","Abrir facsímil")</f>
        <v>Abrir facsímil</v>
      </c>
      <c r="K293" s="3" t="s">
        <v>22</v>
      </c>
    </row>
    <row r="294" spans="1:11" ht="42" customHeight="1">
      <c r="A294" s="2" t="s">
        <v>869</v>
      </c>
      <c r="B294" s="2" t="s">
        <v>870</v>
      </c>
      <c r="C294" s="2" t="s">
        <v>34</v>
      </c>
      <c r="D294" s="2" t="s">
        <v>35</v>
      </c>
      <c r="E294" s="5">
        <v>-31663</v>
      </c>
      <c r="F294" s="3" t="s">
        <v>871</v>
      </c>
      <c r="G294" s="3" t="s">
        <v>19</v>
      </c>
      <c r="H294" s="2" t="s">
        <v>20</v>
      </c>
      <c r="I294" s="2" t="s">
        <v>872</v>
      </c>
      <c r="J294" s="3" t="str">
        <f>HYPERLINK("https://www.boe.es/gazeta/dias/1813/04/22/pdfs/GMD-1813-112.pdf#page=4","Abrir facsímil")</f>
        <v>Abrir facsímil</v>
      </c>
      <c r="K294" s="3" t="s">
        <v>22</v>
      </c>
    </row>
    <row r="295" spans="1:11" ht="42" customHeight="1">
      <c r="A295" s="2" t="s">
        <v>873</v>
      </c>
      <c r="B295" s="2" t="s">
        <v>874</v>
      </c>
      <c r="C295" s="2" t="s">
        <v>16</v>
      </c>
      <c r="D295" s="2" t="s">
        <v>17</v>
      </c>
      <c r="E295" s="5">
        <v>-31633</v>
      </c>
      <c r="F295" s="3" t="s">
        <v>875</v>
      </c>
      <c r="G295" s="3" t="s">
        <v>58</v>
      </c>
      <c r="H295" s="2" t="s">
        <v>20</v>
      </c>
      <c r="I295" s="2" t="s">
        <v>876</v>
      </c>
      <c r="J295" s="3" t="str">
        <f>HYPERLINK("https://www.boe.es/gazeta/dias/1813/05/22/pdfs/GRE-1813-63.pdf#page=2","Abrir facsímil")</f>
        <v>Abrir facsímil</v>
      </c>
      <c r="K295" s="3" t="s">
        <v>22</v>
      </c>
    </row>
    <row r="296" spans="1:11" ht="42" customHeight="1">
      <c r="A296" s="2" t="s">
        <v>877</v>
      </c>
      <c r="B296" s="2" t="s">
        <v>878</v>
      </c>
      <c r="C296" s="2" t="s">
        <v>16</v>
      </c>
      <c r="D296" s="2" t="s">
        <v>17</v>
      </c>
      <c r="E296" s="5">
        <v>-31416</v>
      </c>
      <c r="F296" s="3" t="s">
        <v>278</v>
      </c>
      <c r="G296" s="3" t="s">
        <v>207</v>
      </c>
      <c r="H296" s="2" t="s">
        <v>20</v>
      </c>
      <c r="I296" s="2" t="s">
        <v>879</v>
      </c>
      <c r="J296" s="3" t="str">
        <f>HYPERLINK("https://www.boe.es/gazeta/dias/1813/12/25/pdfs/GMR-1813-92.pdf#page=10","Abrir facsímil")</f>
        <v>Abrir facsímil</v>
      </c>
      <c r="K296" s="3" t="s">
        <v>22</v>
      </c>
    </row>
    <row r="297" spans="1:11" ht="42" customHeight="1">
      <c r="A297" s="2" t="s">
        <v>880</v>
      </c>
      <c r="B297" s="2" t="s">
        <v>880</v>
      </c>
      <c r="C297" s="2" t="s">
        <v>25</v>
      </c>
      <c r="D297" s="2" t="s">
        <v>26</v>
      </c>
      <c r="E297" s="5">
        <v>-31626</v>
      </c>
      <c r="F297" s="3" t="s">
        <v>64</v>
      </c>
      <c r="G297" s="3" t="s">
        <v>87</v>
      </c>
      <c r="H297" s="2" t="s">
        <v>20</v>
      </c>
      <c r="I297" s="2" t="s">
        <v>881</v>
      </c>
      <c r="J297" s="3" t="str">
        <f>HYPERLINK("https://www.boe.es/gazeta/dias/1813/05/29/pdfs/GRE-1813-66.pdf#page=7","Abrir facsímil")</f>
        <v>Abrir facsímil</v>
      </c>
      <c r="K297" s="3" t="s">
        <v>22</v>
      </c>
    </row>
    <row r="298" spans="1:11" ht="42" customHeight="1">
      <c r="A298" s="2" t="s">
        <v>882</v>
      </c>
      <c r="B298" s="2" t="s">
        <v>883</v>
      </c>
      <c r="C298" s="2" t="s">
        <v>25</v>
      </c>
      <c r="D298" s="2" t="s">
        <v>26</v>
      </c>
      <c r="E298" s="5">
        <v>-31605</v>
      </c>
      <c r="F298" s="3" t="s">
        <v>884</v>
      </c>
      <c r="G298" s="3" t="s">
        <v>28</v>
      </c>
      <c r="H298" s="2" t="s">
        <v>20</v>
      </c>
      <c r="I298" s="2" t="s">
        <v>885</v>
      </c>
      <c r="J298" s="3" t="str">
        <f>HYPERLINK("https://www.boe.es/gazeta/dias/1813/06/19/pdfs/GRE-1813-76.pdf#page=8","Abrir facsímil")</f>
        <v>Abrir facsímil</v>
      </c>
      <c r="K298" s="3" t="s">
        <v>22</v>
      </c>
    </row>
    <row r="299" spans="1:11" ht="42" customHeight="1">
      <c r="A299" s="2" t="s">
        <v>886</v>
      </c>
      <c r="B299" s="2" t="s">
        <v>886</v>
      </c>
      <c r="C299" s="2" t="s">
        <v>34</v>
      </c>
      <c r="D299" s="2" t="s">
        <v>35</v>
      </c>
      <c r="E299" s="5">
        <v>-31453</v>
      </c>
      <c r="F299" s="3" t="s">
        <v>887</v>
      </c>
      <c r="G299" s="3" t="s">
        <v>888</v>
      </c>
      <c r="H299" s="2" t="s">
        <v>20</v>
      </c>
      <c r="I299" s="2" t="s">
        <v>889</v>
      </c>
      <c r="J299" s="3" t="str">
        <f>HYPERLINK("https://www.boe.es/gazeta/dias/1813/11/18/pdfs/GMR-1813-76.pdf#page=10","Abrir facsímil")</f>
        <v>Abrir facsímil</v>
      </c>
      <c r="K299" s="3" t="s">
        <v>22</v>
      </c>
    </row>
    <row r="300" spans="1:11" ht="42" customHeight="1">
      <c r="A300" s="2" t="s">
        <v>890</v>
      </c>
      <c r="B300" s="2" t="s">
        <v>890</v>
      </c>
      <c r="C300" s="2" t="s">
        <v>16</v>
      </c>
      <c r="D300" s="2" t="s">
        <v>17</v>
      </c>
      <c r="E300" s="5">
        <v>-31623</v>
      </c>
      <c r="F300" s="3" t="s">
        <v>267</v>
      </c>
      <c r="G300" s="3" t="s">
        <v>676</v>
      </c>
      <c r="H300" s="2" t="s">
        <v>20</v>
      </c>
      <c r="I300" s="2" t="s">
        <v>891</v>
      </c>
      <c r="J300" s="3" t="str">
        <f>HYPERLINK("https://www.boe.es/gazeta/dias/1813/06/01/pdfs/GRE-1813-67.pdf#page=4","Abrir facsímil")</f>
        <v>Abrir facsímil</v>
      </c>
      <c r="K300" s="3" t="s">
        <v>22</v>
      </c>
    </row>
    <row r="301" spans="1:11" ht="42" customHeight="1">
      <c r="A301" s="2" t="s">
        <v>892</v>
      </c>
      <c r="B301" s="2" t="s">
        <v>893</v>
      </c>
      <c r="C301" s="2" t="s">
        <v>16</v>
      </c>
      <c r="D301" s="2" t="s">
        <v>17</v>
      </c>
      <c r="E301" s="5">
        <v>-31535</v>
      </c>
      <c r="F301" s="3" t="s">
        <v>894</v>
      </c>
      <c r="G301" s="3" t="s">
        <v>895</v>
      </c>
      <c r="H301" s="2" t="s">
        <v>20</v>
      </c>
      <c r="I301" s="2" t="s">
        <v>896</v>
      </c>
      <c r="J301" s="3" t="str">
        <f>HYPERLINK("https://www.boe.es/gazeta/dias/1813/08/28/pdfs/GMR-1813-34.pdf#page=3","Abrir facsímil")</f>
        <v>Abrir facsímil</v>
      </c>
      <c r="K301" s="3" t="s">
        <v>22</v>
      </c>
    </row>
    <row r="302" spans="1:11" ht="42" customHeight="1">
      <c r="A302" s="2" t="s">
        <v>897</v>
      </c>
      <c r="B302" s="2" t="s">
        <v>898</v>
      </c>
      <c r="C302" s="2" t="s">
        <v>187</v>
      </c>
      <c r="D302" s="2" t="s">
        <v>26</v>
      </c>
      <c r="E302" s="5">
        <v>-31754</v>
      </c>
      <c r="F302" s="3" t="s">
        <v>899</v>
      </c>
      <c r="G302" s="3" t="s">
        <v>900</v>
      </c>
      <c r="H302" s="2" t="s">
        <v>20</v>
      </c>
      <c r="I302" s="2" t="s">
        <v>901</v>
      </c>
      <c r="J302" s="3" t="str">
        <f>HYPERLINK("https://www.boe.es/gazeta/dias/1813/01/21/pdfs/GRE-1813-9.pdf#page=8","Abrir facsímil")</f>
        <v>Abrir facsímil</v>
      </c>
      <c r="K302" s="3" t="s">
        <v>22</v>
      </c>
    </row>
    <row r="303" spans="1:11" ht="42" customHeight="1">
      <c r="A303" s="2" t="s">
        <v>902</v>
      </c>
      <c r="B303" s="2" t="s">
        <v>902</v>
      </c>
      <c r="C303" s="2" t="s">
        <v>34</v>
      </c>
      <c r="D303" s="2" t="s">
        <v>35</v>
      </c>
      <c r="E303" s="5">
        <v>-31709</v>
      </c>
      <c r="F303" s="3" t="s">
        <v>36</v>
      </c>
      <c r="G303" s="3" t="s">
        <v>303</v>
      </c>
      <c r="H303" s="2" t="s">
        <v>20</v>
      </c>
      <c r="I303" s="2" t="s">
        <v>903</v>
      </c>
      <c r="J303" s="3" t="str">
        <f>HYPERLINK("https://www.boe.es/gazeta/dias/1813/03/07/pdfs/GMD-1813-66.pdf#page=3","Abrir facsímil")</f>
        <v>Abrir facsímil</v>
      </c>
      <c r="K303" s="3" t="s">
        <v>22</v>
      </c>
    </row>
    <row r="304" spans="1:11" ht="42" customHeight="1">
      <c r="A304" s="2" t="s">
        <v>904</v>
      </c>
      <c r="B304" s="2" t="s">
        <v>904</v>
      </c>
      <c r="C304" s="2" t="s">
        <v>16</v>
      </c>
      <c r="D304" s="2" t="s">
        <v>17</v>
      </c>
      <c r="E304" s="5">
        <v>-31592</v>
      </c>
      <c r="F304" s="3" t="s">
        <v>175</v>
      </c>
      <c r="G304" s="3" t="s">
        <v>54</v>
      </c>
      <c r="H304" s="2" t="s">
        <v>20</v>
      </c>
      <c r="I304" s="2" t="s">
        <v>905</v>
      </c>
      <c r="J304" s="3" t="str">
        <f>HYPERLINK("https://www.boe.es/gazeta/dias/1813/07/02/pdfs/GRE-1813-82.pdf#page=3","Abrir facsímil")</f>
        <v>Abrir facsímil</v>
      </c>
      <c r="K304" s="3" t="s">
        <v>22</v>
      </c>
    </row>
    <row r="305" spans="1:11" ht="42" customHeight="1">
      <c r="A305" s="2" t="s">
        <v>904</v>
      </c>
      <c r="B305" s="2" t="s">
        <v>904</v>
      </c>
      <c r="C305" s="2" t="s">
        <v>16</v>
      </c>
      <c r="D305" s="2" t="s">
        <v>17</v>
      </c>
      <c r="E305" s="5">
        <v>-31585</v>
      </c>
      <c r="F305" s="3" t="s">
        <v>177</v>
      </c>
      <c r="G305" s="3" t="s">
        <v>28</v>
      </c>
      <c r="H305" s="2" t="s">
        <v>20</v>
      </c>
      <c r="I305" s="2" t="s">
        <v>906</v>
      </c>
      <c r="J305" s="3" t="str">
        <f>HYPERLINK("https://www.boe.es/gazeta/dias/1813/07/09/pdfs/GMR-1813-16.pdf#page=8","Abrir facsímil")</f>
        <v>Abrir facsímil</v>
      </c>
      <c r="K305" s="3" t="s">
        <v>22</v>
      </c>
    </row>
    <row r="306" spans="1:11" ht="42" customHeight="1">
      <c r="A306" s="2" t="s">
        <v>904</v>
      </c>
      <c r="B306" s="2" t="s">
        <v>904</v>
      </c>
      <c r="C306" s="2" t="s">
        <v>16</v>
      </c>
      <c r="D306" s="2" t="s">
        <v>17</v>
      </c>
      <c r="E306" s="5">
        <v>-31582</v>
      </c>
      <c r="F306" s="3" t="s">
        <v>907</v>
      </c>
      <c r="G306" s="3" t="s">
        <v>54</v>
      </c>
      <c r="H306" s="2" t="s">
        <v>20</v>
      </c>
      <c r="I306" s="2" t="s">
        <v>908</v>
      </c>
      <c r="J306" s="3" t="str">
        <f>HYPERLINK("https://www.boe.es/gazeta/dias/1813/07/12/pdfs/GRE-1813-87.pdf#page=3","Abrir facsímil")</f>
        <v>Abrir facsímil</v>
      </c>
      <c r="K306" s="3" t="s">
        <v>22</v>
      </c>
    </row>
    <row r="307" spans="1:11" ht="42" customHeight="1">
      <c r="A307" s="2" t="s">
        <v>909</v>
      </c>
      <c r="B307" s="2" t="s">
        <v>909</v>
      </c>
      <c r="C307" s="2" t="s">
        <v>16</v>
      </c>
      <c r="D307" s="2" t="s">
        <v>17</v>
      </c>
      <c r="E307" s="5">
        <v>-31571</v>
      </c>
      <c r="F307" s="3" t="s">
        <v>788</v>
      </c>
      <c r="G307" s="3" t="s">
        <v>910</v>
      </c>
      <c r="H307" s="2" t="s">
        <v>20</v>
      </c>
      <c r="I307" s="2" t="s">
        <v>911</v>
      </c>
      <c r="J307" s="3" t="str">
        <f>HYPERLINK("https://www.boe.es/gazeta/dias/1813/07/23/pdfs/GMR-1813-20.pdf#page=10","Abrir facsímil")</f>
        <v>Abrir facsímil</v>
      </c>
      <c r="K307" s="3" t="s">
        <v>22</v>
      </c>
    </row>
    <row r="308" spans="1:11" ht="42" customHeight="1">
      <c r="A308" s="2" t="s">
        <v>912</v>
      </c>
      <c r="B308" s="2" t="s">
        <v>912</v>
      </c>
      <c r="C308" s="2" t="s">
        <v>16</v>
      </c>
      <c r="D308" s="2" t="s">
        <v>17</v>
      </c>
      <c r="E308" s="5">
        <v>-31476</v>
      </c>
      <c r="F308" s="3" t="s">
        <v>229</v>
      </c>
      <c r="G308" s="3" t="s">
        <v>28</v>
      </c>
      <c r="H308" s="2" t="s">
        <v>20</v>
      </c>
      <c r="I308" s="2" t="s">
        <v>913</v>
      </c>
      <c r="J308" s="3" t="str">
        <f>HYPERLINK("https://www.boe.es/gazeta/dias/1813/10/26/pdfs/GRE-1813-140.pdf#page=8","Abrir facsímil")</f>
        <v>Abrir facsímil</v>
      </c>
      <c r="K308" s="3" t="s">
        <v>22</v>
      </c>
    </row>
    <row r="309" spans="1:11" ht="42" customHeight="1">
      <c r="A309" s="2" t="s">
        <v>914</v>
      </c>
      <c r="B309" s="2" t="s">
        <v>915</v>
      </c>
      <c r="C309" s="2" t="s">
        <v>25</v>
      </c>
      <c r="D309" s="2" t="s">
        <v>26</v>
      </c>
      <c r="E309" s="5">
        <v>-31675</v>
      </c>
      <c r="F309" s="3" t="s">
        <v>27</v>
      </c>
      <c r="G309" s="3" t="s">
        <v>648</v>
      </c>
      <c r="H309" s="2" t="s">
        <v>20</v>
      </c>
      <c r="I309" s="2" t="s">
        <v>916</v>
      </c>
      <c r="J309" s="3" t="str">
        <f>HYPERLINK("https://www.boe.es/gazeta/dias/1813/04/10/pdfs/GRE-1813-44.pdf#page=7","Abrir facsímil")</f>
        <v>Abrir facsímil</v>
      </c>
      <c r="K309" s="3" t="s">
        <v>22</v>
      </c>
    </row>
    <row r="310" spans="1:11" ht="42" customHeight="1">
      <c r="A310" s="2" t="s">
        <v>917</v>
      </c>
      <c r="B310" s="2" t="s">
        <v>918</v>
      </c>
      <c r="C310" s="2" t="s">
        <v>16</v>
      </c>
      <c r="D310" s="2" t="s">
        <v>17</v>
      </c>
      <c r="E310" s="5">
        <v>-31628</v>
      </c>
      <c r="F310" s="3" t="s">
        <v>358</v>
      </c>
      <c r="G310" s="3" t="s">
        <v>919</v>
      </c>
      <c r="H310" s="2" t="s">
        <v>20</v>
      </c>
      <c r="I310" s="2" t="s">
        <v>920</v>
      </c>
      <c r="J310" s="3" t="str">
        <f>HYPERLINK("https://www.boe.es/gazeta/dias/1813/05/27/pdfs/GRE-1813-65.pdf#page=5","Abrir facsímil")</f>
        <v>Abrir facsímil</v>
      </c>
      <c r="K310" s="3" t="s">
        <v>22</v>
      </c>
    </row>
    <row r="311" spans="1:11" ht="42" customHeight="1">
      <c r="A311" s="2" t="s">
        <v>921</v>
      </c>
      <c r="B311" s="2" t="s">
        <v>922</v>
      </c>
      <c r="C311" s="2" t="s">
        <v>16</v>
      </c>
      <c r="D311" s="2" t="s">
        <v>17</v>
      </c>
      <c r="E311" s="5">
        <v>-31628</v>
      </c>
      <c r="F311" s="3" t="s">
        <v>358</v>
      </c>
      <c r="G311" s="3" t="s">
        <v>359</v>
      </c>
      <c r="H311" s="2" t="s">
        <v>20</v>
      </c>
      <c r="I311" s="2" t="s">
        <v>923</v>
      </c>
      <c r="J311" s="3" t="str">
        <f>HYPERLINK("https://www.boe.es/gazeta/dias/1813/05/27/pdfs/GRE-1813-65.pdf#page=6","Abrir facsímil")</f>
        <v>Abrir facsímil</v>
      </c>
      <c r="K311" s="3" t="s">
        <v>22</v>
      </c>
    </row>
    <row r="312" spans="1:11" ht="42" customHeight="1">
      <c r="A312" s="2" t="s">
        <v>924</v>
      </c>
      <c r="B312" s="2" t="s">
        <v>924</v>
      </c>
      <c r="C312" s="2" t="s">
        <v>187</v>
      </c>
      <c r="D312" s="2" t="s">
        <v>26</v>
      </c>
      <c r="E312" s="5">
        <v>-31681</v>
      </c>
      <c r="F312" s="3" t="s">
        <v>925</v>
      </c>
      <c r="G312" s="3" t="s">
        <v>65</v>
      </c>
      <c r="H312" s="2" t="s">
        <v>20</v>
      </c>
      <c r="I312" s="2" t="s">
        <v>926</v>
      </c>
      <c r="J312" s="3" t="str">
        <f>HYPERLINK("https://www.boe.es/gazeta/dias/1813/04/04/pdfs/GMD-1813-94.pdf#page=1","Abrir facsímil")</f>
        <v>Abrir facsímil</v>
      </c>
      <c r="K312" s="3" t="s">
        <v>22</v>
      </c>
    </row>
    <row r="313" spans="1:11" ht="42" customHeight="1">
      <c r="A313" s="2" t="s">
        <v>927</v>
      </c>
      <c r="B313" s="2" t="s">
        <v>927</v>
      </c>
      <c r="C313" s="2" t="s">
        <v>435</v>
      </c>
      <c r="D313" s="2" t="s">
        <v>26</v>
      </c>
      <c r="E313" s="5">
        <v>-31453</v>
      </c>
      <c r="F313" s="3" t="s">
        <v>887</v>
      </c>
      <c r="G313" s="3" t="s">
        <v>888</v>
      </c>
      <c r="H313" s="2" t="s">
        <v>20</v>
      </c>
      <c r="I313" s="2" t="s">
        <v>928</v>
      </c>
      <c r="J313" s="3" t="str">
        <f>HYPERLINK("https://www.boe.es/gazeta/dias/1813/11/18/pdfs/GMR-1813-76.pdf#page=10","Abrir facsímil")</f>
        <v>Abrir facsímil</v>
      </c>
      <c r="K313" s="3" t="s">
        <v>22</v>
      </c>
    </row>
    <row r="314" spans="1:11" ht="42" customHeight="1">
      <c r="A314" s="2" t="s">
        <v>927</v>
      </c>
      <c r="B314" s="2" t="s">
        <v>927</v>
      </c>
      <c r="C314" s="2" t="s">
        <v>25</v>
      </c>
      <c r="D314" s="2" t="s">
        <v>26</v>
      </c>
      <c r="E314" s="5">
        <v>-31453</v>
      </c>
      <c r="F314" s="3" t="s">
        <v>887</v>
      </c>
      <c r="G314" s="3" t="s">
        <v>929</v>
      </c>
      <c r="H314" s="2" t="s">
        <v>20</v>
      </c>
      <c r="I314" s="2" t="s">
        <v>930</v>
      </c>
      <c r="J314" s="3" t="str">
        <f>HYPERLINK("https://www.boe.es/gazeta/dias/1813/11/18/pdfs/GMR-1813-76.pdf#page=11","Abrir facsímil")</f>
        <v>Abrir facsímil</v>
      </c>
      <c r="K314" s="3" t="s">
        <v>22</v>
      </c>
    </row>
    <row r="315" spans="1:11" ht="42" customHeight="1">
      <c r="A315" s="2" t="s">
        <v>931</v>
      </c>
      <c r="B315" s="2" t="s">
        <v>931</v>
      </c>
      <c r="C315" s="2" t="s">
        <v>25</v>
      </c>
      <c r="D315" s="2" t="s">
        <v>26</v>
      </c>
      <c r="E315" s="5">
        <v>-31453</v>
      </c>
      <c r="F315" s="3" t="s">
        <v>887</v>
      </c>
      <c r="G315" s="3" t="s">
        <v>888</v>
      </c>
      <c r="H315" s="2" t="s">
        <v>20</v>
      </c>
      <c r="I315" s="2" t="s">
        <v>932</v>
      </c>
      <c r="J315" s="3" t="str">
        <f>HYPERLINK("https://www.boe.es/gazeta/dias/1813/11/18/pdfs/GMR-1813-76.pdf#page=10","Abrir facsímil")</f>
        <v>Abrir facsímil</v>
      </c>
      <c r="K315" s="3" t="s">
        <v>22</v>
      </c>
    </row>
    <row r="316" spans="1:11" ht="42" customHeight="1">
      <c r="A316" s="2" t="s">
        <v>933</v>
      </c>
      <c r="B316" s="2" t="s">
        <v>933</v>
      </c>
      <c r="C316" s="2" t="s">
        <v>25</v>
      </c>
      <c r="D316" s="2" t="s">
        <v>26</v>
      </c>
      <c r="E316" s="5">
        <v>-31546</v>
      </c>
      <c r="F316" s="3" t="s">
        <v>461</v>
      </c>
      <c r="G316" s="3" t="s">
        <v>82</v>
      </c>
      <c r="H316" s="2" t="s">
        <v>20</v>
      </c>
      <c r="I316" s="2" t="s">
        <v>934</v>
      </c>
      <c r="J316" s="3" t="str">
        <f>HYPERLINK("https://www.boe.es/gazeta/dias/1813/08/17/pdfs/GMR-1813-29.pdf#page=5","Abrir facsímil")</f>
        <v>Abrir facsímil</v>
      </c>
      <c r="K316" s="3" t="s">
        <v>22</v>
      </c>
    </row>
    <row r="317" spans="1:11" ht="42" customHeight="1">
      <c r="A317" s="2" t="s">
        <v>933</v>
      </c>
      <c r="B317" s="2" t="s">
        <v>933</v>
      </c>
      <c r="C317" s="2" t="s">
        <v>187</v>
      </c>
      <c r="D317" s="2" t="s">
        <v>26</v>
      </c>
      <c r="E317" s="5">
        <v>-31511</v>
      </c>
      <c r="F317" s="3" t="s">
        <v>935</v>
      </c>
      <c r="G317" s="3" t="s">
        <v>82</v>
      </c>
      <c r="H317" s="2" t="s">
        <v>20</v>
      </c>
      <c r="I317" s="2" t="s">
        <v>936</v>
      </c>
      <c r="J317" s="3" t="str">
        <f>HYPERLINK("https://www.boe.es/gazeta/dias/1813/09/21/pdfs/GMR-1813-46.pdf#page=5","Abrir facsímil")</f>
        <v>Abrir facsímil</v>
      </c>
      <c r="K317" s="3" t="s">
        <v>22</v>
      </c>
    </row>
    <row r="318" spans="1:11" ht="42" customHeight="1">
      <c r="A318" s="2" t="s">
        <v>937</v>
      </c>
      <c r="B318" s="2" t="s">
        <v>937</v>
      </c>
      <c r="C318" s="2" t="s">
        <v>25</v>
      </c>
      <c r="D318" s="2" t="s">
        <v>26</v>
      </c>
      <c r="E318" s="5">
        <v>-31500</v>
      </c>
      <c r="F318" s="3" t="s">
        <v>938</v>
      </c>
      <c r="G318" s="3" t="s">
        <v>95</v>
      </c>
      <c r="H318" s="2" t="s">
        <v>20</v>
      </c>
      <c r="I318" s="2" t="s">
        <v>939</v>
      </c>
      <c r="J318" s="3" t="str">
        <f>HYPERLINK("https://www.boe.es/gazeta/dias/1813/10/02/pdfs/GMR-1813-52.pdf#page=6","Abrir facsímil")</f>
        <v>Abrir facsímil</v>
      </c>
      <c r="K318" s="3" t="s">
        <v>22</v>
      </c>
    </row>
    <row r="319" spans="1:11" ht="42" customHeight="1">
      <c r="A319" s="2" t="s">
        <v>933</v>
      </c>
      <c r="B319" s="2" t="s">
        <v>933</v>
      </c>
      <c r="C319" s="2" t="s">
        <v>16</v>
      </c>
      <c r="D319" s="2" t="s">
        <v>17</v>
      </c>
      <c r="E319" s="5">
        <v>-31472</v>
      </c>
      <c r="F319" s="3" t="s">
        <v>143</v>
      </c>
      <c r="G319" s="3" t="s">
        <v>940</v>
      </c>
      <c r="H319" s="2" t="s">
        <v>20</v>
      </c>
      <c r="I319" s="2" t="s">
        <v>941</v>
      </c>
      <c r="J319" s="3" t="str">
        <f>HYPERLINK("https://www.boe.es/gazeta/dias/1813/10/30/pdfs/GMR-1813-66.pdf#page=8","Abrir facsímil")</f>
        <v>Abrir facsímil</v>
      </c>
      <c r="K319" s="3" t="s">
        <v>22</v>
      </c>
    </row>
    <row r="320" spans="1:11" ht="42" customHeight="1">
      <c r="A320" s="2" t="s">
        <v>933</v>
      </c>
      <c r="B320" s="2" t="s">
        <v>933</v>
      </c>
      <c r="C320" s="2" t="s">
        <v>16</v>
      </c>
      <c r="D320" s="2" t="s">
        <v>17</v>
      </c>
      <c r="E320" s="5">
        <v>-31472</v>
      </c>
      <c r="F320" s="3" t="s">
        <v>143</v>
      </c>
      <c r="G320" s="3" t="s">
        <v>82</v>
      </c>
      <c r="H320" s="2" t="s">
        <v>20</v>
      </c>
      <c r="I320" s="2" t="s">
        <v>942</v>
      </c>
      <c r="J320" s="3" t="str">
        <f>HYPERLINK("https://www.boe.es/gazeta/dias/1813/10/30/pdfs/GMR-1813-66.pdf#page=5","Abrir facsímil")</f>
        <v>Abrir facsímil</v>
      </c>
      <c r="K320" s="3" t="s">
        <v>22</v>
      </c>
    </row>
    <row r="321" spans="1:11" ht="42" customHeight="1">
      <c r="A321" s="2" t="s">
        <v>933</v>
      </c>
      <c r="B321" s="2" t="s">
        <v>933</v>
      </c>
      <c r="C321" s="2" t="s">
        <v>109</v>
      </c>
      <c r="D321" s="2" t="s">
        <v>26</v>
      </c>
      <c r="E321" s="5">
        <v>-31472</v>
      </c>
      <c r="F321" s="3" t="s">
        <v>143</v>
      </c>
      <c r="G321" s="3" t="s">
        <v>87</v>
      </c>
      <c r="H321" s="2" t="s">
        <v>20</v>
      </c>
      <c r="I321" s="2" t="s">
        <v>943</v>
      </c>
      <c r="J321" s="3" t="str">
        <f>HYPERLINK("https://www.boe.es/gazeta/dias/1813/10/30/pdfs/GMR-1813-66.pdf#page=7","Abrir facsímil")</f>
        <v>Abrir facsímil</v>
      </c>
      <c r="K321" s="3" t="s">
        <v>22</v>
      </c>
    </row>
    <row r="322" spans="1:11" ht="42" customHeight="1">
      <c r="A322" s="2" t="s">
        <v>933</v>
      </c>
      <c r="B322" s="2" t="s">
        <v>933</v>
      </c>
      <c r="C322" s="2" t="s">
        <v>435</v>
      </c>
      <c r="D322" s="2" t="s">
        <v>26</v>
      </c>
      <c r="E322" s="5">
        <v>-31453</v>
      </c>
      <c r="F322" s="3" t="s">
        <v>887</v>
      </c>
      <c r="G322" s="3" t="s">
        <v>888</v>
      </c>
      <c r="H322" s="2" t="s">
        <v>20</v>
      </c>
      <c r="I322" s="2" t="s">
        <v>944</v>
      </c>
      <c r="J322" s="3" t="str">
        <f>HYPERLINK("https://www.boe.es/gazeta/dias/1813/11/18/pdfs/GMR-1813-76.pdf#page=10","Abrir facsímil")</f>
        <v>Abrir facsímil</v>
      </c>
      <c r="K322" s="3" t="s">
        <v>22</v>
      </c>
    </row>
    <row r="323" spans="1:11" ht="42" customHeight="1">
      <c r="A323" s="2" t="s">
        <v>933</v>
      </c>
      <c r="B323" s="2" t="s">
        <v>933</v>
      </c>
      <c r="C323" s="2" t="s">
        <v>25</v>
      </c>
      <c r="D323" s="2" t="s">
        <v>26</v>
      </c>
      <c r="E323" s="5">
        <v>-31446</v>
      </c>
      <c r="F323" s="3" t="s">
        <v>103</v>
      </c>
      <c r="G323" s="3" t="s">
        <v>945</v>
      </c>
      <c r="H323" s="2" t="s">
        <v>20</v>
      </c>
      <c r="I323" s="2" t="s">
        <v>946</v>
      </c>
      <c r="J323" s="3" t="str">
        <f>HYPERLINK("https://www.boe.es/gazeta/dias/1813/11/25/pdfs/GMR-1813-79.pdf#page=8","Abrir facsímil")</f>
        <v>Abrir facsímil</v>
      </c>
      <c r="K323" s="3" t="s">
        <v>22</v>
      </c>
    </row>
    <row r="324" spans="1:11" ht="42" customHeight="1">
      <c r="A324" s="2" t="s">
        <v>947</v>
      </c>
      <c r="B324" s="2" t="s">
        <v>947</v>
      </c>
      <c r="C324" s="2" t="s">
        <v>25</v>
      </c>
      <c r="D324" s="2" t="s">
        <v>26</v>
      </c>
      <c r="E324" s="5">
        <v>-31434</v>
      </c>
      <c r="F324" s="3" t="s">
        <v>948</v>
      </c>
      <c r="G324" s="3" t="s">
        <v>82</v>
      </c>
      <c r="H324" s="2" t="s">
        <v>20</v>
      </c>
      <c r="I324" s="2" t="s">
        <v>949</v>
      </c>
      <c r="J324" s="3" t="str">
        <f>HYPERLINK("https://www.boe.es/gazeta/dias/1813/12/07/pdfs/GMR-1813-84.pdf#page=5","Abrir facsímil")</f>
        <v>Abrir facsímil</v>
      </c>
      <c r="K324" s="3" t="s">
        <v>22</v>
      </c>
    </row>
    <row r="325" spans="1:11" ht="42" customHeight="1">
      <c r="A325" s="2" t="s">
        <v>950</v>
      </c>
      <c r="B325" s="2" t="s">
        <v>950</v>
      </c>
      <c r="C325" s="2" t="s">
        <v>16</v>
      </c>
      <c r="D325" s="2" t="s">
        <v>17</v>
      </c>
      <c r="E325" s="5">
        <v>-31756</v>
      </c>
      <c r="F325" s="3" t="s">
        <v>951</v>
      </c>
      <c r="G325" s="3" t="s">
        <v>952</v>
      </c>
      <c r="H325" s="2" t="s">
        <v>20</v>
      </c>
      <c r="I325" s="2" t="s">
        <v>953</v>
      </c>
      <c r="J325" s="3" t="str">
        <f>HYPERLINK("https://www.boe.es/gazeta/dias/1813/01/19/pdfs/GRE-1813-8.pdf#page=5","Abrir facsímil")</f>
        <v>Abrir facsímil</v>
      </c>
      <c r="K325" s="3" t="s">
        <v>22</v>
      </c>
    </row>
    <row r="326" spans="1:11" ht="42" customHeight="1">
      <c r="A326" s="2" t="s">
        <v>950</v>
      </c>
      <c r="B326" s="2" t="s">
        <v>950</v>
      </c>
      <c r="C326" s="2" t="s">
        <v>25</v>
      </c>
      <c r="D326" s="2" t="s">
        <v>26</v>
      </c>
      <c r="E326" s="5">
        <v>-31551</v>
      </c>
      <c r="F326" s="3" t="s">
        <v>954</v>
      </c>
      <c r="G326" s="3" t="s">
        <v>28</v>
      </c>
      <c r="H326" s="2" t="s">
        <v>20</v>
      </c>
      <c r="I326" s="2" t="s">
        <v>955</v>
      </c>
      <c r="J326" s="3" t="str">
        <f>HYPERLINK("https://www.boe.es/gazeta/dias/1813/08/12/pdfs/GMR-1813-27.pdf#page=8","Abrir facsímil")</f>
        <v>Abrir facsímil</v>
      </c>
      <c r="K326" s="3" t="s">
        <v>22</v>
      </c>
    </row>
    <row r="327" spans="1:11" ht="42" customHeight="1">
      <c r="A327" s="2" t="s">
        <v>956</v>
      </c>
      <c r="B327" s="2" t="s">
        <v>957</v>
      </c>
      <c r="C327" s="2" t="s">
        <v>25</v>
      </c>
      <c r="D327" s="2" t="s">
        <v>26</v>
      </c>
      <c r="E327" s="5">
        <v>-31675</v>
      </c>
      <c r="F327" s="3" t="s">
        <v>27</v>
      </c>
      <c r="G327" s="3" t="s">
        <v>648</v>
      </c>
      <c r="H327" s="2" t="s">
        <v>20</v>
      </c>
      <c r="I327" s="2" t="s">
        <v>958</v>
      </c>
      <c r="J327" s="3" t="str">
        <f>HYPERLINK("https://www.boe.es/gazeta/dias/1813/04/10/pdfs/GRE-1813-44.pdf#page=7","Abrir facsímil")</f>
        <v>Abrir facsímil</v>
      </c>
      <c r="K327" s="3" t="s">
        <v>22</v>
      </c>
    </row>
    <row r="328" spans="1:11" ht="42" customHeight="1">
      <c r="A328" s="2" t="s">
        <v>956</v>
      </c>
      <c r="B328" s="2" t="s">
        <v>957</v>
      </c>
      <c r="C328" s="2" t="s">
        <v>69</v>
      </c>
      <c r="D328" s="2" t="s">
        <v>26</v>
      </c>
      <c r="E328" s="5">
        <v>-31530</v>
      </c>
      <c r="F328" s="3" t="s">
        <v>133</v>
      </c>
      <c r="G328" s="3" t="s">
        <v>28</v>
      </c>
      <c r="H328" s="2" t="s">
        <v>20</v>
      </c>
      <c r="I328" s="2" t="s">
        <v>959</v>
      </c>
      <c r="J328" s="3" t="str">
        <f>HYPERLINK("https://www.boe.es/gazeta/dias/1813/09/02/pdfs/GMR-1813-36.pdf#page=8","Abrir facsímil")</f>
        <v>Abrir facsímil</v>
      </c>
      <c r="K328" s="3" t="s">
        <v>22</v>
      </c>
    </row>
    <row r="329" spans="1:11" ht="42" customHeight="1">
      <c r="A329" s="2" t="s">
        <v>960</v>
      </c>
      <c r="B329" s="2" t="s">
        <v>960</v>
      </c>
      <c r="C329" s="2" t="s">
        <v>25</v>
      </c>
      <c r="D329" s="2" t="s">
        <v>26</v>
      </c>
      <c r="E329" s="5">
        <v>-31476</v>
      </c>
      <c r="F329" s="3" t="s">
        <v>229</v>
      </c>
      <c r="G329" s="3" t="s">
        <v>230</v>
      </c>
      <c r="H329" s="2" t="s">
        <v>20</v>
      </c>
      <c r="I329" s="2" t="s">
        <v>961</v>
      </c>
      <c r="J329" s="3" t="str">
        <f>HYPERLINK("https://www.boe.es/gazeta/dias/1813/10/26/pdfs/GRE-1813-140.pdf#page=6","Abrir facsímil")</f>
        <v>Abrir facsímil</v>
      </c>
      <c r="K329" s="3" t="s">
        <v>22</v>
      </c>
    </row>
    <row r="330" spans="1:11" ht="42" customHeight="1">
      <c r="A330" s="2" t="s">
        <v>962</v>
      </c>
      <c r="B330" s="2" t="s">
        <v>963</v>
      </c>
      <c r="C330" s="2" t="s">
        <v>34</v>
      </c>
      <c r="D330" s="2" t="s">
        <v>35</v>
      </c>
      <c r="E330" s="5">
        <v>-31709</v>
      </c>
      <c r="F330" s="3" t="s">
        <v>36</v>
      </c>
      <c r="G330" s="3" t="s">
        <v>19</v>
      </c>
      <c r="H330" s="2" t="s">
        <v>20</v>
      </c>
      <c r="I330" s="2" t="s">
        <v>964</v>
      </c>
      <c r="J330" s="3" t="str">
        <f>HYPERLINK("https://www.boe.es/gazeta/dias/1813/03/07/pdfs/GMD-1813-66.pdf#page=4","Abrir facsímil")</f>
        <v>Abrir facsímil</v>
      </c>
      <c r="K330" s="3" t="s">
        <v>22</v>
      </c>
    </row>
    <row r="331" spans="1:11" ht="42" customHeight="1">
      <c r="A331" s="2" t="s">
        <v>965</v>
      </c>
      <c r="B331" s="2" t="s">
        <v>965</v>
      </c>
      <c r="C331" s="2" t="s">
        <v>69</v>
      </c>
      <c r="D331" s="2" t="s">
        <v>26</v>
      </c>
      <c r="E331" s="5">
        <v>-31665</v>
      </c>
      <c r="F331" s="3" t="s">
        <v>966</v>
      </c>
      <c r="G331" s="3" t="s">
        <v>65</v>
      </c>
      <c r="H331" s="2" t="s">
        <v>20</v>
      </c>
      <c r="I331" s="2" t="s">
        <v>967</v>
      </c>
      <c r="J331" s="3" t="str">
        <f>HYPERLINK("https://www.boe.es/gazeta/dias/1813/04/20/pdfs/GMD-1813-110.pdf#page=1","Abrir facsímil")</f>
        <v>Abrir facsímil</v>
      </c>
      <c r="K331" s="3" t="s">
        <v>22</v>
      </c>
    </row>
    <row r="332" spans="1:11" ht="42" customHeight="1">
      <c r="A332" s="2" t="s">
        <v>968</v>
      </c>
      <c r="B332" s="2" t="s">
        <v>968</v>
      </c>
      <c r="C332" s="2" t="s">
        <v>16</v>
      </c>
      <c r="D332" s="2" t="s">
        <v>17</v>
      </c>
      <c r="E332" s="5">
        <v>-31738</v>
      </c>
      <c r="F332" s="3" t="s">
        <v>556</v>
      </c>
      <c r="G332" s="3" t="s">
        <v>28</v>
      </c>
      <c r="H332" s="2" t="s">
        <v>20</v>
      </c>
      <c r="I332" s="2" t="s">
        <v>969</v>
      </c>
      <c r="J332" s="3" t="str">
        <f>HYPERLINK("https://www.boe.es/gazeta/dias/1813/02/06/pdfs/GRE-1813-16.pdf#page=8","Abrir facsímil")</f>
        <v>Abrir facsímil</v>
      </c>
      <c r="K332" s="3" t="s">
        <v>22</v>
      </c>
    </row>
    <row r="333" spans="1:11" ht="42" customHeight="1">
      <c r="A333" s="2" t="s">
        <v>968</v>
      </c>
      <c r="B333" s="2" t="s">
        <v>968</v>
      </c>
      <c r="C333" s="2" t="s">
        <v>277</v>
      </c>
      <c r="D333" s="2" t="s">
        <v>26</v>
      </c>
      <c r="E333" s="5">
        <v>-31719</v>
      </c>
      <c r="F333" s="3" t="s">
        <v>251</v>
      </c>
      <c r="G333" s="3" t="s">
        <v>19</v>
      </c>
      <c r="H333" s="2" t="s">
        <v>20</v>
      </c>
      <c r="I333" s="2" t="s">
        <v>970</v>
      </c>
      <c r="J333" s="3" t="str">
        <f>HYPERLINK("https://www.boe.es/gazeta/dias/1813/02/25/pdfs/GMD-1813-56.pdf#page=4","Abrir facsímil")</f>
        <v>Abrir facsímil</v>
      </c>
      <c r="K333" s="3" t="s">
        <v>22</v>
      </c>
    </row>
    <row r="334" spans="1:11" ht="42" customHeight="1">
      <c r="A334" s="2" t="s">
        <v>968</v>
      </c>
      <c r="B334" s="2" t="s">
        <v>968</v>
      </c>
      <c r="C334" s="2" t="s">
        <v>25</v>
      </c>
      <c r="D334" s="2" t="s">
        <v>26</v>
      </c>
      <c r="E334" s="5">
        <v>-31675</v>
      </c>
      <c r="F334" s="3" t="s">
        <v>27</v>
      </c>
      <c r="G334" s="3" t="s">
        <v>648</v>
      </c>
      <c r="H334" s="2" t="s">
        <v>20</v>
      </c>
      <c r="I334" s="2" t="s">
        <v>971</v>
      </c>
      <c r="J334" s="3" t="str">
        <f>HYPERLINK("https://www.boe.es/gazeta/dias/1813/04/10/pdfs/GRE-1813-44.pdf#page=7","Abrir facsímil")</f>
        <v>Abrir facsímil</v>
      </c>
      <c r="K334" s="3" t="s">
        <v>22</v>
      </c>
    </row>
    <row r="335" spans="1:11" ht="42" customHeight="1">
      <c r="A335" s="2" t="s">
        <v>968</v>
      </c>
      <c r="B335" s="2" t="s">
        <v>968</v>
      </c>
      <c r="C335" s="2" t="s">
        <v>187</v>
      </c>
      <c r="D335" s="2" t="s">
        <v>26</v>
      </c>
      <c r="E335" s="5">
        <v>-31630</v>
      </c>
      <c r="F335" s="3" t="s">
        <v>972</v>
      </c>
      <c r="G335" s="3" t="s">
        <v>19</v>
      </c>
      <c r="H335" s="2" t="s">
        <v>20</v>
      </c>
      <c r="I335" s="2" t="s">
        <v>973</v>
      </c>
      <c r="J335" s="3" t="str">
        <f>HYPERLINK("https://www.boe.es/gazeta/dias/1813/05/25/pdfs/GMD-1813-145.pdf#page=4","Abrir facsímil")</f>
        <v>Abrir facsímil</v>
      </c>
      <c r="K335" s="3" t="s">
        <v>22</v>
      </c>
    </row>
    <row r="336" spans="1:11" ht="42" customHeight="1">
      <c r="A336" s="2" t="s">
        <v>968</v>
      </c>
      <c r="B336" s="2" t="s">
        <v>968</v>
      </c>
      <c r="C336" s="2" t="s">
        <v>34</v>
      </c>
      <c r="D336" s="2" t="s">
        <v>35</v>
      </c>
      <c r="E336" s="5">
        <v>-31578</v>
      </c>
      <c r="F336" s="3" t="s">
        <v>974</v>
      </c>
      <c r="G336" s="3" t="s">
        <v>178</v>
      </c>
      <c r="H336" s="2" t="s">
        <v>20</v>
      </c>
      <c r="I336" s="2" t="s">
        <v>975</v>
      </c>
      <c r="J336" s="3" t="str">
        <f>HYPERLINK("https://www.boe.es/gazeta/dias/1813/07/16/pdfs/GMR-1813-18.pdf#page=11","Abrir facsímil")</f>
        <v>Abrir facsímil</v>
      </c>
      <c r="K336" s="3" t="s">
        <v>22</v>
      </c>
    </row>
    <row r="337" spans="1:11" ht="42" customHeight="1">
      <c r="A337" s="2" t="s">
        <v>968</v>
      </c>
      <c r="B337" s="2" t="s">
        <v>968</v>
      </c>
      <c r="C337" s="2" t="s">
        <v>16</v>
      </c>
      <c r="D337" s="2" t="s">
        <v>17</v>
      </c>
      <c r="E337" s="5">
        <v>-31556</v>
      </c>
      <c r="F337" s="3" t="s">
        <v>976</v>
      </c>
      <c r="G337" s="3" t="s">
        <v>19</v>
      </c>
      <c r="H337" s="2" t="s">
        <v>20</v>
      </c>
      <c r="I337" s="2" t="s">
        <v>977</v>
      </c>
      <c r="J337" s="3" t="str">
        <f>HYPERLINK("https://www.boe.es/gazeta/dias/1813/08/07/pdfs/GRE-1813-100.pdf#page=4","Abrir facsímil")</f>
        <v>Abrir facsímil</v>
      </c>
      <c r="K337" s="3" t="s">
        <v>22</v>
      </c>
    </row>
    <row r="338" spans="1:11" ht="42" customHeight="1">
      <c r="A338" s="2" t="s">
        <v>968</v>
      </c>
      <c r="B338" s="2" t="s">
        <v>968</v>
      </c>
      <c r="C338" s="2" t="s">
        <v>25</v>
      </c>
      <c r="D338" s="2" t="s">
        <v>26</v>
      </c>
      <c r="E338" s="5">
        <v>-31507</v>
      </c>
      <c r="F338" s="3" t="s">
        <v>61</v>
      </c>
      <c r="G338" s="3" t="s">
        <v>791</v>
      </c>
      <c r="H338" s="2" t="s">
        <v>20</v>
      </c>
      <c r="I338" s="2" t="s">
        <v>978</v>
      </c>
      <c r="J338" s="3" t="str">
        <f>HYPERLINK("https://www.boe.es/gazeta/dias/1813/09/25/pdfs/GMR-1813-48.pdf#page=7","Abrir facsímil")</f>
        <v>Abrir facsímil</v>
      </c>
      <c r="K338" s="3" t="s">
        <v>22</v>
      </c>
    </row>
    <row r="339" spans="1:11" ht="42" customHeight="1">
      <c r="A339" s="2" t="s">
        <v>968</v>
      </c>
      <c r="B339" s="2" t="s">
        <v>968</v>
      </c>
      <c r="C339" s="2" t="s">
        <v>16</v>
      </c>
      <c r="D339" s="2" t="s">
        <v>17</v>
      </c>
      <c r="E339" s="5">
        <v>-31507</v>
      </c>
      <c r="F339" s="3" t="s">
        <v>61</v>
      </c>
      <c r="G339" s="3" t="s">
        <v>28</v>
      </c>
      <c r="H339" s="2" t="s">
        <v>20</v>
      </c>
      <c r="I339" s="2" t="s">
        <v>979</v>
      </c>
      <c r="J339" s="3" t="str">
        <f>HYPERLINK("https://www.boe.es/gazeta/dias/1813/09/25/pdfs/GMR-1813-48.pdf#page=8","Abrir facsímil")</f>
        <v>Abrir facsímil</v>
      </c>
      <c r="K339" s="3" t="s">
        <v>22</v>
      </c>
    </row>
    <row r="340" spans="1:11" ht="42" customHeight="1">
      <c r="A340" s="2" t="s">
        <v>980</v>
      </c>
      <c r="B340" s="2" t="s">
        <v>981</v>
      </c>
      <c r="C340" s="2" t="s">
        <v>25</v>
      </c>
      <c r="D340" s="2" t="s">
        <v>26</v>
      </c>
      <c r="E340" s="5">
        <v>-31675</v>
      </c>
      <c r="F340" s="3" t="s">
        <v>27</v>
      </c>
      <c r="G340" s="3" t="s">
        <v>648</v>
      </c>
      <c r="H340" s="2" t="s">
        <v>20</v>
      </c>
      <c r="I340" s="2" t="s">
        <v>982</v>
      </c>
      <c r="J340" s="3" t="str">
        <f>HYPERLINK("https://www.boe.es/gazeta/dias/1813/04/10/pdfs/GRE-1813-44.pdf#page=7","Abrir facsímil")</f>
        <v>Abrir facsímil</v>
      </c>
      <c r="K340" s="3" t="s">
        <v>22</v>
      </c>
    </row>
    <row r="341" spans="1:11" ht="42" customHeight="1">
      <c r="A341" s="2" t="s">
        <v>980</v>
      </c>
      <c r="B341" s="2" t="s">
        <v>981</v>
      </c>
      <c r="C341" s="2" t="s">
        <v>25</v>
      </c>
      <c r="D341" s="2" t="s">
        <v>26</v>
      </c>
      <c r="E341" s="5">
        <v>-31655</v>
      </c>
      <c r="F341" s="3" t="s">
        <v>858</v>
      </c>
      <c r="G341" s="3" t="s">
        <v>983</v>
      </c>
      <c r="H341" s="2" t="s">
        <v>20</v>
      </c>
      <c r="I341" s="2" t="s">
        <v>984</v>
      </c>
      <c r="J341" s="3" t="str">
        <f>HYPERLINK("https://www.boe.es/gazeta/dias/1813/04/30/pdfs/GMD-1813-120.pdf#page=3","Abrir facsímil")</f>
        <v>Abrir facsímil</v>
      </c>
      <c r="K341" s="3" t="s">
        <v>22</v>
      </c>
    </row>
    <row r="342" spans="1:11" ht="42" customHeight="1">
      <c r="A342" s="2" t="s">
        <v>980</v>
      </c>
      <c r="B342" s="2" t="s">
        <v>981</v>
      </c>
      <c r="C342" s="2" t="s">
        <v>16</v>
      </c>
      <c r="D342" s="2" t="s">
        <v>17</v>
      </c>
      <c r="E342" s="5">
        <v>-31476</v>
      </c>
      <c r="F342" s="3" t="s">
        <v>229</v>
      </c>
      <c r="G342" s="3" t="s">
        <v>28</v>
      </c>
      <c r="H342" s="2" t="s">
        <v>20</v>
      </c>
      <c r="I342" s="2" t="s">
        <v>985</v>
      </c>
      <c r="J342" s="3" t="str">
        <f>HYPERLINK("https://www.boe.es/gazeta/dias/1813/10/26/pdfs/GRE-1813-140.pdf#page=8","Abrir facsímil")</f>
        <v>Abrir facsímil</v>
      </c>
      <c r="K342" s="3" t="s">
        <v>22</v>
      </c>
    </row>
    <row r="343" spans="1:11" ht="42" customHeight="1">
      <c r="A343" s="2" t="s">
        <v>986</v>
      </c>
      <c r="B343" s="2" t="s">
        <v>987</v>
      </c>
      <c r="C343" s="2" t="s">
        <v>16</v>
      </c>
      <c r="D343" s="2" t="s">
        <v>17</v>
      </c>
      <c r="E343" s="5">
        <v>-31657</v>
      </c>
      <c r="F343" s="3" t="s">
        <v>988</v>
      </c>
      <c r="G343" s="3" t="s">
        <v>19</v>
      </c>
      <c r="H343" s="2" t="s">
        <v>20</v>
      </c>
      <c r="I343" s="2" t="s">
        <v>989</v>
      </c>
      <c r="J343" s="3" t="str">
        <f>HYPERLINK("https://www.boe.es/gazeta/dias/1813/04/28/pdfs/GMD-1813-118.pdf#page=4","Abrir facsímil")</f>
        <v>Abrir facsímil</v>
      </c>
      <c r="K343" s="3" t="s">
        <v>22</v>
      </c>
    </row>
    <row r="344" spans="1:11" ht="42" customHeight="1">
      <c r="A344" s="2" t="s">
        <v>990</v>
      </c>
      <c r="B344" s="2" t="s">
        <v>991</v>
      </c>
      <c r="C344" s="2" t="s">
        <v>34</v>
      </c>
      <c r="D344" s="2" t="s">
        <v>35</v>
      </c>
      <c r="E344" s="5">
        <v>-31567</v>
      </c>
      <c r="F344" s="3" t="s">
        <v>820</v>
      </c>
      <c r="G344" s="3" t="s">
        <v>71</v>
      </c>
      <c r="H344" s="2" t="s">
        <v>20</v>
      </c>
      <c r="I344" s="2" t="s">
        <v>992</v>
      </c>
      <c r="J344" s="3" t="str">
        <f>HYPERLINK("https://www.boe.es/gazeta/dias/1813/07/27/pdfs/GMR-1813-21.pdf#page=16","Abrir facsímil")</f>
        <v>Abrir facsímil</v>
      </c>
      <c r="K344" s="3" t="s">
        <v>22</v>
      </c>
    </row>
    <row r="345" spans="1:11" ht="42" customHeight="1">
      <c r="A345" s="2" t="s">
        <v>990</v>
      </c>
      <c r="B345" s="2" t="s">
        <v>991</v>
      </c>
      <c r="C345" s="2" t="s">
        <v>16</v>
      </c>
      <c r="D345" s="2" t="s">
        <v>97</v>
      </c>
      <c r="E345" s="5">
        <v>-31479</v>
      </c>
      <c r="F345" s="3" t="s">
        <v>290</v>
      </c>
      <c r="G345" s="3" t="s">
        <v>258</v>
      </c>
      <c r="H345" s="2" t="s">
        <v>20</v>
      </c>
      <c r="I345" s="2" t="s">
        <v>993</v>
      </c>
      <c r="J345" s="3" t="str">
        <f>HYPERLINK("https://www.boe.es/gazeta/dias/1813/10/23/pdfs/GRE-1813-139E.pdf#page=12","Abrir facsímil")</f>
        <v>Abrir facsímil</v>
      </c>
      <c r="K345" s="3" t="s">
        <v>22</v>
      </c>
    </row>
    <row r="346" spans="1:11" ht="42" customHeight="1">
      <c r="A346" s="2" t="s">
        <v>994</v>
      </c>
      <c r="B346" s="2" t="s">
        <v>995</v>
      </c>
      <c r="C346" s="2" t="s">
        <v>34</v>
      </c>
      <c r="D346" s="2" t="s">
        <v>35</v>
      </c>
      <c r="E346" s="5">
        <v>-31542</v>
      </c>
      <c r="F346" s="3" t="s">
        <v>347</v>
      </c>
      <c r="G346" s="3" t="s">
        <v>82</v>
      </c>
      <c r="H346" s="2" t="s">
        <v>20</v>
      </c>
      <c r="I346" s="2" t="s">
        <v>996</v>
      </c>
      <c r="J346" s="3" t="str">
        <f>HYPERLINK("https://www.boe.es/gazeta/dias/1813/08/21/pdfs/GMR-1813-31.pdf#page=5","Abrir facsímil")</f>
        <v>Abrir facsímil</v>
      </c>
      <c r="K346" s="3" t="s">
        <v>22</v>
      </c>
    </row>
    <row r="347" spans="1:11" ht="42" customHeight="1">
      <c r="A347" s="2" t="s">
        <v>997</v>
      </c>
      <c r="B347" s="2" t="s">
        <v>997</v>
      </c>
      <c r="C347" s="2" t="s">
        <v>16</v>
      </c>
      <c r="D347" s="2" t="s">
        <v>17</v>
      </c>
      <c r="E347" s="5">
        <v>-31472</v>
      </c>
      <c r="F347" s="3" t="s">
        <v>143</v>
      </c>
      <c r="G347" s="3" t="s">
        <v>998</v>
      </c>
      <c r="H347" s="2" t="s">
        <v>20</v>
      </c>
      <c r="I347" s="2" t="s">
        <v>999</v>
      </c>
      <c r="J347" s="3" t="str">
        <f>HYPERLINK("https://www.boe.es/gazeta/dias/1813/10/30/pdfs/GMR-1813-66.pdf#page=6","Abrir facsímil")</f>
        <v>Abrir facsímil</v>
      </c>
      <c r="K347" s="3" t="s">
        <v>22</v>
      </c>
    </row>
    <row r="348" spans="1:11" ht="42" customHeight="1">
      <c r="A348" s="2" t="s">
        <v>1000</v>
      </c>
      <c r="B348" s="2" t="s">
        <v>1001</v>
      </c>
      <c r="C348" s="2" t="s">
        <v>25</v>
      </c>
      <c r="D348" s="2" t="s">
        <v>26</v>
      </c>
      <c r="E348" s="5">
        <v>-31714</v>
      </c>
      <c r="F348" s="3" t="s">
        <v>479</v>
      </c>
      <c r="G348" s="3" t="s">
        <v>1002</v>
      </c>
      <c r="H348" s="2" t="s">
        <v>20</v>
      </c>
      <c r="I348" s="2" t="s">
        <v>1003</v>
      </c>
      <c r="J348" s="3" t="str">
        <f>HYPERLINK("https://www.boe.es/gazeta/dias/1813/03/02/pdfs/GRE-1813-27.pdf#page=7","Abrir facsímil")</f>
        <v>Abrir facsímil</v>
      </c>
      <c r="K348" s="3" t="s">
        <v>22</v>
      </c>
    </row>
    <row r="349" spans="1:11" ht="42" customHeight="1">
      <c r="A349" s="2" t="s">
        <v>1004</v>
      </c>
      <c r="B349" s="2" t="s">
        <v>1005</v>
      </c>
      <c r="C349" s="2" t="s">
        <v>187</v>
      </c>
      <c r="D349" s="2" t="s">
        <v>26</v>
      </c>
      <c r="E349" s="5">
        <v>-31754</v>
      </c>
      <c r="F349" s="3" t="s">
        <v>899</v>
      </c>
      <c r="G349" s="3" t="s">
        <v>900</v>
      </c>
      <c r="H349" s="2" t="s">
        <v>20</v>
      </c>
      <c r="I349" s="2" t="s">
        <v>1006</v>
      </c>
      <c r="J349" s="3" t="str">
        <f>HYPERLINK("https://www.boe.es/gazeta/dias/1813/01/21/pdfs/GRE-1813-9.pdf#page=8","Abrir facsímil")</f>
        <v>Abrir facsímil</v>
      </c>
      <c r="K349" s="3" t="s">
        <v>22</v>
      </c>
    </row>
    <row r="350" spans="1:11" ht="42" customHeight="1">
      <c r="A350" s="2" t="s">
        <v>1007</v>
      </c>
      <c r="B350" s="2" t="s">
        <v>1008</v>
      </c>
      <c r="C350" s="2" t="s">
        <v>25</v>
      </c>
      <c r="D350" s="2" t="s">
        <v>26</v>
      </c>
      <c r="E350" s="5">
        <v>-31752</v>
      </c>
      <c r="F350" s="3" t="s">
        <v>182</v>
      </c>
      <c r="G350" s="3" t="s">
        <v>183</v>
      </c>
      <c r="H350" s="2" t="s">
        <v>20</v>
      </c>
      <c r="I350" s="2" t="s">
        <v>1009</v>
      </c>
      <c r="J350" s="3" t="str">
        <f>HYPERLINK("https://www.boe.es/gazeta/dias/1813/01/23/pdfs/GRE-1813-10.pdf#page=8","Abrir facsímil")</f>
        <v>Abrir facsímil</v>
      </c>
      <c r="K350" s="3" t="s">
        <v>22</v>
      </c>
    </row>
    <row r="351" spans="1:11" ht="42" customHeight="1">
      <c r="A351" s="2" t="s">
        <v>1010</v>
      </c>
      <c r="B351" s="2" t="s">
        <v>1010</v>
      </c>
      <c r="C351" s="2" t="s">
        <v>16</v>
      </c>
      <c r="D351" s="2" t="s">
        <v>17</v>
      </c>
      <c r="E351" s="5">
        <v>-31605</v>
      </c>
      <c r="F351" s="3" t="s">
        <v>884</v>
      </c>
      <c r="G351" s="3" t="s">
        <v>28</v>
      </c>
      <c r="H351" s="2" t="s">
        <v>20</v>
      </c>
      <c r="I351" s="2" t="s">
        <v>1011</v>
      </c>
      <c r="J351" s="3" t="str">
        <f>HYPERLINK("https://www.boe.es/gazeta/dias/1813/06/19/pdfs/GRE-1813-76.pdf#page=8","Abrir facsímil")</f>
        <v>Abrir facsímil</v>
      </c>
      <c r="K351" s="3" t="s">
        <v>22</v>
      </c>
    </row>
    <row r="352" spans="1:11" ht="42" customHeight="1">
      <c r="A352" s="2" t="s">
        <v>1012</v>
      </c>
      <c r="B352" s="2" t="s">
        <v>1013</v>
      </c>
      <c r="C352" s="2" t="s">
        <v>16</v>
      </c>
      <c r="D352" s="2" t="s">
        <v>17</v>
      </c>
      <c r="E352" s="5">
        <v>-31605</v>
      </c>
      <c r="F352" s="3" t="s">
        <v>884</v>
      </c>
      <c r="G352" s="3" t="s">
        <v>87</v>
      </c>
      <c r="H352" s="2" t="s">
        <v>20</v>
      </c>
      <c r="I352" s="2" t="s">
        <v>1014</v>
      </c>
      <c r="J352" s="3" t="str">
        <f>HYPERLINK("https://www.boe.es/gazeta/dias/1813/06/19/pdfs/GRE-1813-76.pdf#page=7","Abrir facsímil")</f>
        <v>Abrir facsímil</v>
      </c>
      <c r="K352" s="3" t="s">
        <v>22</v>
      </c>
    </row>
    <row r="353" spans="1:11" ht="42" customHeight="1">
      <c r="A353" s="2" t="s">
        <v>1015</v>
      </c>
      <c r="B353" s="2" t="s">
        <v>1016</v>
      </c>
      <c r="C353" s="2" t="s">
        <v>25</v>
      </c>
      <c r="D353" s="2" t="s">
        <v>26</v>
      </c>
      <c r="E353" s="5">
        <v>-31745</v>
      </c>
      <c r="F353" s="3" t="s">
        <v>445</v>
      </c>
      <c r="G353" s="3" t="s">
        <v>28</v>
      </c>
      <c r="H353" s="2" t="s">
        <v>20</v>
      </c>
      <c r="I353" s="2" t="s">
        <v>1017</v>
      </c>
      <c r="J353" s="3" t="str">
        <f>HYPERLINK("https://www.boe.es/gazeta/dias/1813/01/30/pdfs/GRE-1813-13.pdf#page=8","Abrir facsímil")</f>
        <v>Abrir facsímil</v>
      </c>
      <c r="K353" s="3" t="s">
        <v>22</v>
      </c>
    </row>
    <row r="354" spans="1:11" ht="42" customHeight="1">
      <c r="A354" s="2" t="s">
        <v>1018</v>
      </c>
      <c r="B354" s="2" t="s">
        <v>1019</v>
      </c>
      <c r="C354" s="2" t="s">
        <v>34</v>
      </c>
      <c r="D354" s="2" t="s">
        <v>35</v>
      </c>
      <c r="E354" s="5">
        <v>-31689</v>
      </c>
      <c r="F354" s="3" t="s">
        <v>48</v>
      </c>
      <c r="G354" s="3" t="s">
        <v>49</v>
      </c>
      <c r="H354" s="2" t="s">
        <v>20</v>
      </c>
      <c r="I354" s="2" t="s">
        <v>1020</v>
      </c>
      <c r="J354" s="3" t="str">
        <f>HYPERLINK("https://www.boe.es/gazeta/dias/1813/03/27/pdfs/GRE-1813-38.pdf#page=7","Abrir facsímil")</f>
        <v>Abrir facsímil</v>
      </c>
      <c r="K354" s="3" t="s">
        <v>22</v>
      </c>
    </row>
    <row r="355" spans="1:11" ht="42" customHeight="1">
      <c r="A355" s="2" t="s">
        <v>1021</v>
      </c>
      <c r="B355" s="2" t="s">
        <v>1022</v>
      </c>
      <c r="C355" s="2" t="s">
        <v>187</v>
      </c>
      <c r="D355" s="2" t="s">
        <v>26</v>
      </c>
      <c r="E355" s="5">
        <v>-31488</v>
      </c>
      <c r="F355" s="3" t="s">
        <v>1023</v>
      </c>
      <c r="G355" s="3" t="s">
        <v>28</v>
      </c>
      <c r="H355" s="2" t="s">
        <v>20</v>
      </c>
      <c r="I355" s="2" t="s">
        <v>1024</v>
      </c>
      <c r="J355" s="3" t="str">
        <f>HYPERLINK("https://www.boe.es/gazeta/dias/1813/10/14/pdfs/GRE-1813-134.pdf#page=8","Abrir facsímil")</f>
        <v>Abrir facsímil</v>
      </c>
      <c r="K355" s="3" t="s">
        <v>22</v>
      </c>
    </row>
    <row r="356" spans="1:11" ht="42" customHeight="1">
      <c r="A356" s="2" t="s">
        <v>1025</v>
      </c>
      <c r="B356" s="2" t="s">
        <v>1026</v>
      </c>
      <c r="C356" s="2" t="s">
        <v>34</v>
      </c>
      <c r="D356" s="2" t="s">
        <v>35</v>
      </c>
      <c r="E356" s="5">
        <v>-31709</v>
      </c>
      <c r="F356" s="3" t="s">
        <v>36</v>
      </c>
      <c r="G356" s="3" t="s">
        <v>303</v>
      </c>
      <c r="H356" s="2" t="s">
        <v>20</v>
      </c>
      <c r="I356" s="2" t="s">
        <v>1027</v>
      </c>
      <c r="J356" s="3" t="str">
        <f>HYPERLINK("https://www.boe.es/gazeta/dias/1813/03/07/pdfs/GMD-1813-66.pdf#page=3","Abrir facsímil")</f>
        <v>Abrir facsímil</v>
      </c>
      <c r="K356" s="3" t="s">
        <v>22</v>
      </c>
    </row>
    <row r="357" spans="1:11" ht="42" customHeight="1">
      <c r="A357" s="2" t="s">
        <v>1025</v>
      </c>
      <c r="B357" s="2" t="s">
        <v>1026</v>
      </c>
      <c r="C357" s="2" t="s">
        <v>435</v>
      </c>
      <c r="D357" s="2" t="s">
        <v>26</v>
      </c>
      <c r="E357" s="5">
        <v>-31462</v>
      </c>
      <c r="F357" s="3" t="s">
        <v>1028</v>
      </c>
      <c r="G357" s="3" t="s">
        <v>1029</v>
      </c>
      <c r="H357" s="2" t="s">
        <v>20</v>
      </c>
      <c r="I357" s="2" t="s">
        <v>1030</v>
      </c>
      <c r="J357" s="3" t="str">
        <f>HYPERLINK("https://www.boe.es/gazeta/dias/1813/11/09/pdfs/GMR-1813-71.pdf#page=8","Abrir facsímil")</f>
        <v>Abrir facsímil</v>
      </c>
      <c r="K357" s="3" t="s">
        <v>22</v>
      </c>
    </row>
    <row r="358" spans="1:11" ht="42" customHeight="1">
      <c r="A358" s="2" t="s">
        <v>1031</v>
      </c>
      <c r="B358" s="2" t="s">
        <v>1032</v>
      </c>
      <c r="C358" s="2" t="s">
        <v>34</v>
      </c>
      <c r="D358" s="2" t="s">
        <v>35</v>
      </c>
      <c r="E358" s="5">
        <v>-31719</v>
      </c>
      <c r="F358" s="3" t="s">
        <v>251</v>
      </c>
      <c r="G358" s="3" t="s">
        <v>19</v>
      </c>
      <c r="H358" s="2" t="s">
        <v>20</v>
      </c>
      <c r="I358" s="2" t="s">
        <v>1033</v>
      </c>
      <c r="J358" s="3" t="str">
        <f>HYPERLINK("https://www.boe.es/gazeta/dias/1813/02/25/pdfs/GMD-1813-56.pdf#page=4","Abrir facsímil")</f>
        <v>Abrir facsímil</v>
      </c>
      <c r="K358" s="3" t="s">
        <v>22</v>
      </c>
    </row>
    <row r="359" spans="1:11" ht="42" customHeight="1">
      <c r="A359" s="2" t="s">
        <v>1034</v>
      </c>
      <c r="B359" s="2" t="s">
        <v>1035</v>
      </c>
      <c r="C359" s="2" t="s">
        <v>16</v>
      </c>
      <c r="D359" s="2" t="s">
        <v>17</v>
      </c>
      <c r="E359" s="5">
        <v>-31665</v>
      </c>
      <c r="F359" s="3" t="s">
        <v>396</v>
      </c>
      <c r="G359" s="3" t="s">
        <v>397</v>
      </c>
      <c r="H359" s="2" t="s">
        <v>20</v>
      </c>
      <c r="I359" s="2" t="s">
        <v>1036</v>
      </c>
      <c r="J359" s="3" t="str">
        <f>HYPERLINK("https://www.boe.es/gazeta/dias/1813/04/20/pdfs/GRE-1813-49.pdf#page=8","Abrir facsímil")</f>
        <v>Abrir facsímil</v>
      </c>
      <c r="K359" s="3" t="s">
        <v>22</v>
      </c>
    </row>
    <row r="360" spans="1:11" ht="42" customHeight="1">
      <c r="A360" s="2" t="s">
        <v>1037</v>
      </c>
      <c r="B360" s="2" t="s">
        <v>1038</v>
      </c>
      <c r="C360" s="2" t="s">
        <v>25</v>
      </c>
      <c r="D360" s="2" t="s">
        <v>26</v>
      </c>
      <c r="E360" s="5">
        <v>-31677</v>
      </c>
      <c r="F360" s="3" t="s">
        <v>76</v>
      </c>
      <c r="G360" s="3" t="s">
        <v>28</v>
      </c>
      <c r="H360" s="2" t="s">
        <v>20</v>
      </c>
      <c r="I360" s="2" t="s">
        <v>1039</v>
      </c>
      <c r="J360" s="3" t="str">
        <f>HYPERLINK("https://www.boe.es/gazeta/dias/1813/04/08/pdfs/GRE-1813-43.pdf#page=8","Abrir facsímil")</f>
        <v>Abrir facsímil</v>
      </c>
      <c r="K360" s="3" t="s">
        <v>22</v>
      </c>
    </row>
    <row r="361" spans="1:11" ht="42" customHeight="1">
      <c r="A361" s="2" t="s">
        <v>1040</v>
      </c>
      <c r="B361" s="2" t="s">
        <v>1041</v>
      </c>
      <c r="C361" s="2" t="s">
        <v>25</v>
      </c>
      <c r="D361" s="2" t="s">
        <v>26</v>
      </c>
      <c r="E361" s="5">
        <v>-31677</v>
      </c>
      <c r="F361" s="3" t="s">
        <v>76</v>
      </c>
      <c r="G361" s="3" t="s">
        <v>28</v>
      </c>
      <c r="H361" s="2" t="s">
        <v>29</v>
      </c>
      <c r="I361" s="2" t="s">
        <v>1042</v>
      </c>
      <c r="J361" s="3" t="str">
        <f>HYPERLINK("https://www.boe.es/gazeta/dias/1813/04/08/pdfs/GRE-1813-43.pdf#page=8","Abrir facsímil")</f>
        <v>Abrir facsímil</v>
      </c>
      <c r="K361" s="3" t="s">
        <v>31</v>
      </c>
    </row>
    <row r="362" spans="1:11" ht="42" customHeight="1">
      <c r="A362" s="2" t="s">
        <v>1043</v>
      </c>
      <c r="B362" s="2" t="s">
        <v>1044</v>
      </c>
      <c r="C362" s="2" t="s">
        <v>25</v>
      </c>
      <c r="D362" s="2" t="s">
        <v>26</v>
      </c>
      <c r="E362" s="5">
        <v>-31677</v>
      </c>
      <c r="F362" s="3" t="s">
        <v>76</v>
      </c>
      <c r="G362" s="3" t="s">
        <v>28</v>
      </c>
      <c r="H362" s="2" t="s">
        <v>20</v>
      </c>
      <c r="I362" s="2" t="s">
        <v>1045</v>
      </c>
      <c r="J362" s="3" t="str">
        <f>HYPERLINK("https://www.boe.es/gazeta/dias/1813/04/08/pdfs/GRE-1813-43.pdf#page=8","Abrir facsímil")</f>
        <v>Abrir facsímil</v>
      </c>
      <c r="K362" s="3" t="s">
        <v>22</v>
      </c>
    </row>
    <row r="363" spans="1:11" ht="42" customHeight="1">
      <c r="A363" s="2" t="s">
        <v>1046</v>
      </c>
      <c r="B363" s="2" t="s">
        <v>1047</v>
      </c>
      <c r="C363" s="2" t="s">
        <v>16</v>
      </c>
      <c r="D363" s="2" t="s">
        <v>17</v>
      </c>
      <c r="E363" s="5">
        <v>-31605</v>
      </c>
      <c r="F363" s="3" t="s">
        <v>884</v>
      </c>
      <c r="G363" s="3" t="s">
        <v>95</v>
      </c>
      <c r="H363" s="2" t="s">
        <v>20</v>
      </c>
      <c r="I363" s="2" t="s">
        <v>1048</v>
      </c>
      <c r="J363" s="3" t="str">
        <f>HYPERLINK("https://www.boe.es/gazeta/dias/1813/06/19/pdfs/GRE-1813-76.pdf#page=6","Abrir facsímil")</f>
        <v>Abrir facsímil</v>
      </c>
      <c r="K363" s="3" t="s">
        <v>22</v>
      </c>
    </row>
    <row r="364" spans="1:11" ht="42" customHeight="1">
      <c r="A364" s="2" t="s">
        <v>1049</v>
      </c>
      <c r="B364" s="2" t="s">
        <v>1050</v>
      </c>
      <c r="C364" s="2" t="s">
        <v>16</v>
      </c>
      <c r="D364" s="2" t="s">
        <v>97</v>
      </c>
      <c r="E364" s="5">
        <v>-31519</v>
      </c>
      <c r="F364" s="3" t="s">
        <v>312</v>
      </c>
      <c r="G364" s="3" t="s">
        <v>313</v>
      </c>
      <c r="H364" s="2" t="s">
        <v>20</v>
      </c>
      <c r="I364" s="2" t="s">
        <v>1051</v>
      </c>
      <c r="J364" s="3" t="str">
        <f>HYPERLINK("https://www.boe.es/gazeta/dias/1813/09/13/pdfs/GRE-1813-118E.pdf#page=9","Abrir facsímil")</f>
        <v>Abrir facsímil</v>
      </c>
      <c r="K364" s="3" t="s">
        <v>22</v>
      </c>
    </row>
    <row r="365" spans="1:11" ht="42" customHeight="1">
      <c r="A365" s="2" t="s">
        <v>1052</v>
      </c>
      <c r="B365" s="2" t="s">
        <v>1053</v>
      </c>
      <c r="C365" s="2" t="s">
        <v>16</v>
      </c>
      <c r="D365" s="2" t="s">
        <v>17</v>
      </c>
      <c r="E365" s="5">
        <v>-31507</v>
      </c>
      <c r="F365" s="3" t="s">
        <v>61</v>
      </c>
      <c r="G365" s="3" t="s">
        <v>28</v>
      </c>
      <c r="H365" s="2" t="s">
        <v>20</v>
      </c>
      <c r="I365" s="2" t="s">
        <v>1054</v>
      </c>
      <c r="J365" s="3" t="str">
        <f>HYPERLINK("https://www.boe.es/gazeta/dias/1813/09/25/pdfs/GMR-1813-48.pdf#page=8","Abrir facsímil")</f>
        <v>Abrir facsímil</v>
      </c>
      <c r="K365" s="3" t="s">
        <v>22</v>
      </c>
    </row>
    <row r="366" spans="1:11" ht="42" customHeight="1">
      <c r="A366" s="2" t="s">
        <v>1055</v>
      </c>
      <c r="B366" s="2" t="s">
        <v>1056</v>
      </c>
      <c r="C366" s="2" t="s">
        <v>16</v>
      </c>
      <c r="D366" s="2" t="s">
        <v>17</v>
      </c>
      <c r="E366" s="5">
        <v>-31649</v>
      </c>
      <c r="F366" s="3" t="s">
        <v>1057</v>
      </c>
      <c r="G366" s="3" t="s">
        <v>1058</v>
      </c>
      <c r="H366" s="2" t="s">
        <v>20</v>
      </c>
      <c r="I366" s="2" t="s">
        <v>1059</v>
      </c>
      <c r="J366" s="3" t="str">
        <f>HYPERLINK("https://www.boe.es/gazeta/dias/1813/05/06/pdfs/GRE-1813-56.pdf#page=8","Abrir facsímil")</f>
        <v>Abrir facsímil</v>
      </c>
      <c r="K366" s="3" t="s">
        <v>22</v>
      </c>
    </row>
    <row r="367" spans="1:11" ht="42" customHeight="1">
      <c r="A367" s="2" t="s">
        <v>1055</v>
      </c>
      <c r="B367" s="2" t="s">
        <v>1056</v>
      </c>
      <c r="C367" s="2" t="s">
        <v>16</v>
      </c>
      <c r="D367" s="2" t="s">
        <v>17</v>
      </c>
      <c r="E367" s="5">
        <v>-31618</v>
      </c>
      <c r="F367" s="3" t="s">
        <v>1057</v>
      </c>
      <c r="G367" s="3" t="s">
        <v>1058</v>
      </c>
      <c r="H367" s="2" t="s">
        <v>20</v>
      </c>
      <c r="I367" s="2" t="s">
        <v>1059</v>
      </c>
      <c r="J367" s="3" t="str">
        <f>HYPERLINK("https://www.boe.es/gazeta/dias/1813/06/06/pdfs/GRE-1813-56.pdf#page=8","Abrir facsímil")</f>
        <v>Abrir facsímil</v>
      </c>
      <c r="K367" s="3" t="s">
        <v>22</v>
      </c>
    </row>
    <row r="368" spans="1:11" ht="42" customHeight="1">
      <c r="A368" s="2" t="s">
        <v>1060</v>
      </c>
      <c r="B368" s="2" t="s">
        <v>1061</v>
      </c>
      <c r="C368" s="2" t="s">
        <v>16</v>
      </c>
      <c r="D368" s="2" t="s">
        <v>17</v>
      </c>
      <c r="E368" s="5">
        <v>-31614</v>
      </c>
      <c r="F368" s="3" t="s">
        <v>498</v>
      </c>
      <c r="G368" s="3" t="s">
        <v>95</v>
      </c>
      <c r="H368" s="2" t="s">
        <v>20</v>
      </c>
      <c r="I368" s="2" t="s">
        <v>1062</v>
      </c>
      <c r="J368" s="3" t="str">
        <f>HYPERLINK("https://www.boe.es/gazeta/dias/1813/06/10/pdfs/GRE-1813-72.pdf#page=6","Abrir facsímil")</f>
        <v>Abrir facsímil</v>
      </c>
      <c r="K368" s="3" t="s">
        <v>22</v>
      </c>
    </row>
    <row r="369" spans="1:11" ht="42" customHeight="1">
      <c r="A369" s="2" t="s">
        <v>1063</v>
      </c>
      <c r="B369" s="2" t="s">
        <v>1064</v>
      </c>
      <c r="C369" s="2" t="s">
        <v>16</v>
      </c>
      <c r="D369" s="2" t="s">
        <v>17</v>
      </c>
      <c r="E369" s="5">
        <v>-31553</v>
      </c>
      <c r="F369" s="3" t="s">
        <v>592</v>
      </c>
      <c r="G369" s="3" t="s">
        <v>1065</v>
      </c>
      <c r="H369" s="2" t="s">
        <v>20</v>
      </c>
      <c r="I369" s="2" t="s">
        <v>1066</v>
      </c>
      <c r="J369" s="3" t="str">
        <f>HYPERLINK("https://www.boe.es/gazeta/dias/1813/08/10/pdfs/GRE-1813-101.pdf#page=7","Abrir facsímil")</f>
        <v>Abrir facsímil</v>
      </c>
      <c r="K369" s="3" t="s">
        <v>22</v>
      </c>
    </row>
    <row r="370" spans="1:11" ht="42" customHeight="1">
      <c r="A370" s="2" t="s">
        <v>1067</v>
      </c>
      <c r="B370" s="2" t="s">
        <v>1068</v>
      </c>
      <c r="C370" s="2" t="s">
        <v>34</v>
      </c>
      <c r="D370" s="2" t="s">
        <v>35</v>
      </c>
      <c r="E370" s="5">
        <v>-31462</v>
      </c>
      <c r="F370" s="3" t="s">
        <v>1028</v>
      </c>
      <c r="G370" s="3" t="s">
        <v>313</v>
      </c>
      <c r="H370" s="2" t="s">
        <v>20</v>
      </c>
      <c r="I370" s="2" t="s">
        <v>1069</v>
      </c>
      <c r="J370" s="3" t="str">
        <f>HYPERLINK("https://www.boe.es/gazeta/dias/1813/11/09/pdfs/GMR-1813-71.pdf#page=9","Abrir facsímil")</f>
        <v>Abrir facsímil</v>
      </c>
      <c r="K370" s="3" t="s">
        <v>22</v>
      </c>
    </row>
    <row r="371" spans="1:11" ht="42" customHeight="1">
      <c r="A371" s="2" t="s">
        <v>1070</v>
      </c>
      <c r="B371" s="2" t="s">
        <v>1071</v>
      </c>
      <c r="C371" s="2" t="s">
        <v>16</v>
      </c>
      <c r="D371" s="2" t="s">
        <v>17</v>
      </c>
      <c r="E371" s="5">
        <v>-31567</v>
      </c>
      <c r="F371" s="3" t="s">
        <v>820</v>
      </c>
      <c r="G371" s="3" t="s">
        <v>747</v>
      </c>
      <c r="H371" s="2" t="s">
        <v>20</v>
      </c>
      <c r="I371" s="2" t="s">
        <v>1072</v>
      </c>
      <c r="J371" s="3" t="str">
        <f>HYPERLINK("https://www.boe.es/gazeta/dias/1813/07/27/pdfs/GMR-1813-21.pdf#page=10","Abrir facsímil")</f>
        <v>Abrir facsímil</v>
      </c>
      <c r="K371" s="3" t="s">
        <v>22</v>
      </c>
    </row>
    <row r="372" spans="1:11" ht="42" customHeight="1">
      <c r="A372" s="2" t="s">
        <v>1073</v>
      </c>
      <c r="B372" s="2" t="s">
        <v>1074</v>
      </c>
      <c r="C372" s="2" t="s">
        <v>16</v>
      </c>
      <c r="D372" s="2" t="s">
        <v>97</v>
      </c>
      <c r="E372" s="5">
        <v>-31519</v>
      </c>
      <c r="F372" s="3" t="s">
        <v>312</v>
      </c>
      <c r="G372" s="3" t="s">
        <v>28</v>
      </c>
      <c r="H372" s="2" t="s">
        <v>20</v>
      </c>
      <c r="I372" s="2" t="s">
        <v>1075</v>
      </c>
      <c r="J372" s="3" t="str">
        <f>HYPERLINK("https://www.boe.es/gazeta/dias/1813/09/13/pdfs/GRE-1813-118E.pdf#page=8","Abrir facsímil")</f>
        <v>Abrir facsímil</v>
      </c>
      <c r="K372" s="3" t="s">
        <v>22</v>
      </c>
    </row>
    <row r="373" spans="1:11" ht="42" customHeight="1">
      <c r="A373" s="2" t="s">
        <v>1076</v>
      </c>
      <c r="B373" s="2" t="s">
        <v>1077</v>
      </c>
      <c r="C373" s="2" t="s">
        <v>187</v>
      </c>
      <c r="D373" s="2" t="s">
        <v>26</v>
      </c>
      <c r="E373" s="5">
        <v>-31446</v>
      </c>
      <c r="F373" s="3" t="s">
        <v>1078</v>
      </c>
      <c r="G373" s="3" t="s">
        <v>28</v>
      </c>
      <c r="H373" s="2" t="s">
        <v>20</v>
      </c>
      <c r="I373" s="2" t="s">
        <v>1079</v>
      </c>
      <c r="J373" s="3" t="str">
        <f>HYPERLINK("https://www.boe.es/gazeta/dias/1813/11/25/pdfs/GRE-1813-154.pdf#page=8","Abrir facsímil")</f>
        <v>Abrir facsímil</v>
      </c>
      <c r="K373" s="3" t="s">
        <v>22</v>
      </c>
    </row>
    <row r="374" spans="1:11" ht="42" customHeight="1">
      <c r="A374" s="2" t="s">
        <v>1080</v>
      </c>
      <c r="B374" s="2" t="s">
        <v>1081</v>
      </c>
      <c r="C374" s="2" t="s">
        <v>16</v>
      </c>
      <c r="D374" s="2" t="s">
        <v>17</v>
      </c>
      <c r="E374" s="5">
        <v>-31474</v>
      </c>
      <c r="F374" s="3" t="s">
        <v>1082</v>
      </c>
      <c r="G374" s="3" t="s">
        <v>1083</v>
      </c>
      <c r="H374" s="2" t="s">
        <v>20</v>
      </c>
      <c r="I374" s="2" t="s">
        <v>1084</v>
      </c>
      <c r="J374" s="3" t="str">
        <f>HYPERLINK("https://www.boe.es/gazeta/dias/1813/10/28/pdfs/GMR-1813-65.pdf#page=7","Abrir facsímil")</f>
        <v>Abrir facsímil</v>
      </c>
      <c r="K374" s="3" t="s">
        <v>22</v>
      </c>
    </row>
    <row r="375" spans="1:11" ht="42" customHeight="1">
      <c r="A375" s="2" t="s">
        <v>1085</v>
      </c>
      <c r="B375" s="2" t="s">
        <v>1086</v>
      </c>
      <c r="C375" s="2" t="s">
        <v>16</v>
      </c>
      <c r="D375" s="2" t="s">
        <v>17</v>
      </c>
      <c r="E375" s="5">
        <v>-31413</v>
      </c>
      <c r="F375" s="3" t="s">
        <v>152</v>
      </c>
      <c r="G375" s="3" t="s">
        <v>28</v>
      </c>
      <c r="H375" s="2" t="s">
        <v>20</v>
      </c>
      <c r="I375" s="2" t="s">
        <v>1087</v>
      </c>
      <c r="J375" s="3" t="str">
        <f>HYPERLINK("https://www.boe.es/gazeta/dias/1813/12/28/pdfs/GRE-1813-170.pdf#page=8","Abrir facsímil")</f>
        <v>Abrir facsímil</v>
      </c>
      <c r="K375" s="3" t="s">
        <v>22</v>
      </c>
    </row>
    <row r="376" spans="1:11" ht="42" customHeight="1">
      <c r="A376" s="2" t="s">
        <v>1088</v>
      </c>
      <c r="B376" s="2" t="s">
        <v>1089</v>
      </c>
      <c r="C376" s="2" t="s">
        <v>34</v>
      </c>
      <c r="D376" s="2" t="s">
        <v>35</v>
      </c>
      <c r="E376" s="5">
        <v>-31518</v>
      </c>
      <c r="F376" s="3" t="s">
        <v>1090</v>
      </c>
      <c r="G376" s="3" t="s">
        <v>1091</v>
      </c>
      <c r="H376" s="2" t="s">
        <v>20</v>
      </c>
      <c r="I376" s="2" t="s">
        <v>1092</v>
      </c>
      <c r="J376" s="3" t="str">
        <f>HYPERLINK("https://www.boe.es/gazeta/dias/1813/09/14/pdfs/GMR-1813-42.pdf#page=11","Abrir facsímil")</f>
        <v>Abrir facsímil</v>
      </c>
      <c r="K376" s="3" t="s">
        <v>22</v>
      </c>
    </row>
    <row r="377" spans="1:11" ht="42" customHeight="1">
      <c r="A377" s="2" t="s">
        <v>1093</v>
      </c>
      <c r="B377" s="2" t="s">
        <v>1094</v>
      </c>
      <c r="C377" s="2" t="s">
        <v>435</v>
      </c>
      <c r="D377" s="2" t="s">
        <v>26</v>
      </c>
      <c r="E377" s="5">
        <v>-31514</v>
      </c>
      <c r="F377" s="3" t="s">
        <v>1095</v>
      </c>
      <c r="G377" s="3" t="s">
        <v>87</v>
      </c>
      <c r="H377" s="2" t="s">
        <v>20</v>
      </c>
      <c r="I377" s="2" t="s">
        <v>1096</v>
      </c>
      <c r="J377" s="3" t="str">
        <f>HYPERLINK("https://www.boe.es/gazeta/dias/1813/09/18/pdfs/GRE-1813-121.pdf#page=7","Abrir facsímil")</f>
        <v>Abrir facsímil</v>
      </c>
      <c r="K377" s="3" t="s">
        <v>22</v>
      </c>
    </row>
    <row r="378" spans="1:11" ht="42" customHeight="1">
      <c r="A378" s="2" t="s">
        <v>1093</v>
      </c>
      <c r="B378" s="2" t="s">
        <v>1094</v>
      </c>
      <c r="C378" s="2" t="s">
        <v>25</v>
      </c>
      <c r="D378" s="2" t="s">
        <v>26</v>
      </c>
      <c r="E378" s="5">
        <v>-31493</v>
      </c>
      <c r="F378" s="3" t="s">
        <v>1097</v>
      </c>
      <c r="G378" s="3" t="s">
        <v>359</v>
      </c>
      <c r="H378" s="2" t="s">
        <v>20</v>
      </c>
      <c r="I378" s="2" t="s">
        <v>1098</v>
      </c>
      <c r="J378" s="3" t="str">
        <f>HYPERLINK("https://www.boe.es/gazeta/dias/1813/10/09/pdfs/GMR-1813-56.pdf#page=8","Abrir facsímil")</f>
        <v>Abrir facsímil</v>
      </c>
      <c r="K378" s="3" t="s">
        <v>22</v>
      </c>
    </row>
    <row r="379" spans="1:11" ht="42" customHeight="1">
      <c r="A379" s="2" t="s">
        <v>1093</v>
      </c>
      <c r="B379" s="2" t="s">
        <v>1094</v>
      </c>
      <c r="C379" s="2" t="s">
        <v>34</v>
      </c>
      <c r="D379" s="2" t="s">
        <v>35</v>
      </c>
      <c r="E379" s="5">
        <v>-31437</v>
      </c>
      <c r="F379" s="3" t="s">
        <v>217</v>
      </c>
      <c r="G379" s="3" t="s">
        <v>1099</v>
      </c>
      <c r="H379" s="2" t="s">
        <v>20</v>
      </c>
      <c r="I379" s="2" t="s">
        <v>1100</v>
      </c>
      <c r="J379" s="3" t="str">
        <f>HYPERLINK("https://www.boe.es/gazeta/dias/1813/12/04/pdfs/GRE-1813-160.pdf#page=6","Abrir facsímil")</f>
        <v>Abrir facsímil</v>
      </c>
      <c r="K379" s="3" t="s">
        <v>22</v>
      </c>
    </row>
    <row r="380" spans="1:11" ht="42" customHeight="1">
      <c r="A380" s="2" t="s">
        <v>1093</v>
      </c>
      <c r="B380" s="2" t="s">
        <v>1094</v>
      </c>
      <c r="C380" s="2" t="s">
        <v>16</v>
      </c>
      <c r="D380" s="2" t="s">
        <v>17</v>
      </c>
      <c r="E380" s="5">
        <v>-31437</v>
      </c>
      <c r="F380" s="3" t="s">
        <v>217</v>
      </c>
      <c r="G380" s="3" t="s">
        <v>28</v>
      </c>
      <c r="H380" s="2" t="s">
        <v>20</v>
      </c>
      <c r="I380" s="2" t="s">
        <v>1101</v>
      </c>
      <c r="J380" s="3" t="str">
        <f>HYPERLINK("https://www.boe.es/gazeta/dias/1813/12/04/pdfs/GRE-1813-160.pdf#page=8","Abrir facsímil")</f>
        <v>Abrir facsímil</v>
      </c>
      <c r="K380" s="3" t="s">
        <v>22</v>
      </c>
    </row>
    <row r="381" spans="1:11" ht="42" customHeight="1">
      <c r="A381" s="2" t="s">
        <v>1102</v>
      </c>
      <c r="B381" s="2" t="s">
        <v>1103</v>
      </c>
      <c r="C381" s="2" t="s">
        <v>109</v>
      </c>
      <c r="D381" s="2" t="s">
        <v>26</v>
      </c>
      <c r="E381" s="5">
        <v>-31427</v>
      </c>
      <c r="F381" s="3" t="s">
        <v>489</v>
      </c>
      <c r="G381" s="3" t="s">
        <v>258</v>
      </c>
      <c r="H381" s="2" t="s">
        <v>20</v>
      </c>
      <c r="I381" s="2" t="s">
        <v>1104</v>
      </c>
      <c r="J381" s="3" t="str">
        <f>HYPERLINK("https://www.boe.es/gazeta/dias/1813/12/14/pdfs/GMR-1813-87.pdf#page=12","Abrir facsímil")</f>
        <v>Abrir facsímil</v>
      </c>
      <c r="K381" s="3" t="s">
        <v>22</v>
      </c>
    </row>
    <row r="382" spans="1:11" ht="42" customHeight="1">
      <c r="A382" s="2" t="s">
        <v>1105</v>
      </c>
      <c r="B382" s="2" t="s">
        <v>1106</v>
      </c>
      <c r="C382" s="2" t="s">
        <v>16</v>
      </c>
      <c r="D382" s="2" t="s">
        <v>17</v>
      </c>
      <c r="E382" s="5">
        <v>-31474</v>
      </c>
      <c r="F382" s="3" t="s">
        <v>1082</v>
      </c>
      <c r="G382" s="3" t="s">
        <v>1083</v>
      </c>
      <c r="H382" s="2" t="s">
        <v>29</v>
      </c>
      <c r="I382" s="2" t="s">
        <v>1107</v>
      </c>
      <c r="J382" s="3" t="str">
        <f>HYPERLINK("https://www.boe.es/gazeta/dias/1813/10/28/pdfs/GMR-1813-65.pdf#page=7","Abrir facsímil")</f>
        <v>Abrir facsímil</v>
      </c>
      <c r="K382" s="3" t="s">
        <v>31</v>
      </c>
    </row>
    <row r="383" spans="1:11" ht="42" customHeight="1">
      <c r="A383" s="2" t="s">
        <v>1108</v>
      </c>
      <c r="B383" s="2" t="s">
        <v>1109</v>
      </c>
      <c r="C383" s="2" t="s">
        <v>34</v>
      </c>
      <c r="D383" s="2" t="s">
        <v>35</v>
      </c>
      <c r="E383" s="5">
        <v>-31416</v>
      </c>
      <c r="F383" s="3" t="s">
        <v>278</v>
      </c>
      <c r="G383" s="3" t="s">
        <v>207</v>
      </c>
      <c r="H383" s="2" t="s">
        <v>20</v>
      </c>
      <c r="I383" s="2" t="s">
        <v>1110</v>
      </c>
      <c r="J383" s="3" t="str">
        <f>HYPERLINK("https://www.boe.es/gazeta/dias/1813/12/25/pdfs/GMR-1813-92.pdf#page=10","Abrir facsímil")</f>
        <v>Abrir facsímil</v>
      </c>
      <c r="K383" s="3" t="s">
        <v>22</v>
      </c>
    </row>
    <row r="384" spans="1:11" ht="42" customHeight="1">
      <c r="A384" s="2" t="s">
        <v>1111</v>
      </c>
      <c r="B384" s="2" t="s">
        <v>1112</v>
      </c>
      <c r="C384" s="2" t="s">
        <v>34</v>
      </c>
      <c r="D384" s="2" t="s">
        <v>35</v>
      </c>
      <c r="E384" s="5">
        <v>-31658</v>
      </c>
      <c r="F384" s="3" t="s">
        <v>1113</v>
      </c>
      <c r="G384" s="3" t="s">
        <v>1091</v>
      </c>
      <c r="H384" s="2" t="s">
        <v>20</v>
      </c>
      <c r="I384" s="2" t="s">
        <v>1114</v>
      </c>
      <c r="J384" s="3" t="str">
        <f>HYPERLINK("https://www.boe.es/gazeta/dias/1813/04/27/pdfs/GRE-1813-52.pdf#page=7","Abrir facsímil")</f>
        <v>Abrir facsímil</v>
      </c>
      <c r="K384" s="3" t="s">
        <v>22</v>
      </c>
    </row>
    <row r="385" spans="1:11" ht="42" customHeight="1">
      <c r="A385" s="2" t="s">
        <v>1115</v>
      </c>
      <c r="B385" s="2" t="s">
        <v>1116</v>
      </c>
      <c r="C385" s="2" t="s">
        <v>16</v>
      </c>
      <c r="D385" s="2" t="s">
        <v>17</v>
      </c>
      <c r="E385" s="5">
        <v>-31542</v>
      </c>
      <c r="F385" s="3" t="s">
        <v>337</v>
      </c>
      <c r="G385" s="3" t="s">
        <v>54</v>
      </c>
      <c r="H385" s="2" t="s">
        <v>20</v>
      </c>
      <c r="I385" s="2" t="s">
        <v>1117</v>
      </c>
      <c r="J385" s="3" t="str">
        <f>HYPERLINK("https://www.boe.es/gazeta/dias/1813/08/21/pdfs/GRE-1813-107.pdf#page=3","Abrir facsímil")</f>
        <v>Abrir facsímil</v>
      </c>
      <c r="K385" s="3" t="s">
        <v>22</v>
      </c>
    </row>
    <row r="386" spans="1:11" ht="42" customHeight="1">
      <c r="A386" s="2" t="s">
        <v>1118</v>
      </c>
      <c r="B386" s="2" t="s">
        <v>1119</v>
      </c>
      <c r="C386" s="2" t="s">
        <v>25</v>
      </c>
      <c r="D386" s="2" t="s">
        <v>26</v>
      </c>
      <c r="E386" s="5">
        <v>-31745</v>
      </c>
      <c r="F386" s="3" t="s">
        <v>445</v>
      </c>
      <c r="G386" s="3" t="s">
        <v>28</v>
      </c>
      <c r="H386" s="2" t="s">
        <v>20</v>
      </c>
      <c r="I386" s="2" t="s">
        <v>1120</v>
      </c>
      <c r="J386" s="3" t="str">
        <f>HYPERLINK("https://www.boe.es/gazeta/dias/1813/01/30/pdfs/GRE-1813-13.pdf#page=8","Abrir facsímil")</f>
        <v>Abrir facsímil</v>
      </c>
      <c r="K386" s="3" t="s">
        <v>22</v>
      </c>
    </row>
    <row r="387" spans="1:11" ht="42" customHeight="1">
      <c r="A387" s="2" t="s">
        <v>1121</v>
      </c>
      <c r="B387" s="2" t="s">
        <v>1122</v>
      </c>
      <c r="C387" s="2" t="s">
        <v>16</v>
      </c>
      <c r="D387" s="2" t="s">
        <v>17</v>
      </c>
      <c r="E387" s="5">
        <v>-31684</v>
      </c>
      <c r="F387" s="3" t="s">
        <v>427</v>
      </c>
      <c r="G387" s="3" t="s">
        <v>1123</v>
      </c>
      <c r="H387" s="2" t="s">
        <v>20</v>
      </c>
      <c r="I387" s="2" t="s">
        <v>1124</v>
      </c>
      <c r="J387" s="3" t="str">
        <f>HYPERLINK("https://www.boe.es/gazeta/dias/1813/04/01/pdfs/GRE-1813-40.pdf#page=8","Abrir facsímil")</f>
        <v>Abrir facsímil</v>
      </c>
      <c r="K387" s="3" t="s">
        <v>22</v>
      </c>
    </row>
    <row r="388" spans="1:11" ht="42" customHeight="1">
      <c r="A388" s="2" t="s">
        <v>1125</v>
      </c>
      <c r="B388" s="2" t="s">
        <v>1126</v>
      </c>
      <c r="C388" s="2" t="s">
        <v>16</v>
      </c>
      <c r="D388" s="2" t="s">
        <v>97</v>
      </c>
      <c r="E388" s="5">
        <v>-31519</v>
      </c>
      <c r="F388" s="3" t="s">
        <v>312</v>
      </c>
      <c r="G388" s="3" t="s">
        <v>313</v>
      </c>
      <c r="H388" s="2" t="s">
        <v>20</v>
      </c>
      <c r="I388" s="2" t="s">
        <v>1127</v>
      </c>
      <c r="J388" s="3" t="str">
        <f>HYPERLINK("https://www.boe.es/gazeta/dias/1813/09/13/pdfs/GRE-1813-118E.pdf#page=9","Abrir facsímil")</f>
        <v>Abrir facsímil</v>
      </c>
      <c r="K388" s="3" t="s">
        <v>22</v>
      </c>
    </row>
    <row r="389" spans="1:11" ht="42" customHeight="1">
      <c r="A389" s="2" t="s">
        <v>1125</v>
      </c>
      <c r="B389" s="2" t="s">
        <v>1126</v>
      </c>
      <c r="C389" s="2" t="s">
        <v>25</v>
      </c>
      <c r="D389" s="2" t="s">
        <v>26</v>
      </c>
      <c r="E389" s="5">
        <v>-31507</v>
      </c>
      <c r="F389" s="3" t="s">
        <v>61</v>
      </c>
      <c r="G389" s="3" t="s">
        <v>28</v>
      </c>
      <c r="H389" s="2" t="s">
        <v>20</v>
      </c>
      <c r="I389" s="2" t="s">
        <v>1128</v>
      </c>
      <c r="J389" s="3" t="str">
        <f>HYPERLINK("https://www.boe.es/gazeta/dias/1813/09/25/pdfs/GMR-1813-48.pdf#page=8","Abrir facsímil")</f>
        <v>Abrir facsímil</v>
      </c>
      <c r="K389" s="3" t="s">
        <v>22</v>
      </c>
    </row>
    <row r="390" spans="1:11" ht="42" customHeight="1">
      <c r="A390" s="2" t="s">
        <v>1129</v>
      </c>
      <c r="B390" s="2" t="s">
        <v>1130</v>
      </c>
      <c r="C390" s="2" t="s">
        <v>16</v>
      </c>
      <c r="D390" s="2" t="s">
        <v>17</v>
      </c>
      <c r="E390" s="5">
        <v>-31525</v>
      </c>
      <c r="F390" s="3" t="s">
        <v>1131</v>
      </c>
      <c r="G390" s="3" t="s">
        <v>87</v>
      </c>
      <c r="H390" s="2" t="s">
        <v>20</v>
      </c>
      <c r="I390" s="2" t="s">
        <v>1132</v>
      </c>
      <c r="J390" s="3" t="str">
        <f>HYPERLINK("https://www.boe.es/gazeta/dias/1813/09/07/pdfs/GRE-1813-114.pdf#page=7","Abrir facsímil")</f>
        <v>Abrir facsímil</v>
      </c>
      <c r="K390" s="3" t="s">
        <v>22</v>
      </c>
    </row>
    <row r="391" spans="1:11" ht="42" customHeight="1">
      <c r="A391" s="2" t="s">
        <v>1133</v>
      </c>
      <c r="B391" s="2" t="s">
        <v>1134</v>
      </c>
      <c r="C391" s="2" t="s">
        <v>435</v>
      </c>
      <c r="D391" s="2" t="s">
        <v>26</v>
      </c>
      <c r="E391" s="5">
        <v>-31413</v>
      </c>
      <c r="F391" s="3" t="s">
        <v>149</v>
      </c>
      <c r="G391" s="3" t="s">
        <v>28</v>
      </c>
      <c r="H391" s="2" t="s">
        <v>20</v>
      </c>
      <c r="I391" s="2" t="s">
        <v>1135</v>
      </c>
      <c r="J391" s="3" t="str">
        <f>HYPERLINK("https://www.boe.es/gazeta/dias/1813/12/28/pdfs/GMR-1813-93.pdf#page=8","Abrir facsímil")</f>
        <v>Abrir facsímil</v>
      </c>
      <c r="K391" s="3" t="s">
        <v>22</v>
      </c>
    </row>
    <row r="392" spans="1:11" ht="42" customHeight="1">
      <c r="A392" s="2" t="s">
        <v>1136</v>
      </c>
      <c r="B392" s="2" t="s">
        <v>1137</v>
      </c>
      <c r="C392" s="2" t="s">
        <v>16</v>
      </c>
      <c r="D392" s="2" t="s">
        <v>17</v>
      </c>
      <c r="E392" s="5">
        <v>-31714</v>
      </c>
      <c r="F392" s="3" t="s">
        <v>479</v>
      </c>
      <c r="G392" s="3" t="s">
        <v>480</v>
      </c>
      <c r="H392" s="2" t="s">
        <v>20</v>
      </c>
      <c r="I392" s="2" t="s">
        <v>1138</v>
      </c>
      <c r="J392" s="3" t="str">
        <f>HYPERLINK("https://www.boe.es/gazeta/dias/1813/03/02/pdfs/GRE-1813-27.pdf#page=5","Abrir facsímil")</f>
        <v>Abrir facsímil</v>
      </c>
      <c r="K392" s="3" t="s">
        <v>22</v>
      </c>
    </row>
    <row r="393" spans="1:11" ht="42" customHeight="1">
      <c r="A393" s="2" t="s">
        <v>1139</v>
      </c>
      <c r="B393" s="2" t="s">
        <v>1140</v>
      </c>
      <c r="C393" s="2" t="s">
        <v>25</v>
      </c>
      <c r="D393" s="2" t="s">
        <v>26</v>
      </c>
      <c r="E393" s="5">
        <v>-31434</v>
      </c>
      <c r="F393" s="3" t="s">
        <v>948</v>
      </c>
      <c r="G393" s="3" t="s">
        <v>1141</v>
      </c>
      <c r="H393" s="2" t="s">
        <v>20</v>
      </c>
      <c r="I393" s="2" t="s">
        <v>1142</v>
      </c>
      <c r="J393" s="3" t="str">
        <f>HYPERLINK("https://www.boe.es/gazeta/dias/1813/12/07/pdfs/GMR-1813-84.pdf#page=4","Abrir facsímil")</f>
        <v>Abrir facsímil</v>
      </c>
      <c r="K393" s="3" t="s">
        <v>22</v>
      </c>
    </row>
    <row r="394" spans="1:11" ht="42" customHeight="1">
      <c r="A394" s="2" t="s">
        <v>1143</v>
      </c>
      <c r="B394" s="2" t="s">
        <v>1143</v>
      </c>
      <c r="C394" s="2" t="s">
        <v>16</v>
      </c>
      <c r="D394" s="2" t="s">
        <v>17</v>
      </c>
      <c r="E394" s="5">
        <v>-31664</v>
      </c>
      <c r="F394" s="3" t="s">
        <v>1144</v>
      </c>
      <c r="G394" s="3" t="s">
        <v>54</v>
      </c>
      <c r="H394" s="2" t="s">
        <v>20</v>
      </c>
      <c r="I394" s="2" t="s">
        <v>1145</v>
      </c>
      <c r="J394" s="3" t="str">
        <f>HYPERLINK("https://www.boe.es/gazeta/dias/1813/04/21/pdfs/GMD-1813-111.pdf#page=3","Abrir facsímil")</f>
        <v>Abrir facsímil</v>
      </c>
      <c r="K394" s="3" t="s">
        <v>22</v>
      </c>
    </row>
    <row r="395" spans="1:11" ht="42" customHeight="1">
      <c r="A395" s="2" t="s">
        <v>1143</v>
      </c>
      <c r="B395" s="2" t="s">
        <v>1143</v>
      </c>
      <c r="C395" s="2" t="s">
        <v>109</v>
      </c>
      <c r="D395" s="2" t="s">
        <v>26</v>
      </c>
      <c r="E395" s="5">
        <v>-31629</v>
      </c>
      <c r="F395" s="3" t="s">
        <v>1146</v>
      </c>
      <c r="G395" s="3" t="s">
        <v>19</v>
      </c>
      <c r="H395" s="2" t="s">
        <v>20</v>
      </c>
      <c r="I395" s="2" t="s">
        <v>1147</v>
      </c>
      <c r="J395" s="3" t="str">
        <f>HYPERLINK("https://www.boe.es/gazeta/dias/1813/05/26/pdfs/GMD-1813-146.pdf#page=4","Abrir facsímil")</f>
        <v>Abrir facsímil</v>
      </c>
      <c r="K395" s="3" t="s">
        <v>22</v>
      </c>
    </row>
    <row r="396" spans="1:11" ht="42" customHeight="1">
      <c r="A396" s="2" t="s">
        <v>1143</v>
      </c>
      <c r="B396" s="2" t="s">
        <v>1143</v>
      </c>
      <c r="C396" s="2" t="s">
        <v>34</v>
      </c>
      <c r="D396" s="2" t="s">
        <v>35</v>
      </c>
      <c r="E396" s="5">
        <v>-31578</v>
      </c>
      <c r="F396" s="3" t="s">
        <v>974</v>
      </c>
      <c r="G396" s="3" t="s">
        <v>1148</v>
      </c>
      <c r="H396" s="2" t="s">
        <v>20</v>
      </c>
      <c r="I396" s="2" t="s">
        <v>1149</v>
      </c>
      <c r="J396" s="3" t="str">
        <f>HYPERLINK("https://www.boe.es/gazeta/dias/1813/07/16/pdfs/GMR-1813-18.pdf#page=7","Abrir facsímil")</f>
        <v>Abrir facsímil</v>
      </c>
      <c r="K396" s="3" t="s">
        <v>22</v>
      </c>
    </row>
    <row r="397" spans="1:11" ht="42" customHeight="1">
      <c r="A397" s="2" t="s">
        <v>1150</v>
      </c>
      <c r="B397" s="2" t="s">
        <v>1151</v>
      </c>
      <c r="C397" s="2" t="s">
        <v>25</v>
      </c>
      <c r="D397" s="2" t="s">
        <v>26</v>
      </c>
      <c r="E397" s="5">
        <v>-31434</v>
      </c>
      <c r="F397" s="3" t="s">
        <v>948</v>
      </c>
      <c r="G397" s="3" t="s">
        <v>82</v>
      </c>
      <c r="H397" s="2" t="s">
        <v>20</v>
      </c>
      <c r="I397" s="2" t="s">
        <v>1152</v>
      </c>
      <c r="J397" s="3" t="str">
        <f>HYPERLINK("https://www.boe.es/gazeta/dias/1813/12/07/pdfs/GMR-1813-84.pdf#page=5","Abrir facsímil")</f>
        <v>Abrir facsímil</v>
      </c>
      <c r="K397" s="3" t="s">
        <v>22</v>
      </c>
    </row>
    <row r="398" spans="1:11" ht="42" customHeight="1">
      <c r="A398" s="2" t="s">
        <v>1153</v>
      </c>
      <c r="B398" s="2" t="s">
        <v>1154</v>
      </c>
      <c r="C398" s="2" t="s">
        <v>25</v>
      </c>
      <c r="D398" s="2" t="s">
        <v>26</v>
      </c>
      <c r="E398" s="5">
        <v>-31677</v>
      </c>
      <c r="F398" s="3" t="s">
        <v>76</v>
      </c>
      <c r="G398" s="3" t="s">
        <v>28</v>
      </c>
      <c r="H398" s="2" t="s">
        <v>20</v>
      </c>
      <c r="I398" s="2" t="s">
        <v>1155</v>
      </c>
      <c r="J398" s="3" t="str">
        <f>HYPERLINK("https://www.boe.es/gazeta/dias/1813/04/08/pdfs/GRE-1813-43.pdf#page=8","Abrir facsímil")</f>
        <v>Abrir facsímil</v>
      </c>
      <c r="K398" s="3" t="s">
        <v>22</v>
      </c>
    </row>
    <row r="399" spans="1:11" ht="42" customHeight="1">
      <c r="A399" s="2" t="s">
        <v>1156</v>
      </c>
      <c r="B399" s="2" t="s">
        <v>1157</v>
      </c>
      <c r="C399" s="2" t="s">
        <v>109</v>
      </c>
      <c r="D399" s="2" t="s">
        <v>26</v>
      </c>
      <c r="E399" s="5">
        <v>-31542</v>
      </c>
      <c r="F399" s="3" t="s">
        <v>337</v>
      </c>
      <c r="G399" s="3" t="s">
        <v>54</v>
      </c>
      <c r="H399" s="2" t="s">
        <v>20</v>
      </c>
      <c r="I399" s="2" t="s">
        <v>1158</v>
      </c>
      <c r="J399" s="3" t="str">
        <f>HYPERLINK("https://www.boe.es/gazeta/dias/1813/08/21/pdfs/GRE-1813-107.pdf#page=3","Abrir facsímil")</f>
        <v>Abrir facsímil</v>
      </c>
      <c r="K399" s="3" t="s">
        <v>22</v>
      </c>
    </row>
    <row r="400" spans="1:11" ht="42" customHeight="1">
      <c r="A400" s="2" t="s">
        <v>1159</v>
      </c>
      <c r="B400" s="2" t="s">
        <v>1160</v>
      </c>
      <c r="C400" s="2" t="s">
        <v>34</v>
      </c>
      <c r="D400" s="2" t="s">
        <v>35</v>
      </c>
      <c r="E400" s="5">
        <v>-31430</v>
      </c>
      <c r="F400" s="3" t="s">
        <v>1161</v>
      </c>
      <c r="G400" s="3" t="s">
        <v>87</v>
      </c>
      <c r="H400" s="2" t="s">
        <v>20</v>
      </c>
      <c r="I400" s="2" t="s">
        <v>1162</v>
      </c>
      <c r="J400" s="3" t="str">
        <f>HYPERLINK("https://www.boe.es/gazeta/dias/1813/12/11/pdfs/GMR-1813-86.pdf#page=7","Abrir facsímil")</f>
        <v>Abrir facsímil</v>
      </c>
      <c r="K400" s="3" t="s">
        <v>22</v>
      </c>
    </row>
    <row r="401" spans="1:11" ht="42" customHeight="1">
      <c r="A401" s="2" t="s">
        <v>1163</v>
      </c>
      <c r="B401" s="2" t="s">
        <v>1164</v>
      </c>
      <c r="C401" s="2" t="s">
        <v>34</v>
      </c>
      <c r="D401" s="2" t="s">
        <v>35</v>
      </c>
      <c r="E401" s="5">
        <v>-31689</v>
      </c>
      <c r="F401" s="3" t="s">
        <v>48</v>
      </c>
      <c r="G401" s="3" t="s">
        <v>49</v>
      </c>
      <c r="H401" s="2" t="s">
        <v>20</v>
      </c>
      <c r="I401" s="2" t="s">
        <v>1165</v>
      </c>
      <c r="J401" s="3" t="str">
        <f>HYPERLINK("https://www.boe.es/gazeta/dias/1813/03/27/pdfs/GRE-1813-38.pdf#page=7","Abrir facsímil")</f>
        <v>Abrir facsímil</v>
      </c>
      <c r="K401" s="3" t="s">
        <v>22</v>
      </c>
    </row>
    <row r="402" spans="1:11" ht="42" customHeight="1">
      <c r="A402" s="2" t="s">
        <v>1166</v>
      </c>
      <c r="B402" s="2" t="s">
        <v>1167</v>
      </c>
      <c r="C402" s="2" t="s">
        <v>25</v>
      </c>
      <c r="D402" s="2" t="s">
        <v>26</v>
      </c>
      <c r="E402" s="5">
        <v>-31677</v>
      </c>
      <c r="F402" s="3" t="s">
        <v>76</v>
      </c>
      <c r="G402" s="3" t="s">
        <v>28</v>
      </c>
      <c r="H402" s="2" t="s">
        <v>20</v>
      </c>
      <c r="I402" s="2" t="s">
        <v>1168</v>
      </c>
      <c r="J402" s="3" t="str">
        <f>HYPERLINK("https://www.boe.es/gazeta/dias/1813/04/08/pdfs/GRE-1813-43.pdf#page=8","Abrir facsímil")</f>
        <v>Abrir facsímil</v>
      </c>
      <c r="K402" s="3" t="s">
        <v>22</v>
      </c>
    </row>
    <row r="403" spans="1:11" ht="42" customHeight="1">
      <c r="A403" s="2" t="s">
        <v>1169</v>
      </c>
      <c r="B403" s="2" t="s">
        <v>1170</v>
      </c>
      <c r="C403" s="2" t="s">
        <v>16</v>
      </c>
      <c r="D403" s="2" t="s">
        <v>17</v>
      </c>
      <c r="E403" s="5">
        <v>-31458</v>
      </c>
      <c r="F403" s="3" t="s">
        <v>1171</v>
      </c>
      <c r="G403" s="3" t="s">
        <v>95</v>
      </c>
      <c r="H403" s="2" t="s">
        <v>20</v>
      </c>
      <c r="I403" s="2" t="s">
        <v>1172</v>
      </c>
      <c r="J403" s="3" t="str">
        <f>HYPERLINK("https://www.boe.es/gazeta/dias/1813/11/13/pdfs/GRE-1813-149.pdf#page=6","Abrir facsímil")</f>
        <v>Abrir facsímil</v>
      </c>
      <c r="K403" s="3" t="s">
        <v>22</v>
      </c>
    </row>
    <row r="404" spans="1:11" ht="42" customHeight="1">
      <c r="A404" s="2" t="s">
        <v>1173</v>
      </c>
      <c r="B404" s="2" t="s">
        <v>1174</v>
      </c>
      <c r="C404" s="2" t="s">
        <v>25</v>
      </c>
      <c r="D404" s="2" t="s">
        <v>26</v>
      </c>
      <c r="E404" s="5">
        <v>-31416</v>
      </c>
      <c r="F404" s="3" t="s">
        <v>278</v>
      </c>
      <c r="G404" s="3" t="s">
        <v>207</v>
      </c>
      <c r="H404" s="2" t="s">
        <v>20</v>
      </c>
      <c r="I404" s="2" t="s">
        <v>1175</v>
      </c>
      <c r="J404" s="3" t="str">
        <f>HYPERLINK("https://www.boe.es/gazeta/dias/1813/12/25/pdfs/GMR-1813-92.pdf#page=10","Abrir facsímil")</f>
        <v>Abrir facsímil</v>
      </c>
      <c r="K404" s="3" t="s">
        <v>22</v>
      </c>
    </row>
    <row r="405" spans="1:11" ht="42" customHeight="1">
      <c r="A405" s="2" t="s">
        <v>1176</v>
      </c>
      <c r="B405" s="2" t="s">
        <v>1177</v>
      </c>
      <c r="C405" s="2" t="s">
        <v>25</v>
      </c>
      <c r="D405" s="2" t="s">
        <v>26</v>
      </c>
      <c r="E405" s="5">
        <v>-31677</v>
      </c>
      <c r="F405" s="3" t="s">
        <v>76</v>
      </c>
      <c r="G405" s="3" t="s">
        <v>28</v>
      </c>
      <c r="H405" s="2" t="s">
        <v>20</v>
      </c>
      <c r="I405" s="2" t="s">
        <v>1178</v>
      </c>
      <c r="J405" s="3" t="str">
        <f>HYPERLINK("https://www.boe.es/gazeta/dias/1813/04/08/pdfs/GRE-1813-43.pdf#page=8","Abrir facsímil")</f>
        <v>Abrir facsímil</v>
      </c>
      <c r="K405" s="3" t="s">
        <v>22</v>
      </c>
    </row>
    <row r="406" spans="1:11" ht="42" customHeight="1">
      <c r="A406" s="2" t="s">
        <v>1179</v>
      </c>
      <c r="B406" s="2" t="s">
        <v>1180</v>
      </c>
      <c r="C406" s="2" t="s">
        <v>16</v>
      </c>
      <c r="D406" s="2" t="s">
        <v>17</v>
      </c>
      <c r="E406" s="5">
        <v>-31770</v>
      </c>
      <c r="F406" s="3" t="s">
        <v>188</v>
      </c>
      <c r="G406" s="3" t="s">
        <v>82</v>
      </c>
      <c r="H406" s="2" t="s">
        <v>20</v>
      </c>
      <c r="I406" s="2" t="s">
        <v>1181</v>
      </c>
      <c r="J406" s="3" t="str">
        <f>HYPERLINK("https://www.boe.es/gazeta/dias/1813/01/05/pdfs/GRE-1813-3.pdf#page=5","Abrir facsímil")</f>
        <v>Abrir facsímil</v>
      </c>
      <c r="K406" s="3" t="s">
        <v>22</v>
      </c>
    </row>
    <row r="407" spans="1:11" ht="42" customHeight="1">
      <c r="A407" s="2" t="s">
        <v>1179</v>
      </c>
      <c r="B407" s="2" t="s">
        <v>1180</v>
      </c>
      <c r="C407" s="2" t="s">
        <v>16</v>
      </c>
      <c r="D407" s="2" t="s">
        <v>17</v>
      </c>
      <c r="E407" s="5">
        <v>-31768</v>
      </c>
      <c r="F407" s="3" t="s">
        <v>188</v>
      </c>
      <c r="G407" s="3" t="s">
        <v>82</v>
      </c>
      <c r="H407" s="2" t="s">
        <v>20</v>
      </c>
      <c r="I407" s="2" t="s">
        <v>1181</v>
      </c>
      <c r="J407" s="3" t="str">
        <f>HYPERLINK("https://www.boe.es/gazeta/dias/1813/01/07/pdfs/GRE-1813-3.pdf#page=5","Abrir facsímil")</f>
        <v>Abrir facsímil</v>
      </c>
      <c r="K407" s="3" t="s">
        <v>22</v>
      </c>
    </row>
    <row r="408" spans="1:11" ht="42" customHeight="1">
      <c r="A408" s="2" t="s">
        <v>1182</v>
      </c>
      <c r="B408" s="2" t="s">
        <v>1183</v>
      </c>
      <c r="C408" s="2" t="s">
        <v>25</v>
      </c>
      <c r="D408" s="2" t="s">
        <v>26</v>
      </c>
      <c r="E408" s="5">
        <v>-31752</v>
      </c>
      <c r="F408" s="3" t="s">
        <v>182</v>
      </c>
      <c r="G408" s="3" t="s">
        <v>183</v>
      </c>
      <c r="H408" s="2" t="s">
        <v>20</v>
      </c>
      <c r="I408" s="2" t="s">
        <v>1184</v>
      </c>
      <c r="J408" s="3" t="str">
        <f>HYPERLINK("https://www.boe.es/gazeta/dias/1813/01/23/pdfs/GRE-1813-10.pdf#page=8","Abrir facsímil")</f>
        <v>Abrir facsímil</v>
      </c>
      <c r="K408" s="3" t="s">
        <v>22</v>
      </c>
    </row>
    <row r="409" spans="1:11" ht="42" customHeight="1">
      <c r="A409" s="2" t="s">
        <v>1185</v>
      </c>
      <c r="B409" s="2" t="s">
        <v>1186</v>
      </c>
      <c r="C409" s="2" t="s">
        <v>25</v>
      </c>
      <c r="D409" s="2" t="s">
        <v>26</v>
      </c>
      <c r="E409" s="5">
        <v>-31689</v>
      </c>
      <c r="F409" s="3" t="s">
        <v>48</v>
      </c>
      <c r="G409" s="3" t="s">
        <v>49</v>
      </c>
      <c r="H409" s="2" t="s">
        <v>20</v>
      </c>
      <c r="I409" s="2" t="s">
        <v>1187</v>
      </c>
      <c r="J409" s="3" t="str">
        <f>HYPERLINK("https://www.boe.es/gazeta/dias/1813/03/27/pdfs/GRE-1813-38.pdf#page=7","Abrir facsímil")</f>
        <v>Abrir facsímil</v>
      </c>
      <c r="K409" s="3" t="s">
        <v>22</v>
      </c>
    </row>
    <row r="410" spans="1:11" ht="42" customHeight="1">
      <c r="A410" s="2" t="s">
        <v>1188</v>
      </c>
      <c r="B410" s="2" t="s">
        <v>1189</v>
      </c>
      <c r="C410" s="2" t="s">
        <v>16</v>
      </c>
      <c r="D410" s="2" t="s">
        <v>17</v>
      </c>
      <c r="E410" s="5">
        <v>-31542</v>
      </c>
      <c r="F410" s="3" t="s">
        <v>337</v>
      </c>
      <c r="G410" s="3" t="s">
        <v>54</v>
      </c>
      <c r="H410" s="2" t="s">
        <v>20</v>
      </c>
      <c r="I410" s="2" t="s">
        <v>1190</v>
      </c>
      <c r="J410" s="3" t="str">
        <f>HYPERLINK("https://www.boe.es/gazeta/dias/1813/08/21/pdfs/GRE-1813-107.pdf#page=3","Abrir facsímil")</f>
        <v>Abrir facsímil</v>
      </c>
      <c r="K410" s="3" t="s">
        <v>22</v>
      </c>
    </row>
    <row r="411" spans="1:11" ht="42" customHeight="1">
      <c r="A411" s="2" t="s">
        <v>1191</v>
      </c>
      <c r="B411" s="2" t="s">
        <v>1192</v>
      </c>
      <c r="C411" s="2" t="s">
        <v>34</v>
      </c>
      <c r="D411" s="2" t="s">
        <v>35</v>
      </c>
      <c r="E411" s="5">
        <v>-31709</v>
      </c>
      <c r="F411" s="3" t="s">
        <v>36</v>
      </c>
      <c r="G411" s="3" t="s">
        <v>19</v>
      </c>
      <c r="H411" s="2" t="s">
        <v>20</v>
      </c>
      <c r="I411" s="2" t="s">
        <v>1193</v>
      </c>
      <c r="J411" s="3" t="str">
        <f>HYPERLINK("https://www.boe.es/gazeta/dias/1813/03/07/pdfs/GMD-1813-66.pdf#page=4","Abrir facsímil")</f>
        <v>Abrir facsímil</v>
      </c>
      <c r="K411" s="3" t="s">
        <v>22</v>
      </c>
    </row>
    <row r="412" spans="1:11" ht="42" customHeight="1">
      <c r="A412" s="2" t="s">
        <v>1194</v>
      </c>
      <c r="B412" s="2" t="s">
        <v>1195</v>
      </c>
      <c r="C412" s="2" t="s">
        <v>16</v>
      </c>
      <c r="D412" s="2" t="s">
        <v>17</v>
      </c>
      <c r="E412" s="5">
        <v>-31689</v>
      </c>
      <c r="F412" s="3" t="s">
        <v>48</v>
      </c>
      <c r="G412" s="3" t="s">
        <v>1196</v>
      </c>
      <c r="H412" s="2" t="s">
        <v>20</v>
      </c>
      <c r="I412" s="2" t="s">
        <v>1197</v>
      </c>
      <c r="J412" s="3" t="str">
        <f>HYPERLINK("https://www.boe.es/gazeta/dias/1813/03/27/pdfs/GRE-1813-38.pdf#page=5","Abrir facsímil")</f>
        <v>Abrir facsímil</v>
      </c>
      <c r="K412" s="3" t="s">
        <v>22</v>
      </c>
    </row>
    <row r="413" spans="1:11" ht="42" customHeight="1">
      <c r="A413" s="2" t="s">
        <v>1198</v>
      </c>
      <c r="B413" s="2" t="s">
        <v>1199</v>
      </c>
      <c r="C413" s="2" t="s">
        <v>34</v>
      </c>
      <c r="D413" s="2" t="s">
        <v>35</v>
      </c>
      <c r="E413" s="5">
        <v>-31709</v>
      </c>
      <c r="F413" s="3" t="s">
        <v>36</v>
      </c>
      <c r="G413" s="3" t="s">
        <v>19</v>
      </c>
      <c r="H413" s="2" t="s">
        <v>20</v>
      </c>
      <c r="I413" s="2" t="s">
        <v>1200</v>
      </c>
      <c r="J413" s="3" t="str">
        <f>HYPERLINK("https://www.boe.es/gazeta/dias/1813/03/07/pdfs/GMD-1813-66.pdf#page=4","Abrir facsímil")</f>
        <v>Abrir facsímil</v>
      </c>
      <c r="K413" s="3" t="s">
        <v>22</v>
      </c>
    </row>
    <row r="414" spans="1:11" ht="42" customHeight="1">
      <c r="A414" s="2" t="s">
        <v>1201</v>
      </c>
      <c r="B414" s="2" t="s">
        <v>1202</v>
      </c>
      <c r="C414" s="2" t="s">
        <v>34</v>
      </c>
      <c r="D414" s="2" t="s">
        <v>35</v>
      </c>
      <c r="E414" s="5">
        <v>-31709</v>
      </c>
      <c r="F414" s="3" t="s">
        <v>36</v>
      </c>
      <c r="G414" s="3" t="s">
        <v>19</v>
      </c>
      <c r="H414" s="2" t="s">
        <v>20</v>
      </c>
      <c r="I414" s="2" t="s">
        <v>1203</v>
      </c>
      <c r="J414" s="3" t="str">
        <f>HYPERLINK("https://www.boe.es/gazeta/dias/1813/03/07/pdfs/GMD-1813-66.pdf#page=4","Abrir facsímil")</f>
        <v>Abrir facsímil</v>
      </c>
      <c r="K414" s="3" t="s">
        <v>22</v>
      </c>
    </row>
    <row r="415" spans="1:11" ht="42" customHeight="1">
      <c r="A415" s="2" t="s">
        <v>1204</v>
      </c>
      <c r="B415" s="2" t="s">
        <v>1204</v>
      </c>
      <c r="C415" s="2" t="s">
        <v>34</v>
      </c>
      <c r="D415" s="2" t="s">
        <v>35</v>
      </c>
      <c r="E415" s="5">
        <v>-31578</v>
      </c>
      <c r="F415" s="3" t="s">
        <v>974</v>
      </c>
      <c r="G415" s="3" t="s">
        <v>1148</v>
      </c>
      <c r="H415" s="2" t="s">
        <v>20</v>
      </c>
      <c r="I415" s="2" t="s">
        <v>1205</v>
      </c>
      <c r="J415" s="3" t="str">
        <f>HYPERLINK("https://www.boe.es/gazeta/dias/1813/07/16/pdfs/GMR-1813-18.pdf#page=7","Abrir facsímil")</f>
        <v>Abrir facsímil</v>
      </c>
      <c r="K415" s="3" t="s">
        <v>22</v>
      </c>
    </row>
    <row r="416" spans="1:11" ht="42" customHeight="1">
      <c r="A416" s="2" t="s">
        <v>1206</v>
      </c>
      <c r="B416" s="2" t="s">
        <v>1207</v>
      </c>
      <c r="C416" s="2" t="s">
        <v>25</v>
      </c>
      <c r="D416" s="2" t="s">
        <v>26</v>
      </c>
      <c r="E416" s="5">
        <v>-31752</v>
      </c>
      <c r="F416" s="3" t="s">
        <v>182</v>
      </c>
      <c r="G416" s="3" t="s">
        <v>183</v>
      </c>
      <c r="H416" s="2" t="s">
        <v>20</v>
      </c>
      <c r="I416" s="2" t="s">
        <v>1208</v>
      </c>
      <c r="J416" s="3" t="str">
        <f>HYPERLINK("https://www.boe.es/gazeta/dias/1813/01/23/pdfs/GRE-1813-10.pdf#page=8","Abrir facsímil")</f>
        <v>Abrir facsímil</v>
      </c>
      <c r="K416" s="3" t="s">
        <v>22</v>
      </c>
    </row>
    <row r="417" spans="1:11" ht="42" customHeight="1">
      <c r="A417" s="2" t="s">
        <v>1209</v>
      </c>
      <c r="B417" s="2" t="s">
        <v>1210</v>
      </c>
      <c r="C417" s="2" t="s">
        <v>16</v>
      </c>
      <c r="D417" s="2" t="s">
        <v>17</v>
      </c>
      <c r="E417" s="5">
        <v>-31738</v>
      </c>
      <c r="F417" s="3" t="s">
        <v>556</v>
      </c>
      <c r="G417" s="3" t="s">
        <v>28</v>
      </c>
      <c r="H417" s="2" t="s">
        <v>20</v>
      </c>
      <c r="I417" s="2" t="s">
        <v>1211</v>
      </c>
      <c r="J417" s="3" t="str">
        <f>HYPERLINK("https://www.boe.es/gazeta/dias/1813/02/06/pdfs/GRE-1813-16.pdf#page=8","Abrir facsímil")</f>
        <v>Abrir facsímil</v>
      </c>
      <c r="K417" s="3" t="s">
        <v>22</v>
      </c>
    </row>
    <row r="418" spans="1:11" ht="42" customHeight="1">
      <c r="A418" s="2" t="s">
        <v>1212</v>
      </c>
      <c r="B418" s="2" t="s">
        <v>1212</v>
      </c>
      <c r="C418" s="2" t="s">
        <v>16</v>
      </c>
      <c r="D418" s="2" t="s">
        <v>17</v>
      </c>
      <c r="E418" s="5">
        <v>-31683</v>
      </c>
      <c r="F418" s="3" t="s">
        <v>1213</v>
      </c>
      <c r="G418" s="3" t="s">
        <v>65</v>
      </c>
      <c r="H418" s="2" t="s">
        <v>20</v>
      </c>
      <c r="I418" s="2" t="s">
        <v>1214</v>
      </c>
      <c r="J418" s="3" t="str">
        <f>HYPERLINK("https://www.boe.es/gazeta/dias/1813/04/02/pdfs/GMD-1813-92.pdf#page=1","Abrir facsímil")</f>
        <v>Abrir facsímil</v>
      </c>
      <c r="K418" s="3" t="s">
        <v>22</v>
      </c>
    </row>
    <row r="419" spans="1:11" ht="42" customHeight="1">
      <c r="A419" s="2" t="s">
        <v>1215</v>
      </c>
      <c r="B419" s="2" t="s">
        <v>1216</v>
      </c>
      <c r="C419" s="2" t="s">
        <v>16</v>
      </c>
      <c r="D419" s="2" t="s">
        <v>17</v>
      </c>
      <c r="E419" s="5">
        <v>-31467</v>
      </c>
      <c r="F419" s="3" t="s">
        <v>120</v>
      </c>
      <c r="G419" s="3" t="s">
        <v>87</v>
      </c>
      <c r="H419" s="2" t="s">
        <v>20</v>
      </c>
      <c r="I419" s="2" t="s">
        <v>1217</v>
      </c>
      <c r="J419" s="3" t="str">
        <f>HYPERLINK("https://www.boe.es/gazeta/dias/1813/11/04/pdfs/GMR-1813-68.pdf#page=7","Abrir facsímil")</f>
        <v>Abrir facsímil</v>
      </c>
      <c r="K419" s="3" t="s">
        <v>22</v>
      </c>
    </row>
    <row r="420" spans="1:11" ht="42" customHeight="1">
      <c r="A420" s="2" t="s">
        <v>1218</v>
      </c>
      <c r="B420" s="2" t="s">
        <v>1219</v>
      </c>
      <c r="C420" s="2" t="s">
        <v>16</v>
      </c>
      <c r="D420" s="2" t="s">
        <v>17</v>
      </c>
      <c r="E420" s="5">
        <v>-31539</v>
      </c>
      <c r="F420" s="3" t="s">
        <v>1220</v>
      </c>
      <c r="G420" s="3" t="s">
        <v>65</v>
      </c>
      <c r="H420" s="2" t="s">
        <v>20</v>
      </c>
      <c r="I420" s="2" t="s">
        <v>1221</v>
      </c>
      <c r="J420" s="3" t="str">
        <f>HYPERLINK("https://www.boe.es/gazeta/dias/1813/08/24/pdfs/GRE-1813-108.pdf#page=1","Abrir facsímil")</f>
        <v>Abrir facsímil</v>
      </c>
      <c r="K420" s="3" t="s">
        <v>22</v>
      </c>
    </row>
    <row r="421" spans="1:11" ht="42" customHeight="1">
      <c r="A421" s="2" t="s">
        <v>1222</v>
      </c>
      <c r="B421" s="2" t="s">
        <v>1223</v>
      </c>
      <c r="C421" s="2" t="s">
        <v>25</v>
      </c>
      <c r="D421" s="2" t="s">
        <v>26</v>
      </c>
      <c r="E421" s="5">
        <v>-31677</v>
      </c>
      <c r="F421" s="3" t="s">
        <v>76</v>
      </c>
      <c r="G421" s="3" t="s">
        <v>77</v>
      </c>
      <c r="H421" s="2" t="s">
        <v>20</v>
      </c>
      <c r="I421" s="2" t="s">
        <v>1224</v>
      </c>
      <c r="J421" s="3" t="str">
        <f>HYPERLINK("https://www.boe.es/gazeta/dias/1813/04/08/pdfs/GRE-1813-43.pdf#page=7","Abrir facsímil")</f>
        <v>Abrir facsímil</v>
      </c>
      <c r="K421" s="3" t="s">
        <v>22</v>
      </c>
    </row>
    <row r="422" spans="1:11" ht="42" customHeight="1">
      <c r="A422" s="2" t="s">
        <v>1225</v>
      </c>
      <c r="B422" s="2" t="s">
        <v>1226</v>
      </c>
      <c r="C422" s="2" t="s">
        <v>187</v>
      </c>
      <c r="D422" s="2" t="s">
        <v>26</v>
      </c>
      <c r="E422" s="5">
        <v>-31567</v>
      </c>
      <c r="F422" s="3" t="s">
        <v>820</v>
      </c>
      <c r="G422" s="3" t="s">
        <v>71</v>
      </c>
      <c r="H422" s="2" t="s">
        <v>20</v>
      </c>
      <c r="I422" s="2" t="s">
        <v>1227</v>
      </c>
      <c r="J422" s="3" t="str">
        <f>HYPERLINK("https://www.boe.es/gazeta/dias/1813/07/27/pdfs/GMR-1813-21.pdf#page=16","Abrir facsímil")</f>
        <v>Abrir facsímil</v>
      </c>
      <c r="K422" s="3" t="s">
        <v>22</v>
      </c>
    </row>
    <row r="423" spans="1:11" ht="42" customHeight="1">
      <c r="A423" s="2" t="s">
        <v>1228</v>
      </c>
      <c r="B423" s="2" t="s">
        <v>1228</v>
      </c>
      <c r="C423" s="2" t="s">
        <v>34</v>
      </c>
      <c r="D423" s="2" t="s">
        <v>35</v>
      </c>
      <c r="E423" s="5">
        <v>-31642</v>
      </c>
      <c r="F423" s="3" t="s">
        <v>582</v>
      </c>
      <c r="G423" s="3" t="s">
        <v>1229</v>
      </c>
      <c r="H423" s="2" t="s">
        <v>20</v>
      </c>
      <c r="I423" s="2" t="s">
        <v>1230</v>
      </c>
      <c r="J423" s="3" t="str">
        <f>HYPERLINK("https://www.boe.es/gazeta/dias/1813/05/13/pdfs/GRE-1813-59.pdf#page=5","Abrir facsímil")</f>
        <v>Abrir facsímil</v>
      </c>
      <c r="K423" s="3" t="s">
        <v>22</v>
      </c>
    </row>
    <row r="424" spans="1:11" ht="42" customHeight="1">
      <c r="A424" s="2" t="s">
        <v>1231</v>
      </c>
      <c r="B424" s="2" t="s">
        <v>1232</v>
      </c>
      <c r="C424" s="2" t="s">
        <v>34</v>
      </c>
      <c r="D424" s="2" t="s">
        <v>35</v>
      </c>
      <c r="E424" s="5">
        <v>-31560</v>
      </c>
      <c r="F424" s="3" t="s">
        <v>1233</v>
      </c>
      <c r="G424" s="3" t="s">
        <v>87</v>
      </c>
      <c r="H424" s="2" t="s">
        <v>20</v>
      </c>
      <c r="I424" s="2" t="s">
        <v>1234</v>
      </c>
      <c r="J424" s="3" t="str">
        <f>HYPERLINK("https://www.boe.es/gazeta/dias/1813/08/03/pdfs/GMR-1813-23.pdf#page=7","Abrir facsímil")</f>
        <v>Abrir facsímil</v>
      </c>
      <c r="K424" s="3" t="s">
        <v>22</v>
      </c>
    </row>
    <row r="425" spans="1:11" ht="42" customHeight="1">
      <c r="A425" s="2" t="s">
        <v>1235</v>
      </c>
      <c r="B425" s="2" t="s">
        <v>1236</v>
      </c>
      <c r="C425" s="2" t="s">
        <v>69</v>
      </c>
      <c r="D425" s="2" t="s">
        <v>26</v>
      </c>
      <c r="E425" s="5">
        <v>-31416</v>
      </c>
      <c r="F425" s="3" t="s">
        <v>278</v>
      </c>
      <c r="G425" s="3" t="s">
        <v>279</v>
      </c>
      <c r="H425" s="2" t="s">
        <v>20</v>
      </c>
      <c r="I425" s="2" t="s">
        <v>1237</v>
      </c>
      <c r="J425" s="3" t="str">
        <f>HYPERLINK("https://www.boe.es/gazeta/dias/1813/12/25/pdfs/GMR-1813-92.pdf#page=11","Abrir facsímil")</f>
        <v>Abrir facsímil</v>
      </c>
      <c r="K425" s="3" t="s">
        <v>22</v>
      </c>
    </row>
    <row r="426" spans="1:11" ht="42" customHeight="1">
      <c r="A426" s="2" t="s">
        <v>1238</v>
      </c>
      <c r="B426" s="2" t="s">
        <v>1239</v>
      </c>
      <c r="C426" s="2" t="s">
        <v>25</v>
      </c>
      <c r="D426" s="2" t="s">
        <v>26</v>
      </c>
      <c r="E426" s="5">
        <v>-31567</v>
      </c>
      <c r="F426" s="3" t="s">
        <v>820</v>
      </c>
      <c r="G426" s="3" t="s">
        <v>821</v>
      </c>
      <c r="H426" s="2" t="s">
        <v>20</v>
      </c>
      <c r="I426" s="2" t="s">
        <v>1240</v>
      </c>
      <c r="J426" s="3" t="str">
        <f>HYPERLINK("https://www.boe.es/gazeta/dias/1813/07/27/pdfs/GMR-1813-21.pdf#page=13","Abrir facsímil")</f>
        <v>Abrir facsímil</v>
      </c>
      <c r="K426" s="3" t="s">
        <v>22</v>
      </c>
    </row>
    <row r="427" spans="1:11" ht="42" customHeight="1">
      <c r="A427" s="2" t="s">
        <v>1241</v>
      </c>
      <c r="B427" s="2" t="s">
        <v>1242</v>
      </c>
      <c r="C427" s="2" t="s">
        <v>16</v>
      </c>
      <c r="D427" s="2" t="s">
        <v>17</v>
      </c>
      <c r="E427" s="5">
        <v>-31670</v>
      </c>
      <c r="F427" s="3" t="s">
        <v>92</v>
      </c>
      <c r="G427" s="3" t="s">
        <v>1243</v>
      </c>
      <c r="H427" s="2" t="s">
        <v>20</v>
      </c>
      <c r="I427" s="2" t="s">
        <v>1244</v>
      </c>
      <c r="J427" s="3" t="str">
        <f>HYPERLINK("https://www.boe.es/gazeta/dias/1813/04/15/pdfs/GRE-1813-46.pdf#page=8","Abrir facsímil")</f>
        <v>Abrir facsímil</v>
      </c>
      <c r="K427" s="3" t="s">
        <v>22</v>
      </c>
    </row>
    <row r="428" spans="1:11" ht="42" customHeight="1">
      <c r="A428" s="2" t="s">
        <v>1245</v>
      </c>
      <c r="B428" s="2" t="s">
        <v>1246</v>
      </c>
      <c r="C428" s="2" t="s">
        <v>16</v>
      </c>
      <c r="D428" s="2" t="s">
        <v>17</v>
      </c>
      <c r="E428" s="5">
        <v>-31565</v>
      </c>
      <c r="F428" s="3" t="s">
        <v>306</v>
      </c>
      <c r="G428" s="3" t="s">
        <v>95</v>
      </c>
      <c r="H428" s="2" t="s">
        <v>20</v>
      </c>
      <c r="I428" s="2" t="s">
        <v>1247</v>
      </c>
      <c r="J428" s="3" t="str">
        <f>HYPERLINK("https://www.boe.es/gazeta/dias/1813/07/29/pdfs/GRE-1813-96.pdf#page=6","Abrir facsímil")</f>
        <v>Abrir facsímil</v>
      </c>
      <c r="K428" s="3" t="s">
        <v>22</v>
      </c>
    </row>
    <row r="429" spans="1:11" ht="42" customHeight="1">
      <c r="A429" s="2" t="s">
        <v>1248</v>
      </c>
      <c r="B429" s="2" t="s">
        <v>1249</v>
      </c>
      <c r="C429" s="2" t="s">
        <v>34</v>
      </c>
      <c r="D429" s="2" t="s">
        <v>35</v>
      </c>
      <c r="E429" s="5">
        <v>-31434</v>
      </c>
      <c r="F429" s="3" t="s">
        <v>18</v>
      </c>
      <c r="G429" s="3" t="s">
        <v>28</v>
      </c>
      <c r="H429" s="2" t="s">
        <v>20</v>
      </c>
      <c r="I429" s="2" t="s">
        <v>1250</v>
      </c>
      <c r="J429" s="3" t="str">
        <f>HYPERLINK("https://www.boe.es/gazeta/dias/1813/12/07/pdfs/GRE-1813-161.pdf#page=8","Abrir facsímil")</f>
        <v>Abrir facsímil</v>
      </c>
      <c r="K429" s="3" t="s">
        <v>22</v>
      </c>
    </row>
    <row r="430" spans="1:11" ht="42" customHeight="1">
      <c r="A430" s="2" t="s">
        <v>1251</v>
      </c>
      <c r="B430" s="2" t="s">
        <v>1252</v>
      </c>
      <c r="C430" s="2" t="s">
        <v>16</v>
      </c>
      <c r="D430" s="2" t="s">
        <v>17</v>
      </c>
      <c r="E430" s="5">
        <v>-31754</v>
      </c>
      <c r="F430" s="3" t="s">
        <v>899</v>
      </c>
      <c r="G430" s="3" t="s">
        <v>900</v>
      </c>
      <c r="H430" s="2" t="s">
        <v>20</v>
      </c>
      <c r="I430" s="2" t="s">
        <v>1253</v>
      </c>
      <c r="J430" s="3" t="str">
        <f>HYPERLINK("https://www.boe.es/gazeta/dias/1813/01/21/pdfs/GRE-1813-9.pdf#page=8","Abrir facsímil")</f>
        <v>Abrir facsímil</v>
      </c>
      <c r="K430" s="3" t="s">
        <v>22</v>
      </c>
    </row>
    <row r="431" spans="1:11" ht="42" customHeight="1">
      <c r="A431" s="2" t="s">
        <v>1254</v>
      </c>
      <c r="B431" s="2" t="s">
        <v>1255</v>
      </c>
      <c r="C431" s="2" t="s">
        <v>16</v>
      </c>
      <c r="D431" s="2" t="s">
        <v>17</v>
      </c>
      <c r="E431" s="5">
        <v>-31521</v>
      </c>
      <c r="F431" s="3" t="s">
        <v>1256</v>
      </c>
      <c r="G431" s="3" t="s">
        <v>87</v>
      </c>
      <c r="H431" s="2" t="s">
        <v>20</v>
      </c>
      <c r="I431" s="2" t="s">
        <v>1257</v>
      </c>
      <c r="J431" s="3" t="str">
        <f>HYPERLINK("https://www.boe.es/gazeta/dias/1813/09/11/pdfs/GRE-1813-116.pdf#page=7","Abrir facsímil")</f>
        <v>Abrir facsímil</v>
      </c>
      <c r="K431" s="3" t="s">
        <v>22</v>
      </c>
    </row>
    <row r="432" spans="1:11" ht="42" customHeight="1">
      <c r="A432" s="2" t="s">
        <v>1258</v>
      </c>
      <c r="B432" s="2" t="s">
        <v>1258</v>
      </c>
      <c r="C432" s="2" t="s">
        <v>16</v>
      </c>
      <c r="D432" s="2" t="s">
        <v>17</v>
      </c>
      <c r="E432" s="5">
        <v>-31614</v>
      </c>
      <c r="F432" s="3" t="s">
        <v>498</v>
      </c>
      <c r="G432" s="3" t="s">
        <v>95</v>
      </c>
      <c r="H432" s="2" t="s">
        <v>20</v>
      </c>
      <c r="I432" s="2" t="s">
        <v>1259</v>
      </c>
      <c r="J432" s="3" t="str">
        <f>HYPERLINK("https://www.boe.es/gazeta/dias/1813/06/10/pdfs/GRE-1813-72.pdf#page=6","Abrir facsímil")</f>
        <v>Abrir facsímil</v>
      </c>
      <c r="K432" s="3" t="s">
        <v>22</v>
      </c>
    </row>
    <row r="433" spans="1:11" ht="42" customHeight="1">
      <c r="A433" s="2" t="s">
        <v>1260</v>
      </c>
      <c r="B433" s="2" t="s">
        <v>1261</v>
      </c>
      <c r="C433" s="2" t="s">
        <v>16</v>
      </c>
      <c r="D433" s="2" t="s">
        <v>97</v>
      </c>
      <c r="E433" s="5">
        <v>-31519</v>
      </c>
      <c r="F433" s="3" t="s">
        <v>312</v>
      </c>
      <c r="G433" s="3" t="s">
        <v>28</v>
      </c>
      <c r="H433" s="2" t="s">
        <v>20</v>
      </c>
      <c r="I433" s="2" t="s">
        <v>1262</v>
      </c>
      <c r="J433" s="3" t="str">
        <f>HYPERLINK("https://www.boe.es/gazeta/dias/1813/09/13/pdfs/GRE-1813-118E.pdf#page=8","Abrir facsímil")</f>
        <v>Abrir facsímil</v>
      </c>
      <c r="K433" s="3" t="s">
        <v>22</v>
      </c>
    </row>
    <row r="434" spans="1:11" ht="42" customHeight="1">
      <c r="A434" s="2" t="s">
        <v>1263</v>
      </c>
      <c r="B434" s="2" t="s">
        <v>1264</v>
      </c>
      <c r="C434" s="2" t="s">
        <v>16</v>
      </c>
      <c r="D434" s="2" t="s">
        <v>17</v>
      </c>
      <c r="E434" s="5">
        <v>-31668</v>
      </c>
      <c r="F434" s="3" t="s">
        <v>574</v>
      </c>
      <c r="G434" s="3" t="s">
        <v>82</v>
      </c>
      <c r="H434" s="2" t="s">
        <v>20</v>
      </c>
      <c r="I434" s="2" t="s">
        <v>1265</v>
      </c>
      <c r="J434" s="3" t="str">
        <f>HYPERLINK("https://www.boe.es/gazeta/dias/1813/04/17/pdfs/GRE-1813-48.pdf#page=5","Abrir facsímil")</f>
        <v>Abrir facsímil</v>
      </c>
      <c r="K434" s="3" t="s">
        <v>22</v>
      </c>
    </row>
    <row r="435" spans="1:11" ht="42" customHeight="1">
      <c r="A435" s="2" t="s">
        <v>1266</v>
      </c>
      <c r="B435" s="2" t="s">
        <v>1266</v>
      </c>
      <c r="C435" s="2" t="s">
        <v>16</v>
      </c>
      <c r="D435" s="2" t="s">
        <v>17</v>
      </c>
      <c r="E435" s="5">
        <v>-31563</v>
      </c>
      <c r="F435" s="3" t="s">
        <v>1267</v>
      </c>
      <c r="G435" s="3" t="s">
        <v>95</v>
      </c>
      <c r="H435" s="2" t="s">
        <v>20</v>
      </c>
      <c r="I435" s="2" t="s">
        <v>1268</v>
      </c>
      <c r="J435" s="3" t="str">
        <f>HYPERLINK("https://www.boe.es/gazeta/dias/1813/07/31/pdfs/GRE-1813-97.pdf#page=6","Abrir facsímil")</f>
        <v>Abrir facsímil</v>
      </c>
      <c r="K435" s="3" t="s">
        <v>22</v>
      </c>
    </row>
    <row r="436" spans="1:11" ht="42" customHeight="1">
      <c r="A436" s="2" t="s">
        <v>1269</v>
      </c>
      <c r="B436" s="2" t="s">
        <v>1269</v>
      </c>
      <c r="C436" s="2" t="s">
        <v>16</v>
      </c>
      <c r="D436" s="2" t="s">
        <v>17</v>
      </c>
      <c r="E436" s="5">
        <v>-31532</v>
      </c>
      <c r="F436" s="3" t="s">
        <v>215</v>
      </c>
      <c r="G436" s="3" t="s">
        <v>54</v>
      </c>
      <c r="H436" s="2" t="s">
        <v>20</v>
      </c>
      <c r="I436" s="2" t="s">
        <v>1270</v>
      </c>
      <c r="J436" s="3" t="str">
        <f>HYPERLINK("https://www.boe.es/gazeta/dias/1813/08/31/pdfs/GRE-1813-111.pdf#page=3","Abrir facsímil")</f>
        <v>Abrir facsímil</v>
      </c>
      <c r="K436" s="3" t="s">
        <v>22</v>
      </c>
    </row>
    <row r="437" spans="1:11" ht="42" customHeight="1">
      <c r="A437" s="2" t="s">
        <v>1271</v>
      </c>
      <c r="B437" s="2" t="s">
        <v>1271</v>
      </c>
      <c r="C437" s="2" t="s">
        <v>16</v>
      </c>
      <c r="D437" s="2" t="s">
        <v>17</v>
      </c>
      <c r="E437" s="5">
        <v>-31532</v>
      </c>
      <c r="F437" s="3" t="s">
        <v>215</v>
      </c>
      <c r="G437" s="3" t="s">
        <v>58</v>
      </c>
      <c r="H437" s="2" t="s">
        <v>20</v>
      </c>
      <c r="I437" s="2" t="s">
        <v>1272</v>
      </c>
      <c r="J437" s="3" t="str">
        <f>HYPERLINK("https://www.boe.es/gazeta/dias/1813/08/31/pdfs/GRE-1813-111.pdf#page=2","Abrir facsímil")</f>
        <v>Abrir facsímil</v>
      </c>
      <c r="K437" s="3" t="s">
        <v>22</v>
      </c>
    </row>
    <row r="438" spans="1:11" ht="42" customHeight="1">
      <c r="A438" s="2" t="s">
        <v>1271</v>
      </c>
      <c r="B438" s="2" t="s">
        <v>1271</v>
      </c>
      <c r="C438" s="2" t="s">
        <v>16</v>
      </c>
      <c r="D438" s="2" t="s">
        <v>17</v>
      </c>
      <c r="E438" s="5">
        <v>-31532</v>
      </c>
      <c r="F438" s="3" t="s">
        <v>215</v>
      </c>
      <c r="G438" s="3" t="s">
        <v>54</v>
      </c>
      <c r="H438" s="2" t="s">
        <v>20</v>
      </c>
      <c r="I438" s="2" t="s">
        <v>1273</v>
      </c>
      <c r="J438" s="3" t="str">
        <f>HYPERLINK("https://www.boe.es/gazeta/dias/1813/08/31/pdfs/GRE-1813-111.pdf#page=3","Abrir facsímil")</f>
        <v>Abrir facsímil</v>
      </c>
      <c r="K438" s="3" t="s">
        <v>22</v>
      </c>
    </row>
    <row r="439" spans="1:11" ht="42" customHeight="1">
      <c r="A439" s="2" t="s">
        <v>1274</v>
      </c>
      <c r="B439" s="2" t="s">
        <v>1275</v>
      </c>
      <c r="C439" s="2" t="s">
        <v>187</v>
      </c>
      <c r="D439" s="2" t="s">
        <v>26</v>
      </c>
      <c r="E439" s="5">
        <v>-31754</v>
      </c>
      <c r="F439" s="3" t="s">
        <v>899</v>
      </c>
      <c r="G439" s="3" t="s">
        <v>900</v>
      </c>
      <c r="H439" s="2" t="s">
        <v>20</v>
      </c>
      <c r="I439" s="2" t="s">
        <v>1276</v>
      </c>
      <c r="J439" s="3" t="str">
        <f>HYPERLINK("https://www.boe.es/gazeta/dias/1813/01/21/pdfs/GRE-1813-9.pdf#page=8","Abrir facsímil")</f>
        <v>Abrir facsímil</v>
      </c>
      <c r="K439" s="3" t="s">
        <v>22</v>
      </c>
    </row>
    <row r="440" spans="1:11" ht="42" customHeight="1">
      <c r="A440" s="2" t="s">
        <v>1277</v>
      </c>
      <c r="B440" s="2" t="s">
        <v>1278</v>
      </c>
      <c r="C440" s="2" t="s">
        <v>34</v>
      </c>
      <c r="D440" s="2" t="s">
        <v>35</v>
      </c>
      <c r="E440" s="5">
        <v>-31530</v>
      </c>
      <c r="F440" s="3" t="s">
        <v>133</v>
      </c>
      <c r="G440" s="3" t="s">
        <v>28</v>
      </c>
      <c r="H440" s="2" t="s">
        <v>20</v>
      </c>
      <c r="I440" s="2" t="s">
        <v>1279</v>
      </c>
      <c r="J440" s="3" t="str">
        <f>HYPERLINK("https://www.boe.es/gazeta/dias/1813/09/02/pdfs/GMR-1813-36.pdf#page=8","Abrir facsímil")</f>
        <v>Abrir facsímil</v>
      </c>
      <c r="K440" s="3" t="s">
        <v>22</v>
      </c>
    </row>
    <row r="441" spans="1:11" ht="42" customHeight="1">
      <c r="A441" s="2" t="s">
        <v>1280</v>
      </c>
      <c r="B441" s="2" t="s">
        <v>1281</v>
      </c>
      <c r="C441" s="2" t="s">
        <v>109</v>
      </c>
      <c r="D441" s="2" t="s">
        <v>26</v>
      </c>
      <c r="E441" s="5">
        <v>-31521</v>
      </c>
      <c r="F441" s="3" t="s">
        <v>1282</v>
      </c>
      <c r="G441" s="3" t="s">
        <v>258</v>
      </c>
      <c r="H441" s="2" t="s">
        <v>20</v>
      </c>
      <c r="I441" s="2" t="s">
        <v>1283</v>
      </c>
      <c r="J441" s="3" t="str">
        <f>HYPERLINK("https://www.boe.es/gazeta/dias/1813/09/11/pdfs/GMR-1813-41.pdf#page=12","Abrir facsímil")</f>
        <v>Abrir facsímil</v>
      </c>
      <c r="K441" s="3" t="s">
        <v>22</v>
      </c>
    </row>
    <row r="442" spans="1:11" ht="42" customHeight="1">
      <c r="A442" s="2" t="s">
        <v>1277</v>
      </c>
      <c r="B442" s="2" t="s">
        <v>1278</v>
      </c>
      <c r="C442" s="2" t="s">
        <v>34</v>
      </c>
      <c r="D442" s="2" t="s">
        <v>35</v>
      </c>
      <c r="E442" s="5">
        <v>-31486</v>
      </c>
      <c r="F442" s="3" t="s">
        <v>1284</v>
      </c>
      <c r="G442" s="3" t="s">
        <v>28</v>
      </c>
      <c r="H442" s="2" t="s">
        <v>20</v>
      </c>
      <c r="I442" s="2" t="s">
        <v>1285</v>
      </c>
      <c r="J442" s="3" t="str">
        <f>HYPERLINK("https://www.boe.es/gazeta/dias/1813/10/16/pdfs/GMR-1813-60.pdf#page=8","Abrir facsímil")</f>
        <v>Abrir facsímil</v>
      </c>
      <c r="K442" s="3" t="s">
        <v>22</v>
      </c>
    </row>
    <row r="443" spans="1:11" ht="42" customHeight="1">
      <c r="A443" s="2" t="s">
        <v>1286</v>
      </c>
      <c r="B443" s="2" t="s">
        <v>1287</v>
      </c>
      <c r="C443" s="2" t="s">
        <v>34</v>
      </c>
      <c r="D443" s="2" t="s">
        <v>35</v>
      </c>
      <c r="E443" s="5">
        <v>-31558</v>
      </c>
      <c r="F443" s="3" t="s">
        <v>1288</v>
      </c>
      <c r="G443" s="3" t="s">
        <v>28</v>
      </c>
      <c r="H443" s="2" t="s">
        <v>20</v>
      </c>
      <c r="I443" s="2" t="s">
        <v>1289</v>
      </c>
      <c r="J443" s="3" t="str">
        <f>HYPERLINK("https://www.boe.es/gazeta/dias/1813/08/05/pdfs/GMR-1813-24.pdf#page=8","Abrir facsímil")</f>
        <v>Abrir facsímil</v>
      </c>
      <c r="K443" s="3" t="s">
        <v>22</v>
      </c>
    </row>
    <row r="444" spans="1:11" ht="42" customHeight="1">
      <c r="A444" s="2" t="s">
        <v>1290</v>
      </c>
      <c r="B444" s="2" t="s">
        <v>1291</v>
      </c>
      <c r="C444" s="2" t="s">
        <v>34</v>
      </c>
      <c r="D444" s="2" t="s">
        <v>35</v>
      </c>
      <c r="E444" s="5">
        <v>-31483</v>
      </c>
      <c r="F444" s="3" t="s">
        <v>1292</v>
      </c>
      <c r="G444" s="3" t="s">
        <v>1293</v>
      </c>
      <c r="H444" s="2" t="s">
        <v>20</v>
      </c>
      <c r="I444" s="2" t="s">
        <v>1294</v>
      </c>
      <c r="J444" s="3" t="str">
        <f>HYPERLINK("https://www.boe.es/gazeta/dias/1813/10/19/pdfs/GMR-1813-61.pdf#page=12","Abrir facsímil")</f>
        <v>Abrir facsímil</v>
      </c>
      <c r="K444" s="3" t="s">
        <v>22</v>
      </c>
    </row>
    <row r="445" spans="1:11" ht="42" customHeight="1">
      <c r="A445" s="2" t="s">
        <v>1295</v>
      </c>
      <c r="B445" s="2" t="s">
        <v>1296</v>
      </c>
      <c r="C445" s="2" t="s">
        <v>34</v>
      </c>
      <c r="D445" s="2" t="s">
        <v>35</v>
      </c>
      <c r="E445" s="5">
        <v>-31567</v>
      </c>
      <c r="F445" s="3" t="s">
        <v>820</v>
      </c>
      <c r="G445" s="3" t="s">
        <v>71</v>
      </c>
      <c r="H445" s="2" t="s">
        <v>20</v>
      </c>
      <c r="I445" s="2" t="s">
        <v>1297</v>
      </c>
      <c r="J445" s="3" t="str">
        <f>HYPERLINK("https://www.boe.es/gazeta/dias/1813/07/27/pdfs/GMR-1813-21.pdf#page=16","Abrir facsímil")</f>
        <v>Abrir facsímil</v>
      </c>
      <c r="K445" s="3" t="s">
        <v>22</v>
      </c>
    </row>
    <row r="446" spans="1:11" ht="42" customHeight="1">
      <c r="A446" s="2" t="s">
        <v>1295</v>
      </c>
      <c r="B446" s="2" t="s">
        <v>1296</v>
      </c>
      <c r="C446" s="2" t="s">
        <v>34</v>
      </c>
      <c r="D446" s="2" t="s">
        <v>35</v>
      </c>
      <c r="E446" s="5">
        <v>-31439</v>
      </c>
      <c r="F446" s="3" t="s">
        <v>1298</v>
      </c>
      <c r="G446" s="3" t="s">
        <v>28</v>
      </c>
      <c r="H446" s="2" t="s">
        <v>20</v>
      </c>
      <c r="I446" s="2" t="s">
        <v>1299</v>
      </c>
      <c r="J446" s="3" t="str">
        <f>HYPERLINK("https://www.boe.es/gazeta/dias/1813/12/02/pdfs/GMR-1813-82.pdf#page=8","Abrir facsímil")</f>
        <v>Abrir facsímil</v>
      </c>
      <c r="K446" s="3" t="s">
        <v>22</v>
      </c>
    </row>
    <row r="447" spans="1:11" ht="42" customHeight="1">
      <c r="A447" s="2" t="s">
        <v>1295</v>
      </c>
      <c r="B447" s="2" t="s">
        <v>1296</v>
      </c>
      <c r="C447" s="2" t="s">
        <v>34</v>
      </c>
      <c r="D447" s="2" t="s">
        <v>35</v>
      </c>
      <c r="E447" s="5">
        <v>-31437</v>
      </c>
      <c r="F447" s="3" t="s">
        <v>680</v>
      </c>
      <c r="G447" s="3" t="s">
        <v>87</v>
      </c>
      <c r="H447" s="2" t="s">
        <v>20</v>
      </c>
      <c r="I447" s="2" t="s">
        <v>1300</v>
      </c>
      <c r="J447" s="3" t="str">
        <f>HYPERLINK("https://www.boe.es/gazeta/dias/1813/12/04/pdfs/GMR-1813-83.pdf#page=7","Abrir facsímil")</f>
        <v>Abrir facsímil</v>
      </c>
      <c r="K447" s="3" t="s">
        <v>22</v>
      </c>
    </row>
    <row r="448" spans="1:11" ht="42" customHeight="1">
      <c r="A448" s="2" t="s">
        <v>1295</v>
      </c>
      <c r="B448" s="2" t="s">
        <v>1296</v>
      </c>
      <c r="C448" s="2" t="s">
        <v>34</v>
      </c>
      <c r="D448" s="2" t="s">
        <v>35</v>
      </c>
      <c r="E448" s="5">
        <v>-31416</v>
      </c>
      <c r="F448" s="3" t="s">
        <v>278</v>
      </c>
      <c r="G448" s="3" t="s">
        <v>279</v>
      </c>
      <c r="H448" s="2" t="s">
        <v>20</v>
      </c>
      <c r="I448" s="2" t="s">
        <v>1301</v>
      </c>
      <c r="J448" s="3" t="str">
        <f>HYPERLINK("https://www.boe.es/gazeta/dias/1813/12/25/pdfs/GMR-1813-92.pdf#page=11","Abrir facsímil")</f>
        <v>Abrir facsímil</v>
      </c>
      <c r="K448" s="3" t="s">
        <v>22</v>
      </c>
    </row>
    <row r="449" spans="1:11" ht="42" customHeight="1">
      <c r="A449" s="2" t="s">
        <v>1302</v>
      </c>
      <c r="B449" s="2" t="s">
        <v>1303</v>
      </c>
      <c r="C449" s="2" t="s">
        <v>277</v>
      </c>
      <c r="D449" s="2" t="s">
        <v>26</v>
      </c>
      <c r="E449" s="5">
        <v>-31511</v>
      </c>
      <c r="F449" s="3" t="s">
        <v>935</v>
      </c>
      <c r="G449" s="3" t="s">
        <v>1304</v>
      </c>
      <c r="H449" s="2" t="s">
        <v>20</v>
      </c>
      <c r="I449" s="2" t="s">
        <v>1305</v>
      </c>
      <c r="J449" s="3" t="str">
        <f>HYPERLINK("https://www.boe.es/gazeta/dias/1813/09/21/pdfs/GMR-1813-46.pdf#page=12","Abrir facsímil")</f>
        <v>Abrir facsímil</v>
      </c>
      <c r="K449" s="3" t="s">
        <v>22</v>
      </c>
    </row>
    <row r="450" spans="1:11" ht="42" customHeight="1">
      <c r="A450" s="2" t="s">
        <v>1302</v>
      </c>
      <c r="B450" s="2" t="s">
        <v>1303</v>
      </c>
      <c r="C450" s="2" t="s">
        <v>16</v>
      </c>
      <c r="D450" s="2" t="s">
        <v>17</v>
      </c>
      <c r="E450" s="5">
        <v>-31483</v>
      </c>
      <c r="F450" s="3" t="s">
        <v>1292</v>
      </c>
      <c r="G450" s="3" t="s">
        <v>1293</v>
      </c>
      <c r="H450" s="2" t="s">
        <v>20</v>
      </c>
      <c r="I450" s="2" t="s">
        <v>1306</v>
      </c>
      <c r="J450" s="3" t="str">
        <f>HYPERLINK("https://www.boe.es/gazeta/dias/1813/10/19/pdfs/GMR-1813-61.pdf#page=12","Abrir facsímil")</f>
        <v>Abrir facsímil</v>
      </c>
      <c r="K450" s="3" t="s">
        <v>22</v>
      </c>
    </row>
    <row r="451" spans="1:11" ht="42" customHeight="1">
      <c r="A451" s="2" t="s">
        <v>1302</v>
      </c>
      <c r="B451" s="2" t="s">
        <v>1303</v>
      </c>
      <c r="C451" s="2" t="s">
        <v>34</v>
      </c>
      <c r="D451" s="2" t="s">
        <v>35</v>
      </c>
      <c r="E451" s="5">
        <v>-31479</v>
      </c>
      <c r="F451" s="3" t="s">
        <v>322</v>
      </c>
      <c r="G451" s="3" t="s">
        <v>1307</v>
      </c>
      <c r="H451" s="2" t="s">
        <v>20</v>
      </c>
      <c r="I451" s="2" t="s">
        <v>1308</v>
      </c>
      <c r="J451" s="3" t="str">
        <f>HYPERLINK("https://www.boe.es/gazeta/dias/1813/10/23/pdfs/GMR-1813-63.pdf#page=12","Abrir facsímil")</f>
        <v>Abrir facsímil</v>
      </c>
      <c r="K451" s="3" t="s">
        <v>22</v>
      </c>
    </row>
    <row r="452" spans="1:11" ht="42" customHeight="1">
      <c r="A452" s="2" t="s">
        <v>1302</v>
      </c>
      <c r="B452" s="2" t="s">
        <v>1303</v>
      </c>
      <c r="C452" s="2" t="s">
        <v>34</v>
      </c>
      <c r="D452" s="2" t="s">
        <v>35</v>
      </c>
      <c r="E452" s="5">
        <v>-31476</v>
      </c>
      <c r="F452" s="3" t="s">
        <v>158</v>
      </c>
      <c r="G452" s="3" t="s">
        <v>28</v>
      </c>
      <c r="H452" s="2" t="s">
        <v>20</v>
      </c>
      <c r="I452" s="2" t="s">
        <v>1309</v>
      </c>
      <c r="J452" s="3" t="str">
        <f>HYPERLINK("https://www.boe.es/gazeta/dias/1813/10/26/pdfs/GMR-1813-64.pdf#page=8","Abrir facsímil")</f>
        <v>Abrir facsímil</v>
      </c>
      <c r="K452" s="3" t="s">
        <v>22</v>
      </c>
    </row>
    <row r="453" spans="1:11" ht="42" customHeight="1">
      <c r="A453" s="2" t="s">
        <v>1302</v>
      </c>
      <c r="B453" s="2" t="s">
        <v>1303</v>
      </c>
      <c r="C453" s="2" t="s">
        <v>69</v>
      </c>
      <c r="D453" s="2" t="s">
        <v>26</v>
      </c>
      <c r="E453" s="5">
        <v>-31472</v>
      </c>
      <c r="F453" s="3" t="s">
        <v>143</v>
      </c>
      <c r="G453" s="3" t="s">
        <v>940</v>
      </c>
      <c r="H453" s="2" t="s">
        <v>20</v>
      </c>
      <c r="I453" s="2" t="s">
        <v>1310</v>
      </c>
      <c r="J453" s="3" t="str">
        <f>HYPERLINK("https://www.boe.es/gazeta/dias/1813/10/30/pdfs/GMR-1813-66.pdf#page=8","Abrir facsímil")</f>
        <v>Abrir facsímil</v>
      </c>
      <c r="K453" s="3" t="s">
        <v>22</v>
      </c>
    </row>
    <row r="454" spans="1:11" ht="42" customHeight="1">
      <c r="A454" s="2" t="s">
        <v>1302</v>
      </c>
      <c r="B454" s="2" t="s">
        <v>1303</v>
      </c>
      <c r="C454" s="2" t="s">
        <v>34</v>
      </c>
      <c r="D454" s="2" t="s">
        <v>35</v>
      </c>
      <c r="E454" s="5">
        <v>-31469</v>
      </c>
      <c r="F454" s="3" t="s">
        <v>1311</v>
      </c>
      <c r="G454" s="3" t="s">
        <v>28</v>
      </c>
      <c r="H454" s="2" t="s">
        <v>20</v>
      </c>
      <c r="I454" s="2" t="s">
        <v>1312</v>
      </c>
      <c r="J454" s="3" t="str">
        <f>HYPERLINK("https://www.boe.es/gazeta/dias/1813/11/02/pdfs/GMR-1813-67.pdf#page=8","Abrir facsímil")</f>
        <v>Abrir facsímil</v>
      </c>
      <c r="K454" s="3" t="s">
        <v>22</v>
      </c>
    </row>
    <row r="455" spans="1:11" ht="42" customHeight="1">
      <c r="A455" s="2" t="s">
        <v>1302</v>
      </c>
      <c r="B455" s="2" t="s">
        <v>1303</v>
      </c>
      <c r="C455" s="2" t="s">
        <v>34</v>
      </c>
      <c r="D455" s="2" t="s">
        <v>35</v>
      </c>
      <c r="E455" s="5">
        <v>-31444</v>
      </c>
      <c r="F455" s="3" t="s">
        <v>389</v>
      </c>
      <c r="G455" s="3" t="s">
        <v>28</v>
      </c>
      <c r="H455" s="2" t="s">
        <v>20</v>
      </c>
      <c r="I455" s="2" t="s">
        <v>1313</v>
      </c>
      <c r="J455" s="3" t="str">
        <f>HYPERLINK("https://www.boe.es/gazeta/dias/1813/11/27/pdfs/GMR-1813-80.pdf#page=8","Abrir facsímil")</f>
        <v>Abrir facsímil</v>
      </c>
      <c r="K455" s="3" t="s">
        <v>22</v>
      </c>
    </row>
    <row r="456" spans="1:11" ht="42" customHeight="1">
      <c r="A456" s="2" t="s">
        <v>1314</v>
      </c>
      <c r="B456" s="2" t="s">
        <v>1315</v>
      </c>
      <c r="C456" s="2" t="s">
        <v>34</v>
      </c>
      <c r="D456" s="2" t="s">
        <v>35</v>
      </c>
      <c r="E456" s="5">
        <v>-31539</v>
      </c>
      <c r="F456" s="3" t="s">
        <v>1316</v>
      </c>
      <c r="G456" s="3" t="s">
        <v>28</v>
      </c>
      <c r="H456" s="2" t="s">
        <v>20</v>
      </c>
      <c r="I456" s="2" t="s">
        <v>1317</v>
      </c>
      <c r="J456" s="3" t="str">
        <f>HYPERLINK("https://www.boe.es/gazeta/dias/1813/08/24/pdfs/GMR-1813-32.pdf#page=8","Abrir facsímil")</f>
        <v>Abrir facsímil</v>
      </c>
      <c r="K456" s="3" t="s">
        <v>22</v>
      </c>
    </row>
    <row r="457" spans="1:11" ht="42" customHeight="1">
      <c r="A457" s="2" t="s">
        <v>1318</v>
      </c>
      <c r="B457" s="2" t="s">
        <v>1318</v>
      </c>
      <c r="C457" s="2" t="s">
        <v>16</v>
      </c>
      <c r="D457" s="2" t="s">
        <v>17</v>
      </c>
      <c r="E457" s="5">
        <v>-31595</v>
      </c>
      <c r="F457" s="3" t="s">
        <v>1319</v>
      </c>
      <c r="G457" s="3" t="s">
        <v>58</v>
      </c>
      <c r="H457" s="2" t="s">
        <v>20</v>
      </c>
      <c r="I457" s="2" t="s">
        <v>1320</v>
      </c>
      <c r="J457" s="3" t="str">
        <f>HYPERLINK("https://www.boe.es/gazeta/dias/1813/06/29/pdfs/GRE-1813-80.pdf#page=2","Abrir facsímil")</f>
        <v>Abrir facsímil</v>
      </c>
      <c r="K457" s="3" t="s">
        <v>22</v>
      </c>
    </row>
    <row r="458" spans="1:11" ht="42" customHeight="1">
      <c r="A458" s="2" t="s">
        <v>1318</v>
      </c>
      <c r="B458" s="2" t="s">
        <v>1318</v>
      </c>
      <c r="C458" s="2" t="s">
        <v>16</v>
      </c>
      <c r="D458" s="2" t="s">
        <v>17</v>
      </c>
      <c r="E458" s="5">
        <v>-31581</v>
      </c>
      <c r="F458" s="3" t="s">
        <v>1321</v>
      </c>
      <c r="G458" s="3" t="s">
        <v>58</v>
      </c>
      <c r="H458" s="2" t="s">
        <v>20</v>
      </c>
      <c r="I458" s="2" t="s">
        <v>1322</v>
      </c>
      <c r="J458" s="3" t="str">
        <f>HYPERLINK("https://www.boe.es/gazeta/dias/1813/07/13/pdfs/GMR-1813-17.pdf#page=2","Abrir facsímil")</f>
        <v>Abrir facsímil</v>
      </c>
      <c r="K458" s="3" t="s">
        <v>22</v>
      </c>
    </row>
    <row r="459" spans="1:11" ht="42" customHeight="1">
      <c r="A459" s="2" t="s">
        <v>1323</v>
      </c>
      <c r="B459" s="2" t="s">
        <v>1323</v>
      </c>
      <c r="C459" s="2" t="s">
        <v>16</v>
      </c>
      <c r="D459" s="2" t="s">
        <v>17</v>
      </c>
      <c r="E459" s="5">
        <v>-31630</v>
      </c>
      <c r="F459" s="3" t="s">
        <v>1324</v>
      </c>
      <c r="G459" s="3" t="s">
        <v>54</v>
      </c>
      <c r="H459" s="2" t="s">
        <v>20</v>
      </c>
      <c r="I459" s="2" t="s">
        <v>1325</v>
      </c>
      <c r="J459" s="3" t="str">
        <f>HYPERLINK("https://www.boe.es/gazeta/dias/1813/05/25/pdfs/GRE-1813-64.pdf#page=3","Abrir facsímil")</f>
        <v>Abrir facsímil</v>
      </c>
      <c r="K459" s="3" t="s">
        <v>22</v>
      </c>
    </row>
    <row r="460" spans="1:11" ht="42" customHeight="1">
      <c r="A460" s="2" t="s">
        <v>1326</v>
      </c>
      <c r="B460" s="2" t="s">
        <v>1327</v>
      </c>
      <c r="C460" s="2" t="s">
        <v>34</v>
      </c>
      <c r="D460" s="2" t="s">
        <v>35</v>
      </c>
      <c r="E460" s="5">
        <v>-31518</v>
      </c>
      <c r="F460" s="3" t="s">
        <v>155</v>
      </c>
      <c r="G460" s="3" t="s">
        <v>1328</v>
      </c>
      <c r="H460" s="2" t="s">
        <v>20</v>
      </c>
      <c r="I460" s="2" t="s">
        <v>1329</v>
      </c>
      <c r="J460" s="3" t="str">
        <f>HYPERLINK("https://www.boe.es/gazeta/dias/1813/09/14/pdfs/GRE-1813-119.pdf#page=8","Abrir facsímil")</f>
        <v>Abrir facsímil</v>
      </c>
      <c r="K460" s="3" t="s">
        <v>22</v>
      </c>
    </row>
    <row r="461" spans="1:11" ht="42" customHeight="1">
      <c r="A461" s="2" t="s">
        <v>1330</v>
      </c>
      <c r="B461" s="2" t="s">
        <v>1331</v>
      </c>
      <c r="C461" s="2" t="s">
        <v>16</v>
      </c>
      <c r="D461" s="2" t="s">
        <v>17</v>
      </c>
      <c r="E461" s="5">
        <v>-31518</v>
      </c>
      <c r="F461" s="3" t="s">
        <v>155</v>
      </c>
      <c r="G461" s="3" t="s">
        <v>87</v>
      </c>
      <c r="H461" s="2" t="s">
        <v>20</v>
      </c>
      <c r="I461" s="2" t="s">
        <v>1332</v>
      </c>
      <c r="J461" s="3" t="str">
        <f>HYPERLINK("https://www.boe.es/gazeta/dias/1813/09/14/pdfs/GRE-1813-119.pdf#page=7","Abrir facsímil")</f>
        <v>Abrir facsímil</v>
      </c>
      <c r="K461" s="3" t="s">
        <v>22</v>
      </c>
    </row>
    <row r="462" spans="1:11" ht="42" customHeight="1">
      <c r="A462" s="2" t="s">
        <v>1333</v>
      </c>
      <c r="B462" s="2" t="s">
        <v>1334</v>
      </c>
      <c r="C462" s="2" t="s">
        <v>25</v>
      </c>
      <c r="D462" s="2" t="s">
        <v>26</v>
      </c>
      <c r="E462" s="5">
        <v>-31752</v>
      </c>
      <c r="F462" s="3" t="s">
        <v>182</v>
      </c>
      <c r="G462" s="3" t="s">
        <v>183</v>
      </c>
      <c r="H462" s="2" t="s">
        <v>20</v>
      </c>
      <c r="I462" s="2" t="s">
        <v>1335</v>
      </c>
      <c r="J462" s="3" t="str">
        <f>HYPERLINK("https://www.boe.es/gazeta/dias/1813/01/23/pdfs/GRE-1813-10.pdf#page=8","Abrir facsímil")</f>
        <v>Abrir facsímil</v>
      </c>
      <c r="K462" s="3" t="s">
        <v>22</v>
      </c>
    </row>
    <row r="463" spans="1:11" ht="42" customHeight="1">
      <c r="A463" s="2" t="s">
        <v>1336</v>
      </c>
      <c r="B463" s="2" t="s">
        <v>1337</v>
      </c>
      <c r="C463" s="2" t="s">
        <v>16</v>
      </c>
      <c r="D463" s="2" t="s">
        <v>17</v>
      </c>
      <c r="E463" s="5">
        <v>-31759</v>
      </c>
      <c r="F463" s="3" t="s">
        <v>419</v>
      </c>
      <c r="G463" s="3" t="s">
        <v>420</v>
      </c>
      <c r="H463" s="2" t="s">
        <v>20</v>
      </c>
      <c r="I463" s="2" t="s">
        <v>1338</v>
      </c>
      <c r="J463" s="3" t="str">
        <f>HYPERLINK("https://www.boe.es/gazeta/dias/1813/01/16/pdfs/GRE-1813-7.pdf#page=8","Abrir facsímil")</f>
        <v>Abrir facsímil</v>
      </c>
      <c r="K463" s="3" t="s">
        <v>22</v>
      </c>
    </row>
    <row r="464" spans="1:11" ht="42" customHeight="1">
      <c r="A464" s="2" t="s">
        <v>1339</v>
      </c>
      <c r="B464" s="2" t="s">
        <v>1339</v>
      </c>
      <c r="C464" s="2" t="s">
        <v>16</v>
      </c>
      <c r="D464" s="2" t="s">
        <v>17</v>
      </c>
      <c r="E464" s="5">
        <v>-31703</v>
      </c>
      <c r="F464" s="3" t="s">
        <v>526</v>
      </c>
      <c r="G464" s="3" t="s">
        <v>65</v>
      </c>
      <c r="H464" s="2" t="s">
        <v>20</v>
      </c>
      <c r="I464" s="2" t="s">
        <v>1340</v>
      </c>
      <c r="J464" s="3" t="str">
        <f>HYPERLINK("https://www.boe.es/gazeta/dias/1813/03/13/pdfs/GMD-1813-72.pdf#page=1","Abrir facsímil")</f>
        <v>Abrir facsímil</v>
      </c>
      <c r="K464" s="3" t="s">
        <v>22</v>
      </c>
    </row>
    <row r="465" spans="1:11" ht="42" customHeight="1">
      <c r="A465" s="2" t="s">
        <v>1341</v>
      </c>
      <c r="B465" s="2" t="s">
        <v>1342</v>
      </c>
      <c r="C465" s="2" t="s">
        <v>16</v>
      </c>
      <c r="D465" s="2" t="s">
        <v>17</v>
      </c>
      <c r="E465" s="5">
        <v>-31574</v>
      </c>
      <c r="F465" s="3" t="s">
        <v>1343</v>
      </c>
      <c r="G465" s="3" t="s">
        <v>1344</v>
      </c>
      <c r="H465" s="2" t="s">
        <v>20</v>
      </c>
      <c r="I465" s="2" t="s">
        <v>1345</v>
      </c>
      <c r="J465" s="3" t="str">
        <f>HYPERLINK("https://www.boe.es/gazeta/dias/1813/07/20/pdfs/GMR-1813-19.pdf#page=12","Abrir facsímil")</f>
        <v>Abrir facsímil</v>
      </c>
      <c r="K465" s="3" t="s">
        <v>22</v>
      </c>
    </row>
    <row r="466" spans="1:11" ht="42" customHeight="1">
      <c r="A466" s="2" t="s">
        <v>1346</v>
      </c>
      <c r="B466" s="2" t="s">
        <v>1346</v>
      </c>
      <c r="C466" s="2" t="s">
        <v>16</v>
      </c>
      <c r="D466" s="2" t="s">
        <v>17</v>
      </c>
      <c r="E466" s="5">
        <v>-31689</v>
      </c>
      <c r="F466" s="3" t="s">
        <v>1347</v>
      </c>
      <c r="G466" s="3" t="s">
        <v>54</v>
      </c>
      <c r="H466" s="2" t="s">
        <v>20</v>
      </c>
      <c r="I466" s="2" t="s">
        <v>1348</v>
      </c>
      <c r="J466" s="3" t="str">
        <f>HYPERLINK("https://www.boe.es/gazeta/dias/1813/03/27/pdfs/GMD-1813-86.pdf#page=3","Abrir facsímil")</f>
        <v>Abrir facsímil</v>
      </c>
      <c r="K466" s="3" t="s">
        <v>22</v>
      </c>
    </row>
    <row r="467" spans="1:11" ht="42" customHeight="1">
      <c r="A467" s="2" t="s">
        <v>1349</v>
      </c>
      <c r="B467" s="2" t="s">
        <v>1349</v>
      </c>
      <c r="C467" s="2" t="s">
        <v>16</v>
      </c>
      <c r="D467" s="2" t="s">
        <v>17</v>
      </c>
      <c r="E467" s="5">
        <v>-31619</v>
      </c>
      <c r="F467" s="3" t="s">
        <v>1350</v>
      </c>
      <c r="G467" s="3" t="s">
        <v>54</v>
      </c>
      <c r="H467" s="2" t="s">
        <v>20</v>
      </c>
      <c r="I467" s="2" t="s">
        <v>1351</v>
      </c>
      <c r="J467" s="3" t="str">
        <f>HYPERLINK("https://www.boe.es/gazeta/dias/1813/06/05/pdfs/GMR-1813-2.pdf#page=3","Abrir facsímil")</f>
        <v>Abrir facsímil</v>
      </c>
      <c r="K467" s="3" t="s">
        <v>22</v>
      </c>
    </row>
    <row r="468" spans="1:11" ht="42" customHeight="1">
      <c r="A468" s="2" t="s">
        <v>1352</v>
      </c>
      <c r="B468" s="2" t="s">
        <v>1352</v>
      </c>
      <c r="C468" s="2" t="s">
        <v>16</v>
      </c>
      <c r="D468" s="2" t="s">
        <v>17</v>
      </c>
      <c r="E468" s="5">
        <v>-31770</v>
      </c>
      <c r="F468" s="3" t="s">
        <v>188</v>
      </c>
      <c r="G468" s="3" t="s">
        <v>1353</v>
      </c>
      <c r="H468" s="2" t="s">
        <v>20</v>
      </c>
      <c r="I468" s="2" t="s">
        <v>1354</v>
      </c>
      <c r="J468" s="3" t="str">
        <f>HYPERLINK("https://www.boe.es/gazeta/dias/1813/01/05/pdfs/GRE-1813-3.pdf#page=3","Abrir facsímil")</f>
        <v>Abrir facsímil</v>
      </c>
      <c r="K468" s="3" t="s">
        <v>22</v>
      </c>
    </row>
    <row r="469" spans="1:11" ht="42" customHeight="1">
      <c r="A469" s="2" t="s">
        <v>1352</v>
      </c>
      <c r="B469" s="2" t="s">
        <v>1352</v>
      </c>
      <c r="C469" s="2" t="s">
        <v>16</v>
      </c>
      <c r="D469" s="2" t="s">
        <v>17</v>
      </c>
      <c r="E469" s="5">
        <v>-31770</v>
      </c>
      <c r="F469" s="3" t="s">
        <v>188</v>
      </c>
      <c r="G469" s="3" t="s">
        <v>19</v>
      </c>
      <c r="H469" s="2" t="s">
        <v>20</v>
      </c>
      <c r="I469" s="2" t="s">
        <v>1355</v>
      </c>
      <c r="J469" s="3" t="str">
        <f>HYPERLINK("https://www.boe.es/gazeta/dias/1813/01/05/pdfs/GRE-1813-3.pdf#page=4","Abrir facsímil")</f>
        <v>Abrir facsímil</v>
      </c>
      <c r="K469" s="3" t="s">
        <v>22</v>
      </c>
    </row>
    <row r="470" spans="1:11" ht="42" customHeight="1">
      <c r="A470" s="2" t="s">
        <v>1352</v>
      </c>
      <c r="B470" s="2" t="s">
        <v>1352</v>
      </c>
      <c r="C470" s="2" t="s">
        <v>16</v>
      </c>
      <c r="D470" s="2" t="s">
        <v>17</v>
      </c>
      <c r="E470" s="5">
        <v>-31768</v>
      </c>
      <c r="F470" s="3" t="s">
        <v>188</v>
      </c>
      <c r="G470" s="3" t="s">
        <v>1353</v>
      </c>
      <c r="H470" s="2" t="s">
        <v>20</v>
      </c>
      <c r="I470" s="2" t="s">
        <v>1354</v>
      </c>
      <c r="J470" s="3" t="str">
        <f>HYPERLINK("https://www.boe.es/gazeta/dias/1813/01/07/pdfs/GRE-1813-3.pdf#page=3","Abrir facsímil")</f>
        <v>Abrir facsímil</v>
      </c>
      <c r="K470" s="3" t="s">
        <v>22</v>
      </c>
    </row>
    <row r="471" spans="1:11" ht="42" customHeight="1">
      <c r="A471" s="2" t="s">
        <v>1352</v>
      </c>
      <c r="B471" s="2" t="s">
        <v>1352</v>
      </c>
      <c r="C471" s="2" t="s">
        <v>16</v>
      </c>
      <c r="D471" s="2" t="s">
        <v>17</v>
      </c>
      <c r="E471" s="5">
        <v>-31768</v>
      </c>
      <c r="F471" s="3" t="s">
        <v>188</v>
      </c>
      <c r="G471" s="3" t="s">
        <v>19</v>
      </c>
      <c r="H471" s="2" t="s">
        <v>20</v>
      </c>
      <c r="I471" s="2" t="s">
        <v>1355</v>
      </c>
      <c r="J471" s="3" t="str">
        <f>HYPERLINK("https://www.boe.es/gazeta/dias/1813/01/07/pdfs/GRE-1813-3.pdf#page=4","Abrir facsímil")</f>
        <v>Abrir facsímil</v>
      </c>
      <c r="K471" s="3" t="s">
        <v>22</v>
      </c>
    </row>
    <row r="472" spans="1:11" ht="42" customHeight="1">
      <c r="A472" s="2" t="s">
        <v>1352</v>
      </c>
      <c r="B472" s="2" t="s">
        <v>1352</v>
      </c>
      <c r="C472" s="2" t="s">
        <v>16</v>
      </c>
      <c r="D472" s="2" t="s">
        <v>17</v>
      </c>
      <c r="E472" s="5">
        <v>-31766</v>
      </c>
      <c r="F472" s="3" t="s">
        <v>1356</v>
      </c>
      <c r="G472" s="3" t="s">
        <v>1357</v>
      </c>
      <c r="H472" s="2" t="s">
        <v>20</v>
      </c>
      <c r="I472" s="2" t="s">
        <v>1358</v>
      </c>
      <c r="J472" s="3" t="str">
        <f>HYPERLINK("https://www.boe.es/gazeta/dias/1813/01/09/pdfs/GRE-1813-4.pdf#page=3","Abrir facsímil")</f>
        <v>Abrir facsímil</v>
      </c>
      <c r="K472" s="3" t="s">
        <v>22</v>
      </c>
    </row>
    <row r="473" spans="1:11" ht="42" customHeight="1">
      <c r="A473" s="2" t="s">
        <v>1352</v>
      </c>
      <c r="B473" s="2" t="s">
        <v>1352</v>
      </c>
      <c r="C473" s="2" t="s">
        <v>16</v>
      </c>
      <c r="D473" s="2" t="s">
        <v>17</v>
      </c>
      <c r="E473" s="5">
        <v>-31741</v>
      </c>
      <c r="F473" s="3" t="s">
        <v>1359</v>
      </c>
      <c r="G473" s="3" t="s">
        <v>54</v>
      </c>
      <c r="H473" s="2" t="s">
        <v>20</v>
      </c>
      <c r="I473" s="2" t="s">
        <v>1360</v>
      </c>
      <c r="J473" s="3" t="str">
        <f>HYPERLINK("https://www.boe.es/gazeta/dias/1813/02/03/pdfs/GMD-1813-34.pdf#page=3","Abrir facsímil")</f>
        <v>Abrir facsímil</v>
      </c>
      <c r="K473" s="3" t="s">
        <v>22</v>
      </c>
    </row>
    <row r="474" spans="1:11" ht="42" customHeight="1">
      <c r="A474" s="2" t="s">
        <v>1352</v>
      </c>
      <c r="B474" s="2" t="s">
        <v>1352</v>
      </c>
      <c r="C474" s="2" t="s">
        <v>16</v>
      </c>
      <c r="D474" s="2" t="s">
        <v>17</v>
      </c>
      <c r="E474" s="5">
        <v>-31504</v>
      </c>
      <c r="F474" s="3" t="s">
        <v>1361</v>
      </c>
      <c r="G474" s="3" t="s">
        <v>54</v>
      </c>
      <c r="H474" s="2" t="s">
        <v>20</v>
      </c>
      <c r="I474" s="2" t="s">
        <v>1362</v>
      </c>
      <c r="J474" s="3" t="str">
        <f>HYPERLINK("https://www.boe.es/gazeta/dias/1813/09/28/pdfs/GMR-1813-50.pdf#page=3","Abrir facsímil")</f>
        <v>Abrir facsímil</v>
      </c>
      <c r="K474" s="3" t="s">
        <v>22</v>
      </c>
    </row>
    <row r="475" spans="1:11" ht="42" customHeight="1">
      <c r="A475" s="2" t="s">
        <v>1352</v>
      </c>
      <c r="B475" s="2" t="s">
        <v>1352</v>
      </c>
      <c r="C475" s="2" t="s">
        <v>16</v>
      </c>
      <c r="D475" s="2" t="s">
        <v>17</v>
      </c>
      <c r="E475" s="5">
        <v>-31502</v>
      </c>
      <c r="F475" s="3" t="s">
        <v>1363</v>
      </c>
      <c r="G475" s="3" t="s">
        <v>19</v>
      </c>
      <c r="H475" s="2" t="s">
        <v>20</v>
      </c>
      <c r="I475" s="2" t="s">
        <v>1364</v>
      </c>
      <c r="J475" s="3" t="str">
        <f>HYPERLINK("https://www.boe.es/gazeta/dias/1813/09/30/pdfs/GRE-1813-128.pdf#page=4","Abrir facsímil")</f>
        <v>Abrir facsímil</v>
      </c>
      <c r="K475" s="3" t="s">
        <v>22</v>
      </c>
    </row>
    <row r="476" spans="1:11" ht="42" customHeight="1">
      <c r="A476" s="2" t="s">
        <v>1352</v>
      </c>
      <c r="B476" s="2" t="s">
        <v>1352</v>
      </c>
      <c r="C476" s="2" t="s">
        <v>16</v>
      </c>
      <c r="D476" s="2" t="s">
        <v>17</v>
      </c>
      <c r="E476" s="5">
        <v>-31444</v>
      </c>
      <c r="F476" s="3" t="s">
        <v>389</v>
      </c>
      <c r="G476" s="3" t="s">
        <v>1365</v>
      </c>
      <c r="H476" s="2" t="s">
        <v>20</v>
      </c>
      <c r="I476" s="2" t="s">
        <v>1366</v>
      </c>
      <c r="J476" s="3" t="str">
        <f>HYPERLINK("https://www.boe.es/gazeta/dias/1813/11/27/pdfs/GMR-1813-80.pdf#page=5","Abrir facsímil")</f>
        <v>Abrir facsímil</v>
      </c>
      <c r="K476" s="3" t="s">
        <v>22</v>
      </c>
    </row>
    <row r="477" spans="1:11" ht="42" customHeight="1">
      <c r="A477" s="2" t="s">
        <v>1352</v>
      </c>
      <c r="B477" s="2" t="s">
        <v>1352</v>
      </c>
      <c r="C477" s="2" t="s">
        <v>16</v>
      </c>
      <c r="D477" s="2" t="s">
        <v>17</v>
      </c>
      <c r="E477" s="5">
        <v>-31430</v>
      </c>
      <c r="F477" s="3" t="s">
        <v>1161</v>
      </c>
      <c r="G477" s="3" t="s">
        <v>87</v>
      </c>
      <c r="H477" s="2" t="s">
        <v>20</v>
      </c>
      <c r="I477" s="2" t="s">
        <v>1367</v>
      </c>
      <c r="J477" s="3" t="str">
        <f>HYPERLINK("https://www.boe.es/gazeta/dias/1813/12/11/pdfs/GMR-1813-86.pdf#page=7","Abrir facsímil")</f>
        <v>Abrir facsímil</v>
      </c>
      <c r="K477" s="3" t="s">
        <v>22</v>
      </c>
    </row>
    <row r="478" spans="1:11" ht="42" customHeight="1">
      <c r="A478" s="2" t="s">
        <v>1368</v>
      </c>
      <c r="B478" s="2" t="s">
        <v>1368</v>
      </c>
      <c r="C478" s="2" t="s">
        <v>16</v>
      </c>
      <c r="D478" s="2" t="s">
        <v>17</v>
      </c>
      <c r="E478" s="5">
        <v>-31542</v>
      </c>
      <c r="F478" s="3" t="s">
        <v>347</v>
      </c>
      <c r="G478" s="3" t="s">
        <v>54</v>
      </c>
      <c r="H478" s="2" t="s">
        <v>20</v>
      </c>
      <c r="I478" s="2" t="s">
        <v>1369</v>
      </c>
      <c r="J478" s="3" t="str">
        <f>HYPERLINK("https://www.boe.es/gazeta/dias/1813/08/21/pdfs/GMR-1813-31.pdf#page=3","Abrir facsímil")</f>
        <v>Abrir facsímil</v>
      </c>
      <c r="K478" s="3" t="s">
        <v>22</v>
      </c>
    </row>
    <row r="479" spans="1:11" ht="42" customHeight="1">
      <c r="A479" s="2" t="s">
        <v>1370</v>
      </c>
      <c r="B479" s="2" t="s">
        <v>1371</v>
      </c>
      <c r="C479" s="2" t="s">
        <v>25</v>
      </c>
      <c r="D479" s="2" t="s">
        <v>26</v>
      </c>
      <c r="E479" s="5">
        <v>-31745</v>
      </c>
      <c r="F479" s="3" t="s">
        <v>445</v>
      </c>
      <c r="G479" s="3" t="s">
        <v>28</v>
      </c>
      <c r="H479" s="2" t="s">
        <v>20</v>
      </c>
      <c r="I479" s="2" t="s">
        <v>1372</v>
      </c>
      <c r="J479" s="3" t="str">
        <f>HYPERLINK("https://www.boe.es/gazeta/dias/1813/01/30/pdfs/GRE-1813-13.pdf#page=8","Abrir facsímil")</f>
        <v>Abrir facsímil</v>
      </c>
      <c r="K479" s="3" t="s">
        <v>22</v>
      </c>
    </row>
    <row r="480" spans="1:11" ht="42" customHeight="1">
      <c r="A480" s="2" t="s">
        <v>1373</v>
      </c>
      <c r="B480" s="2" t="s">
        <v>1374</v>
      </c>
      <c r="C480" s="2" t="s">
        <v>16</v>
      </c>
      <c r="D480" s="2" t="s">
        <v>17</v>
      </c>
      <c r="E480" s="5">
        <v>-31719</v>
      </c>
      <c r="F480" s="3" t="s">
        <v>251</v>
      </c>
      <c r="G480" s="3" t="s">
        <v>19</v>
      </c>
      <c r="H480" s="2" t="s">
        <v>20</v>
      </c>
      <c r="I480" s="2" t="s">
        <v>1375</v>
      </c>
      <c r="J480" s="3" t="str">
        <f>HYPERLINK("https://www.boe.es/gazeta/dias/1813/02/25/pdfs/GMD-1813-56.pdf#page=4","Abrir facsímil")</f>
        <v>Abrir facsímil</v>
      </c>
      <c r="K480" s="3" t="s">
        <v>22</v>
      </c>
    </row>
    <row r="481" spans="1:11" ht="42" customHeight="1">
      <c r="A481" s="2" t="s">
        <v>1376</v>
      </c>
      <c r="B481" s="2" t="s">
        <v>1376</v>
      </c>
      <c r="C481" s="2" t="s">
        <v>16</v>
      </c>
      <c r="D481" s="2" t="s">
        <v>17</v>
      </c>
      <c r="E481" s="5">
        <v>-31726</v>
      </c>
      <c r="F481" s="3" t="s">
        <v>533</v>
      </c>
      <c r="G481" s="3" t="s">
        <v>1377</v>
      </c>
      <c r="H481" s="2" t="s">
        <v>20</v>
      </c>
      <c r="I481" s="2" t="s">
        <v>1378</v>
      </c>
      <c r="J481" s="3" t="str">
        <f>HYPERLINK("https://www.boe.es/gazeta/dias/1813/02/18/pdfs/GRE-1813-21.pdf#page=3","Abrir facsímil")</f>
        <v>Abrir facsímil</v>
      </c>
      <c r="K481" s="3" t="s">
        <v>22</v>
      </c>
    </row>
    <row r="482" spans="1:11" ht="42" customHeight="1">
      <c r="A482" s="2" t="s">
        <v>1379</v>
      </c>
      <c r="B482" s="2" t="s">
        <v>1380</v>
      </c>
      <c r="C482" s="2" t="s">
        <v>34</v>
      </c>
      <c r="D482" s="2" t="s">
        <v>35</v>
      </c>
      <c r="E482" s="5">
        <v>-31709</v>
      </c>
      <c r="F482" s="3" t="s">
        <v>36</v>
      </c>
      <c r="G482" s="3" t="s">
        <v>19</v>
      </c>
      <c r="H482" s="2" t="s">
        <v>20</v>
      </c>
      <c r="I482" s="2" t="s">
        <v>1381</v>
      </c>
      <c r="J482" s="3" t="str">
        <f>HYPERLINK("https://www.boe.es/gazeta/dias/1813/03/07/pdfs/GMD-1813-66.pdf#page=4","Abrir facsímil")</f>
        <v>Abrir facsímil</v>
      </c>
      <c r="K482" s="3" t="s">
        <v>22</v>
      </c>
    </row>
    <row r="483" spans="1:11" ht="42" customHeight="1">
      <c r="A483" s="2" t="s">
        <v>1382</v>
      </c>
      <c r="B483" s="2" t="s">
        <v>1383</v>
      </c>
      <c r="C483" s="2" t="s">
        <v>34</v>
      </c>
      <c r="D483" s="2" t="s">
        <v>35</v>
      </c>
      <c r="E483" s="5">
        <v>-31689</v>
      </c>
      <c r="F483" s="3" t="s">
        <v>48</v>
      </c>
      <c r="G483" s="3" t="s">
        <v>49</v>
      </c>
      <c r="H483" s="2" t="s">
        <v>20</v>
      </c>
      <c r="I483" s="2" t="s">
        <v>1384</v>
      </c>
      <c r="J483" s="3" t="str">
        <f>HYPERLINK("https://www.boe.es/gazeta/dias/1813/03/27/pdfs/GRE-1813-38.pdf#page=7","Abrir facsímil")</f>
        <v>Abrir facsímil</v>
      </c>
      <c r="K483" s="3" t="s">
        <v>22</v>
      </c>
    </row>
    <row r="484" spans="1:11" ht="42" customHeight="1">
      <c r="A484" s="2" t="s">
        <v>1385</v>
      </c>
      <c r="B484" s="2" t="s">
        <v>1385</v>
      </c>
      <c r="C484" s="2" t="s">
        <v>16</v>
      </c>
      <c r="D484" s="2" t="s">
        <v>17</v>
      </c>
      <c r="E484" s="5">
        <v>-31525</v>
      </c>
      <c r="F484" s="3" t="s">
        <v>135</v>
      </c>
      <c r="G484" s="3" t="s">
        <v>54</v>
      </c>
      <c r="H484" s="2" t="s">
        <v>20</v>
      </c>
      <c r="I484" s="2" t="s">
        <v>1386</v>
      </c>
      <c r="J484" s="3" t="str">
        <f>HYPERLINK("https://www.boe.es/gazeta/dias/1813/09/07/pdfs/GMR-1813-38.pdf#page=3","Abrir facsímil")</f>
        <v>Abrir facsímil</v>
      </c>
      <c r="K484" s="3" t="s">
        <v>22</v>
      </c>
    </row>
    <row r="485" spans="1:11" ht="42" customHeight="1">
      <c r="A485" s="2" t="s">
        <v>1387</v>
      </c>
      <c r="B485" s="2" t="s">
        <v>1388</v>
      </c>
      <c r="C485" s="2" t="s">
        <v>16</v>
      </c>
      <c r="D485" s="2" t="s">
        <v>17</v>
      </c>
      <c r="E485" s="5">
        <v>-31665</v>
      </c>
      <c r="F485" s="3" t="s">
        <v>396</v>
      </c>
      <c r="G485" s="3" t="s">
        <v>95</v>
      </c>
      <c r="H485" s="2" t="s">
        <v>20</v>
      </c>
      <c r="I485" s="2" t="s">
        <v>1389</v>
      </c>
      <c r="J485" s="3" t="str">
        <f>HYPERLINK("https://www.boe.es/gazeta/dias/1813/04/20/pdfs/GRE-1813-49.pdf#page=6","Abrir facsímil")</f>
        <v>Abrir facsímil</v>
      </c>
      <c r="K485" s="3" t="s">
        <v>22</v>
      </c>
    </row>
    <row r="486" spans="1:11" ht="42" customHeight="1">
      <c r="A486" s="2" t="s">
        <v>1390</v>
      </c>
      <c r="B486" s="2" t="s">
        <v>1391</v>
      </c>
      <c r="C486" s="2" t="s">
        <v>16</v>
      </c>
      <c r="D486" s="2" t="s">
        <v>17</v>
      </c>
      <c r="E486" s="5">
        <v>-31465</v>
      </c>
      <c r="F486" s="3" t="s">
        <v>407</v>
      </c>
      <c r="G486" s="3" t="s">
        <v>19</v>
      </c>
      <c r="H486" s="2" t="s">
        <v>20</v>
      </c>
      <c r="I486" s="2" t="s">
        <v>1392</v>
      </c>
      <c r="J486" s="3" t="str">
        <f>HYPERLINK("https://www.boe.es/gazeta/dias/1813/11/06/pdfs/GMR-1813-70.pdf#page=4","Abrir facsímil")</f>
        <v>Abrir facsímil</v>
      </c>
      <c r="K486" s="3" t="s">
        <v>22</v>
      </c>
    </row>
    <row r="487" spans="1:11" ht="42" customHeight="1">
      <c r="A487" s="2" t="s">
        <v>1393</v>
      </c>
      <c r="B487" s="2" t="s">
        <v>1393</v>
      </c>
      <c r="C487" s="2" t="s">
        <v>277</v>
      </c>
      <c r="D487" s="2" t="s">
        <v>26</v>
      </c>
      <c r="E487" s="5">
        <v>-31528</v>
      </c>
      <c r="F487" s="3" t="s">
        <v>141</v>
      </c>
      <c r="G487" s="3" t="s">
        <v>95</v>
      </c>
      <c r="H487" s="2" t="s">
        <v>20</v>
      </c>
      <c r="I487" s="2" t="s">
        <v>1394</v>
      </c>
      <c r="J487" s="3" t="str">
        <f>HYPERLINK("https://www.boe.es/gazeta/dias/1813/09/04/pdfs/GMR-1813-37.pdf#page=6","Abrir facsímil")</f>
        <v>Abrir facsímil</v>
      </c>
      <c r="K487" s="3" t="s">
        <v>22</v>
      </c>
    </row>
    <row r="488" spans="1:11" ht="42" customHeight="1">
      <c r="A488" s="2" t="s">
        <v>1395</v>
      </c>
      <c r="B488" s="2" t="s">
        <v>1396</v>
      </c>
      <c r="C488" s="2" t="s">
        <v>25</v>
      </c>
      <c r="D488" s="2" t="s">
        <v>26</v>
      </c>
      <c r="E488" s="5">
        <v>-31745</v>
      </c>
      <c r="F488" s="3" t="s">
        <v>445</v>
      </c>
      <c r="G488" s="3" t="s">
        <v>28</v>
      </c>
      <c r="H488" s="2" t="s">
        <v>20</v>
      </c>
      <c r="I488" s="2" t="s">
        <v>1397</v>
      </c>
      <c r="J488" s="3" t="str">
        <f>HYPERLINK("https://www.boe.es/gazeta/dias/1813/01/30/pdfs/GRE-1813-13.pdf#page=8","Abrir facsímil")</f>
        <v>Abrir facsímil</v>
      </c>
      <c r="K488" s="3" t="s">
        <v>22</v>
      </c>
    </row>
    <row r="489" spans="1:11" ht="42" customHeight="1">
      <c r="A489" s="2" t="s">
        <v>1398</v>
      </c>
      <c r="B489" s="2" t="s">
        <v>1398</v>
      </c>
      <c r="C489" s="2" t="s">
        <v>16</v>
      </c>
      <c r="D489" s="2" t="s">
        <v>97</v>
      </c>
      <c r="E489" s="5">
        <v>-31519</v>
      </c>
      <c r="F489" s="3" t="s">
        <v>312</v>
      </c>
      <c r="G489" s="3" t="s">
        <v>58</v>
      </c>
      <c r="H489" s="2" t="s">
        <v>20</v>
      </c>
      <c r="I489" s="2" t="s">
        <v>1399</v>
      </c>
      <c r="J489" s="3" t="str">
        <f>HYPERLINK("https://www.boe.es/gazeta/dias/1813/09/13/pdfs/GRE-1813-118E.pdf#page=2","Abrir facsímil")</f>
        <v>Abrir facsímil</v>
      </c>
      <c r="K489" s="3" t="s">
        <v>22</v>
      </c>
    </row>
    <row r="490" spans="1:11" ht="42" customHeight="1">
      <c r="A490" s="2" t="s">
        <v>1400</v>
      </c>
      <c r="B490" s="2" t="s">
        <v>1400</v>
      </c>
      <c r="C490" s="2" t="s">
        <v>16</v>
      </c>
      <c r="D490" s="2" t="s">
        <v>17</v>
      </c>
      <c r="E490" s="5">
        <v>-31592</v>
      </c>
      <c r="F490" s="3" t="s">
        <v>175</v>
      </c>
      <c r="G490" s="3" t="s">
        <v>82</v>
      </c>
      <c r="H490" s="2" t="s">
        <v>20</v>
      </c>
      <c r="I490" s="2" t="s">
        <v>1401</v>
      </c>
      <c r="J490" s="3" t="str">
        <f>HYPERLINK("https://www.boe.es/gazeta/dias/1813/07/02/pdfs/GRE-1813-82.pdf#page=5","Abrir facsímil")</f>
        <v>Abrir facsímil</v>
      </c>
      <c r="K490" s="3" t="s">
        <v>22</v>
      </c>
    </row>
    <row r="491" spans="1:11" ht="42" customHeight="1">
      <c r="A491" s="2" t="s">
        <v>1400</v>
      </c>
      <c r="B491" s="2" t="s">
        <v>1400</v>
      </c>
      <c r="C491" s="2" t="s">
        <v>16</v>
      </c>
      <c r="D491" s="2" t="s">
        <v>17</v>
      </c>
      <c r="E491" s="5">
        <v>-31585</v>
      </c>
      <c r="F491" s="3" t="s">
        <v>177</v>
      </c>
      <c r="G491" s="3" t="s">
        <v>178</v>
      </c>
      <c r="H491" s="2" t="s">
        <v>20</v>
      </c>
      <c r="I491" s="2" t="s">
        <v>1402</v>
      </c>
      <c r="J491" s="3" t="str">
        <f>HYPERLINK("https://www.boe.es/gazeta/dias/1813/07/09/pdfs/GMR-1813-16.pdf#page=11","Abrir facsímil")</f>
        <v>Abrir facsímil</v>
      </c>
      <c r="K491" s="3" t="s">
        <v>22</v>
      </c>
    </row>
    <row r="492" spans="1:11" ht="42" customHeight="1">
      <c r="A492" s="2" t="s">
        <v>1403</v>
      </c>
      <c r="B492" s="2" t="s">
        <v>1403</v>
      </c>
      <c r="C492" s="2" t="s">
        <v>16</v>
      </c>
      <c r="D492" s="2" t="s">
        <v>17</v>
      </c>
      <c r="E492" s="5">
        <v>-31448</v>
      </c>
      <c r="F492" s="3" t="s">
        <v>325</v>
      </c>
      <c r="G492" s="3" t="s">
        <v>178</v>
      </c>
      <c r="H492" s="2" t="s">
        <v>20</v>
      </c>
      <c r="I492" s="2" t="s">
        <v>1404</v>
      </c>
      <c r="J492" s="3" t="str">
        <f>HYPERLINK("https://www.boe.es/gazeta/dias/1813/11/23/pdfs/GMR-1813-78.pdf#page=11","Abrir facsímil")</f>
        <v>Abrir facsímil</v>
      </c>
      <c r="K492" s="3" t="s">
        <v>22</v>
      </c>
    </row>
    <row r="493" spans="1:11" ht="42" customHeight="1">
      <c r="A493" s="2" t="s">
        <v>1405</v>
      </c>
      <c r="B493" s="2" t="s">
        <v>1405</v>
      </c>
      <c r="C493" s="2" t="s">
        <v>16</v>
      </c>
      <c r="D493" s="2" t="s">
        <v>17</v>
      </c>
      <c r="E493" s="5">
        <v>-31525</v>
      </c>
      <c r="F493" s="3" t="s">
        <v>1131</v>
      </c>
      <c r="G493" s="3" t="s">
        <v>1406</v>
      </c>
      <c r="H493" s="2" t="s">
        <v>20</v>
      </c>
      <c r="I493" s="2" t="s">
        <v>1407</v>
      </c>
      <c r="J493" s="3" t="str">
        <f>HYPERLINK("https://www.boe.es/gazeta/dias/1813/09/07/pdfs/GRE-1813-114.pdf#page=5","Abrir facsímil")</f>
        <v>Abrir facsímil</v>
      </c>
      <c r="K493" s="3" t="s">
        <v>22</v>
      </c>
    </row>
    <row r="494" spans="1:11" ht="42" customHeight="1">
      <c r="A494" s="2" t="s">
        <v>1405</v>
      </c>
      <c r="B494" s="2" t="s">
        <v>1405</v>
      </c>
      <c r="C494" s="2" t="s">
        <v>16</v>
      </c>
      <c r="D494" s="2" t="s">
        <v>97</v>
      </c>
      <c r="E494" s="5">
        <v>-31479</v>
      </c>
      <c r="F494" s="3" t="s">
        <v>290</v>
      </c>
      <c r="G494" s="3" t="s">
        <v>82</v>
      </c>
      <c r="H494" s="2" t="s">
        <v>20</v>
      </c>
      <c r="I494" s="2" t="s">
        <v>1408</v>
      </c>
      <c r="J494" s="3" t="str">
        <f>HYPERLINK("https://www.boe.es/gazeta/dias/1813/10/23/pdfs/GRE-1813-139E.pdf#page=5","Abrir facsímil")</f>
        <v>Abrir facsímil</v>
      </c>
      <c r="K494" s="3" t="s">
        <v>22</v>
      </c>
    </row>
    <row r="495" spans="1:11" ht="42" customHeight="1">
      <c r="A495" s="2" t="s">
        <v>1405</v>
      </c>
      <c r="B495" s="2" t="s">
        <v>1405</v>
      </c>
      <c r="C495" s="2" t="s">
        <v>16</v>
      </c>
      <c r="D495" s="2" t="s">
        <v>17</v>
      </c>
      <c r="E495" s="5">
        <v>-31465</v>
      </c>
      <c r="F495" s="3" t="s">
        <v>407</v>
      </c>
      <c r="G495" s="3" t="s">
        <v>82</v>
      </c>
      <c r="H495" s="2" t="s">
        <v>20</v>
      </c>
      <c r="I495" s="2" t="s">
        <v>1409</v>
      </c>
      <c r="J495" s="3" t="str">
        <f>HYPERLINK("https://www.boe.es/gazeta/dias/1813/11/06/pdfs/GMR-1813-70.pdf#page=5","Abrir facsímil")</f>
        <v>Abrir facsímil</v>
      </c>
      <c r="K495" s="3" t="s">
        <v>22</v>
      </c>
    </row>
    <row r="496" spans="1:11" ht="42" customHeight="1">
      <c r="A496" s="2" t="s">
        <v>1410</v>
      </c>
      <c r="B496" s="2" t="s">
        <v>1411</v>
      </c>
      <c r="C496" s="2" t="s">
        <v>16</v>
      </c>
      <c r="D496" s="2" t="s">
        <v>17</v>
      </c>
      <c r="E496" s="5">
        <v>-31525</v>
      </c>
      <c r="F496" s="3" t="s">
        <v>1131</v>
      </c>
      <c r="G496" s="3" t="s">
        <v>1406</v>
      </c>
      <c r="H496" s="2" t="s">
        <v>20</v>
      </c>
      <c r="I496" s="2" t="s">
        <v>1412</v>
      </c>
      <c r="J496" s="3" t="str">
        <f>HYPERLINK("https://www.boe.es/gazeta/dias/1813/09/07/pdfs/GRE-1813-114.pdf#page=5","Abrir facsímil")</f>
        <v>Abrir facsímil</v>
      </c>
      <c r="K496" s="3" t="s">
        <v>22</v>
      </c>
    </row>
    <row r="497" spans="1:11" ht="42" customHeight="1">
      <c r="A497" s="2" t="s">
        <v>1410</v>
      </c>
      <c r="B497" s="2" t="s">
        <v>1411</v>
      </c>
      <c r="C497" s="2" t="s">
        <v>16</v>
      </c>
      <c r="D497" s="2" t="s">
        <v>97</v>
      </c>
      <c r="E497" s="5">
        <v>-31479</v>
      </c>
      <c r="F497" s="3" t="s">
        <v>290</v>
      </c>
      <c r="G497" s="3" t="s">
        <v>19</v>
      </c>
      <c r="H497" s="2" t="s">
        <v>20</v>
      </c>
      <c r="I497" s="2" t="s">
        <v>1413</v>
      </c>
      <c r="J497" s="3" t="str">
        <f>HYPERLINK("https://www.boe.es/gazeta/dias/1813/10/23/pdfs/GRE-1813-139E.pdf#page=4","Abrir facsímil")</f>
        <v>Abrir facsímil</v>
      </c>
      <c r="K497" s="3" t="s">
        <v>22</v>
      </c>
    </row>
    <row r="498" spans="1:11" ht="42" customHeight="1">
      <c r="A498" s="2" t="s">
        <v>1410</v>
      </c>
      <c r="B498" s="2" t="s">
        <v>1411</v>
      </c>
      <c r="C498" s="2" t="s">
        <v>16</v>
      </c>
      <c r="D498" s="2" t="s">
        <v>97</v>
      </c>
      <c r="E498" s="5">
        <v>-31479</v>
      </c>
      <c r="F498" s="3" t="s">
        <v>290</v>
      </c>
      <c r="G498" s="3" t="s">
        <v>95</v>
      </c>
      <c r="H498" s="2" t="s">
        <v>20</v>
      </c>
      <c r="I498" s="2" t="s">
        <v>1414</v>
      </c>
      <c r="J498" s="3" t="str">
        <f>HYPERLINK("https://www.boe.es/gazeta/dias/1813/10/23/pdfs/GRE-1813-139E.pdf#page=6","Abrir facsímil")</f>
        <v>Abrir facsímil</v>
      </c>
      <c r="K498" s="3" t="s">
        <v>22</v>
      </c>
    </row>
    <row r="499" spans="1:11" ht="42" customHeight="1">
      <c r="A499" s="2" t="s">
        <v>1410</v>
      </c>
      <c r="B499" s="2" t="s">
        <v>1411</v>
      </c>
      <c r="C499" s="2" t="s">
        <v>16</v>
      </c>
      <c r="D499" s="2" t="s">
        <v>97</v>
      </c>
      <c r="E499" s="5">
        <v>-31479</v>
      </c>
      <c r="F499" s="3" t="s">
        <v>290</v>
      </c>
      <c r="G499" s="3" t="s">
        <v>87</v>
      </c>
      <c r="H499" s="2" t="s">
        <v>20</v>
      </c>
      <c r="I499" s="2" t="s">
        <v>1415</v>
      </c>
      <c r="J499" s="3" t="str">
        <f>HYPERLINK("https://www.boe.es/gazeta/dias/1813/10/23/pdfs/GRE-1813-139E.pdf#page=7","Abrir facsímil")</f>
        <v>Abrir facsímil</v>
      </c>
      <c r="K499" s="3" t="s">
        <v>22</v>
      </c>
    </row>
    <row r="500" spans="1:11" ht="42" customHeight="1">
      <c r="A500" s="2" t="s">
        <v>1416</v>
      </c>
      <c r="B500" s="2" t="s">
        <v>1417</v>
      </c>
      <c r="C500" s="2" t="s">
        <v>16</v>
      </c>
      <c r="D500" s="2" t="s">
        <v>17</v>
      </c>
      <c r="E500" s="5">
        <v>-31465</v>
      </c>
      <c r="F500" s="3" t="s">
        <v>407</v>
      </c>
      <c r="G500" s="3" t="s">
        <v>82</v>
      </c>
      <c r="H500" s="2" t="s">
        <v>20</v>
      </c>
      <c r="I500" s="2" t="s">
        <v>1418</v>
      </c>
      <c r="J500" s="3" t="str">
        <f>HYPERLINK("https://www.boe.es/gazeta/dias/1813/11/06/pdfs/GMR-1813-70.pdf#page=5","Abrir facsímil")</f>
        <v>Abrir facsímil</v>
      </c>
      <c r="K500" s="3" t="s">
        <v>22</v>
      </c>
    </row>
    <row r="501" spans="1:11" ht="42" customHeight="1">
      <c r="A501" s="2" t="s">
        <v>1416</v>
      </c>
      <c r="B501" s="2" t="s">
        <v>1417</v>
      </c>
      <c r="C501" s="2" t="s">
        <v>16</v>
      </c>
      <c r="D501" s="2" t="s">
        <v>17</v>
      </c>
      <c r="E501" s="5">
        <v>-31465</v>
      </c>
      <c r="F501" s="3" t="s">
        <v>407</v>
      </c>
      <c r="G501" s="3" t="s">
        <v>87</v>
      </c>
      <c r="H501" s="2" t="s">
        <v>20</v>
      </c>
      <c r="I501" s="2" t="s">
        <v>1419</v>
      </c>
      <c r="J501" s="3" t="str">
        <f>HYPERLINK("https://www.boe.es/gazeta/dias/1813/11/06/pdfs/GMR-1813-70.pdf#page=7","Abrir facsímil")</f>
        <v>Abrir facsímil</v>
      </c>
      <c r="K501" s="3" t="s">
        <v>22</v>
      </c>
    </row>
    <row r="502" spans="1:11" ht="42" customHeight="1">
      <c r="A502" s="2" t="s">
        <v>1420</v>
      </c>
      <c r="B502" s="2" t="s">
        <v>1421</v>
      </c>
      <c r="C502" s="2" t="s">
        <v>16</v>
      </c>
      <c r="D502" s="2" t="s">
        <v>97</v>
      </c>
      <c r="E502" s="5">
        <v>-31479</v>
      </c>
      <c r="F502" s="3" t="s">
        <v>290</v>
      </c>
      <c r="G502" s="3" t="s">
        <v>207</v>
      </c>
      <c r="H502" s="2" t="s">
        <v>20</v>
      </c>
      <c r="I502" s="2" t="s">
        <v>1422</v>
      </c>
      <c r="J502" s="3" t="str">
        <f>HYPERLINK("https://www.boe.es/gazeta/dias/1813/10/23/pdfs/GRE-1813-139E.pdf#page=10","Abrir facsímil")</f>
        <v>Abrir facsímil</v>
      </c>
      <c r="K502" s="3" t="s">
        <v>22</v>
      </c>
    </row>
    <row r="503" spans="1:11" ht="42" customHeight="1">
      <c r="A503" s="2" t="s">
        <v>1423</v>
      </c>
      <c r="B503" s="2" t="s">
        <v>1424</v>
      </c>
      <c r="C503" s="2" t="s">
        <v>25</v>
      </c>
      <c r="D503" s="2" t="s">
        <v>26</v>
      </c>
      <c r="E503" s="5">
        <v>-31752</v>
      </c>
      <c r="F503" s="3" t="s">
        <v>182</v>
      </c>
      <c r="G503" s="3" t="s">
        <v>183</v>
      </c>
      <c r="H503" s="2" t="s">
        <v>20</v>
      </c>
      <c r="I503" s="2" t="s">
        <v>1425</v>
      </c>
      <c r="J503" s="3" t="str">
        <f>HYPERLINK("https://www.boe.es/gazeta/dias/1813/01/23/pdfs/GRE-1813-10.pdf#page=8","Abrir facsímil")</f>
        <v>Abrir facsímil</v>
      </c>
      <c r="K503" s="3" t="s">
        <v>22</v>
      </c>
    </row>
    <row r="504" spans="1:11" ht="42" customHeight="1">
      <c r="A504" s="2" t="s">
        <v>1426</v>
      </c>
      <c r="B504" s="2" t="s">
        <v>1427</v>
      </c>
      <c r="C504" s="2" t="s">
        <v>16</v>
      </c>
      <c r="D504" s="2" t="s">
        <v>17</v>
      </c>
      <c r="E504" s="5">
        <v>-31504</v>
      </c>
      <c r="F504" s="3" t="s">
        <v>1361</v>
      </c>
      <c r="G504" s="3" t="s">
        <v>65</v>
      </c>
      <c r="H504" s="2" t="s">
        <v>29</v>
      </c>
      <c r="I504" s="2" t="s">
        <v>1428</v>
      </c>
      <c r="J504" s="3" t="str">
        <f>HYPERLINK("https://www.boe.es/gazeta/dias/1813/09/28/pdfs/GMR-1813-50.pdf#page=1","Abrir facsímil")</f>
        <v>Abrir facsímil</v>
      </c>
      <c r="K504" s="3" t="s">
        <v>31</v>
      </c>
    </row>
    <row r="505" spans="1:11" ht="42" customHeight="1">
      <c r="A505" s="2" t="s">
        <v>1429</v>
      </c>
      <c r="B505" s="2" t="s">
        <v>1430</v>
      </c>
      <c r="C505" s="2" t="s">
        <v>34</v>
      </c>
      <c r="D505" s="2" t="s">
        <v>35</v>
      </c>
      <c r="E505" s="5">
        <v>-31709</v>
      </c>
      <c r="F505" s="3" t="s">
        <v>36</v>
      </c>
      <c r="G505" s="3" t="s">
        <v>303</v>
      </c>
      <c r="H505" s="2" t="s">
        <v>20</v>
      </c>
      <c r="I505" s="2" t="s">
        <v>1431</v>
      </c>
      <c r="J505" s="3" t="str">
        <f>HYPERLINK("https://www.boe.es/gazeta/dias/1813/03/07/pdfs/GMD-1813-66.pdf#page=3","Abrir facsímil")</f>
        <v>Abrir facsímil</v>
      </c>
      <c r="K505" s="3" t="s">
        <v>22</v>
      </c>
    </row>
    <row r="506" spans="1:11" ht="42" customHeight="1">
      <c r="A506" s="2" t="s">
        <v>1432</v>
      </c>
      <c r="B506" s="2" t="s">
        <v>1433</v>
      </c>
      <c r="C506" s="2" t="s">
        <v>16</v>
      </c>
      <c r="D506" s="2" t="s">
        <v>17</v>
      </c>
      <c r="E506" s="5">
        <v>-31728</v>
      </c>
      <c r="F506" s="3" t="s">
        <v>1434</v>
      </c>
      <c r="G506" s="3" t="s">
        <v>87</v>
      </c>
      <c r="H506" s="2" t="s">
        <v>20</v>
      </c>
      <c r="I506" s="2" t="s">
        <v>1435</v>
      </c>
      <c r="J506" s="3" t="str">
        <f>HYPERLINK("https://www.boe.es/gazeta/dias/1813/02/16/pdfs/GRE-1813-20.pdf#page=7","Abrir facsímil")</f>
        <v>Abrir facsímil</v>
      </c>
      <c r="K506" s="3" t="s">
        <v>22</v>
      </c>
    </row>
    <row r="507" spans="1:11" ht="42" customHeight="1">
      <c r="A507" s="2" t="s">
        <v>1436</v>
      </c>
      <c r="B507" s="2" t="s">
        <v>1437</v>
      </c>
      <c r="C507" s="2" t="s">
        <v>25</v>
      </c>
      <c r="D507" s="2" t="s">
        <v>26</v>
      </c>
      <c r="E507" s="5">
        <v>-31677</v>
      </c>
      <c r="F507" s="3" t="s">
        <v>76</v>
      </c>
      <c r="G507" s="3" t="s">
        <v>28</v>
      </c>
      <c r="H507" s="2" t="s">
        <v>20</v>
      </c>
      <c r="I507" s="2" t="s">
        <v>1438</v>
      </c>
      <c r="J507" s="3" t="str">
        <f>HYPERLINK("https://www.boe.es/gazeta/dias/1813/04/08/pdfs/GRE-1813-43.pdf#page=8","Abrir facsímil")</f>
        <v>Abrir facsímil</v>
      </c>
      <c r="K507" s="3" t="s">
        <v>22</v>
      </c>
    </row>
    <row r="508" spans="1:11" ht="42" customHeight="1">
      <c r="A508" s="2" t="s">
        <v>1439</v>
      </c>
      <c r="B508" s="2" t="s">
        <v>1440</v>
      </c>
      <c r="C508" s="2" t="s">
        <v>187</v>
      </c>
      <c r="D508" s="2" t="s">
        <v>26</v>
      </c>
      <c r="E508" s="5">
        <v>-31689</v>
      </c>
      <c r="F508" s="3" t="s">
        <v>48</v>
      </c>
      <c r="G508" s="3" t="s">
        <v>162</v>
      </c>
      <c r="H508" s="2" t="s">
        <v>20</v>
      </c>
      <c r="I508" s="2" t="s">
        <v>1441</v>
      </c>
      <c r="J508" s="3" t="str">
        <f>HYPERLINK("https://www.boe.es/gazeta/dias/1813/03/27/pdfs/GRE-1813-38.pdf#page=8","Abrir facsímil")</f>
        <v>Abrir facsímil</v>
      </c>
      <c r="K508" s="3" t="s">
        <v>22</v>
      </c>
    </row>
    <row r="509" spans="1:11" ht="42" customHeight="1">
      <c r="A509" s="2" t="s">
        <v>1442</v>
      </c>
      <c r="B509" s="2" t="s">
        <v>1443</v>
      </c>
      <c r="C509" s="2" t="s">
        <v>34</v>
      </c>
      <c r="D509" s="2" t="s">
        <v>35</v>
      </c>
      <c r="E509" s="5">
        <v>-31546</v>
      </c>
      <c r="F509" s="3" t="s">
        <v>461</v>
      </c>
      <c r="G509" s="3" t="s">
        <v>87</v>
      </c>
      <c r="H509" s="2" t="s">
        <v>20</v>
      </c>
      <c r="I509" s="2" t="s">
        <v>1444</v>
      </c>
      <c r="J509" s="3" t="str">
        <f>HYPERLINK("https://www.boe.es/gazeta/dias/1813/08/17/pdfs/GMR-1813-29.pdf#page=7","Abrir facsímil")</f>
        <v>Abrir facsímil</v>
      </c>
      <c r="K509" s="3" t="s">
        <v>22</v>
      </c>
    </row>
    <row r="510" spans="1:11" ht="42" customHeight="1">
      <c r="A510" s="2" t="s">
        <v>1442</v>
      </c>
      <c r="B510" s="2" t="s">
        <v>1443</v>
      </c>
      <c r="C510" s="2" t="s">
        <v>25</v>
      </c>
      <c r="D510" s="2" t="s">
        <v>26</v>
      </c>
      <c r="E510" s="5">
        <v>-31467</v>
      </c>
      <c r="F510" s="3" t="s">
        <v>120</v>
      </c>
      <c r="G510" s="3" t="s">
        <v>58</v>
      </c>
      <c r="H510" s="2" t="s">
        <v>20</v>
      </c>
      <c r="I510" s="2" t="s">
        <v>1445</v>
      </c>
      <c r="J510" s="3" t="str">
        <f>HYPERLINK("https://www.boe.es/gazeta/dias/1813/11/04/pdfs/GMR-1813-68.pdf#page=2","Abrir facsímil")</f>
        <v>Abrir facsímil</v>
      </c>
      <c r="K510" s="3" t="s">
        <v>22</v>
      </c>
    </row>
    <row r="511" spans="1:11" ht="42" customHeight="1">
      <c r="A511" s="2" t="s">
        <v>1446</v>
      </c>
      <c r="B511" s="2" t="s">
        <v>1447</v>
      </c>
      <c r="C511" s="2" t="s">
        <v>187</v>
      </c>
      <c r="D511" s="2" t="s">
        <v>26</v>
      </c>
      <c r="E511" s="5">
        <v>-31689</v>
      </c>
      <c r="F511" s="3" t="s">
        <v>48</v>
      </c>
      <c r="G511" s="3" t="s">
        <v>162</v>
      </c>
      <c r="H511" s="2" t="s">
        <v>20</v>
      </c>
      <c r="I511" s="2" t="s">
        <v>1448</v>
      </c>
      <c r="J511" s="3" t="str">
        <f>HYPERLINK("https://www.boe.es/gazeta/dias/1813/03/27/pdfs/GRE-1813-38.pdf#page=8","Abrir facsímil")</f>
        <v>Abrir facsímil</v>
      </c>
      <c r="K511" s="3" t="s">
        <v>22</v>
      </c>
    </row>
    <row r="512" spans="1:11" ht="42" customHeight="1">
      <c r="A512" s="2" t="s">
        <v>1449</v>
      </c>
      <c r="B512" s="2" t="s">
        <v>1449</v>
      </c>
      <c r="C512" s="2" t="s">
        <v>34</v>
      </c>
      <c r="D512" s="2" t="s">
        <v>35</v>
      </c>
      <c r="E512" s="5">
        <v>-31698</v>
      </c>
      <c r="F512" s="3" t="s">
        <v>470</v>
      </c>
      <c r="G512" s="3" t="s">
        <v>65</v>
      </c>
      <c r="H512" s="2" t="s">
        <v>20</v>
      </c>
      <c r="I512" s="2" t="s">
        <v>1450</v>
      </c>
      <c r="J512" s="3" t="str">
        <f>HYPERLINK("https://www.boe.es/gazeta/dias/1813/03/18/pdfs/GRE-1813-34.pdf#page=1","Abrir facsímil")</f>
        <v>Abrir facsímil</v>
      </c>
      <c r="K512" s="3" t="s">
        <v>22</v>
      </c>
    </row>
    <row r="513" spans="1:11" ht="42" customHeight="1">
      <c r="A513" s="2" t="s">
        <v>1451</v>
      </c>
      <c r="B513" s="2" t="s">
        <v>1451</v>
      </c>
      <c r="C513" s="2" t="s">
        <v>16</v>
      </c>
      <c r="D513" s="2" t="s">
        <v>17</v>
      </c>
      <c r="E513" s="5">
        <v>-31469</v>
      </c>
      <c r="F513" s="3" t="s">
        <v>1452</v>
      </c>
      <c r="G513" s="3" t="s">
        <v>82</v>
      </c>
      <c r="H513" s="2" t="s">
        <v>20</v>
      </c>
      <c r="I513" s="2" t="s">
        <v>1453</v>
      </c>
      <c r="J513" s="3" t="str">
        <f>HYPERLINK("https://www.boe.es/gazeta/dias/1813/11/02/pdfs/GRE-1813-143.pdf#page=5","Abrir facsímil")</f>
        <v>Abrir facsímil</v>
      </c>
      <c r="K513" s="3" t="s">
        <v>22</v>
      </c>
    </row>
    <row r="514" spans="1:11" ht="42" customHeight="1">
      <c r="A514" s="2" t="s">
        <v>1451</v>
      </c>
      <c r="B514" s="2" t="s">
        <v>1451</v>
      </c>
      <c r="C514" s="2" t="s">
        <v>16</v>
      </c>
      <c r="D514" s="2" t="s">
        <v>17</v>
      </c>
      <c r="E514" s="5">
        <v>-31462</v>
      </c>
      <c r="F514" s="3" t="s">
        <v>1028</v>
      </c>
      <c r="G514" s="3" t="s">
        <v>58</v>
      </c>
      <c r="H514" s="2" t="s">
        <v>20</v>
      </c>
      <c r="I514" s="2" t="s">
        <v>1454</v>
      </c>
      <c r="J514" s="3" t="str">
        <f>HYPERLINK("https://www.boe.es/gazeta/dias/1813/11/09/pdfs/GMR-1813-71.pdf#page=2","Abrir facsímil")</f>
        <v>Abrir facsímil</v>
      </c>
      <c r="K514" s="3" t="s">
        <v>22</v>
      </c>
    </row>
    <row r="515" spans="1:11" ht="42" customHeight="1">
      <c r="A515" s="2" t="s">
        <v>1455</v>
      </c>
      <c r="B515" s="2" t="s">
        <v>1456</v>
      </c>
      <c r="C515" s="2" t="s">
        <v>187</v>
      </c>
      <c r="D515" s="2" t="s">
        <v>26</v>
      </c>
      <c r="E515" s="5">
        <v>-31497</v>
      </c>
      <c r="F515" s="3" t="s">
        <v>1457</v>
      </c>
      <c r="G515" s="3" t="s">
        <v>28</v>
      </c>
      <c r="H515" s="2" t="s">
        <v>29</v>
      </c>
      <c r="I515" s="2" t="s">
        <v>1458</v>
      </c>
      <c r="J515" s="3" t="str">
        <f>HYPERLINK("https://www.boe.es/gazeta/dias/1813/10/05/pdfs/GMR-1813-54.pdf#page=8","Abrir facsímil")</f>
        <v>Abrir facsímil</v>
      </c>
      <c r="K515" s="3" t="s">
        <v>31</v>
      </c>
    </row>
    <row r="516" spans="1:11" ht="42" customHeight="1">
      <c r="A516" s="2" t="s">
        <v>1459</v>
      </c>
      <c r="B516" s="2" t="s">
        <v>1460</v>
      </c>
      <c r="C516" s="2" t="s">
        <v>187</v>
      </c>
      <c r="D516" s="2" t="s">
        <v>26</v>
      </c>
      <c r="E516" s="5">
        <v>-31689</v>
      </c>
      <c r="F516" s="3" t="s">
        <v>48</v>
      </c>
      <c r="G516" s="3" t="s">
        <v>162</v>
      </c>
      <c r="H516" s="2" t="s">
        <v>29</v>
      </c>
      <c r="I516" s="2" t="s">
        <v>1461</v>
      </c>
      <c r="J516" s="3" t="str">
        <f>HYPERLINK("https://www.boe.es/gazeta/dias/1813/03/27/pdfs/GRE-1813-38.pdf#page=8","Abrir facsímil")</f>
        <v>Abrir facsímil</v>
      </c>
      <c r="K516" s="3" t="s">
        <v>31</v>
      </c>
    </row>
    <row r="517" spans="1:11" ht="42" customHeight="1">
      <c r="A517" s="2" t="s">
        <v>1462</v>
      </c>
      <c r="B517" s="2" t="s">
        <v>1463</v>
      </c>
      <c r="C517" s="2" t="s">
        <v>16</v>
      </c>
      <c r="D517" s="2" t="s">
        <v>17</v>
      </c>
      <c r="E517" s="5">
        <v>-31467</v>
      </c>
      <c r="F517" s="3" t="s">
        <v>1464</v>
      </c>
      <c r="G517" s="3" t="s">
        <v>28</v>
      </c>
      <c r="H517" s="2" t="s">
        <v>29</v>
      </c>
      <c r="I517" s="2" t="s">
        <v>1465</v>
      </c>
      <c r="J517" s="3" t="str">
        <f>HYPERLINK("https://www.boe.es/gazeta/dias/1813/11/04/pdfs/GRE-1813-144.pdf#page=8","Abrir facsímil")</f>
        <v>Abrir facsímil</v>
      </c>
      <c r="K517" s="3" t="s">
        <v>31</v>
      </c>
    </row>
    <row r="518" spans="1:11" ht="42" customHeight="1">
      <c r="A518" s="2" t="s">
        <v>1466</v>
      </c>
      <c r="B518" s="2" t="s">
        <v>1467</v>
      </c>
      <c r="C518" s="2" t="s">
        <v>16</v>
      </c>
      <c r="D518" s="2" t="s">
        <v>17</v>
      </c>
      <c r="E518" s="5">
        <v>-31460</v>
      </c>
      <c r="F518" s="3" t="s">
        <v>1468</v>
      </c>
      <c r="G518" s="3" t="s">
        <v>82</v>
      </c>
      <c r="H518" s="2" t="s">
        <v>29</v>
      </c>
      <c r="I518" s="2" t="s">
        <v>1469</v>
      </c>
      <c r="J518" s="3" t="str">
        <f>HYPERLINK("https://www.boe.es/gazeta/dias/1813/11/11/pdfs/GRE-1813-147.pdf#page=5","Abrir facsímil")</f>
        <v>Abrir facsímil</v>
      </c>
      <c r="K518" s="3" t="s">
        <v>31</v>
      </c>
    </row>
    <row r="519" spans="1:11" ht="42" customHeight="1">
      <c r="A519" s="2" t="s">
        <v>1470</v>
      </c>
      <c r="B519" s="2" t="s">
        <v>1470</v>
      </c>
      <c r="C519" s="2" t="s">
        <v>16</v>
      </c>
      <c r="D519" s="2" t="s">
        <v>17</v>
      </c>
      <c r="E519" s="5">
        <v>-31567</v>
      </c>
      <c r="F519" s="3" t="s">
        <v>1471</v>
      </c>
      <c r="G519" s="3" t="s">
        <v>28</v>
      </c>
      <c r="H519" s="2" t="s">
        <v>20</v>
      </c>
      <c r="I519" s="2" t="s">
        <v>1472</v>
      </c>
      <c r="J519" s="3" t="str">
        <f>HYPERLINK("https://www.boe.es/gazeta/dias/1813/07/27/pdfs/GRE-1813-95.pdf#page=8","Abrir facsímil")</f>
        <v>Abrir facsímil</v>
      </c>
      <c r="K519" s="3" t="s">
        <v>22</v>
      </c>
    </row>
    <row r="520" spans="1:11" ht="42" customHeight="1">
      <c r="A520" s="2" t="s">
        <v>1473</v>
      </c>
      <c r="B520" s="2" t="s">
        <v>1473</v>
      </c>
      <c r="C520" s="2" t="s">
        <v>16</v>
      </c>
      <c r="D520" s="2" t="s">
        <v>17</v>
      </c>
      <c r="E520" s="5">
        <v>-31537</v>
      </c>
      <c r="F520" s="3" t="s">
        <v>138</v>
      </c>
      <c r="G520" s="3" t="s">
        <v>1474</v>
      </c>
      <c r="H520" s="2" t="s">
        <v>20</v>
      </c>
      <c r="I520" s="2" t="s">
        <v>1475</v>
      </c>
      <c r="J520" s="3" t="str">
        <f>HYPERLINK("https://www.boe.es/gazeta/dias/1813/08/26/pdfs/GMR-1813-33.pdf#page=14","Abrir facsímil")</f>
        <v>Abrir facsímil</v>
      </c>
      <c r="K520" s="3" t="s">
        <v>22</v>
      </c>
    </row>
    <row r="521" spans="1:11" ht="42" customHeight="1">
      <c r="A521" s="2" t="s">
        <v>1470</v>
      </c>
      <c r="B521" s="2" t="s">
        <v>1470</v>
      </c>
      <c r="C521" s="2" t="s">
        <v>16</v>
      </c>
      <c r="D521" s="2" t="s">
        <v>17</v>
      </c>
      <c r="E521" s="5">
        <v>-31483</v>
      </c>
      <c r="F521" s="3" t="s">
        <v>1292</v>
      </c>
      <c r="G521" s="3" t="s">
        <v>1476</v>
      </c>
      <c r="H521" s="2" t="s">
        <v>20</v>
      </c>
      <c r="I521" s="2" t="s">
        <v>1477</v>
      </c>
      <c r="J521" s="3" t="str">
        <f>HYPERLINK("https://www.boe.es/gazeta/dias/1813/10/19/pdfs/GMR-1813-61.pdf#page=6","Abrir facsímil")</f>
        <v>Abrir facsímil</v>
      </c>
      <c r="K521" s="3" t="s">
        <v>22</v>
      </c>
    </row>
    <row r="522" spans="1:11" ht="42" customHeight="1">
      <c r="A522" s="2" t="s">
        <v>1478</v>
      </c>
      <c r="B522" s="2" t="s">
        <v>1478</v>
      </c>
      <c r="C522" s="2" t="s">
        <v>16</v>
      </c>
      <c r="D522" s="2" t="s">
        <v>17</v>
      </c>
      <c r="E522" s="5">
        <v>-31542</v>
      </c>
      <c r="F522" s="3" t="s">
        <v>337</v>
      </c>
      <c r="G522" s="3" t="s">
        <v>19</v>
      </c>
      <c r="H522" s="2" t="s">
        <v>20</v>
      </c>
      <c r="I522" s="2" t="s">
        <v>1479</v>
      </c>
      <c r="J522" s="3" t="str">
        <f>HYPERLINK("https://www.boe.es/gazeta/dias/1813/08/21/pdfs/GRE-1813-107.pdf#page=4","Abrir facsímil")</f>
        <v>Abrir facsímil</v>
      </c>
      <c r="K522" s="3" t="s">
        <v>22</v>
      </c>
    </row>
    <row r="523" spans="1:11" ht="42" customHeight="1">
      <c r="A523" s="2" t="s">
        <v>1480</v>
      </c>
      <c r="B523" s="2" t="s">
        <v>1481</v>
      </c>
      <c r="C523" s="2" t="s">
        <v>25</v>
      </c>
      <c r="D523" s="2" t="s">
        <v>26</v>
      </c>
      <c r="E523" s="5">
        <v>-31677</v>
      </c>
      <c r="F523" s="3" t="s">
        <v>76</v>
      </c>
      <c r="G523" s="3" t="s">
        <v>28</v>
      </c>
      <c r="H523" s="2" t="s">
        <v>20</v>
      </c>
      <c r="I523" s="2" t="s">
        <v>1482</v>
      </c>
      <c r="J523" s="3" t="str">
        <f>HYPERLINK("https://www.boe.es/gazeta/dias/1813/04/08/pdfs/GRE-1813-43.pdf#page=8","Abrir facsímil")</f>
        <v>Abrir facsímil</v>
      </c>
      <c r="K523" s="3" t="s">
        <v>22</v>
      </c>
    </row>
    <row r="524" spans="1:11" ht="42" customHeight="1">
      <c r="A524" s="2" t="s">
        <v>1483</v>
      </c>
      <c r="B524" s="2" t="s">
        <v>1484</v>
      </c>
      <c r="C524" s="2" t="s">
        <v>16</v>
      </c>
      <c r="D524" s="2" t="s">
        <v>17</v>
      </c>
      <c r="E524" s="5">
        <v>-31559</v>
      </c>
      <c r="F524" s="3" t="s">
        <v>1485</v>
      </c>
      <c r="G524" s="3" t="s">
        <v>1486</v>
      </c>
      <c r="H524" s="2" t="s">
        <v>20</v>
      </c>
      <c r="I524" s="2" t="s">
        <v>1487</v>
      </c>
      <c r="J524" s="3" t="str">
        <f>HYPERLINK("https://www.boe.es/gazeta/dias/1813/08/04/pdfs/GRE-1813-113.pdf#page=8","Abrir facsímil")</f>
        <v>Abrir facsímil</v>
      </c>
      <c r="K524" s="3" t="s">
        <v>22</v>
      </c>
    </row>
    <row r="525" spans="1:11" ht="42" customHeight="1">
      <c r="A525" s="2" t="s">
        <v>1483</v>
      </c>
      <c r="B525" s="2" t="s">
        <v>1484</v>
      </c>
      <c r="C525" s="2" t="s">
        <v>16</v>
      </c>
      <c r="D525" s="2" t="s">
        <v>17</v>
      </c>
      <c r="E525" s="5">
        <v>-31528</v>
      </c>
      <c r="F525" s="3" t="s">
        <v>1485</v>
      </c>
      <c r="G525" s="3" t="s">
        <v>1486</v>
      </c>
      <c r="H525" s="2" t="s">
        <v>20</v>
      </c>
      <c r="I525" s="2" t="s">
        <v>1487</v>
      </c>
      <c r="J525" s="3" t="str">
        <f>HYPERLINK("https://www.boe.es/gazeta/dias/1813/09/04/pdfs/GRE-1813-113.pdf#page=8","Abrir facsímil")</f>
        <v>Abrir facsímil</v>
      </c>
      <c r="K525" s="3" t="s">
        <v>22</v>
      </c>
    </row>
    <row r="526" spans="1:11" ht="42" customHeight="1">
      <c r="A526" s="2" t="s">
        <v>1488</v>
      </c>
      <c r="B526" s="2" t="s">
        <v>1489</v>
      </c>
      <c r="C526" s="2" t="s">
        <v>25</v>
      </c>
      <c r="D526" s="2" t="s">
        <v>26</v>
      </c>
      <c r="E526" s="5">
        <v>-31626</v>
      </c>
      <c r="F526" s="3" t="s">
        <v>64</v>
      </c>
      <c r="G526" s="3" t="s">
        <v>95</v>
      </c>
      <c r="H526" s="2" t="s">
        <v>20</v>
      </c>
      <c r="I526" s="2" t="s">
        <v>1490</v>
      </c>
      <c r="J526" s="3" t="str">
        <f>HYPERLINK("https://www.boe.es/gazeta/dias/1813/05/29/pdfs/GRE-1813-66.pdf#page=6","Abrir facsímil")</f>
        <v>Abrir facsímil</v>
      </c>
      <c r="K526" s="3" t="s">
        <v>22</v>
      </c>
    </row>
    <row r="527" spans="1:11" ht="42" customHeight="1">
      <c r="A527" s="2" t="s">
        <v>1491</v>
      </c>
      <c r="B527" s="2" t="s">
        <v>1491</v>
      </c>
      <c r="C527" s="2" t="s">
        <v>16</v>
      </c>
      <c r="D527" s="2" t="s">
        <v>17</v>
      </c>
      <c r="E527" s="5">
        <v>-31460</v>
      </c>
      <c r="F527" s="3" t="s">
        <v>599</v>
      </c>
      <c r="G527" s="3" t="s">
        <v>1492</v>
      </c>
      <c r="H527" s="2" t="s">
        <v>20</v>
      </c>
      <c r="I527" s="2" t="s">
        <v>1493</v>
      </c>
      <c r="J527" s="3" t="str">
        <f>HYPERLINK("https://www.boe.es/gazeta/dias/1813/11/11/pdfs/GMR-1813-72.pdf#page=4","Abrir facsímil")</f>
        <v>Abrir facsímil</v>
      </c>
      <c r="K527" s="3" t="s">
        <v>22</v>
      </c>
    </row>
    <row r="528" spans="1:11" ht="42" customHeight="1">
      <c r="A528" s="2" t="s">
        <v>1494</v>
      </c>
      <c r="B528" s="2" t="s">
        <v>1494</v>
      </c>
      <c r="C528" s="2" t="s">
        <v>16</v>
      </c>
      <c r="D528" s="2" t="s">
        <v>17</v>
      </c>
      <c r="E528" s="5">
        <v>-31724</v>
      </c>
      <c r="F528" s="3" t="s">
        <v>684</v>
      </c>
      <c r="G528" s="3" t="s">
        <v>1495</v>
      </c>
      <c r="H528" s="2" t="s">
        <v>20</v>
      </c>
      <c r="I528" s="2" t="s">
        <v>1496</v>
      </c>
      <c r="J528" s="3" t="str">
        <f>HYPERLINK("https://www.boe.es/gazeta/dias/1813/02/20/pdfs/GMD-1813-51.pdf#page=4","Abrir facsímil")</f>
        <v>Abrir facsímil</v>
      </c>
      <c r="K528" s="3" t="s">
        <v>22</v>
      </c>
    </row>
    <row r="529" spans="1:11" ht="42" customHeight="1">
      <c r="A529" s="2" t="s">
        <v>1497</v>
      </c>
      <c r="B529" s="2" t="s">
        <v>1497</v>
      </c>
      <c r="C529" s="2" t="s">
        <v>16</v>
      </c>
      <c r="D529" s="2" t="s">
        <v>17</v>
      </c>
      <c r="E529" s="5">
        <v>-31718</v>
      </c>
      <c r="F529" s="3" t="s">
        <v>1498</v>
      </c>
      <c r="G529" s="3" t="s">
        <v>65</v>
      </c>
      <c r="H529" s="2" t="s">
        <v>20</v>
      </c>
      <c r="I529" s="2" t="s">
        <v>1499</v>
      </c>
      <c r="J529" s="3" t="str">
        <f>HYPERLINK("https://www.boe.es/gazeta/dias/1813/02/26/pdfs/GMD-1813-57.pdf#page=1","Abrir facsímil")</f>
        <v>Abrir facsímil</v>
      </c>
      <c r="K529" s="3" t="s">
        <v>22</v>
      </c>
    </row>
    <row r="530" spans="1:11" ht="42" customHeight="1">
      <c r="A530" s="2" t="s">
        <v>1500</v>
      </c>
      <c r="B530" s="2" t="s">
        <v>1501</v>
      </c>
      <c r="C530" s="2" t="s">
        <v>34</v>
      </c>
      <c r="D530" s="2" t="s">
        <v>35</v>
      </c>
      <c r="E530" s="5">
        <v>-31474</v>
      </c>
      <c r="F530" s="3" t="s">
        <v>1082</v>
      </c>
      <c r="G530" s="3" t="s">
        <v>28</v>
      </c>
      <c r="H530" s="2" t="s">
        <v>20</v>
      </c>
      <c r="I530" s="2" t="s">
        <v>1502</v>
      </c>
      <c r="J530" s="3" t="str">
        <f>HYPERLINK("https://www.boe.es/gazeta/dias/1813/10/28/pdfs/GMR-1813-65.pdf#page=8","Abrir facsímil")</f>
        <v>Abrir facsímil</v>
      </c>
      <c r="K530" s="3" t="s">
        <v>22</v>
      </c>
    </row>
    <row r="531" spans="1:11" ht="42" customHeight="1">
      <c r="A531" s="2" t="s">
        <v>1503</v>
      </c>
      <c r="B531" s="2" t="s">
        <v>1504</v>
      </c>
      <c r="C531" s="2" t="s">
        <v>16</v>
      </c>
      <c r="D531" s="2" t="s">
        <v>17</v>
      </c>
      <c r="E531" s="5">
        <v>-31766</v>
      </c>
      <c r="F531" s="3" t="s">
        <v>1356</v>
      </c>
      <c r="G531" s="3" t="s">
        <v>28</v>
      </c>
      <c r="H531" s="2" t="s">
        <v>20</v>
      </c>
      <c r="I531" s="2" t="s">
        <v>1505</v>
      </c>
      <c r="J531" s="3" t="str">
        <f>HYPERLINK("https://www.boe.es/gazeta/dias/1813/01/09/pdfs/GRE-1813-4.pdf#page=8","Abrir facsímil")</f>
        <v>Abrir facsímil</v>
      </c>
      <c r="K531" s="3" t="s">
        <v>22</v>
      </c>
    </row>
    <row r="532" spans="1:11" ht="42" customHeight="1">
      <c r="A532" s="2" t="s">
        <v>1506</v>
      </c>
      <c r="B532" s="2" t="s">
        <v>1506</v>
      </c>
      <c r="C532" s="2" t="s">
        <v>16</v>
      </c>
      <c r="D532" s="2" t="s">
        <v>17</v>
      </c>
      <c r="E532" s="5">
        <v>-31763</v>
      </c>
      <c r="F532" s="3" t="s">
        <v>668</v>
      </c>
      <c r="G532" s="3" t="s">
        <v>82</v>
      </c>
      <c r="H532" s="2" t="s">
        <v>20</v>
      </c>
      <c r="I532" s="2" t="s">
        <v>1507</v>
      </c>
      <c r="J532" s="3" t="str">
        <f>HYPERLINK("https://www.boe.es/gazeta/dias/1813/01/12/pdfs/GRE-1813-5.pdf#page=5","Abrir facsímil")</f>
        <v>Abrir facsímil</v>
      </c>
      <c r="K532" s="3" t="s">
        <v>22</v>
      </c>
    </row>
    <row r="533" spans="1:11" ht="42" customHeight="1">
      <c r="A533" s="2" t="s">
        <v>1508</v>
      </c>
      <c r="B533" s="2" t="s">
        <v>1509</v>
      </c>
      <c r="C533" s="2" t="s">
        <v>25</v>
      </c>
      <c r="D533" s="2" t="s">
        <v>26</v>
      </c>
      <c r="E533" s="5">
        <v>-31752</v>
      </c>
      <c r="F533" s="3" t="s">
        <v>182</v>
      </c>
      <c r="G533" s="3" t="s">
        <v>183</v>
      </c>
      <c r="H533" s="2" t="s">
        <v>20</v>
      </c>
      <c r="I533" s="2" t="s">
        <v>1510</v>
      </c>
      <c r="J533" s="3" t="str">
        <f>HYPERLINK("https://www.boe.es/gazeta/dias/1813/01/23/pdfs/GRE-1813-10.pdf#page=8","Abrir facsímil")</f>
        <v>Abrir facsímil</v>
      </c>
      <c r="K533" s="3" t="s">
        <v>22</v>
      </c>
    </row>
    <row r="534" spans="1:11" ht="42" customHeight="1">
      <c r="A534" s="2" t="s">
        <v>1511</v>
      </c>
      <c r="B534" s="2" t="s">
        <v>1511</v>
      </c>
      <c r="C534" s="2" t="s">
        <v>16</v>
      </c>
      <c r="D534" s="2" t="s">
        <v>17</v>
      </c>
      <c r="E534" s="5">
        <v>-31752</v>
      </c>
      <c r="F534" s="3" t="s">
        <v>182</v>
      </c>
      <c r="G534" s="3" t="s">
        <v>87</v>
      </c>
      <c r="H534" s="2" t="s">
        <v>20</v>
      </c>
      <c r="I534" s="2" t="s">
        <v>1512</v>
      </c>
      <c r="J534" s="3" t="str">
        <f>HYPERLINK("https://www.boe.es/gazeta/dias/1813/01/23/pdfs/GRE-1813-10.pdf#page=7","Abrir facsímil")</f>
        <v>Abrir facsímil</v>
      </c>
      <c r="K534" s="3" t="s">
        <v>22</v>
      </c>
    </row>
    <row r="535" spans="1:11" ht="42" customHeight="1">
      <c r="A535" s="2" t="s">
        <v>1513</v>
      </c>
      <c r="B535" s="2" t="s">
        <v>1514</v>
      </c>
      <c r="C535" s="2" t="s">
        <v>34</v>
      </c>
      <c r="D535" s="2" t="s">
        <v>35</v>
      </c>
      <c r="E535" s="5">
        <v>-31749</v>
      </c>
      <c r="F535" s="3" t="s">
        <v>1515</v>
      </c>
      <c r="G535" s="3" t="s">
        <v>1516</v>
      </c>
      <c r="H535" s="2" t="s">
        <v>20</v>
      </c>
      <c r="I535" s="2" t="s">
        <v>1517</v>
      </c>
      <c r="J535" s="3" t="str">
        <f>HYPERLINK("https://www.boe.es/gazeta/dias/1813/01/26/pdfs/GRE-1813-11.pdf#page=5","Abrir facsímil")</f>
        <v>Abrir facsímil</v>
      </c>
      <c r="K535" s="3" t="s">
        <v>22</v>
      </c>
    </row>
    <row r="536" spans="1:11" ht="42" customHeight="1">
      <c r="A536" s="2" t="s">
        <v>1518</v>
      </c>
      <c r="B536" s="2" t="s">
        <v>1518</v>
      </c>
      <c r="C536" s="2" t="s">
        <v>16</v>
      </c>
      <c r="D536" s="2" t="s">
        <v>17</v>
      </c>
      <c r="E536" s="5">
        <v>-31654</v>
      </c>
      <c r="F536" s="3" t="s">
        <v>1519</v>
      </c>
      <c r="G536" s="3" t="s">
        <v>1520</v>
      </c>
      <c r="H536" s="2" t="s">
        <v>20</v>
      </c>
      <c r="I536" s="2" t="s">
        <v>1521</v>
      </c>
      <c r="J536" s="3" t="str">
        <f>HYPERLINK("https://www.boe.es/gazeta/dias/1813/05/01/pdfs/GRE-1813-54.pdf#page=5","Abrir facsímil")</f>
        <v>Abrir facsímil</v>
      </c>
      <c r="K536" s="3" t="s">
        <v>22</v>
      </c>
    </row>
    <row r="537" spans="1:11" ht="42" customHeight="1">
      <c r="A537" s="2" t="s">
        <v>1522</v>
      </c>
      <c r="B537" s="2" t="s">
        <v>1522</v>
      </c>
      <c r="C537" s="2" t="s">
        <v>16</v>
      </c>
      <c r="D537" s="2" t="s">
        <v>17</v>
      </c>
      <c r="E537" s="5">
        <v>-31646</v>
      </c>
      <c r="F537" s="3" t="s">
        <v>1523</v>
      </c>
      <c r="G537" s="3" t="s">
        <v>65</v>
      </c>
      <c r="H537" s="2" t="s">
        <v>20</v>
      </c>
      <c r="I537" s="2" t="s">
        <v>1524</v>
      </c>
      <c r="J537" s="3" t="str">
        <f>HYPERLINK("https://www.boe.es/gazeta/dias/1813/05/09/pdfs/GMD-1813-129.pdf#page=1","Abrir facsímil")</f>
        <v>Abrir facsímil</v>
      </c>
      <c r="K537" s="3" t="s">
        <v>22</v>
      </c>
    </row>
    <row r="538" spans="1:11" ht="42" customHeight="1">
      <c r="A538" s="2" t="s">
        <v>1522</v>
      </c>
      <c r="B538" s="2" t="s">
        <v>1522</v>
      </c>
      <c r="C538" s="2" t="s">
        <v>16</v>
      </c>
      <c r="D538" s="2" t="s">
        <v>17</v>
      </c>
      <c r="E538" s="5">
        <v>-31646</v>
      </c>
      <c r="F538" s="3" t="s">
        <v>1523</v>
      </c>
      <c r="G538" s="3" t="s">
        <v>58</v>
      </c>
      <c r="H538" s="2" t="s">
        <v>20</v>
      </c>
      <c r="I538" s="2" t="s">
        <v>1525</v>
      </c>
      <c r="J538" s="3" t="str">
        <f>HYPERLINK("https://www.boe.es/gazeta/dias/1813/05/09/pdfs/GMD-1813-129.pdf#page=2","Abrir facsímil")</f>
        <v>Abrir facsímil</v>
      </c>
      <c r="K538" s="3" t="s">
        <v>22</v>
      </c>
    </row>
    <row r="539" spans="1:11" ht="42" customHeight="1">
      <c r="A539" s="2" t="s">
        <v>1526</v>
      </c>
      <c r="B539" s="2" t="s">
        <v>1526</v>
      </c>
      <c r="C539" s="2" t="s">
        <v>16</v>
      </c>
      <c r="D539" s="2" t="s">
        <v>17</v>
      </c>
      <c r="E539" s="5">
        <v>-31656</v>
      </c>
      <c r="F539" s="3" t="s">
        <v>576</v>
      </c>
      <c r="G539" s="3" t="s">
        <v>577</v>
      </c>
      <c r="H539" s="2" t="s">
        <v>20</v>
      </c>
      <c r="I539" s="2" t="s">
        <v>1527</v>
      </c>
      <c r="J539" s="3" t="str">
        <f>HYPERLINK("https://www.boe.es/gazeta/dias/1813/04/29/pdfs/GRE-1813-53.pdf#page=2","Abrir facsímil")</f>
        <v>Abrir facsímil</v>
      </c>
      <c r="K539" s="3" t="s">
        <v>22</v>
      </c>
    </row>
    <row r="540" spans="1:11" ht="42" customHeight="1">
      <c r="A540" s="2" t="s">
        <v>1528</v>
      </c>
      <c r="B540" s="2" t="s">
        <v>1528</v>
      </c>
      <c r="C540" s="2" t="s">
        <v>16</v>
      </c>
      <c r="D540" s="2" t="s">
        <v>17</v>
      </c>
      <c r="E540" s="5">
        <v>-31418</v>
      </c>
      <c r="F540" s="3" t="s">
        <v>1529</v>
      </c>
      <c r="G540" s="3" t="s">
        <v>19</v>
      </c>
      <c r="H540" s="2" t="s">
        <v>20</v>
      </c>
      <c r="I540" s="2" t="s">
        <v>1530</v>
      </c>
      <c r="J540" s="3" t="str">
        <f>HYPERLINK("https://www.boe.es/gazeta/dias/1813/12/23/pdfs/GMR-1813-91.pdf#page=4","Abrir facsímil")</f>
        <v>Abrir facsímil</v>
      </c>
      <c r="K540" s="3" t="s">
        <v>22</v>
      </c>
    </row>
    <row r="541" spans="1:11" ht="42" customHeight="1">
      <c r="A541" s="2" t="s">
        <v>1531</v>
      </c>
      <c r="B541" s="2" t="s">
        <v>1531</v>
      </c>
      <c r="C541" s="2" t="s">
        <v>16</v>
      </c>
      <c r="D541" s="2" t="s">
        <v>17</v>
      </c>
      <c r="E541" s="5">
        <v>-31467</v>
      </c>
      <c r="F541" s="3" t="s">
        <v>1464</v>
      </c>
      <c r="G541" s="3" t="s">
        <v>19</v>
      </c>
      <c r="H541" s="2" t="s">
        <v>20</v>
      </c>
      <c r="I541" s="2" t="s">
        <v>1532</v>
      </c>
      <c r="J541" s="3" t="str">
        <f>HYPERLINK("https://www.boe.es/gazeta/dias/1813/11/04/pdfs/GRE-1813-144.pdf#page=4","Abrir facsímil")</f>
        <v>Abrir facsímil</v>
      </c>
      <c r="K541" s="3" t="s">
        <v>22</v>
      </c>
    </row>
    <row r="542" spans="1:11" ht="42" customHeight="1">
      <c r="A542" s="2" t="s">
        <v>1531</v>
      </c>
      <c r="B542" s="2" t="s">
        <v>1531</v>
      </c>
      <c r="C542" s="2" t="s">
        <v>16</v>
      </c>
      <c r="D542" s="2" t="s">
        <v>17</v>
      </c>
      <c r="E542" s="5">
        <v>-31467</v>
      </c>
      <c r="F542" s="3" t="s">
        <v>1464</v>
      </c>
      <c r="G542" s="3" t="s">
        <v>82</v>
      </c>
      <c r="H542" s="2" t="s">
        <v>20</v>
      </c>
      <c r="I542" s="2" t="s">
        <v>1533</v>
      </c>
      <c r="J542" s="3" t="str">
        <f>HYPERLINK("https://www.boe.es/gazeta/dias/1813/11/04/pdfs/GRE-1813-144.pdf#page=5","Abrir facsímil")</f>
        <v>Abrir facsímil</v>
      </c>
      <c r="K542" s="3" t="s">
        <v>22</v>
      </c>
    </row>
    <row r="543" spans="1:11" ht="42" customHeight="1">
      <c r="A543" s="2" t="s">
        <v>1534</v>
      </c>
      <c r="B543" s="2" t="s">
        <v>1534</v>
      </c>
      <c r="C543" s="2" t="s">
        <v>16</v>
      </c>
      <c r="D543" s="2" t="s">
        <v>17</v>
      </c>
      <c r="E543" s="5">
        <v>-31588</v>
      </c>
      <c r="F543" s="3" t="s">
        <v>1535</v>
      </c>
      <c r="G543" s="3" t="s">
        <v>95</v>
      </c>
      <c r="H543" s="2" t="s">
        <v>20</v>
      </c>
      <c r="I543" s="2" t="s">
        <v>1536</v>
      </c>
      <c r="J543" s="3" t="str">
        <f>HYPERLINK("https://www.boe.es/gazeta/dias/1813/07/06/pdfs/GMR-1813-15.pdf#page=6","Abrir facsímil")</f>
        <v>Abrir facsímil</v>
      </c>
      <c r="K543" s="3" t="s">
        <v>22</v>
      </c>
    </row>
    <row r="544" spans="1:11" ht="42" customHeight="1">
      <c r="A544" s="2" t="s">
        <v>1537</v>
      </c>
      <c r="B544" s="2" t="s">
        <v>1537</v>
      </c>
      <c r="C544" s="2" t="s">
        <v>16</v>
      </c>
      <c r="D544" s="2" t="s">
        <v>17</v>
      </c>
      <c r="E544" s="5">
        <v>-31592</v>
      </c>
      <c r="F544" s="3" t="s">
        <v>1538</v>
      </c>
      <c r="G544" s="3" t="s">
        <v>54</v>
      </c>
      <c r="H544" s="2" t="s">
        <v>20</v>
      </c>
      <c r="I544" s="2" t="s">
        <v>1539</v>
      </c>
      <c r="J544" s="3" t="str">
        <f>HYPERLINK("https://www.boe.es/gazeta/dias/1813/07/02/pdfs/GMR-1813-14.pdf#page=3","Abrir facsímil")</f>
        <v>Abrir facsímil</v>
      </c>
      <c r="K544" s="3" t="s">
        <v>22</v>
      </c>
    </row>
    <row r="545" spans="1:11" ht="42" customHeight="1">
      <c r="A545" s="2" t="s">
        <v>1540</v>
      </c>
      <c r="B545" s="2" t="s">
        <v>1541</v>
      </c>
      <c r="C545" s="2" t="s">
        <v>34</v>
      </c>
      <c r="D545" s="2" t="s">
        <v>35</v>
      </c>
      <c r="E545" s="5">
        <v>-31691</v>
      </c>
      <c r="F545" s="3" t="s">
        <v>1542</v>
      </c>
      <c r="G545" s="3" t="s">
        <v>95</v>
      </c>
      <c r="H545" s="2" t="s">
        <v>20</v>
      </c>
      <c r="I545" s="2" t="s">
        <v>1543</v>
      </c>
      <c r="J545" s="3" t="str">
        <f>HYPERLINK("https://www.boe.es/gazeta/dias/1813/03/25/pdfs/GRE-1813-37.pdf#page=6","Abrir facsímil")</f>
        <v>Abrir facsímil</v>
      </c>
      <c r="K545" s="3" t="s">
        <v>22</v>
      </c>
    </row>
    <row r="546" spans="1:11" ht="42" customHeight="1">
      <c r="A546" s="2" t="s">
        <v>1544</v>
      </c>
      <c r="B546" s="2" t="s">
        <v>1545</v>
      </c>
      <c r="C546" s="2" t="s">
        <v>16</v>
      </c>
      <c r="D546" s="2" t="s">
        <v>17</v>
      </c>
      <c r="E546" s="5">
        <v>-31539</v>
      </c>
      <c r="F546" s="3" t="s">
        <v>1220</v>
      </c>
      <c r="G546" s="3" t="s">
        <v>87</v>
      </c>
      <c r="H546" s="2" t="s">
        <v>20</v>
      </c>
      <c r="I546" s="2" t="s">
        <v>1546</v>
      </c>
      <c r="J546" s="3" t="str">
        <f>HYPERLINK("https://www.boe.es/gazeta/dias/1813/08/24/pdfs/GRE-1813-108.pdf#page=7","Abrir facsímil")</f>
        <v>Abrir facsímil</v>
      </c>
      <c r="K546" s="3" t="s">
        <v>22</v>
      </c>
    </row>
    <row r="547" spans="1:11" ht="42" customHeight="1">
      <c r="A547" s="2" t="s">
        <v>1547</v>
      </c>
      <c r="B547" s="2" t="s">
        <v>1548</v>
      </c>
      <c r="C547" s="2" t="s">
        <v>25</v>
      </c>
      <c r="D547" s="2" t="s">
        <v>26</v>
      </c>
      <c r="E547" s="5">
        <v>-31689</v>
      </c>
      <c r="F547" s="3" t="s">
        <v>48</v>
      </c>
      <c r="G547" s="3" t="s">
        <v>162</v>
      </c>
      <c r="H547" s="2" t="s">
        <v>20</v>
      </c>
      <c r="I547" s="2" t="s">
        <v>1549</v>
      </c>
      <c r="J547" s="3" t="str">
        <f>HYPERLINK("https://www.boe.es/gazeta/dias/1813/03/27/pdfs/GRE-1813-38.pdf#page=8","Abrir facsímil")</f>
        <v>Abrir facsímil</v>
      </c>
      <c r="K547" s="3" t="s">
        <v>22</v>
      </c>
    </row>
    <row r="548" spans="1:11" ht="42" customHeight="1">
      <c r="A548" s="2" t="s">
        <v>1550</v>
      </c>
      <c r="B548" s="2" t="s">
        <v>1550</v>
      </c>
      <c r="C548" s="2" t="s">
        <v>16</v>
      </c>
      <c r="D548" s="2" t="s">
        <v>17</v>
      </c>
      <c r="E548" s="5">
        <v>-31731</v>
      </c>
      <c r="F548" s="3" t="s">
        <v>866</v>
      </c>
      <c r="G548" s="3" t="s">
        <v>54</v>
      </c>
      <c r="H548" s="2" t="s">
        <v>20</v>
      </c>
      <c r="I548" s="2" t="s">
        <v>1551</v>
      </c>
      <c r="J548" s="3" t="str">
        <f>HYPERLINK("https://www.boe.es/gazeta/dias/1813/02/13/pdfs/GRE-1813-19.pdf#page=3","Abrir facsímil")</f>
        <v>Abrir facsímil</v>
      </c>
      <c r="K548" s="3" t="s">
        <v>22</v>
      </c>
    </row>
    <row r="549" spans="1:11" ht="42" customHeight="1">
      <c r="A549" s="2" t="s">
        <v>1552</v>
      </c>
      <c r="B549" s="2" t="s">
        <v>1552</v>
      </c>
      <c r="C549" s="2" t="s">
        <v>16</v>
      </c>
      <c r="D549" s="2" t="s">
        <v>17</v>
      </c>
      <c r="E549" s="5">
        <v>-31651</v>
      </c>
      <c r="F549" s="3" t="s">
        <v>1553</v>
      </c>
      <c r="G549" s="3" t="s">
        <v>58</v>
      </c>
      <c r="H549" s="2" t="s">
        <v>20</v>
      </c>
      <c r="I549" s="2" t="s">
        <v>1554</v>
      </c>
      <c r="J549" s="3" t="str">
        <f>HYPERLINK("https://www.boe.es/gazeta/dias/1813/05/04/pdfs/GMD-1813-124.pdf#page=2","Abrir facsímil")</f>
        <v>Abrir facsímil</v>
      </c>
      <c r="K549" s="3" t="s">
        <v>22</v>
      </c>
    </row>
    <row r="550" spans="1:11" ht="42" customHeight="1">
      <c r="A550" s="2" t="s">
        <v>1555</v>
      </c>
      <c r="B550" s="2" t="s">
        <v>1556</v>
      </c>
      <c r="C550" s="2" t="s">
        <v>16</v>
      </c>
      <c r="D550" s="2" t="s">
        <v>17</v>
      </c>
      <c r="E550" s="5">
        <v>-31707</v>
      </c>
      <c r="F550" s="3" t="s">
        <v>1557</v>
      </c>
      <c r="G550" s="3" t="s">
        <v>1558</v>
      </c>
      <c r="H550" s="2" t="s">
        <v>20</v>
      </c>
      <c r="I550" s="2" t="s">
        <v>1559</v>
      </c>
      <c r="J550" s="3" t="str">
        <f>HYPERLINK("https://www.boe.es/gazeta/dias/1813/03/09/pdfs/GRE-1813-30.pdf#page=8","Abrir facsímil")</f>
        <v>Abrir facsímil</v>
      </c>
      <c r="K550" s="3" t="s">
        <v>22</v>
      </c>
    </row>
    <row r="551" spans="1:11" ht="42" customHeight="1">
      <c r="A551" s="2" t="s">
        <v>1560</v>
      </c>
      <c r="B551" s="2" t="s">
        <v>1560</v>
      </c>
      <c r="C551" s="2" t="s">
        <v>16</v>
      </c>
      <c r="D551" s="2" t="s">
        <v>17</v>
      </c>
      <c r="E551" s="5">
        <v>-31701</v>
      </c>
      <c r="F551" s="3" t="s">
        <v>1561</v>
      </c>
      <c r="G551" s="3" t="s">
        <v>1562</v>
      </c>
      <c r="H551" s="2" t="s">
        <v>20</v>
      </c>
      <c r="I551" s="2" t="s">
        <v>1563</v>
      </c>
      <c r="J551" s="3" t="str">
        <f>HYPERLINK("https://www.boe.es/gazeta/dias/1813/03/15/pdfs/GMD-1813-74.pdf#page=2","Abrir facsímil")</f>
        <v>Abrir facsímil</v>
      </c>
      <c r="K551" s="3" t="s">
        <v>22</v>
      </c>
    </row>
    <row r="552" spans="1:11" ht="42" customHeight="1">
      <c r="A552" s="2" t="s">
        <v>1560</v>
      </c>
      <c r="B552" s="2" t="s">
        <v>1560</v>
      </c>
      <c r="C552" s="2" t="s">
        <v>16</v>
      </c>
      <c r="D552" s="2" t="s">
        <v>17</v>
      </c>
      <c r="E552" s="5">
        <v>-31701</v>
      </c>
      <c r="F552" s="3" t="s">
        <v>1561</v>
      </c>
      <c r="G552" s="3" t="s">
        <v>65</v>
      </c>
      <c r="H552" s="2" t="s">
        <v>20</v>
      </c>
      <c r="I552" s="2" t="s">
        <v>1564</v>
      </c>
      <c r="J552" s="3" t="str">
        <f>HYPERLINK("https://www.boe.es/gazeta/dias/1813/03/15/pdfs/GMD-1813-74.pdf#page=1","Abrir facsímil")</f>
        <v>Abrir facsímil</v>
      </c>
      <c r="K552" s="3" t="s">
        <v>22</v>
      </c>
    </row>
    <row r="553" spans="1:11" ht="42" customHeight="1">
      <c r="A553" s="2" t="s">
        <v>1565</v>
      </c>
      <c r="B553" s="2" t="s">
        <v>1565</v>
      </c>
      <c r="C553" s="2" t="s">
        <v>16</v>
      </c>
      <c r="D553" s="2" t="s">
        <v>17</v>
      </c>
      <c r="E553" s="5">
        <v>-31746</v>
      </c>
      <c r="F553" s="3" t="s">
        <v>1566</v>
      </c>
      <c r="G553" s="3" t="s">
        <v>58</v>
      </c>
      <c r="H553" s="2" t="s">
        <v>20</v>
      </c>
      <c r="I553" s="2" t="s">
        <v>1567</v>
      </c>
      <c r="J553" s="3" t="str">
        <f>HYPERLINK("https://www.boe.es/gazeta/dias/1813/01/29/pdfs/GMD-1813-29.pdf#page=2","Abrir facsímil")</f>
        <v>Abrir facsímil</v>
      </c>
      <c r="K553" s="3" t="s">
        <v>22</v>
      </c>
    </row>
    <row r="554" spans="1:11" ht="42" customHeight="1">
      <c r="A554" s="2" t="s">
        <v>1565</v>
      </c>
      <c r="B554" s="2" t="s">
        <v>1565</v>
      </c>
      <c r="C554" s="2" t="s">
        <v>16</v>
      </c>
      <c r="D554" s="2" t="s">
        <v>17</v>
      </c>
      <c r="E554" s="5">
        <v>-31745</v>
      </c>
      <c r="F554" s="3" t="s">
        <v>445</v>
      </c>
      <c r="G554" s="3" t="s">
        <v>475</v>
      </c>
      <c r="H554" s="2" t="s">
        <v>20</v>
      </c>
      <c r="I554" s="2" t="s">
        <v>1568</v>
      </c>
      <c r="J554" s="3" t="str">
        <f>HYPERLINK("https://www.boe.es/gazeta/dias/1813/01/30/pdfs/GRE-1813-13.pdf#page=7","Abrir facsímil")</f>
        <v>Abrir facsímil</v>
      </c>
      <c r="K554" s="3" t="s">
        <v>22</v>
      </c>
    </row>
    <row r="555" spans="1:11" ht="42" customHeight="1">
      <c r="A555" s="2" t="s">
        <v>1565</v>
      </c>
      <c r="B555" s="2" t="s">
        <v>1565</v>
      </c>
      <c r="C555" s="2" t="s">
        <v>16</v>
      </c>
      <c r="D555" s="2" t="s">
        <v>17</v>
      </c>
      <c r="E555" s="5">
        <v>-31701</v>
      </c>
      <c r="F555" s="3" t="s">
        <v>1561</v>
      </c>
      <c r="G555" s="3" t="s">
        <v>65</v>
      </c>
      <c r="H555" s="2" t="s">
        <v>20</v>
      </c>
      <c r="I555" s="2" t="s">
        <v>1569</v>
      </c>
      <c r="J555" s="3" t="str">
        <f>HYPERLINK("https://www.boe.es/gazeta/dias/1813/03/15/pdfs/GMD-1813-74.pdf#page=1","Abrir facsímil")</f>
        <v>Abrir facsímil</v>
      </c>
      <c r="K555" s="3" t="s">
        <v>22</v>
      </c>
    </row>
    <row r="556" spans="1:11" ht="42" customHeight="1">
      <c r="A556" s="2" t="s">
        <v>1565</v>
      </c>
      <c r="B556" s="2" t="s">
        <v>1565</v>
      </c>
      <c r="C556" s="2" t="s">
        <v>435</v>
      </c>
      <c r="D556" s="2" t="s">
        <v>26</v>
      </c>
      <c r="E556" s="5">
        <v>-31669</v>
      </c>
      <c r="F556" s="3" t="s">
        <v>1570</v>
      </c>
      <c r="G556" s="3" t="s">
        <v>54</v>
      </c>
      <c r="H556" s="2" t="s">
        <v>20</v>
      </c>
      <c r="I556" s="2" t="s">
        <v>1571</v>
      </c>
      <c r="J556" s="3" t="str">
        <f>HYPERLINK("https://www.boe.es/gazeta/dias/1813/04/16/pdfs/GMD-1813-106.pdf#page=3","Abrir facsímil")</f>
        <v>Abrir facsímil</v>
      </c>
      <c r="K556" s="3" t="s">
        <v>22</v>
      </c>
    </row>
    <row r="557" spans="1:11" ht="42" customHeight="1">
      <c r="A557" s="2" t="s">
        <v>1565</v>
      </c>
      <c r="B557" s="2" t="s">
        <v>1565</v>
      </c>
      <c r="C557" s="2" t="s">
        <v>16</v>
      </c>
      <c r="D557" s="2" t="s">
        <v>17</v>
      </c>
      <c r="E557" s="5">
        <v>-31651</v>
      </c>
      <c r="F557" s="3" t="s">
        <v>1553</v>
      </c>
      <c r="G557" s="3" t="s">
        <v>58</v>
      </c>
      <c r="H557" s="2" t="s">
        <v>20</v>
      </c>
      <c r="I557" s="2" t="s">
        <v>1572</v>
      </c>
      <c r="J557" s="3" t="str">
        <f>HYPERLINK("https://www.boe.es/gazeta/dias/1813/05/04/pdfs/GMD-1813-124.pdf#page=2","Abrir facsímil")</f>
        <v>Abrir facsímil</v>
      </c>
      <c r="K557" s="3" t="s">
        <v>22</v>
      </c>
    </row>
    <row r="558" spans="1:11" ht="42" customHeight="1">
      <c r="A558" s="2" t="s">
        <v>1565</v>
      </c>
      <c r="B558" s="2" t="s">
        <v>1565</v>
      </c>
      <c r="C558" s="2" t="s">
        <v>16</v>
      </c>
      <c r="D558" s="2" t="s">
        <v>17</v>
      </c>
      <c r="E558" s="5">
        <v>-31558</v>
      </c>
      <c r="F558" s="3" t="s">
        <v>1288</v>
      </c>
      <c r="G558" s="3" t="s">
        <v>87</v>
      </c>
      <c r="H558" s="2" t="s">
        <v>20</v>
      </c>
      <c r="I558" s="2" t="s">
        <v>1573</v>
      </c>
      <c r="J558" s="3" t="str">
        <f>HYPERLINK("https://www.boe.es/gazeta/dias/1813/08/05/pdfs/GMR-1813-24.pdf#page=7","Abrir facsímil")</f>
        <v>Abrir facsímil</v>
      </c>
      <c r="K558" s="3" t="s">
        <v>22</v>
      </c>
    </row>
    <row r="559" spans="1:11" ht="42" customHeight="1">
      <c r="A559" s="2" t="s">
        <v>1574</v>
      </c>
      <c r="B559" s="2" t="s">
        <v>1575</v>
      </c>
      <c r="C559" s="2" t="s">
        <v>16</v>
      </c>
      <c r="D559" s="2" t="s">
        <v>17</v>
      </c>
      <c r="E559" s="5">
        <v>-31701</v>
      </c>
      <c r="F559" s="3" t="s">
        <v>1561</v>
      </c>
      <c r="G559" s="3" t="s">
        <v>1562</v>
      </c>
      <c r="H559" s="2" t="s">
        <v>20</v>
      </c>
      <c r="I559" s="2" t="s">
        <v>1576</v>
      </c>
      <c r="J559" s="3" t="str">
        <f>HYPERLINK("https://www.boe.es/gazeta/dias/1813/03/15/pdfs/GMD-1813-74.pdf#page=2","Abrir facsímil")</f>
        <v>Abrir facsímil</v>
      </c>
      <c r="K559" s="3" t="s">
        <v>22</v>
      </c>
    </row>
    <row r="560" spans="1:11" ht="42" customHeight="1">
      <c r="A560" s="2" t="s">
        <v>1577</v>
      </c>
      <c r="B560" s="2" t="s">
        <v>1578</v>
      </c>
      <c r="C560" s="2" t="s">
        <v>16</v>
      </c>
      <c r="D560" s="2" t="s">
        <v>97</v>
      </c>
      <c r="E560" s="5">
        <v>-31519</v>
      </c>
      <c r="F560" s="3" t="s">
        <v>312</v>
      </c>
      <c r="G560" s="3" t="s">
        <v>207</v>
      </c>
      <c r="H560" s="2" t="s">
        <v>20</v>
      </c>
      <c r="I560" s="2" t="s">
        <v>1579</v>
      </c>
      <c r="J560" s="3" t="str">
        <f>HYPERLINK("https://www.boe.es/gazeta/dias/1813/09/13/pdfs/GRE-1813-118E.pdf#page=10","Abrir facsímil")</f>
        <v>Abrir facsímil</v>
      </c>
      <c r="K560" s="3" t="s">
        <v>22</v>
      </c>
    </row>
    <row r="561" spans="1:11" ht="42" customHeight="1">
      <c r="A561" s="2" t="s">
        <v>1577</v>
      </c>
      <c r="B561" s="2" t="s">
        <v>1578</v>
      </c>
      <c r="C561" s="2" t="s">
        <v>16</v>
      </c>
      <c r="D561" s="2" t="s">
        <v>17</v>
      </c>
      <c r="E561" s="5">
        <v>-31507</v>
      </c>
      <c r="F561" s="3" t="s">
        <v>61</v>
      </c>
      <c r="G561" s="3" t="s">
        <v>207</v>
      </c>
      <c r="H561" s="2" t="s">
        <v>20</v>
      </c>
      <c r="I561" s="2" t="s">
        <v>1580</v>
      </c>
      <c r="J561" s="3" t="str">
        <f>HYPERLINK("https://www.boe.es/gazeta/dias/1813/09/25/pdfs/GMR-1813-48.pdf#page=10","Abrir facsímil")</f>
        <v>Abrir facsímil</v>
      </c>
      <c r="K561" s="3" t="s">
        <v>22</v>
      </c>
    </row>
    <row r="562" spans="1:11" ht="42" customHeight="1">
      <c r="A562" s="2" t="s">
        <v>1581</v>
      </c>
      <c r="B562" s="2" t="s">
        <v>1581</v>
      </c>
      <c r="C562" s="2" t="s">
        <v>16</v>
      </c>
      <c r="D562" s="2" t="s">
        <v>17</v>
      </c>
      <c r="E562" s="5">
        <v>-31701</v>
      </c>
      <c r="F562" s="3" t="s">
        <v>1561</v>
      </c>
      <c r="G562" s="3" t="s">
        <v>65</v>
      </c>
      <c r="H562" s="2" t="s">
        <v>20</v>
      </c>
      <c r="I562" s="2" t="s">
        <v>1582</v>
      </c>
      <c r="J562" s="3" t="str">
        <f>HYPERLINK("https://www.boe.es/gazeta/dias/1813/03/15/pdfs/GMD-1813-74.pdf#page=1","Abrir facsímil")</f>
        <v>Abrir facsímil</v>
      </c>
      <c r="K562" s="3" t="s">
        <v>22</v>
      </c>
    </row>
    <row r="563" spans="1:11" ht="42" customHeight="1">
      <c r="A563" s="2" t="s">
        <v>1583</v>
      </c>
      <c r="B563" s="2" t="s">
        <v>1583</v>
      </c>
      <c r="C563" s="2" t="s">
        <v>16</v>
      </c>
      <c r="D563" s="2" t="s">
        <v>17</v>
      </c>
      <c r="E563" s="5">
        <v>-31525</v>
      </c>
      <c r="F563" s="3" t="s">
        <v>1131</v>
      </c>
      <c r="G563" s="3" t="s">
        <v>65</v>
      </c>
      <c r="H563" s="2" t="s">
        <v>20</v>
      </c>
      <c r="I563" s="2" t="s">
        <v>1584</v>
      </c>
      <c r="J563" s="3" t="str">
        <f>HYPERLINK("https://www.boe.es/gazeta/dias/1813/09/07/pdfs/GRE-1813-114.pdf#page=1","Abrir facsímil")</f>
        <v>Abrir facsímil</v>
      </c>
      <c r="K563" s="3" t="s">
        <v>22</v>
      </c>
    </row>
    <row r="564" spans="1:11" ht="42" customHeight="1">
      <c r="A564" s="2" t="s">
        <v>1585</v>
      </c>
      <c r="B564" s="2" t="s">
        <v>1585</v>
      </c>
      <c r="C564" s="2" t="s">
        <v>16</v>
      </c>
      <c r="D564" s="2" t="s">
        <v>17</v>
      </c>
      <c r="E564" s="5">
        <v>-31630</v>
      </c>
      <c r="F564" s="3" t="s">
        <v>1324</v>
      </c>
      <c r="G564" s="3" t="s">
        <v>58</v>
      </c>
      <c r="H564" s="2" t="s">
        <v>20</v>
      </c>
      <c r="I564" s="2" t="s">
        <v>1586</v>
      </c>
      <c r="J564" s="3" t="str">
        <f>HYPERLINK("https://www.boe.es/gazeta/dias/1813/05/25/pdfs/GRE-1813-64.pdf#page=2","Abrir facsímil")</f>
        <v>Abrir facsímil</v>
      </c>
      <c r="K564" s="3" t="s">
        <v>22</v>
      </c>
    </row>
    <row r="565" spans="1:11" ht="42" customHeight="1">
      <c r="A565" s="2" t="s">
        <v>1587</v>
      </c>
      <c r="B565" s="2" t="s">
        <v>1587</v>
      </c>
      <c r="C565" s="2" t="s">
        <v>16</v>
      </c>
      <c r="D565" s="2" t="s">
        <v>17</v>
      </c>
      <c r="E565" s="5">
        <v>-31455</v>
      </c>
      <c r="F565" s="3" t="s">
        <v>693</v>
      </c>
      <c r="G565" s="3" t="s">
        <v>1588</v>
      </c>
      <c r="H565" s="2" t="s">
        <v>20</v>
      </c>
      <c r="I565" s="2" t="s">
        <v>1589</v>
      </c>
      <c r="J565" s="3" t="str">
        <f>HYPERLINK("https://www.boe.es/gazeta/dias/1813/11/16/pdfs/GRE-1813-150.pdf#page=4","Abrir facsímil")</f>
        <v>Abrir facsímil</v>
      </c>
      <c r="K565" s="3" t="s">
        <v>22</v>
      </c>
    </row>
    <row r="566" spans="1:11" ht="42" customHeight="1">
      <c r="A566" s="2" t="s">
        <v>1587</v>
      </c>
      <c r="B566" s="2" t="s">
        <v>1587</v>
      </c>
      <c r="C566" s="2" t="s">
        <v>16</v>
      </c>
      <c r="D566" s="2" t="s">
        <v>17</v>
      </c>
      <c r="E566" s="5">
        <v>-31416</v>
      </c>
      <c r="F566" s="3" t="s">
        <v>110</v>
      </c>
      <c r="G566" s="3" t="s">
        <v>1590</v>
      </c>
      <c r="H566" s="2" t="s">
        <v>20</v>
      </c>
      <c r="I566" s="2" t="s">
        <v>1591</v>
      </c>
      <c r="J566" s="3" t="str">
        <f>HYPERLINK("https://www.boe.es/gazeta/dias/1813/12/25/pdfs/GRE-1813-169.pdf#page=4","Abrir facsímil")</f>
        <v>Abrir facsímil</v>
      </c>
      <c r="K566" s="3" t="s">
        <v>22</v>
      </c>
    </row>
    <row r="567" spans="1:11" ht="42" customHeight="1">
      <c r="A567" s="2" t="s">
        <v>1592</v>
      </c>
      <c r="B567" s="2" t="s">
        <v>1592</v>
      </c>
      <c r="C567" s="2" t="s">
        <v>16</v>
      </c>
      <c r="D567" s="2" t="s">
        <v>17</v>
      </c>
      <c r="E567" s="5">
        <v>-31592</v>
      </c>
      <c r="F567" s="3" t="s">
        <v>175</v>
      </c>
      <c r="G567" s="3" t="s">
        <v>19</v>
      </c>
      <c r="H567" s="2" t="s">
        <v>20</v>
      </c>
      <c r="I567" s="2" t="s">
        <v>1593</v>
      </c>
      <c r="J567" s="3" t="str">
        <f>HYPERLINK("https://www.boe.es/gazeta/dias/1813/07/02/pdfs/GRE-1813-82.pdf#page=4","Abrir facsímil")</f>
        <v>Abrir facsímil</v>
      </c>
      <c r="K567" s="3" t="s">
        <v>22</v>
      </c>
    </row>
    <row r="568" spans="1:11" ht="42" customHeight="1">
      <c r="A568" s="2" t="s">
        <v>1592</v>
      </c>
      <c r="B568" s="2" t="s">
        <v>1592</v>
      </c>
      <c r="C568" s="2" t="s">
        <v>16</v>
      </c>
      <c r="D568" s="2" t="s">
        <v>17</v>
      </c>
      <c r="E568" s="5">
        <v>-31585</v>
      </c>
      <c r="F568" s="3" t="s">
        <v>177</v>
      </c>
      <c r="G568" s="3" t="s">
        <v>313</v>
      </c>
      <c r="H568" s="2" t="s">
        <v>20</v>
      </c>
      <c r="I568" s="2" t="s">
        <v>1594</v>
      </c>
      <c r="J568" s="3" t="str">
        <f>HYPERLINK("https://www.boe.es/gazeta/dias/1813/07/09/pdfs/GMR-1813-16.pdf#page=9","Abrir facsímil")</f>
        <v>Abrir facsímil</v>
      </c>
      <c r="K568" s="3" t="s">
        <v>22</v>
      </c>
    </row>
    <row r="569" spans="1:11" ht="42" customHeight="1">
      <c r="A569" s="2" t="s">
        <v>1595</v>
      </c>
      <c r="B569" s="2" t="s">
        <v>1595</v>
      </c>
      <c r="C569" s="2" t="s">
        <v>16</v>
      </c>
      <c r="D569" s="2" t="s">
        <v>17</v>
      </c>
      <c r="E569" s="5">
        <v>-31654</v>
      </c>
      <c r="F569" s="3" t="s">
        <v>1519</v>
      </c>
      <c r="G569" s="3" t="s">
        <v>65</v>
      </c>
      <c r="H569" s="2" t="s">
        <v>20</v>
      </c>
      <c r="I569" s="2" t="s">
        <v>1596</v>
      </c>
      <c r="J569" s="3" t="str">
        <f>HYPERLINK("https://www.boe.es/gazeta/dias/1813/05/01/pdfs/GRE-1813-54.pdf#page=1","Abrir facsímil")</f>
        <v>Abrir facsímil</v>
      </c>
      <c r="K569" s="3" t="s">
        <v>22</v>
      </c>
    </row>
    <row r="570" spans="1:11" ht="42" customHeight="1">
      <c r="A570" s="2" t="s">
        <v>1597</v>
      </c>
      <c r="B570" s="2" t="s">
        <v>1598</v>
      </c>
      <c r="C570" s="2" t="s">
        <v>109</v>
      </c>
      <c r="D570" s="2" t="s">
        <v>26</v>
      </c>
      <c r="E570" s="5">
        <v>-31651</v>
      </c>
      <c r="F570" s="3" t="s">
        <v>579</v>
      </c>
      <c r="G570" s="3" t="s">
        <v>1599</v>
      </c>
      <c r="H570" s="2" t="s">
        <v>20</v>
      </c>
      <c r="I570" s="2" t="s">
        <v>1600</v>
      </c>
      <c r="J570" s="3" t="str">
        <f>HYPERLINK("https://www.boe.es/gazeta/dias/1813/05/04/pdfs/GRE-1813-55.pdf#page=2","Abrir facsímil")</f>
        <v>Abrir facsímil</v>
      </c>
      <c r="K570" s="3" t="s">
        <v>22</v>
      </c>
    </row>
    <row r="571" spans="1:11" ht="42" customHeight="1">
      <c r="A571" s="2" t="s">
        <v>1601</v>
      </c>
      <c r="B571" s="2" t="s">
        <v>1602</v>
      </c>
      <c r="C571" s="2" t="s">
        <v>16</v>
      </c>
      <c r="D571" s="2" t="s">
        <v>17</v>
      </c>
      <c r="E571" s="5">
        <v>-31571</v>
      </c>
      <c r="F571" s="3" t="s">
        <v>788</v>
      </c>
      <c r="G571" s="3" t="s">
        <v>313</v>
      </c>
      <c r="H571" s="2" t="s">
        <v>20</v>
      </c>
      <c r="I571" s="2" t="s">
        <v>1603</v>
      </c>
      <c r="J571" s="3" t="str">
        <f>HYPERLINK("https://www.boe.es/gazeta/dias/1813/07/23/pdfs/GMR-1813-20.pdf#page=9","Abrir facsímil")</f>
        <v>Abrir facsímil</v>
      </c>
      <c r="K571" s="3" t="s">
        <v>22</v>
      </c>
    </row>
    <row r="572" spans="1:11" ht="42" customHeight="1">
      <c r="A572" s="2" t="s">
        <v>1604</v>
      </c>
      <c r="B572" s="2" t="s">
        <v>1605</v>
      </c>
      <c r="C572" s="2" t="s">
        <v>16</v>
      </c>
      <c r="D572" s="2" t="s">
        <v>17</v>
      </c>
      <c r="E572" s="5">
        <v>-31684</v>
      </c>
      <c r="F572" s="3" t="s">
        <v>427</v>
      </c>
      <c r="G572" s="3" t="s">
        <v>1123</v>
      </c>
      <c r="H572" s="2" t="s">
        <v>20</v>
      </c>
      <c r="I572" s="2" t="s">
        <v>1606</v>
      </c>
      <c r="J572" s="3" t="str">
        <f>HYPERLINK("https://www.boe.es/gazeta/dias/1813/04/01/pdfs/GRE-1813-40.pdf#page=8","Abrir facsímil")</f>
        <v>Abrir facsímil</v>
      </c>
      <c r="K572" s="3" t="s">
        <v>22</v>
      </c>
    </row>
    <row r="573" spans="1:11" ht="42" customHeight="1">
      <c r="A573" s="2" t="s">
        <v>1607</v>
      </c>
      <c r="B573" s="2" t="s">
        <v>1608</v>
      </c>
      <c r="C573" s="2" t="s">
        <v>25</v>
      </c>
      <c r="D573" s="2" t="s">
        <v>26</v>
      </c>
      <c r="E573" s="5">
        <v>-31747</v>
      </c>
      <c r="F573" s="3" t="s">
        <v>86</v>
      </c>
      <c r="G573" s="3" t="s">
        <v>28</v>
      </c>
      <c r="H573" s="2" t="s">
        <v>20</v>
      </c>
      <c r="I573" s="2" t="s">
        <v>1609</v>
      </c>
      <c r="J573" s="3" t="str">
        <f>HYPERLINK("https://www.boe.es/gazeta/dias/1813/01/28/pdfs/GRE-1813-12.pdf#page=8","Abrir facsímil")</f>
        <v>Abrir facsímil</v>
      </c>
      <c r="K573" s="3" t="s">
        <v>22</v>
      </c>
    </row>
    <row r="574" spans="1:11" ht="42" customHeight="1">
      <c r="A574" s="2" t="s">
        <v>1610</v>
      </c>
      <c r="B574" s="2" t="s">
        <v>1610</v>
      </c>
      <c r="C574" s="2" t="s">
        <v>16</v>
      </c>
      <c r="D574" s="2" t="s">
        <v>17</v>
      </c>
      <c r="E574" s="5">
        <v>-31677</v>
      </c>
      <c r="F574" s="3" t="s">
        <v>76</v>
      </c>
      <c r="G574" s="3" t="s">
        <v>77</v>
      </c>
      <c r="H574" s="2" t="s">
        <v>20</v>
      </c>
      <c r="I574" s="2" t="s">
        <v>1611</v>
      </c>
      <c r="J574" s="3" t="str">
        <f>HYPERLINK("https://www.boe.es/gazeta/dias/1813/04/08/pdfs/GRE-1813-43.pdf#page=7","Abrir facsímil")</f>
        <v>Abrir facsímil</v>
      </c>
      <c r="K574" s="3" t="s">
        <v>22</v>
      </c>
    </row>
    <row r="575" spans="1:11" ht="42" customHeight="1">
      <c r="A575" s="2" t="s">
        <v>1612</v>
      </c>
      <c r="B575" s="2" t="s">
        <v>1613</v>
      </c>
      <c r="C575" s="2" t="s">
        <v>16</v>
      </c>
      <c r="D575" s="2" t="s">
        <v>97</v>
      </c>
      <c r="E575" s="5">
        <v>-31479</v>
      </c>
      <c r="F575" s="3" t="s">
        <v>290</v>
      </c>
      <c r="G575" s="3" t="s">
        <v>1474</v>
      </c>
      <c r="H575" s="2" t="s">
        <v>20</v>
      </c>
      <c r="I575" s="2" t="s">
        <v>1614</v>
      </c>
      <c r="J575" s="3" t="str">
        <f>HYPERLINK("https://www.boe.es/gazeta/dias/1813/10/23/pdfs/GRE-1813-139E.pdf#page=14","Abrir facsímil")</f>
        <v>Abrir facsímil</v>
      </c>
      <c r="K575" s="3" t="s">
        <v>22</v>
      </c>
    </row>
    <row r="576" spans="1:11" ht="42" customHeight="1">
      <c r="A576" s="2" t="s">
        <v>1615</v>
      </c>
      <c r="B576" s="2" t="s">
        <v>1616</v>
      </c>
      <c r="C576" s="2" t="s">
        <v>34</v>
      </c>
      <c r="D576" s="2" t="s">
        <v>35</v>
      </c>
      <c r="E576" s="5">
        <v>-31724</v>
      </c>
      <c r="F576" s="3" t="s">
        <v>626</v>
      </c>
      <c r="G576" s="3" t="s">
        <v>87</v>
      </c>
      <c r="H576" s="2" t="s">
        <v>20</v>
      </c>
      <c r="I576" s="2" t="s">
        <v>1617</v>
      </c>
      <c r="J576" s="3" t="str">
        <f>HYPERLINK("https://www.boe.es/gazeta/dias/1813/02/20/pdfs/GRE-1813-22.pdf#page=7","Abrir facsímil")</f>
        <v>Abrir facsímil</v>
      </c>
      <c r="K576" s="3" t="s">
        <v>22</v>
      </c>
    </row>
    <row r="577" spans="1:11" ht="42" customHeight="1">
      <c r="A577" s="2" t="s">
        <v>1618</v>
      </c>
      <c r="B577" s="2" t="s">
        <v>1618</v>
      </c>
      <c r="C577" s="2" t="s">
        <v>16</v>
      </c>
      <c r="D577" s="2" t="s">
        <v>17</v>
      </c>
      <c r="E577" s="5">
        <v>-31754</v>
      </c>
      <c r="F577" s="3" t="s">
        <v>899</v>
      </c>
      <c r="G577" s="3" t="s">
        <v>65</v>
      </c>
      <c r="H577" s="2" t="s">
        <v>20</v>
      </c>
      <c r="I577" s="2" t="s">
        <v>1619</v>
      </c>
      <c r="J577" s="3" t="str">
        <f>HYPERLINK("https://www.boe.es/gazeta/dias/1813/01/21/pdfs/GRE-1813-9.pdf#page=1","Abrir facsímil")</f>
        <v>Abrir facsímil</v>
      </c>
      <c r="K577" s="3" t="s">
        <v>22</v>
      </c>
    </row>
    <row r="578" spans="1:11" ht="42" customHeight="1">
      <c r="A578" s="2" t="s">
        <v>1620</v>
      </c>
      <c r="B578" s="2" t="s">
        <v>1620</v>
      </c>
      <c r="C578" s="2" t="s">
        <v>16</v>
      </c>
      <c r="D578" s="2" t="s">
        <v>17</v>
      </c>
      <c r="E578" s="5">
        <v>-31691</v>
      </c>
      <c r="F578" s="3" t="s">
        <v>1621</v>
      </c>
      <c r="G578" s="3" t="s">
        <v>58</v>
      </c>
      <c r="H578" s="2" t="s">
        <v>20</v>
      </c>
      <c r="I578" s="2" t="s">
        <v>1622</v>
      </c>
      <c r="J578" s="3" t="str">
        <f>HYPERLINK("https://www.boe.es/gazeta/dias/1813/03/25/pdfs/GMD-1813-84.pdf#page=2","Abrir facsímil")</f>
        <v>Abrir facsímil</v>
      </c>
      <c r="K578" s="3" t="s">
        <v>22</v>
      </c>
    </row>
    <row r="579" spans="1:11" ht="42" customHeight="1">
      <c r="A579" s="2" t="s">
        <v>1623</v>
      </c>
      <c r="B579" s="2" t="s">
        <v>1623</v>
      </c>
      <c r="C579" s="2" t="s">
        <v>16</v>
      </c>
      <c r="D579" s="2" t="s">
        <v>17</v>
      </c>
      <c r="E579" s="5">
        <v>-31766</v>
      </c>
      <c r="F579" s="3" t="s">
        <v>1356</v>
      </c>
      <c r="G579" s="3" t="s">
        <v>1357</v>
      </c>
      <c r="H579" s="2" t="s">
        <v>20</v>
      </c>
      <c r="I579" s="2" t="s">
        <v>1624</v>
      </c>
      <c r="J579" s="3" t="str">
        <f>HYPERLINK("https://www.boe.es/gazeta/dias/1813/01/09/pdfs/GRE-1813-4.pdf#page=3","Abrir facsímil")</f>
        <v>Abrir facsímil</v>
      </c>
      <c r="K579" s="3" t="s">
        <v>22</v>
      </c>
    </row>
    <row r="580" spans="1:11" ht="42" customHeight="1">
      <c r="A580" s="2" t="s">
        <v>1625</v>
      </c>
      <c r="B580" s="2" t="s">
        <v>1625</v>
      </c>
      <c r="C580" s="2" t="s">
        <v>16</v>
      </c>
      <c r="D580" s="2" t="s">
        <v>17</v>
      </c>
      <c r="E580" s="5">
        <v>-31565</v>
      </c>
      <c r="F580" s="3" t="s">
        <v>306</v>
      </c>
      <c r="G580" s="3" t="s">
        <v>95</v>
      </c>
      <c r="H580" s="2" t="s">
        <v>20</v>
      </c>
      <c r="I580" s="2" t="s">
        <v>1626</v>
      </c>
      <c r="J580" s="3" t="str">
        <f>HYPERLINK("https://www.boe.es/gazeta/dias/1813/07/29/pdfs/GRE-1813-96.pdf#page=6","Abrir facsímil")</f>
        <v>Abrir facsímil</v>
      </c>
      <c r="K580" s="3" t="s">
        <v>22</v>
      </c>
    </row>
    <row r="581" spans="1:11" ht="42" customHeight="1">
      <c r="A581" s="2" t="s">
        <v>1627</v>
      </c>
      <c r="B581" s="2" t="s">
        <v>1628</v>
      </c>
      <c r="C581" s="2" t="s">
        <v>187</v>
      </c>
      <c r="D581" s="2" t="s">
        <v>26</v>
      </c>
      <c r="E581" s="5">
        <v>-31613</v>
      </c>
      <c r="F581" s="3" t="s">
        <v>1629</v>
      </c>
      <c r="G581" s="3" t="s">
        <v>258</v>
      </c>
      <c r="H581" s="2" t="s">
        <v>20</v>
      </c>
      <c r="I581" s="2" t="s">
        <v>1630</v>
      </c>
      <c r="J581" s="3" t="str">
        <f>HYPERLINK("https://www.boe.es/gazeta/dias/1813/06/11/pdfs/GMR-1813-4.pdf#page=12","Abrir facsímil")</f>
        <v>Abrir facsímil</v>
      </c>
      <c r="K581" s="3" t="s">
        <v>22</v>
      </c>
    </row>
    <row r="582" spans="1:11" ht="42" customHeight="1">
      <c r="A582" s="2" t="s">
        <v>1631</v>
      </c>
      <c r="B582" s="2" t="s">
        <v>1631</v>
      </c>
      <c r="C582" s="2" t="s">
        <v>16</v>
      </c>
      <c r="D582" s="2" t="s">
        <v>17</v>
      </c>
      <c r="E582" s="5">
        <v>-31660</v>
      </c>
      <c r="F582" s="3" t="s">
        <v>1632</v>
      </c>
      <c r="G582" s="3" t="s">
        <v>19</v>
      </c>
      <c r="H582" s="2" t="s">
        <v>20</v>
      </c>
      <c r="I582" s="2" t="s">
        <v>1633</v>
      </c>
      <c r="J582" s="3" t="str">
        <f>HYPERLINK("https://www.boe.es/gazeta/dias/1813/04/25/pdfs/GMD-1813-115.pdf#page=4","Abrir facsímil")</f>
        <v>Abrir facsímil</v>
      </c>
      <c r="K582" s="3" t="s">
        <v>22</v>
      </c>
    </row>
    <row r="583" spans="1:11" ht="42" customHeight="1">
      <c r="A583" s="2" t="s">
        <v>1634</v>
      </c>
      <c r="B583" s="2" t="s">
        <v>1634</v>
      </c>
      <c r="C583" s="2" t="s">
        <v>109</v>
      </c>
      <c r="D583" s="2" t="s">
        <v>26</v>
      </c>
      <c r="E583" s="5">
        <v>-31638</v>
      </c>
      <c r="F583" s="3" t="s">
        <v>1635</v>
      </c>
      <c r="G583" s="3" t="s">
        <v>58</v>
      </c>
      <c r="H583" s="2" t="s">
        <v>20</v>
      </c>
      <c r="I583" s="2" t="s">
        <v>1636</v>
      </c>
      <c r="J583" s="3" t="str">
        <f>HYPERLINK("https://www.boe.es/gazeta/dias/1813/05/17/pdfs/GMD-1813-137.pdf#page=2","Abrir facsímil")</f>
        <v>Abrir facsímil</v>
      </c>
      <c r="K583" s="3" t="s">
        <v>22</v>
      </c>
    </row>
    <row r="584" spans="1:11" ht="42" customHeight="1">
      <c r="A584" s="2" t="s">
        <v>1637</v>
      </c>
      <c r="B584" s="2" t="s">
        <v>1637</v>
      </c>
      <c r="C584" s="2" t="s">
        <v>16</v>
      </c>
      <c r="D584" s="2" t="s">
        <v>17</v>
      </c>
      <c r="E584" s="5">
        <v>-31654</v>
      </c>
      <c r="F584" s="3" t="s">
        <v>1519</v>
      </c>
      <c r="G584" s="3" t="s">
        <v>1638</v>
      </c>
      <c r="H584" s="2" t="s">
        <v>20</v>
      </c>
      <c r="I584" s="2" t="s">
        <v>1639</v>
      </c>
      <c r="J584" s="3" t="str">
        <f>HYPERLINK("https://www.boe.es/gazeta/dias/1813/05/01/pdfs/GRE-1813-54.pdf#page=6","Abrir facsímil")</f>
        <v>Abrir facsímil</v>
      </c>
      <c r="K584" s="3" t="s">
        <v>22</v>
      </c>
    </row>
    <row r="585" spans="1:11" ht="42" customHeight="1">
      <c r="A585" s="2" t="s">
        <v>1640</v>
      </c>
      <c r="B585" s="2" t="s">
        <v>1641</v>
      </c>
      <c r="C585" s="2" t="s">
        <v>25</v>
      </c>
      <c r="D585" s="2" t="s">
        <v>26</v>
      </c>
      <c r="E585" s="5">
        <v>-31544</v>
      </c>
      <c r="F585" s="3" t="s">
        <v>44</v>
      </c>
      <c r="G585" s="3" t="s">
        <v>49</v>
      </c>
      <c r="H585" s="2" t="s">
        <v>20</v>
      </c>
      <c r="I585" s="2" t="s">
        <v>1642</v>
      </c>
      <c r="J585" s="3" t="str">
        <f>HYPERLINK("https://www.boe.es/gazeta/dias/1813/08/19/pdfs/GMR-1813-30.pdf#page=5","Abrir facsímil")</f>
        <v>Abrir facsímil</v>
      </c>
      <c r="K585" s="3" t="s">
        <v>22</v>
      </c>
    </row>
    <row r="586" spans="1:11" ht="42" customHeight="1">
      <c r="A586" s="2" t="s">
        <v>1643</v>
      </c>
      <c r="B586" s="2" t="s">
        <v>1643</v>
      </c>
      <c r="C586" s="2" t="s">
        <v>16</v>
      </c>
      <c r="D586" s="2" t="s">
        <v>17</v>
      </c>
      <c r="E586" s="5">
        <v>-31530</v>
      </c>
      <c r="F586" s="3" t="s">
        <v>319</v>
      </c>
      <c r="G586" s="3" t="s">
        <v>320</v>
      </c>
      <c r="H586" s="2" t="s">
        <v>20</v>
      </c>
      <c r="I586" s="2" t="s">
        <v>1644</v>
      </c>
      <c r="J586" s="3" t="str">
        <f>HYPERLINK("https://www.boe.es/gazeta/dias/1813/09/02/pdfs/GRE-1813-112.pdf#page=6","Abrir facsímil")</f>
        <v>Abrir facsímil</v>
      </c>
      <c r="K586" s="3" t="s">
        <v>22</v>
      </c>
    </row>
    <row r="587" spans="1:11" ht="42" customHeight="1">
      <c r="A587" s="2" t="s">
        <v>1643</v>
      </c>
      <c r="B587" s="2" t="s">
        <v>1643</v>
      </c>
      <c r="C587" s="2" t="s">
        <v>16</v>
      </c>
      <c r="D587" s="2" t="s">
        <v>17</v>
      </c>
      <c r="E587" s="5">
        <v>-31530</v>
      </c>
      <c r="F587" s="3" t="s">
        <v>319</v>
      </c>
      <c r="G587" s="3" t="s">
        <v>87</v>
      </c>
      <c r="H587" s="2" t="s">
        <v>20</v>
      </c>
      <c r="I587" s="2" t="s">
        <v>1645</v>
      </c>
      <c r="J587" s="3" t="str">
        <f>HYPERLINK("https://www.boe.es/gazeta/dias/1813/09/02/pdfs/GRE-1813-112.pdf#page=7","Abrir facsímil")</f>
        <v>Abrir facsímil</v>
      </c>
      <c r="K587" s="3" t="s">
        <v>22</v>
      </c>
    </row>
    <row r="588" spans="1:11" ht="42" customHeight="1">
      <c r="A588" s="2" t="s">
        <v>1646</v>
      </c>
      <c r="B588" s="2" t="s">
        <v>1647</v>
      </c>
      <c r="C588" s="2" t="s">
        <v>16</v>
      </c>
      <c r="D588" s="2" t="s">
        <v>17</v>
      </c>
      <c r="E588" s="5">
        <v>-31521</v>
      </c>
      <c r="F588" s="3" t="s">
        <v>1256</v>
      </c>
      <c r="G588" s="3" t="s">
        <v>82</v>
      </c>
      <c r="H588" s="2" t="s">
        <v>20</v>
      </c>
      <c r="I588" s="2" t="s">
        <v>1648</v>
      </c>
      <c r="J588" s="3" t="str">
        <f>HYPERLINK("https://www.boe.es/gazeta/dias/1813/09/11/pdfs/GRE-1813-116.pdf#page=5","Abrir facsímil")</f>
        <v>Abrir facsímil</v>
      </c>
      <c r="K588" s="3" t="s">
        <v>22</v>
      </c>
    </row>
    <row r="589" spans="1:11" ht="42" customHeight="1">
      <c r="A589" s="2" t="s">
        <v>1649</v>
      </c>
      <c r="B589" s="2" t="s">
        <v>1649</v>
      </c>
      <c r="C589" s="2" t="s">
        <v>16</v>
      </c>
      <c r="D589" s="2" t="s">
        <v>17</v>
      </c>
      <c r="E589" s="5">
        <v>-31729</v>
      </c>
      <c r="F589" s="3" t="s">
        <v>1650</v>
      </c>
      <c r="G589" s="3" t="s">
        <v>65</v>
      </c>
      <c r="H589" s="2" t="s">
        <v>20</v>
      </c>
      <c r="I589" s="2" t="s">
        <v>1651</v>
      </c>
      <c r="J589" s="3" t="str">
        <f>HYPERLINK("https://www.boe.es/gazeta/dias/1813/02/15/pdfs/GMD-1813-46.pdf#page=1","Abrir facsímil")</f>
        <v>Abrir facsímil</v>
      </c>
      <c r="K589" s="3" t="s">
        <v>22</v>
      </c>
    </row>
    <row r="590" spans="1:11" ht="42" customHeight="1">
      <c r="A590" s="2" t="s">
        <v>1649</v>
      </c>
      <c r="B590" s="2" t="s">
        <v>1649</v>
      </c>
      <c r="C590" s="2" t="s">
        <v>16</v>
      </c>
      <c r="D590" s="2" t="s">
        <v>17</v>
      </c>
      <c r="E590" s="5">
        <v>-31716</v>
      </c>
      <c r="F590" s="3" t="s">
        <v>1652</v>
      </c>
      <c r="G590" s="3" t="s">
        <v>65</v>
      </c>
      <c r="H590" s="2" t="s">
        <v>20</v>
      </c>
      <c r="I590" s="2" t="s">
        <v>1653</v>
      </c>
      <c r="J590" s="3" t="str">
        <f>HYPERLINK("https://www.boe.es/gazeta/dias/1813/02/28/pdfs/GMD-1813-59.pdf#page=1","Abrir facsímil")</f>
        <v>Abrir facsímil</v>
      </c>
      <c r="K590" s="3" t="s">
        <v>22</v>
      </c>
    </row>
    <row r="591" spans="1:11" ht="42" customHeight="1">
      <c r="A591" s="2" t="s">
        <v>1649</v>
      </c>
      <c r="B591" s="2" t="s">
        <v>1649</v>
      </c>
      <c r="C591" s="2" t="s">
        <v>16</v>
      </c>
      <c r="D591" s="2" t="s">
        <v>17</v>
      </c>
      <c r="E591" s="5">
        <v>-31658</v>
      </c>
      <c r="F591" s="3" t="s">
        <v>1654</v>
      </c>
      <c r="G591" s="3" t="s">
        <v>1655</v>
      </c>
      <c r="H591" s="2" t="s">
        <v>20</v>
      </c>
      <c r="I591" s="2" t="s">
        <v>1656</v>
      </c>
      <c r="J591" s="3" t="str">
        <f>HYPERLINK("https://www.boe.es/gazeta/dias/1813/04/27/pdfs/GMD-1813-117.pdf#page=1","Abrir facsímil")</f>
        <v>Abrir facsímil</v>
      </c>
      <c r="K591" s="3" t="s">
        <v>22</v>
      </c>
    </row>
    <row r="592" spans="1:11" ht="42" customHeight="1">
      <c r="A592" s="2" t="s">
        <v>1649</v>
      </c>
      <c r="B592" s="2" t="s">
        <v>1649</v>
      </c>
      <c r="C592" s="2" t="s">
        <v>16</v>
      </c>
      <c r="D592" s="2" t="s">
        <v>17</v>
      </c>
      <c r="E592" s="5">
        <v>-31598</v>
      </c>
      <c r="F592" s="3" t="s">
        <v>286</v>
      </c>
      <c r="G592" s="3" t="s">
        <v>54</v>
      </c>
      <c r="H592" s="2" t="s">
        <v>20</v>
      </c>
      <c r="I592" s="2" t="s">
        <v>1657</v>
      </c>
      <c r="J592" s="3" t="str">
        <f>HYPERLINK("https://www.boe.es/gazeta/dias/1813/06/26/pdfs/GRE-1813-79.pdf#page=3","Abrir facsímil")</f>
        <v>Abrir facsímil</v>
      </c>
      <c r="K592" s="3" t="s">
        <v>22</v>
      </c>
    </row>
    <row r="593" spans="1:11" ht="42" customHeight="1">
      <c r="A593" s="2" t="s">
        <v>1649</v>
      </c>
      <c r="B593" s="2" t="s">
        <v>1649</v>
      </c>
      <c r="C593" s="2" t="s">
        <v>16</v>
      </c>
      <c r="D593" s="2" t="s">
        <v>17</v>
      </c>
      <c r="E593" s="5">
        <v>-31595</v>
      </c>
      <c r="F593" s="3" t="s">
        <v>70</v>
      </c>
      <c r="G593" s="3" t="s">
        <v>54</v>
      </c>
      <c r="H593" s="2" t="s">
        <v>20</v>
      </c>
      <c r="I593" s="2" t="s">
        <v>1658</v>
      </c>
      <c r="J593" s="3" t="str">
        <f>HYPERLINK("https://www.boe.es/gazeta/dias/1813/06/29/pdfs/GMR-1813-13.pdf#page=3","Abrir facsímil")</f>
        <v>Abrir facsímil</v>
      </c>
      <c r="K593" s="3" t="s">
        <v>22</v>
      </c>
    </row>
    <row r="594" spans="1:11" ht="42" customHeight="1">
      <c r="A594" s="2" t="s">
        <v>1649</v>
      </c>
      <c r="B594" s="2" t="s">
        <v>1649</v>
      </c>
      <c r="C594" s="2" t="s">
        <v>16</v>
      </c>
      <c r="D594" s="2" t="s">
        <v>17</v>
      </c>
      <c r="E594" s="5">
        <v>-31592</v>
      </c>
      <c r="F594" s="3" t="s">
        <v>1538</v>
      </c>
      <c r="G594" s="3" t="s">
        <v>54</v>
      </c>
      <c r="H594" s="2" t="s">
        <v>20</v>
      </c>
      <c r="I594" s="2" t="s">
        <v>1659</v>
      </c>
      <c r="J594" s="3" t="str">
        <f>HYPERLINK("https://www.boe.es/gazeta/dias/1813/07/02/pdfs/GMR-1813-14.pdf#page=3","Abrir facsímil")</f>
        <v>Abrir facsímil</v>
      </c>
      <c r="K594" s="3" t="s">
        <v>22</v>
      </c>
    </row>
    <row r="595" spans="1:11" ht="42" customHeight="1">
      <c r="A595" s="2" t="s">
        <v>1660</v>
      </c>
      <c r="B595" s="2" t="s">
        <v>1661</v>
      </c>
      <c r="C595" s="2" t="s">
        <v>16</v>
      </c>
      <c r="D595" s="2" t="s">
        <v>17</v>
      </c>
      <c r="E595" s="5">
        <v>-31481</v>
      </c>
      <c r="F595" s="3" t="s">
        <v>40</v>
      </c>
      <c r="G595" s="3" t="s">
        <v>87</v>
      </c>
      <c r="H595" s="2" t="s">
        <v>20</v>
      </c>
      <c r="I595" s="2" t="s">
        <v>1662</v>
      </c>
      <c r="J595" s="3" t="str">
        <f>HYPERLINK("https://www.boe.es/gazeta/dias/1813/10/21/pdfs/GMR-1813-62.pdf#page=7","Abrir facsímil")</f>
        <v>Abrir facsímil</v>
      </c>
      <c r="K595" s="3" t="s">
        <v>22</v>
      </c>
    </row>
    <row r="596" spans="1:11" ht="42" customHeight="1">
      <c r="A596" s="2" t="s">
        <v>1663</v>
      </c>
      <c r="B596" s="2" t="s">
        <v>1664</v>
      </c>
      <c r="C596" s="2" t="s">
        <v>16</v>
      </c>
      <c r="D596" s="2" t="s">
        <v>97</v>
      </c>
      <c r="E596" s="5">
        <v>-31479</v>
      </c>
      <c r="F596" s="3" t="s">
        <v>290</v>
      </c>
      <c r="G596" s="3" t="s">
        <v>65</v>
      </c>
      <c r="H596" s="2" t="s">
        <v>20</v>
      </c>
      <c r="I596" s="2" t="s">
        <v>1665</v>
      </c>
      <c r="J596" s="3" t="str">
        <f>HYPERLINK("https://www.boe.es/gazeta/dias/1813/10/23/pdfs/GRE-1813-139E.pdf#page=1","Abrir facsímil")</f>
        <v>Abrir facsímil</v>
      </c>
      <c r="K596" s="3" t="s">
        <v>22</v>
      </c>
    </row>
    <row r="597" spans="1:11" ht="42" customHeight="1">
      <c r="A597" s="2" t="s">
        <v>1663</v>
      </c>
      <c r="B597" s="2" t="s">
        <v>1664</v>
      </c>
      <c r="C597" s="2" t="s">
        <v>187</v>
      </c>
      <c r="D597" s="2" t="s">
        <v>97</v>
      </c>
      <c r="E597" s="5">
        <v>-31479</v>
      </c>
      <c r="F597" s="3" t="s">
        <v>290</v>
      </c>
      <c r="G597" s="3" t="s">
        <v>1474</v>
      </c>
      <c r="H597" s="2" t="s">
        <v>20</v>
      </c>
      <c r="I597" s="2" t="s">
        <v>1666</v>
      </c>
      <c r="J597" s="3" t="str">
        <f>HYPERLINK("https://www.boe.es/gazeta/dias/1813/10/23/pdfs/GRE-1813-139E.pdf#page=14","Abrir facsímil")</f>
        <v>Abrir facsímil</v>
      </c>
      <c r="K597" s="3" t="s">
        <v>22</v>
      </c>
    </row>
    <row r="598" spans="1:11" ht="42" customHeight="1">
      <c r="A598" s="2" t="s">
        <v>1663</v>
      </c>
      <c r="B598" s="2" t="s">
        <v>1664</v>
      </c>
      <c r="C598" s="2" t="s">
        <v>25</v>
      </c>
      <c r="D598" s="2" t="s">
        <v>26</v>
      </c>
      <c r="E598" s="5">
        <v>-31467</v>
      </c>
      <c r="F598" s="3" t="s">
        <v>120</v>
      </c>
      <c r="G598" s="3" t="s">
        <v>82</v>
      </c>
      <c r="H598" s="2" t="s">
        <v>20</v>
      </c>
      <c r="I598" s="2" t="s">
        <v>1667</v>
      </c>
      <c r="J598" s="3" t="str">
        <f>HYPERLINK("https://www.boe.es/gazeta/dias/1813/11/04/pdfs/GMR-1813-68.pdf#page=5","Abrir facsímil")</f>
        <v>Abrir facsímil</v>
      </c>
      <c r="K598" s="3" t="s">
        <v>22</v>
      </c>
    </row>
    <row r="599" spans="1:11" ht="42" customHeight="1">
      <c r="A599" s="2" t="s">
        <v>1663</v>
      </c>
      <c r="B599" s="2" t="s">
        <v>1664</v>
      </c>
      <c r="C599" s="2" t="s">
        <v>25</v>
      </c>
      <c r="D599" s="2" t="s">
        <v>26</v>
      </c>
      <c r="E599" s="5">
        <v>-31432</v>
      </c>
      <c r="F599" s="3" t="s">
        <v>702</v>
      </c>
      <c r="G599" s="3" t="s">
        <v>54</v>
      </c>
      <c r="H599" s="2" t="s">
        <v>20</v>
      </c>
      <c r="I599" s="2" t="s">
        <v>1668</v>
      </c>
      <c r="J599" s="3" t="str">
        <f>HYPERLINK("https://www.boe.es/gazeta/dias/1813/12/09/pdfs/GMR-1813-85.pdf#page=3","Abrir facsímil")</f>
        <v>Abrir facsímil</v>
      </c>
      <c r="K599" s="3" t="s">
        <v>22</v>
      </c>
    </row>
    <row r="600" spans="1:11" ht="42" customHeight="1">
      <c r="A600" s="2" t="s">
        <v>1663</v>
      </c>
      <c r="B600" s="2" t="s">
        <v>1664</v>
      </c>
      <c r="C600" s="2" t="s">
        <v>25</v>
      </c>
      <c r="D600" s="2" t="s">
        <v>26</v>
      </c>
      <c r="E600" s="5">
        <v>-31425</v>
      </c>
      <c r="F600" s="3" t="s">
        <v>1669</v>
      </c>
      <c r="G600" s="3" t="s">
        <v>1670</v>
      </c>
      <c r="H600" s="2" t="s">
        <v>20</v>
      </c>
      <c r="I600" s="2" t="s">
        <v>1671</v>
      </c>
      <c r="J600" s="3" t="str">
        <f>HYPERLINK("https://www.boe.es/gazeta/dias/1813/12/16/pdfs/GRE-1813-165.pdf#page=7","Abrir facsímil")</f>
        <v>Abrir facsímil</v>
      </c>
      <c r="K600" s="3" t="s">
        <v>22</v>
      </c>
    </row>
    <row r="601" spans="1:11" ht="42" customHeight="1">
      <c r="A601" s="2" t="s">
        <v>1672</v>
      </c>
      <c r="B601" s="2" t="s">
        <v>1672</v>
      </c>
      <c r="C601" s="2" t="s">
        <v>16</v>
      </c>
      <c r="D601" s="2" t="s">
        <v>17</v>
      </c>
      <c r="E601" s="5">
        <v>-31636</v>
      </c>
      <c r="F601" s="3" t="s">
        <v>1673</v>
      </c>
      <c r="G601" s="3" t="s">
        <v>19</v>
      </c>
      <c r="H601" s="2" t="s">
        <v>20</v>
      </c>
      <c r="I601" s="2" t="s">
        <v>1674</v>
      </c>
      <c r="J601" s="3" t="str">
        <f>HYPERLINK("https://www.boe.es/gazeta/dias/1813/05/19/pdfs/GMD-1813-139.pdf#page=4","Abrir facsímil")</f>
        <v>Abrir facsímil</v>
      </c>
      <c r="K601" s="3" t="s">
        <v>22</v>
      </c>
    </row>
    <row r="602" spans="1:11" ht="42" customHeight="1">
      <c r="A602" s="2" t="s">
        <v>1675</v>
      </c>
      <c r="B602" s="2" t="s">
        <v>1676</v>
      </c>
      <c r="C602" s="2" t="s">
        <v>16</v>
      </c>
      <c r="D602" s="2" t="s">
        <v>17</v>
      </c>
      <c r="E602" s="5">
        <v>-31504</v>
      </c>
      <c r="F602" s="3" t="s">
        <v>192</v>
      </c>
      <c r="G602" s="3" t="s">
        <v>95</v>
      </c>
      <c r="H602" s="2" t="s">
        <v>20</v>
      </c>
      <c r="I602" s="2" t="s">
        <v>1677</v>
      </c>
      <c r="J602" s="3" t="str">
        <f>HYPERLINK("https://www.boe.es/gazeta/dias/1813/09/28/pdfs/GRE-1813-127.pdf#page=6","Abrir facsímil")</f>
        <v>Abrir facsímil</v>
      </c>
      <c r="K602" s="3" t="s">
        <v>22</v>
      </c>
    </row>
    <row r="603" spans="1:11" ht="42" customHeight="1">
      <c r="A603" s="2" t="s">
        <v>1675</v>
      </c>
      <c r="B603" s="2" t="s">
        <v>1676</v>
      </c>
      <c r="C603" s="2" t="s">
        <v>16</v>
      </c>
      <c r="D603" s="2" t="s">
        <v>17</v>
      </c>
      <c r="E603" s="5">
        <v>-31504</v>
      </c>
      <c r="F603" s="3" t="s">
        <v>192</v>
      </c>
      <c r="G603" s="3" t="s">
        <v>87</v>
      </c>
      <c r="H603" s="2" t="s">
        <v>20</v>
      </c>
      <c r="I603" s="2" t="s">
        <v>1678</v>
      </c>
      <c r="J603" s="3" t="str">
        <f>HYPERLINK("https://www.boe.es/gazeta/dias/1813/09/28/pdfs/GRE-1813-127.pdf#page=7","Abrir facsímil")</f>
        <v>Abrir facsímil</v>
      </c>
      <c r="K603" s="3" t="s">
        <v>22</v>
      </c>
    </row>
    <row r="604" spans="1:11" ht="42" customHeight="1">
      <c r="A604" s="2" t="s">
        <v>1679</v>
      </c>
      <c r="B604" s="2" t="s">
        <v>1679</v>
      </c>
      <c r="C604" s="2" t="s">
        <v>16</v>
      </c>
      <c r="D604" s="2" t="s">
        <v>97</v>
      </c>
      <c r="E604" s="5">
        <v>-31548</v>
      </c>
      <c r="F604" s="3" t="s">
        <v>1680</v>
      </c>
      <c r="G604" s="3" t="s">
        <v>58</v>
      </c>
      <c r="H604" s="2" t="s">
        <v>20</v>
      </c>
      <c r="I604" s="2" t="s">
        <v>1681</v>
      </c>
      <c r="J604" s="3" t="str">
        <f>HYPERLINK("https://www.boe.es/gazeta/dias/1813/08/15/pdfs/GRE-1813-104E.pdf#page=2","Abrir facsímil")</f>
        <v>Abrir facsímil</v>
      </c>
      <c r="K604" s="3" t="s">
        <v>22</v>
      </c>
    </row>
    <row r="605" spans="1:11" ht="42" customHeight="1">
      <c r="A605" s="2" t="s">
        <v>1679</v>
      </c>
      <c r="B605" s="2" t="s">
        <v>1679</v>
      </c>
      <c r="C605" s="2" t="s">
        <v>16</v>
      </c>
      <c r="D605" s="2" t="s">
        <v>97</v>
      </c>
      <c r="E605" s="5">
        <v>-31548</v>
      </c>
      <c r="F605" s="3" t="s">
        <v>1680</v>
      </c>
      <c r="G605" s="3" t="s">
        <v>28</v>
      </c>
      <c r="H605" s="2" t="s">
        <v>20</v>
      </c>
      <c r="I605" s="2" t="s">
        <v>1682</v>
      </c>
      <c r="J605" s="3" t="str">
        <f>HYPERLINK("https://www.boe.es/gazeta/dias/1813/08/15/pdfs/GRE-1813-104E.pdf#page=8","Abrir facsímil")</f>
        <v>Abrir facsímil</v>
      </c>
      <c r="K605" s="3" t="s">
        <v>22</v>
      </c>
    </row>
    <row r="606" spans="1:11" ht="42" customHeight="1">
      <c r="A606" s="2" t="s">
        <v>1679</v>
      </c>
      <c r="B606" s="2" t="s">
        <v>1679</v>
      </c>
      <c r="C606" s="2" t="s">
        <v>16</v>
      </c>
      <c r="D606" s="2" t="s">
        <v>17</v>
      </c>
      <c r="E606" s="5">
        <v>-31537</v>
      </c>
      <c r="F606" s="3" t="s">
        <v>138</v>
      </c>
      <c r="G606" s="3" t="s">
        <v>1474</v>
      </c>
      <c r="H606" s="2" t="s">
        <v>20</v>
      </c>
      <c r="I606" s="2" t="s">
        <v>1683</v>
      </c>
      <c r="J606" s="3" t="str">
        <f>HYPERLINK("https://www.boe.es/gazeta/dias/1813/08/26/pdfs/GMR-1813-33.pdf#page=14","Abrir facsímil")</f>
        <v>Abrir facsímil</v>
      </c>
      <c r="K606" s="3" t="s">
        <v>22</v>
      </c>
    </row>
    <row r="607" spans="1:11" ht="42" customHeight="1">
      <c r="A607" s="2" t="s">
        <v>1684</v>
      </c>
      <c r="B607" s="2" t="s">
        <v>1684</v>
      </c>
      <c r="C607" s="2" t="s">
        <v>16</v>
      </c>
      <c r="D607" s="2" t="s">
        <v>17</v>
      </c>
      <c r="E607" s="5">
        <v>-31516</v>
      </c>
      <c r="F607" s="3" t="s">
        <v>1685</v>
      </c>
      <c r="G607" s="3" t="s">
        <v>1686</v>
      </c>
      <c r="H607" s="2" t="s">
        <v>20</v>
      </c>
      <c r="I607" s="2" t="s">
        <v>1687</v>
      </c>
      <c r="J607" s="3" t="str">
        <f>HYPERLINK("https://www.boe.es/gazeta/dias/1813/09/16/pdfs/GRE-1813-120.pdf#page=7","Abrir facsímil")</f>
        <v>Abrir facsímil</v>
      </c>
      <c r="K607" s="3" t="s">
        <v>22</v>
      </c>
    </row>
    <row r="608" spans="1:11" ht="42" customHeight="1">
      <c r="A608" s="2" t="s">
        <v>1688</v>
      </c>
      <c r="B608" s="2" t="s">
        <v>1689</v>
      </c>
      <c r="C608" s="2" t="s">
        <v>16</v>
      </c>
      <c r="D608" s="2" t="s">
        <v>17</v>
      </c>
      <c r="E608" s="5">
        <v>-31432</v>
      </c>
      <c r="F608" s="3" t="s">
        <v>803</v>
      </c>
      <c r="G608" s="3" t="s">
        <v>95</v>
      </c>
      <c r="H608" s="2" t="s">
        <v>20</v>
      </c>
      <c r="I608" s="2" t="s">
        <v>1690</v>
      </c>
      <c r="J608" s="3" t="str">
        <f>HYPERLINK("https://www.boe.es/gazeta/dias/1813/12/09/pdfs/GRE-1813-162.pdf#page=6","Abrir facsímil")</f>
        <v>Abrir facsímil</v>
      </c>
      <c r="K608" s="3" t="s">
        <v>22</v>
      </c>
    </row>
    <row r="609" spans="1:11" ht="42" customHeight="1">
      <c r="A609" s="2" t="s">
        <v>1691</v>
      </c>
      <c r="B609" s="2" t="s">
        <v>1692</v>
      </c>
      <c r="C609" s="2" t="s">
        <v>25</v>
      </c>
      <c r="D609" s="2" t="s">
        <v>26</v>
      </c>
      <c r="E609" s="5">
        <v>-31677</v>
      </c>
      <c r="F609" s="3" t="s">
        <v>76</v>
      </c>
      <c r="G609" s="3" t="s">
        <v>28</v>
      </c>
      <c r="H609" s="2" t="s">
        <v>20</v>
      </c>
      <c r="I609" s="2" t="s">
        <v>1693</v>
      </c>
      <c r="J609" s="3" t="str">
        <f>HYPERLINK("https://www.boe.es/gazeta/dias/1813/04/08/pdfs/GRE-1813-43.pdf#page=8","Abrir facsímil")</f>
        <v>Abrir facsímil</v>
      </c>
      <c r="K609" s="3" t="s">
        <v>22</v>
      </c>
    </row>
    <row r="610" spans="1:11" ht="42" customHeight="1">
      <c r="A610" s="2" t="s">
        <v>1694</v>
      </c>
      <c r="B610" s="2" t="s">
        <v>1695</v>
      </c>
      <c r="C610" s="2" t="s">
        <v>16</v>
      </c>
      <c r="D610" s="2" t="s">
        <v>17</v>
      </c>
      <c r="E610" s="5">
        <v>-31738</v>
      </c>
      <c r="F610" s="3" t="s">
        <v>556</v>
      </c>
      <c r="G610" s="3" t="s">
        <v>28</v>
      </c>
      <c r="H610" s="2" t="s">
        <v>20</v>
      </c>
      <c r="I610" s="2" t="s">
        <v>1696</v>
      </c>
      <c r="J610" s="3" t="str">
        <f>HYPERLINK("https://www.boe.es/gazeta/dias/1813/02/06/pdfs/GRE-1813-16.pdf#page=8","Abrir facsímil")</f>
        <v>Abrir facsímil</v>
      </c>
      <c r="K610" s="3" t="s">
        <v>22</v>
      </c>
    </row>
    <row r="611" spans="1:11" ht="42" customHeight="1">
      <c r="A611" s="2" t="s">
        <v>1697</v>
      </c>
      <c r="B611" s="2" t="s">
        <v>1698</v>
      </c>
      <c r="C611" s="2" t="s">
        <v>34</v>
      </c>
      <c r="D611" s="2" t="s">
        <v>35</v>
      </c>
      <c r="E611" s="5">
        <v>-31467</v>
      </c>
      <c r="F611" s="3" t="s">
        <v>120</v>
      </c>
      <c r="G611" s="3" t="s">
        <v>87</v>
      </c>
      <c r="H611" s="2" t="s">
        <v>20</v>
      </c>
      <c r="I611" s="2" t="s">
        <v>1699</v>
      </c>
      <c r="J611" s="3" t="str">
        <f>HYPERLINK("https://www.boe.es/gazeta/dias/1813/11/04/pdfs/GMR-1813-68.pdf#page=7","Abrir facsímil")</f>
        <v>Abrir facsímil</v>
      </c>
      <c r="K611" s="3" t="s">
        <v>22</v>
      </c>
    </row>
    <row r="612" spans="1:11" ht="42" customHeight="1">
      <c r="A612" s="2" t="s">
        <v>1700</v>
      </c>
      <c r="B612" s="2" t="s">
        <v>1701</v>
      </c>
      <c r="C612" s="2" t="s">
        <v>34</v>
      </c>
      <c r="D612" s="2" t="s">
        <v>35</v>
      </c>
      <c r="E612" s="5">
        <v>-31416</v>
      </c>
      <c r="F612" s="3" t="s">
        <v>278</v>
      </c>
      <c r="G612" s="3" t="s">
        <v>207</v>
      </c>
      <c r="H612" s="2" t="s">
        <v>20</v>
      </c>
      <c r="I612" s="2" t="s">
        <v>1702</v>
      </c>
      <c r="J612" s="3" t="str">
        <f>HYPERLINK("https://www.boe.es/gazeta/dias/1813/12/25/pdfs/GMR-1813-92.pdf#page=10","Abrir facsímil")</f>
        <v>Abrir facsímil</v>
      </c>
      <c r="K612" s="3" t="s">
        <v>22</v>
      </c>
    </row>
    <row r="613" spans="1:11" ht="42" customHeight="1">
      <c r="A613" s="2" t="s">
        <v>1703</v>
      </c>
      <c r="B613" s="2" t="s">
        <v>1704</v>
      </c>
      <c r="C613" s="2" t="s">
        <v>16</v>
      </c>
      <c r="D613" s="2" t="s">
        <v>17</v>
      </c>
      <c r="E613" s="5">
        <v>-31458</v>
      </c>
      <c r="F613" s="3" t="s">
        <v>1171</v>
      </c>
      <c r="G613" s="3" t="s">
        <v>95</v>
      </c>
      <c r="H613" s="2" t="s">
        <v>20</v>
      </c>
      <c r="I613" s="2" t="s">
        <v>1705</v>
      </c>
      <c r="J613" s="3" t="str">
        <f>HYPERLINK("https://www.boe.es/gazeta/dias/1813/11/13/pdfs/GRE-1813-149.pdf#page=6","Abrir facsímil")</f>
        <v>Abrir facsímil</v>
      </c>
      <c r="K613" s="3" t="s">
        <v>22</v>
      </c>
    </row>
    <row r="614" spans="1:11" ht="42" customHeight="1">
      <c r="A614" s="2" t="s">
        <v>1706</v>
      </c>
      <c r="B614" s="2" t="s">
        <v>1707</v>
      </c>
      <c r="C614" s="2" t="s">
        <v>16</v>
      </c>
      <c r="D614" s="2" t="s">
        <v>17</v>
      </c>
      <c r="E614" s="5">
        <v>-31467</v>
      </c>
      <c r="F614" s="3" t="s">
        <v>120</v>
      </c>
      <c r="G614" s="3" t="s">
        <v>87</v>
      </c>
      <c r="H614" s="2" t="s">
        <v>20</v>
      </c>
      <c r="I614" s="2" t="s">
        <v>1708</v>
      </c>
      <c r="J614" s="3" t="str">
        <f>HYPERLINK("https://www.boe.es/gazeta/dias/1813/11/04/pdfs/GMR-1813-68.pdf#page=7","Abrir facsímil")</f>
        <v>Abrir facsímil</v>
      </c>
      <c r="K614" s="3" t="s">
        <v>22</v>
      </c>
    </row>
    <row r="615" spans="1:11" ht="42" customHeight="1">
      <c r="A615" s="2" t="s">
        <v>1709</v>
      </c>
      <c r="B615" s="2" t="s">
        <v>1710</v>
      </c>
      <c r="C615" s="2" t="s">
        <v>16</v>
      </c>
      <c r="D615" s="2" t="s">
        <v>17</v>
      </c>
      <c r="E615" s="5">
        <v>-31481</v>
      </c>
      <c r="F615" s="3" t="s">
        <v>40</v>
      </c>
      <c r="G615" s="3" t="s">
        <v>95</v>
      </c>
      <c r="H615" s="2" t="s">
        <v>20</v>
      </c>
      <c r="I615" s="2" t="s">
        <v>1711</v>
      </c>
      <c r="J615" s="3" t="str">
        <f>HYPERLINK("https://www.boe.es/gazeta/dias/1813/10/21/pdfs/GMR-1813-62.pdf#page=6","Abrir facsímil")</f>
        <v>Abrir facsímil</v>
      </c>
      <c r="K615" s="3" t="s">
        <v>22</v>
      </c>
    </row>
    <row r="616" spans="1:11" ht="42" customHeight="1">
      <c r="A616" s="2" t="s">
        <v>1709</v>
      </c>
      <c r="B616" s="2" t="s">
        <v>1710</v>
      </c>
      <c r="C616" s="2" t="s">
        <v>16</v>
      </c>
      <c r="D616" s="2" t="s">
        <v>97</v>
      </c>
      <c r="E616" s="5">
        <v>-31479</v>
      </c>
      <c r="F616" s="3" t="s">
        <v>290</v>
      </c>
      <c r="G616" s="3" t="s">
        <v>1474</v>
      </c>
      <c r="H616" s="2" t="s">
        <v>20</v>
      </c>
      <c r="I616" s="2" t="s">
        <v>1712</v>
      </c>
      <c r="J616" s="3" t="str">
        <f>HYPERLINK("https://www.boe.es/gazeta/dias/1813/10/23/pdfs/GRE-1813-139E.pdf#page=14","Abrir facsímil")</f>
        <v>Abrir facsímil</v>
      </c>
      <c r="K616" s="3" t="s">
        <v>22</v>
      </c>
    </row>
    <row r="617" spans="1:11" ht="42" customHeight="1">
      <c r="A617" s="2" t="s">
        <v>1713</v>
      </c>
      <c r="B617" s="2" t="s">
        <v>1714</v>
      </c>
      <c r="C617" s="2" t="s">
        <v>16</v>
      </c>
      <c r="D617" s="2" t="s">
        <v>17</v>
      </c>
      <c r="E617" s="5">
        <v>-31559</v>
      </c>
      <c r="F617" s="3" t="s">
        <v>1485</v>
      </c>
      <c r="G617" s="3" t="s">
        <v>87</v>
      </c>
      <c r="H617" s="2" t="s">
        <v>20</v>
      </c>
      <c r="I617" s="2" t="s">
        <v>1715</v>
      </c>
      <c r="J617" s="3" t="str">
        <f>HYPERLINK("https://www.boe.es/gazeta/dias/1813/08/04/pdfs/GRE-1813-113.pdf#page=7","Abrir facsímil")</f>
        <v>Abrir facsímil</v>
      </c>
      <c r="K617" s="3" t="s">
        <v>22</v>
      </c>
    </row>
    <row r="618" spans="1:11" ht="42" customHeight="1">
      <c r="A618" s="2" t="s">
        <v>1713</v>
      </c>
      <c r="B618" s="2" t="s">
        <v>1714</v>
      </c>
      <c r="C618" s="2" t="s">
        <v>16</v>
      </c>
      <c r="D618" s="2" t="s">
        <v>17</v>
      </c>
      <c r="E618" s="5">
        <v>-31528</v>
      </c>
      <c r="F618" s="3" t="s">
        <v>1485</v>
      </c>
      <c r="G618" s="3" t="s">
        <v>87</v>
      </c>
      <c r="H618" s="2" t="s">
        <v>20</v>
      </c>
      <c r="I618" s="2" t="s">
        <v>1715</v>
      </c>
      <c r="J618" s="3" t="str">
        <f>HYPERLINK("https://www.boe.es/gazeta/dias/1813/09/04/pdfs/GRE-1813-113.pdf#page=7","Abrir facsímil")</f>
        <v>Abrir facsímil</v>
      </c>
      <c r="K618" s="3" t="s">
        <v>22</v>
      </c>
    </row>
    <row r="619" spans="1:11" ht="42" customHeight="1">
      <c r="A619" s="2" t="s">
        <v>1716</v>
      </c>
      <c r="B619" s="2" t="s">
        <v>1716</v>
      </c>
      <c r="C619" s="2" t="s">
        <v>16</v>
      </c>
      <c r="D619" s="2" t="s">
        <v>97</v>
      </c>
      <c r="E619" s="5">
        <v>-31519</v>
      </c>
      <c r="F619" s="3" t="s">
        <v>312</v>
      </c>
      <c r="G619" s="3" t="s">
        <v>178</v>
      </c>
      <c r="H619" s="2" t="s">
        <v>20</v>
      </c>
      <c r="I619" s="2" t="s">
        <v>1717</v>
      </c>
      <c r="J619" s="3" t="str">
        <f>HYPERLINK("https://www.boe.es/gazeta/dias/1813/09/13/pdfs/GRE-1813-118E.pdf#page=11","Abrir facsímil")</f>
        <v>Abrir facsímil</v>
      </c>
      <c r="K619" s="3" t="s">
        <v>22</v>
      </c>
    </row>
    <row r="620" spans="1:11" ht="42" customHeight="1">
      <c r="A620" s="2" t="s">
        <v>1718</v>
      </c>
      <c r="B620" s="2" t="s">
        <v>1719</v>
      </c>
      <c r="C620" s="2" t="s">
        <v>16</v>
      </c>
      <c r="D620" s="2" t="s">
        <v>17</v>
      </c>
      <c r="E620" s="5">
        <v>-31560</v>
      </c>
      <c r="F620" s="3" t="s">
        <v>590</v>
      </c>
      <c r="G620" s="3" t="s">
        <v>54</v>
      </c>
      <c r="H620" s="2" t="s">
        <v>20</v>
      </c>
      <c r="I620" s="2" t="s">
        <v>1720</v>
      </c>
      <c r="J620" s="3" t="str">
        <f>HYPERLINK("https://www.boe.es/gazeta/dias/1813/08/03/pdfs/GRE-1813-98.pdf#page=3","Abrir facsímil")</f>
        <v>Abrir facsímil</v>
      </c>
      <c r="K620" s="3" t="s">
        <v>22</v>
      </c>
    </row>
    <row r="621" spans="1:11" ht="42" customHeight="1">
      <c r="A621" s="2" t="s">
        <v>1721</v>
      </c>
      <c r="B621" s="2" t="s">
        <v>1722</v>
      </c>
      <c r="C621" s="2" t="s">
        <v>16</v>
      </c>
      <c r="D621" s="2" t="s">
        <v>17</v>
      </c>
      <c r="E621" s="5">
        <v>-31465</v>
      </c>
      <c r="F621" s="3" t="s">
        <v>407</v>
      </c>
      <c r="G621" s="3" t="s">
        <v>87</v>
      </c>
      <c r="H621" s="2" t="s">
        <v>20</v>
      </c>
      <c r="I621" s="2" t="s">
        <v>1723</v>
      </c>
      <c r="J621" s="3" t="str">
        <f>HYPERLINK("https://www.boe.es/gazeta/dias/1813/11/06/pdfs/GMR-1813-70.pdf#page=7","Abrir facsímil")</f>
        <v>Abrir facsímil</v>
      </c>
      <c r="K621" s="3" t="s">
        <v>22</v>
      </c>
    </row>
    <row r="622" spans="1:11" ht="42" customHeight="1">
      <c r="A622" s="2" t="s">
        <v>1724</v>
      </c>
      <c r="B622" s="2" t="s">
        <v>1724</v>
      </c>
      <c r="C622" s="2" t="s">
        <v>16</v>
      </c>
      <c r="D622" s="2" t="s">
        <v>17</v>
      </c>
      <c r="E622" s="5">
        <v>-31559</v>
      </c>
      <c r="F622" s="3" t="s">
        <v>1485</v>
      </c>
      <c r="G622" s="3" t="s">
        <v>87</v>
      </c>
      <c r="H622" s="2" t="s">
        <v>20</v>
      </c>
      <c r="I622" s="2" t="s">
        <v>1725</v>
      </c>
      <c r="J622" s="3" t="str">
        <f>HYPERLINK("https://www.boe.es/gazeta/dias/1813/08/04/pdfs/GRE-1813-113.pdf#page=7","Abrir facsímil")</f>
        <v>Abrir facsímil</v>
      </c>
      <c r="K622" s="3" t="s">
        <v>22</v>
      </c>
    </row>
    <row r="623" spans="1:11" ht="42" customHeight="1">
      <c r="A623" s="2" t="s">
        <v>1724</v>
      </c>
      <c r="B623" s="2" t="s">
        <v>1724</v>
      </c>
      <c r="C623" s="2" t="s">
        <v>16</v>
      </c>
      <c r="D623" s="2" t="s">
        <v>17</v>
      </c>
      <c r="E623" s="5">
        <v>-31528</v>
      </c>
      <c r="F623" s="3" t="s">
        <v>1485</v>
      </c>
      <c r="G623" s="3" t="s">
        <v>87</v>
      </c>
      <c r="H623" s="2" t="s">
        <v>20</v>
      </c>
      <c r="I623" s="2" t="s">
        <v>1725</v>
      </c>
      <c r="J623" s="3" t="str">
        <f>HYPERLINK("https://www.boe.es/gazeta/dias/1813/09/04/pdfs/GRE-1813-113.pdf#page=7","Abrir facsímil")</f>
        <v>Abrir facsímil</v>
      </c>
      <c r="K623" s="3" t="s">
        <v>22</v>
      </c>
    </row>
    <row r="624" spans="1:11" ht="42" customHeight="1">
      <c r="A624" s="2" t="s">
        <v>1726</v>
      </c>
      <c r="B624" s="2" t="s">
        <v>1727</v>
      </c>
      <c r="C624" s="2" t="s">
        <v>16</v>
      </c>
      <c r="D624" s="2" t="s">
        <v>17</v>
      </c>
      <c r="E624" s="5">
        <v>-31532</v>
      </c>
      <c r="F624" s="3" t="s">
        <v>1728</v>
      </c>
      <c r="G624" s="3" t="s">
        <v>207</v>
      </c>
      <c r="H624" s="2" t="s">
        <v>20</v>
      </c>
      <c r="I624" s="2" t="s">
        <v>1729</v>
      </c>
      <c r="J624" s="3" t="str">
        <f>HYPERLINK("https://www.boe.es/gazeta/dias/1813/08/31/pdfs/GMR-1813-35.pdf#page=10","Abrir facsímil")</f>
        <v>Abrir facsímil</v>
      </c>
      <c r="K624" s="3" t="s">
        <v>22</v>
      </c>
    </row>
    <row r="625" spans="1:11" ht="42" customHeight="1">
      <c r="A625" s="2" t="s">
        <v>1730</v>
      </c>
      <c r="B625" s="2" t="s">
        <v>1730</v>
      </c>
      <c r="C625" s="2" t="s">
        <v>16</v>
      </c>
      <c r="D625" s="2" t="s">
        <v>17</v>
      </c>
      <c r="E625" s="5">
        <v>-31430</v>
      </c>
      <c r="F625" s="3" t="s">
        <v>1731</v>
      </c>
      <c r="G625" s="3" t="s">
        <v>58</v>
      </c>
      <c r="H625" s="2" t="s">
        <v>20</v>
      </c>
      <c r="I625" s="2" t="s">
        <v>1732</v>
      </c>
      <c r="J625" s="3" t="str">
        <f>HYPERLINK("https://www.boe.es/gazeta/dias/1813/12/11/pdfs/GRE-1813-163.pdf#page=2","Abrir facsímil")</f>
        <v>Abrir facsímil</v>
      </c>
      <c r="K625" s="3" t="s">
        <v>22</v>
      </c>
    </row>
    <row r="626" spans="1:11" ht="42" customHeight="1">
      <c r="A626" s="2" t="s">
        <v>1733</v>
      </c>
      <c r="B626" s="2" t="s">
        <v>1733</v>
      </c>
      <c r="C626" s="2" t="s">
        <v>16</v>
      </c>
      <c r="D626" s="2" t="s">
        <v>17</v>
      </c>
      <c r="E626" s="5">
        <v>-31448</v>
      </c>
      <c r="F626" s="3" t="s">
        <v>325</v>
      </c>
      <c r="G626" s="3" t="s">
        <v>87</v>
      </c>
      <c r="H626" s="2" t="s">
        <v>20</v>
      </c>
      <c r="I626" s="2" t="s">
        <v>1734</v>
      </c>
      <c r="J626" s="3" t="str">
        <f>HYPERLINK("https://www.boe.es/gazeta/dias/1813/11/23/pdfs/GMR-1813-78.pdf#page=7","Abrir facsímil")</f>
        <v>Abrir facsímil</v>
      </c>
      <c r="K626" s="3" t="s">
        <v>22</v>
      </c>
    </row>
    <row r="627" spans="1:11" ht="42" customHeight="1">
      <c r="A627" s="2" t="s">
        <v>1735</v>
      </c>
      <c r="B627" s="2" t="s">
        <v>1735</v>
      </c>
      <c r="C627" s="2" t="s">
        <v>16</v>
      </c>
      <c r="D627" s="2" t="s">
        <v>17</v>
      </c>
      <c r="E627" s="5">
        <v>-31453</v>
      </c>
      <c r="F627" s="3" t="s">
        <v>695</v>
      </c>
      <c r="G627" s="3" t="s">
        <v>19</v>
      </c>
      <c r="H627" s="2" t="s">
        <v>20</v>
      </c>
      <c r="I627" s="2" t="s">
        <v>1736</v>
      </c>
      <c r="J627" s="3" t="str">
        <f>HYPERLINK("https://www.boe.es/gazeta/dias/1813/11/18/pdfs/GRE-1813-151.pdf#page=4","Abrir facsímil")</f>
        <v>Abrir facsímil</v>
      </c>
      <c r="K627" s="3" t="s">
        <v>22</v>
      </c>
    </row>
    <row r="628" spans="1:11" ht="42" customHeight="1">
      <c r="A628" s="2" t="s">
        <v>1737</v>
      </c>
      <c r="B628" s="2" t="s">
        <v>1737</v>
      </c>
      <c r="C628" s="2" t="s">
        <v>16</v>
      </c>
      <c r="D628" s="2" t="s">
        <v>17</v>
      </c>
      <c r="E628" s="5">
        <v>-31770</v>
      </c>
      <c r="F628" s="3" t="s">
        <v>1738</v>
      </c>
      <c r="G628" s="3" t="s">
        <v>58</v>
      </c>
      <c r="H628" s="2" t="s">
        <v>20</v>
      </c>
      <c r="I628" s="2" t="s">
        <v>1739</v>
      </c>
      <c r="J628" s="3" t="str">
        <f>HYPERLINK("https://www.boe.es/gazeta/dias/1813/01/05/pdfs/GRE-1813-2.pdf#page=2","Abrir facsímil")</f>
        <v>Abrir facsímil</v>
      </c>
      <c r="K628" s="3" t="s">
        <v>22</v>
      </c>
    </row>
    <row r="629" spans="1:11" ht="42" customHeight="1">
      <c r="A629" s="2" t="s">
        <v>1740</v>
      </c>
      <c r="B629" s="2" t="s">
        <v>1740</v>
      </c>
      <c r="C629" s="2" t="s">
        <v>25</v>
      </c>
      <c r="D629" s="2" t="s">
        <v>26</v>
      </c>
      <c r="E629" s="5">
        <v>-31502</v>
      </c>
      <c r="F629" s="3" t="s">
        <v>257</v>
      </c>
      <c r="G629" s="3" t="s">
        <v>65</v>
      </c>
      <c r="H629" s="2" t="s">
        <v>20</v>
      </c>
      <c r="I629" s="2" t="s">
        <v>1741</v>
      </c>
      <c r="J629" s="3" t="str">
        <f>HYPERLINK("https://www.boe.es/gazeta/dias/1813/09/30/pdfs/GMR-1813-51.pdf#page=1","Abrir facsímil")</f>
        <v>Abrir facsímil</v>
      </c>
      <c r="K629" s="3" t="s">
        <v>22</v>
      </c>
    </row>
    <row r="630" spans="1:11" ht="42" customHeight="1">
      <c r="A630" s="2" t="s">
        <v>1740</v>
      </c>
      <c r="B630" s="2" t="s">
        <v>1740</v>
      </c>
      <c r="C630" s="2" t="s">
        <v>16</v>
      </c>
      <c r="D630" s="2" t="s">
        <v>17</v>
      </c>
      <c r="E630" s="5">
        <v>-31427</v>
      </c>
      <c r="F630" s="3" t="s">
        <v>489</v>
      </c>
      <c r="G630" s="3" t="s">
        <v>1742</v>
      </c>
      <c r="H630" s="2" t="s">
        <v>20</v>
      </c>
      <c r="I630" s="2" t="s">
        <v>1743</v>
      </c>
      <c r="J630" s="3" t="str">
        <f>HYPERLINK("https://www.boe.es/gazeta/dias/1813/12/14/pdfs/GMR-1813-87.pdf#page=9","Abrir facsímil")</f>
        <v>Abrir facsímil</v>
      </c>
      <c r="K630" s="3" t="s">
        <v>22</v>
      </c>
    </row>
    <row r="631" spans="1:11" ht="42" customHeight="1">
      <c r="A631" s="2" t="s">
        <v>1744</v>
      </c>
      <c r="B631" s="2" t="s">
        <v>1744</v>
      </c>
      <c r="C631" s="2" t="s">
        <v>16</v>
      </c>
      <c r="D631" s="2" t="s">
        <v>17</v>
      </c>
      <c r="E631" s="5">
        <v>-31418</v>
      </c>
      <c r="F631" s="3" t="s">
        <v>147</v>
      </c>
      <c r="G631" s="3" t="s">
        <v>82</v>
      </c>
      <c r="H631" s="2" t="s">
        <v>20</v>
      </c>
      <c r="I631" s="2" t="s">
        <v>1745</v>
      </c>
      <c r="J631" s="3" t="str">
        <f>HYPERLINK("https://www.boe.es/gazeta/dias/1813/12/23/pdfs/GRE-1813-168.pdf#page=5","Abrir facsímil")</f>
        <v>Abrir facsímil</v>
      </c>
      <c r="K631" s="3" t="s">
        <v>22</v>
      </c>
    </row>
    <row r="632" spans="1:11" ht="42" customHeight="1">
      <c r="A632" s="2" t="s">
        <v>1746</v>
      </c>
      <c r="B632" s="2" t="s">
        <v>1747</v>
      </c>
      <c r="C632" s="2" t="s">
        <v>25</v>
      </c>
      <c r="D632" s="2" t="s">
        <v>26</v>
      </c>
      <c r="E632" s="5">
        <v>-31677</v>
      </c>
      <c r="F632" s="3" t="s">
        <v>76</v>
      </c>
      <c r="G632" s="3" t="s">
        <v>77</v>
      </c>
      <c r="H632" s="2" t="s">
        <v>20</v>
      </c>
      <c r="I632" s="2" t="s">
        <v>1748</v>
      </c>
      <c r="J632" s="3" t="str">
        <f>HYPERLINK("https://www.boe.es/gazeta/dias/1813/04/08/pdfs/GRE-1813-43.pdf#page=7","Abrir facsímil")</f>
        <v>Abrir facsímil</v>
      </c>
      <c r="K632" s="3" t="s">
        <v>22</v>
      </c>
    </row>
    <row r="633" spans="1:11" ht="42" customHeight="1">
      <c r="A633" s="2" t="s">
        <v>1746</v>
      </c>
      <c r="B633" s="2" t="s">
        <v>1747</v>
      </c>
      <c r="C633" s="2" t="s">
        <v>34</v>
      </c>
      <c r="D633" s="2" t="s">
        <v>35</v>
      </c>
      <c r="E633" s="5">
        <v>-31469</v>
      </c>
      <c r="F633" s="3" t="s">
        <v>1311</v>
      </c>
      <c r="G633" s="3" t="s">
        <v>28</v>
      </c>
      <c r="H633" s="2" t="s">
        <v>20</v>
      </c>
      <c r="I633" s="2" t="s">
        <v>1749</v>
      </c>
      <c r="J633" s="3" t="str">
        <f>HYPERLINK("https://www.boe.es/gazeta/dias/1813/11/02/pdfs/GMR-1813-67.pdf#page=8","Abrir facsímil")</f>
        <v>Abrir facsímil</v>
      </c>
      <c r="K633" s="3" t="s">
        <v>22</v>
      </c>
    </row>
    <row r="634" spans="1:11" ht="42" customHeight="1">
      <c r="A634" s="2" t="s">
        <v>1750</v>
      </c>
      <c r="B634" s="2" t="s">
        <v>1751</v>
      </c>
      <c r="C634" s="2" t="s">
        <v>16</v>
      </c>
      <c r="D634" s="2" t="s">
        <v>97</v>
      </c>
      <c r="E634" s="5">
        <v>-31519</v>
      </c>
      <c r="F634" s="3" t="s">
        <v>312</v>
      </c>
      <c r="G634" s="3" t="s">
        <v>28</v>
      </c>
      <c r="H634" s="2" t="s">
        <v>20</v>
      </c>
      <c r="I634" s="2" t="s">
        <v>1752</v>
      </c>
      <c r="J634" s="3" t="str">
        <f>HYPERLINK("https://www.boe.es/gazeta/dias/1813/09/13/pdfs/GRE-1813-118E.pdf#page=8","Abrir facsímil")</f>
        <v>Abrir facsímil</v>
      </c>
      <c r="K634" s="3" t="s">
        <v>22</v>
      </c>
    </row>
    <row r="635" spans="1:11" ht="42" customHeight="1">
      <c r="A635" s="2" t="s">
        <v>1753</v>
      </c>
      <c r="B635" s="2" t="s">
        <v>1754</v>
      </c>
      <c r="C635" s="2" t="s">
        <v>16</v>
      </c>
      <c r="D635" s="2" t="s">
        <v>17</v>
      </c>
      <c r="E635" s="5">
        <v>-31691</v>
      </c>
      <c r="F635" s="3" t="s">
        <v>1621</v>
      </c>
      <c r="G635" s="3" t="s">
        <v>19</v>
      </c>
      <c r="H635" s="2" t="s">
        <v>20</v>
      </c>
      <c r="I635" s="2" t="s">
        <v>1755</v>
      </c>
      <c r="J635" s="3" t="str">
        <f>HYPERLINK("https://www.boe.es/gazeta/dias/1813/03/25/pdfs/GMD-1813-84.pdf#page=4","Abrir facsímil")</f>
        <v>Abrir facsímil</v>
      </c>
      <c r="K635" s="3" t="s">
        <v>22</v>
      </c>
    </row>
    <row r="636" spans="1:11" ht="42" customHeight="1">
      <c r="A636" s="2" t="s">
        <v>1753</v>
      </c>
      <c r="B636" s="2" t="s">
        <v>1754</v>
      </c>
      <c r="C636" s="2" t="s">
        <v>25</v>
      </c>
      <c r="D636" s="2" t="s">
        <v>26</v>
      </c>
      <c r="E636" s="5">
        <v>-31675</v>
      </c>
      <c r="F636" s="3" t="s">
        <v>27</v>
      </c>
      <c r="G636" s="3" t="s">
        <v>648</v>
      </c>
      <c r="H636" s="2" t="s">
        <v>20</v>
      </c>
      <c r="I636" s="2" t="s">
        <v>1756</v>
      </c>
      <c r="J636" s="3" t="str">
        <f>HYPERLINK("https://www.boe.es/gazeta/dias/1813/04/10/pdfs/GRE-1813-44.pdf#page=7","Abrir facsímil")</f>
        <v>Abrir facsímil</v>
      </c>
      <c r="K636" s="3" t="s">
        <v>22</v>
      </c>
    </row>
    <row r="637" spans="1:11" ht="42" customHeight="1">
      <c r="A637" s="2" t="s">
        <v>1757</v>
      </c>
      <c r="B637" s="2" t="s">
        <v>1758</v>
      </c>
      <c r="C637" s="2" t="s">
        <v>25</v>
      </c>
      <c r="D637" s="2" t="s">
        <v>26</v>
      </c>
      <c r="E637" s="5">
        <v>-31584</v>
      </c>
      <c r="F637" s="3" t="s">
        <v>114</v>
      </c>
      <c r="G637" s="3" t="s">
        <v>28</v>
      </c>
      <c r="H637" s="2" t="s">
        <v>20</v>
      </c>
      <c r="I637" s="2" t="s">
        <v>1759</v>
      </c>
      <c r="J637" s="3" t="str">
        <f>HYPERLINK("https://www.boe.es/gazeta/dias/1813/07/10/pdfs/GRE-1813-86.pdf#page=8","Abrir facsímil")</f>
        <v>Abrir facsímil</v>
      </c>
      <c r="K637" s="3" t="s">
        <v>22</v>
      </c>
    </row>
    <row r="638" spans="1:11" ht="42" customHeight="1">
      <c r="A638" s="2" t="s">
        <v>1760</v>
      </c>
      <c r="B638" s="2" t="s">
        <v>1761</v>
      </c>
      <c r="C638" s="2" t="s">
        <v>25</v>
      </c>
      <c r="D638" s="2" t="s">
        <v>26</v>
      </c>
      <c r="E638" s="5">
        <v>-31574</v>
      </c>
      <c r="F638" s="3" t="s">
        <v>1343</v>
      </c>
      <c r="G638" s="3" t="s">
        <v>82</v>
      </c>
      <c r="H638" s="2" t="s">
        <v>20</v>
      </c>
      <c r="I638" s="2" t="s">
        <v>1762</v>
      </c>
      <c r="J638" s="3" t="str">
        <f>HYPERLINK("https://www.boe.es/gazeta/dias/1813/07/20/pdfs/GMR-1813-19.pdf#page=5","Abrir facsímil")</f>
        <v>Abrir facsímil</v>
      </c>
      <c r="K638" s="3" t="s">
        <v>22</v>
      </c>
    </row>
    <row r="639" spans="1:11" ht="42" customHeight="1">
      <c r="A639" s="2" t="s">
        <v>1763</v>
      </c>
      <c r="B639" s="2" t="s">
        <v>1763</v>
      </c>
      <c r="C639" s="2" t="s">
        <v>34</v>
      </c>
      <c r="D639" s="2" t="s">
        <v>35</v>
      </c>
      <c r="E639" s="5">
        <v>-31638</v>
      </c>
      <c r="F639" s="3" t="s">
        <v>1635</v>
      </c>
      <c r="G639" s="3" t="s">
        <v>58</v>
      </c>
      <c r="H639" s="2" t="s">
        <v>20</v>
      </c>
      <c r="I639" s="2" t="s">
        <v>1764</v>
      </c>
      <c r="J639" s="3" t="str">
        <f>HYPERLINK("https://www.boe.es/gazeta/dias/1813/05/17/pdfs/GMD-1813-137.pdf#page=2","Abrir facsímil")</f>
        <v>Abrir facsímil</v>
      </c>
      <c r="K639" s="3" t="s">
        <v>22</v>
      </c>
    </row>
    <row r="640" spans="1:11" ht="42" customHeight="1">
      <c r="A640" s="2" t="s">
        <v>1765</v>
      </c>
      <c r="B640" s="2" t="s">
        <v>1766</v>
      </c>
      <c r="C640" s="2" t="s">
        <v>16</v>
      </c>
      <c r="D640" s="2" t="s">
        <v>17</v>
      </c>
      <c r="E640" s="5">
        <v>-31745</v>
      </c>
      <c r="F640" s="3" t="s">
        <v>445</v>
      </c>
      <c r="G640" s="3" t="s">
        <v>28</v>
      </c>
      <c r="H640" s="2" t="s">
        <v>20</v>
      </c>
      <c r="I640" s="2" t="s">
        <v>1767</v>
      </c>
      <c r="J640" s="3" t="str">
        <f>HYPERLINK("https://www.boe.es/gazeta/dias/1813/01/30/pdfs/GRE-1813-13.pdf#page=8","Abrir facsímil")</f>
        <v>Abrir facsímil</v>
      </c>
      <c r="K640" s="3" t="s">
        <v>22</v>
      </c>
    </row>
    <row r="641" spans="1:11" ht="42" customHeight="1">
      <c r="A641" s="2" t="s">
        <v>1768</v>
      </c>
      <c r="B641" s="2" t="s">
        <v>1769</v>
      </c>
      <c r="C641" s="2" t="s">
        <v>25</v>
      </c>
      <c r="D641" s="2" t="s">
        <v>26</v>
      </c>
      <c r="E641" s="5">
        <v>-31719</v>
      </c>
      <c r="F641" s="3" t="s">
        <v>1770</v>
      </c>
      <c r="G641" s="3" t="s">
        <v>28</v>
      </c>
      <c r="H641" s="2" t="s">
        <v>20</v>
      </c>
      <c r="I641" s="2" t="s">
        <v>1771</v>
      </c>
      <c r="J641" s="3" t="str">
        <f>HYPERLINK("https://www.boe.es/gazeta/dias/1813/02/25/pdfs/GRE-1813-24.pdf#page=8","Abrir facsímil")</f>
        <v>Abrir facsímil</v>
      </c>
      <c r="K641" s="3" t="s">
        <v>22</v>
      </c>
    </row>
    <row r="642" spans="1:11" ht="42" customHeight="1">
      <c r="A642" s="2" t="s">
        <v>1768</v>
      </c>
      <c r="B642" s="2" t="s">
        <v>1769</v>
      </c>
      <c r="C642" s="2" t="s">
        <v>25</v>
      </c>
      <c r="D642" s="2" t="s">
        <v>26</v>
      </c>
      <c r="E642" s="5">
        <v>-31714</v>
      </c>
      <c r="F642" s="3" t="s">
        <v>479</v>
      </c>
      <c r="G642" s="3" t="s">
        <v>1002</v>
      </c>
      <c r="H642" s="2" t="s">
        <v>20</v>
      </c>
      <c r="I642" s="2" t="s">
        <v>1772</v>
      </c>
      <c r="J642" s="3" t="str">
        <f>HYPERLINK("https://www.boe.es/gazeta/dias/1813/03/02/pdfs/GRE-1813-27.pdf#page=7","Abrir facsímil")</f>
        <v>Abrir facsímil</v>
      </c>
      <c r="K642" s="3" t="s">
        <v>22</v>
      </c>
    </row>
    <row r="643" spans="1:11" ht="42" customHeight="1">
      <c r="A643" s="2" t="s">
        <v>1773</v>
      </c>
      <c r="B643" s="2" t="s">
        <v>1774</v>
      </c>
      <c r="C643" s="2" t="s">
        <v>16</v>
      </c>
      <c r="D643" s="2" t="s">
        <v>17</v>
      </c>
      <c r="E643" s="5">
        <v>-31458</v>
      </c>
      <c r="F643" s="3" t="s">
        <v>1171</v>
      </c>
      <c r="G643" s="3" t="s">
        <v>28</v>
      </c>
      <c r="H643" s="2" t="s">
        <v>20</v>
      </c>
      <c r="I643" s="2" t="s">
        <v>1775</v>
      </c>
      <c r="J643" s="3" t="str">
        <f>HYPERLINK("https://www.boe.es/gazeta/dias/1813/11/13/pdfs/GRE-1813-149.pdf#page=8","Abrir facsímil")</f>
        <v>Abrir facsímil</v>
      </c>
      <c r="K643" s="3" t="s">
        <v>22</v>
      </c>
    </row>
    <row r="644" spans="1:11" ht="42" customHeight="1">
      <c r="A644" s="2" t="s">
        <v>1776</v>
      </c>
      <c r="B644" s="2" t="s">
        <v>1777</v>
      </c>
      <c r="C644" s="2" t="s">
        <v>25</v>
      </c>
      <c r="D644" s="2" t="s">
        <v>26</v>
      </c>
      <c r="E644" s="5">
        <v>-31530</v>
      </c>
      <c r="F644" s="3" t="s">
        <v>133</v>
      </c>
      <c r="G644" s="3" t="s">
        <v>95</v>
      </c>
      <c r="H644" s="2" t="s">
        <v>20</v>
      </c>
      <c r="I644" s="2" t="s">
        <v>1778</v>
      </c>
      <c r="J644" s="3" t="str">
        <f>HYPERLINK("https://www.boe.es/gazeta/dias/1813/09/02/pdfs/GMR-1813-36.pdf#page=6","Abrir facsímil")</f>
        <v>Abrir facsímil</v>
      </c>
      <c r="K644" s="3" t="s">
        <v>22</v>
      </c>
    </row>
    <row r="645" spans="1:11" ht="42" customHeight="1">
      <c r="A645" s="2" t="s">
        <v>1779</v>
      </c>
      <c r="B645" s="2" t="s">
        <v>1780</v>
      </c>
      <c r="C645" s="2" t="s">
        <v>25</v>
      </c>
      <c r="D645" s="2" t="s">
        <v>26</v>
      </c>
      <c r="E645" s="5">
        <v>-31752</v>
      </c>
      <c r="F645" s="3" t="s">
        <v>182</v>
      </c>
      <c r="G645" s="3" t="s">
        <v>183</v>
      </c>
      <c r="H645" s="2" t="s">
        <v>20</v>
      </c>
      <c r="I645" s="2" t="s">
        <v>1781</v>
      </c>
      <c r="J645" s="3" t="str">
        <f>HYPERLINK("https://www.boe.es/gazeta/dias/1813/01/23/pdfs/GRE-1813-10.pdf#page=8","Abrir facsímil")</f>
        <v>Abrir facsímil</v>
      </c>
      <c r="K645" s="3" t="s">
        <v>22</v>
      </c>
    </row>
    <row r="646" spans="1:11" ht="42" customHeight="1">
      <c r="A646" s="2" t="s">
        <v>1782</v>
      </c>
      <c r="B646" s="2" t="s">
        <v>1783</v>
      </c>
      <c r="C646" s="2" t="s">
        <v>25</v>
      </c>
      <c r="D646" s="2" t="s">
        <v>26</v>
      </c>
      <c r="E646" s="5">
        <v>-31689</v>
      </c>
      <c r="F646" s="3" t="s">
        <v>48</v>
      </c>
      <c r="G646" s="3" t="s">
        <v>162</v>
      </c>
      <c r="H646" s="2" t="s">
        <v>20</v>
      </c>
      <c r="I646" s="2" t="s">
        <v>1784</v>
      </c>
      <c r="J646" s="3" t="str">
        <f>HYPERLINK("https://www.boe.es/gazeta/dias/1813/03/27/pdfs/GRE-1813-38.pdf#page=8","Abrir facsímil")</f>
        <v>Abrir facsímil</v>
      </c>
      <c r="K646" s="3" t="s">
        <v>22</v>
      </c>
    </row>
    <row r="647" spans="1:11" ht="42" customHeight="1">
      <c r="A647" s="2" t="s">
        <v>1785</v>
      </c>
      <c r="B647" s="2" t="s">
        <v>1785</v>
      </c>
      <c r="C647" s="2" t="s">
        <v>16</v>
      </c>
      <c r="D647" s="2" t="s">
        <v>17</v>
      </c>
      <c r="E647" s="5">
        <v>-31453</v>
      </c>
      <c r="F647" s="3" t="s">
        <v>695</v>
      </c>
      <c r="G647" s="3" t="s">
        <v>82</v>
      </c>
      <c r="H647" s="2" t="s">
        <v>20</v>
      </c>
      <c r="I647" s="2" t="s">
        <v>1786</v>
      </c>
      <c r="J647" s="3" t="str">
        <f>HYPERLINK("https://www.boe.es/gazeta/dias/1813/11/18/pdfs/GRE-1813-151.pdf#page=5","Abrir facsímil")</f>
        <v>Abrir facsímil</v>
      </c>
      <c r="K647" s="3" t="s">
        <v>22</v>
      </c>
    </row>
    <row r="648" spans="1:11" ht="42" customHeight="1">
      <c r="A648" s="2" t="s">
        <v>1787</v>
      </c>
      <c r="B648" s="2" t="s">
        <v>1787</v>
      </c>
      <c r="C648" s="2" t="s">
        <v>16</v>
      </c>
      <c r="D648" s="2" t="s">
        <v>97</v>
      </c>
      <c r="E648" s="5">
        <v>-31499</v>
      </c>
      <c r="F648" s="3" t="s">
        <v>220</v>
      </c>
      <c r="G648" s="3" t="s">
        <v>1788</v>
      </c>
      <c r="H648" s="2" t="s">
        <v>20</v>
      </c>
      <c r="I648" s="2" t="s">
        <v>1789</v>
      </c>
      <c r="J648" s="3" t="str">
        <f>HYPERLINK("https://www.boe.es/gazeta/dias/1813/10/03/pdfs/GMR-1813-53E.pdf#page=4","Abrir facsímil")</f>
        <v>Abrir facsímil</v>
      </c>
      <c r="K648" s="3" t="s">
        <v>22</v>
      </c>
    </row>
    <row r="649" spans="1:11" ht="42" customHeight="1">
      <c r="A649" s="2" t="s">
        <v>1790</v>
      </c>
      <c r="B649" s="2" t="s">
        <v>1790</v>
      </c>
      <c r="C649" s="2" t="s">
        <v>16</v>
      </c>
      <c r="D649" s="2" t="s">
        <v>17</v>
      </c>
      <c r="E649" s="5">
        <v>-31448</v>
      </c>
      <c r="F649" s="3" t="s">
        <v>57</v>
      </c>
      <c r="G649" s="3" t="s">
        <v>54</v>
      </c>
      <c r="H649" s="2" t="s">
        <v>20</v>
      </c>
      <c r="I649" s="2" t="s">
        <v>1791</v>
      </c>
      <c r="J649" s="3" t="str">
        <f>HYPERLINK("https://www.boe.es/gazeta/dias/1813/11/23/pdfs/GRE-1813-153.pdf#page=3","Abrir facsímil")</f>
        <v>Abrir facsímil</v>
      </c>
      <c r="K649" s="3" t="s">
        <v>22</v>
      </c>
    </row>
    <row r="650" spans="1:11" ht="42" customHeight="1">
      <c r="A650" s="2" t="s">
        <v>1792</v>
      </c>
      <c r="B650" s="2" t="s">
        <v>1792</v>
      </c>
      <c r="C650" s="2" t="s">
        <v>187</v>
      </c>
      <c r="D650" s="2" t="s">
        <v>26</v>
      </c>
      <c r="E650" s="5">
        <v>-31677</v>
      </c>
      <c r="F650" s="3" t="s">
        <v>76</v>
      </c>
      <c r="G650" s="3" t="s">
        <v>28</v>
      </c>
      <c r="H650" s="2" t="s">
        <v>20</v>
      </c>
      <c r="I650" s="2" t="s">
        <v>1793</v>
      </c>
      <c r="J650" s="3" t="str">
        <f>HYPERLINK("https://www.boe.es/gazeta/dias/1813/04/08/pdfs/GRE-1813-43.pdf#page=8","Abrir facsímil")</f>
        <v>Abrir facsímil</v>
      </c>
      <c r="K650" s="3" t="s">
        <v>22</v>
      </c>
    </row>
    <row r="651" spans="1:11" ht="42" customHeight="1">
      <c r="A651" s="2" t="s">
        <v>1792</v>
      </c>
      <c r="B651" s="2" t="s">
        <v>1792</v>
      </c>
      <c r="C651" s="2" t="s">
        <v>435</v>
      </c>
      <c r="D651" s="2" t="s">
        <v>26</v>
      </c>
      <c r="E651" s="5">
        <v>-31521</v>
      </c>
      <c r="F651" s="3" t="s">
        <v>1282</v>
      </c>
      <c r="G651" s="3" t="s">
        <v>313</v>
      </c>
      <c r="H651" s="2" t="s">
        <v>20</v>
      </c>
      <c r="I651" s="2" t="s">
        <v>1794</v>
      </c>
      <c r="J651" s="3" t="str">
        <f>HYPERLINK("https://www.boe.es/gazeta/dias/1813/09/11/pdfs/GMR-1813-41.pdf#page=9","Abrir facsímil")</f>
        <v>Abrir facsímil</v>
      </c>
      <c r="K651" s="3" t="s">
        <v>22</v>
      </c>
    </row>
    <row r="652" spans="1:11" ht="42" customHeight="1">
      <c r="A652" s="2" t="s">
        <v>1795</v>
      </c>
      <c r="B652" s="2" t="s">
        <v>1796</v>
      </c>
      <c r="C652" s="2" t="s">
        <v>16</v>
      </c>
      <c r="D652" s="2" t="s">
        <v>17</v>
      </c>
      <c r="E652" s="5">
        <v>-31516</v>
      </c>
      <c r="F652" s="3" t="s">
        <v>1685</v>
      </c>
      <c r="G652" s="3" t="s">
        <v>1797</v>
      </c>
      <c r="H652" s="2" t="s">
        <v>29</v>
      </c>
      <c r="I652" s="2" t="s">
        <v>1798</v>
      </c>
      <c r="J652" s="3" t="str">
        <f>HYPERLINK("https://www.boe.es/gazeta/dias/1813/09/16/pdfs/GRE-1813-120.pdf#page=5","Abrir facsímil")</f>
        <v>Abrir facsímil</v>
      </c>
      <c r="K652" s="3" t="s">
        <v>31</v>
      </c>
    </row>
    <row r="653" spans="1:11" ht="42" customHeight="1">
      <c r="A653" s="2" t="s">
        <v>1799</v>
      </c>
      <c r="B653" s="2" t="s">
        <v>1800</v>
      </c>
      <c r="C653" s="2" t="s">
        <v>16</v>
      </c>
      <c r="D653" s="2" t="s">
        <v>17</v>
      </c>
      <c r="E653" s="5">
        <v>-31560</v>
      </c>
      <c r="F653" s="3" t="s">
        <v>1233</v>
      </c>
      <c r="G653" s="3" t="s">
        <v>95</v>
      </c>
      <c r="H653" s="2" t="s">
        <v>20</v>
      </c>
      <c r="I653" s="2" t="s">
        <v>1801</v>
      </c>
      <c r="J653" s="3" t="str">
        <f>HYPERLINK("https://www.boe.es/gazeta/dias/1813/08/03/pdfs/GMR-1813-23.pdf#page=6","Abrir facsímil")</f>
        <v>Abrir facsímil</v>
      </c>
      <c r="K653" s="3" t="s">
        <v>22</v>
      </c>
    </row>
    <row r="654" spans="1:11" ht="42" customHeight="1">
      <c r="A654" s="2" t="s">
        <v>1802</v>
      </c>
      <c r="B654" s="2" t="s">
        <v>1802</v>
      </c>
      <c r="C654" s="2" t="s">
        <v>16</v>
      </c>
      <c r="D654" s="2" t="s">
        <v>17</v>
      </c>
      <c r="E654" s="5">
        <v>-31570</v>
      </c>
      <c r="F654" s="3" t="s">
        <v>1803</v>
      </c>
      <c r="G654" s="3" t="s">
        <v>95</v>
      </c>
      <c r="H654" s="2" t="s">
        <v>20</v>
      </c>
      <c r="I654" s="2" t="s">
        <v>1804</v>
      </c>
      <c r="J654" s="3" t="str">
        <f>HYPERLINK("https://www.boe.es/gazeta/dias/1813/07/24/pdfs/GRE-1813-94.pdf#page=6","Abrir facsímil")</f>
        <v>Abrir facsímil</v>
      </c>
      <c r="K654" s="3" t="s">
        <v>22</v>
      </c>
    </row>
    <row r="655" spans="1:11" ht="42" customHeight="1">
      <c r="A655" s="2" t="s">
        <v>1805</v>
      </c>
      <c r="B655" s="2" t="s">
        <v>1806</v>
      </c>
      <c r="C655" s="2" t="s">
        <v>16</v>
      </c>
      <c r="D655" s="2" t="s">
        <v>17</v>
      </c>
      <c r="E655" s="5">
        <v>-31570</v>
      </c>
      <c r="F655" s="3" t="s">
        <v>1803</v>
      </c>
      <c r="G655" s="3" t="s">
        <v>95</v>
      </c>
      <c r="H655" s="2" t="s">
        <v>20</v>
      </c>
      <c r="I655" s="2" t="s">
        <v>1807</v>
      </c>
      <c r="J655" s="3" t="str">
        <f>HYPERLINK("https://www.boe.es/gazeta/dias/1813/07/24/pdfs/GRE-1813-94.pdf#page=6","Abrir facsímil")</f>
        <v>Abrir facsímil</v>
      </c>
      <c r="K655" s="3" t="s">
        <v>22</v>
      </c>
    </row>
    <row r="656" spans="1:11" ht="42" customHeight="1">
      <c r="A656" s="2" t="s">
        <v>1808</v>
      </c>
      <c r="B656" s="2" t="s">
        <v>1809</v>
      </c>
      <c r="C656" s="2" t="s">
        <v>16</v>
      </c>
      <c r="D656" s="2" t="s">
        <v>17</v>
      </c>
      <c r="E656" s="5">
        <v>-31432</v>
      </c>
      <c r="F656" s="3" t="s">
        <v>803</v>
      </c>
      <c r="G656" s="3" t="s">
        <v>95</v>
      </c>
      <c r="H656" s="2" t="s">
        <v>20</v>
      </c>
      <c r="I656" s="2" t="s">
        <v>1810</v>
      </c>
      <c r="J656" s="3" t="str">
        <f>HYPERLINK("https://www.boe.es/gazeta/dias/1813/12/09/pdfs/GRE-1813-162.pdf#page=6","Abrir facsímil")</f>
        <v>Abrir facsímil</v>
      </c>
      <c r="K656" s="3" t="s">
        <v>22</v>
      </c>
    </row>
    <row r="657" spans="1:11" ht="42" customHeight="1">
      <c r="A657" s="2" t="s">
        <v>1811</v>
      </c>
      <c r="B657" s="2" t="s">
        <v>1811</v>
      </c>
      <c r="C657" s="2" t="s">
        <v>16</v>
      </c>
      <c r="D657" s="2" t="s">
        <v>17</v>
      </c>
      <c r="E657" s="5">
        <v>-31448</v>
      </c>
      <c r="F657" s="3" t="s">
        <v>325</v>
      </c>
      <c r="G657" s="3" t="s">
        <v>87</v>
      </c>
      <c r="H657" s="2" t="s">
        <v>20</v>
      </c>
      <c r="I657" s="2" t="s">
        <v>1812</v>
      </c>
      <c r="J657" s="3" t="str">
        <f>HYPERLINK("https://www.boe.es/gazeta/dias/1813/11/23/pdfs/GMR-1813-78.pdf#page=7","Abrir facsímil")</f>
        <v>Abrir facsímil</v>
      </c>
      <c r="K657" s="3" t="s">
        <v>22</v>
      </c>
    </row>
    <row r="658" spans="1:11" ht="42" customHeight="1">
      <c r="A658" s="2" t="s">
        <v>1811</v>
      </c>
      <c r="B658" s="2" t="s">
        <v>1811</v>
      </c>
      <c r="C658" s="2" t="s">
        <v>16</v>
      </c>
      <c r="D658" s="2" t="s">
        <v>17</v>
      </c>
      <c r="E658" s="5">
        <v>-31430</v>
      </c>
      <c r="F658" s="3" t="s">
        <v>1731</v>
      </c>
      <c r="G658" s="3" t="s">
        <v>58</v>
      </c>
      <c r="H658" s="2" t="s">
        <v>20</v>
      </c>
      <c r="I658" s="2" t="s">
        <v>1813</v>
      </c>
      <c r="J658" s="3" t="str">
        <f>HYPERLINK("https://www.boe.es/gazeta/dias/1813/12/11/pdfs/GRE-1813-163.pdf#page=2","Abrir facsímil")</f>
        <v>Abrir facsímil</v>
      </c>
      <c r="K658" s="3" t="s">
        <v>22</v>
      </c>
    </row>
    <row r="659" spans="1:11" ht="42" customHeight="1">
      <c r="A659" s="2" t="s">
        <v>1814</v>
      </c>
      <c r="B659" s="2" t="s">
        <v>1815</v>
      </c>
      <c r="C659" s="2" t="s">
        <v>16</v>
      </c>
      <c r="D659" s="2" t="s">
        <v>17</v>
      </c>
      <c r="E659" s="5">
        <v>-31585</v>
      </c>
      <c r="F659" s="3" t="s">
        <v>177</v>
      </c>
      <c r="G659" s="3" t="s">
        <v>821</v>
      </c>
      <c r="H659" s="2" t="s">
        <v>20</v>
      </c>
      <c r="I659" s="2" t="s">
        <v>1816</v>
      </c>
      <c r="J659" s="3" t="str">
        <f>HYPERLINK("https://www.boe.es/gazeta/dias/1813/07/09/pdfs/GMR-1813-16.pdf#page=13","Abrir facsímil")</f>
        <v>Abrir facsímil</v>
      </c>
      <c r="K659" s="3" t="s">
        <v>22</v>
      </c>
    </row>
    <row r="660" spans="1:11" ht="42" customHeight="1">
      <c r="A660" s="2" t="s">
        <v>1817</v>
      </c>
      <c r="B660" s="2" t="s">
        <v>1817</v>
      </c>
      <c r="C660" s="2" t="s">
        <v>16</v>
      </c>
      <c r="D660" s="2" t="s">
        <v>17</v>
      </c>
      <c r="E660" s="5">
        <v>-31728</v>
      </c>
      <c r="F660" s="3" t="s">
        <v>1434</v>
      </c>
      <c r="G660" s="3" t="s">
        <v>1818</v>
      </c>
      <c r="H660" s="2" t="s">
        <v>20</v>
      </c>
      <c r="I660" s="2" t="s">
        <v>1819</v>
      </c>
      <c r="J660" s="3" t="str">
        <f>HYPERLINK("https://www.boe.es/gazeta/dias/1813/02/16/pdfs/GRE-1813-20.pdf#page=5","Abrir facsímil")</f>
        <v>Abrir facsímil</v>
      </c>
      <c r="K660" s="3" t="s">
        <v>22</v>
      </c>
    </row>
    <row r="661" spans="1:11" ht="42" customHeight="1">
      <c r="A661" s="2" t="s">
        <v>1820</v>
      </c>
      <c r="B661" s="2" t="s">
        <v>1821</v>
      </c>
      <c r="C661" s="2" t="s">
        <v>16</v>
      </c>
      <c r="D661" s="2" t="s">
        <v>17</v>
      </c>
      <c r="E661" s="5">
        <v>-31427</v>
      </c>
      <c r="F661" s="3" t="s">
        <v>1822</v>
      </c>
      <c r="G661" s="3" t="s">
        <v>82</v>
      </c>
      <c r="H661" s="2" t="s">
        <v>20</v>
      </c>
      <c r="I661" s="2" t="s">
        <v>1823</v>
      </c>
      <c r="J661" s="3" t="str">
        <f>HYPERLINK("https://www.boe.es/gazeta/dias/1813/12/14/pdfs/GRE-1813-164.pdf#page=5","Abrir facsímil")</f>
        <v>Abrir facsímil</v>
      </c>
      <c r="K661" s="3" t="s">
        <v>22</v>
      </c>
    </row>
    <row r="662" spans="1:11" ht="42" customHeight="1">
      <c r="A662" s="2" t="s">
        <v>1824</v>
      </c>
      <c r="B662" s="2" t="s">
        <v>1824</v>
      </c>
      <c r="C662" s="2" t="s">
        <v>16</v>
      </c>
      <c r="D662" s="2" t="s">
        <v>17</v>
      </c>
      <c r="E662" s="5">
        <v>-31621</v>
      </c>
      <c r="F662" s="3" t="s">
        <v>1825</v>
      </c>
      <c r="G662" s="3" t="s">
        <v>19</v>
      </c>
      <c r="H662" s="2" t="s">
        <v>20</v>
      </c>
      <c r="I662" s="2" t="s">
        <v>1826</v>
      </c>
      <c r="J662" s="3" t="str">
        <f>HYPERLINK("https://www.boe.es/gazeta/dias/1813/06/03/pdfs/GMR-1813-1.pdf#page=4","Abrir facsímil")</f>
        <v>Abrir facsímil</v>
      </c>
      <c r="K662" s="3" t="s">
        <v>22</v>
      </c>
    </row>
    <row r="663" spans="1:11" ht="42" customHeight="1">
      <c r="A663" s="2" t="s">
        <v>1827</v>
      </c>
      <c r="B663" s="2" t="s">
        <v>1827</v>
      </c>
      <c r="C663" s="2" t="s">
        <v>16</v>
      </c>
      <c r="D663" s="2" t="s">
        <v>17</v>
      </c>
      <c r="E663" s="5">
        <v>-31679</v>
      </c>
      <c r="F663" s="3" t="s">
        <v>571</v>
      </c>
      <c r="G663" s="3" t="s">
        <v>95</v>
      </c>
      <c r="H663" s="2" t="s">
        <v>20</v>
      </c>
      <c r="I663" s="2" t="s">
        <v>1828</v>
      </c>
      <c r="J663" s="3" t="str">
        <f>HYPERLINK("https://www.boe.es/gazeta/dias/1813/04/06/pdfs/GRE-1813-42.pdf#page=6","Abrir facsímil")</f>
        <v>Abrir facsímil</v>
      </c>
      <c r="K663" s="3" t="s">
        <v>22</v>
      </c>
    </row>
    <row r="664" spans="1:11" ht="42" customHeight="1">
      <c r="A664" s="2" t="s">
        <v>1829</v>
      </c>
      <c r="B664" s="2" t="s">
        <v>1829</v>
      </c>
      <c r="C664" s="2" t="s">
        <v>16</v>
      </c>
      <c r="D664" s="2" t="s">
        <v>17</v>
      </c>
      <c r="E664" s="5">
        <v>-31642</v>
      </c>
      <c r="F664" s="3" t="s">
        <v>582</v>
      </c>
      <c r="G664" s="3" t="s">
        <v>58</v>
      </c>
      <c r="H664" s="2" t="s">
        <v>20</v>
      </c>
      <c r="I664" s="2" t="s">
        <v>1830</v>
      </c>
      <c r="J664" s="3" t="str">
        <f>HYPERLINK("https://www.boe.es/gazeta/dias/1813/05/13/pdfs/GRE-1813-59.pdf#page=2","Abrir facsímil")</f>
        <v>Abrir facsímil</v>
      </c>
      <c r="K664" s="3" t="s">
        <v>22</v>
      </c>
    </row>
    <row r="665" spans="1:11" ht="42" customHeight="1">
      <c r="A665" s="2" t="s">
        <v>1831</v>
      </c>
      <c r="B665" s="2" t="s">
        <v>1831</v>
      </c>
      <c r="C665" s="2" t="s">
        <v>16</v>
      </c>
      <c r="D665" s="2" t="s">
        <v>17</v>
      </c>
      <c r="E665" s="5">
        <v>-31420</v>
      </c>
      <c r="F665" s="3" t="s">
        <v>145</v>
      </c>
      <c r="G665" s="3" t="s">
        <v>54</v>
      </c>
      <c r="H665" s="2" t="s">
        <v>20</v>
      </c>
      <c r="I665" s="2" t="s">
        <v>1832</v>
      </c>
      <c r="J665" s="3" t="str">
        <f>HYPERLINK("https://www.boe.es/gazeta/dias/1813/12/21/pdfs/GMR-1813-90.pdf#page=3","Abrir facsímil")</f>
        <v>Abrir facsímil</v>
      </c>
      <c r="K665" s="3" t="s">
        <v>22</v>
      </c>
    </row>
    <row r="666" spans="1:11" ht="42" customHeight="1">
      <c r="A666" s="2" t="s">
        <v>1833</v>
      </c>
      <c r="B666" s="2" t="s">
        <v>1833</v>
      </c>
      <c r="C666" s="2" t="s">
        <v>16</v>
      </c>
      <c r="D666" s="2" t="s">
        <v>17</v>
      </c>
      <c r="E666" s="5">
        <v>-31516</v>
      </c>
      <c r="F666" s="3" t="s">
        <v>246</v>
      </c>
      <c r="G666" s="3" t="s">
        <v>58</v>
      </c>
      <c r="H666" s="2" t="s">
        <v>20</v>
      </c>
      <c r="I666" s="2" t="s">
        <v>1834</v>
      </c>
      <c r="J666" s="3" t="str">
        <f>HYPERLINK("https://www.boe.es/gazeta/dias/1813/09/16/pdfs/GMR-1813-43.pdf#page=2","Abrir facsímil")</f>
        <v>Abrir facsímil</v>
      </c>
      <c r="K666" s="3" t="s">
        <v>22</v>
      </c>
    </row>
    <row r="667" spans="1:11" ht="42" customHeight="1">
      <c r="A667" s="2" t="s">
        <v>1835</v>
      </c>
      <c r="B667" s="2" t="s">
        <v>1836</v>
      </c>
      <c r="C667" s="2" t="s">
        <v>16</v>
      </c>
      <c r="D667" s="2" t="s">
        <v>17</v>
      </c>
      <c r="E667" s="5">
        <v>-31719</v>
      </c>
      <c r="F667" s="3" t="s">
        <v>251</v>
      </c>
      <c r="G667" s="3" t="s">
        <v>19</v>
      </c>
      <c r="H667" s="2" t="s">
        <v>20</v>
      </c>
      <c r="I667" s="2" t="s">
        <v>1837</v>
      </c>
      <c r="J667" s="3" t="str">
        <f>HYPERLINK("https://www.boe.es/gazeta/dias/1813/02/25/pdfs/GMD-1813-56.pdf#page=4","Abrir facsímil")</f>
        <v>Abrir facsímil</v>
      </c>
      <c r="K667" s="3" t="s">
        <v>22</v>
      </c>
    </row>
    <row r="668" spans="1:11" ht="42" customHeight="1">
      <c r="A668" s="2" t="s">
        <v>1838</v>
      </c>
      <c r="B668" s="2" t="s">
        <v>1838</v>
      </c>
      <c r="C668" s="2" t="s">
        <v>16</v>
      </c>
      <c r="D668" s="2" t="s">
        <v>17</v>
      </c>
      <c r="E668" s="5">
        <v>-31516</v>
      </c>
      <c r="F668" s="3" t="s">
        <v>1685</v>
      </c>
      <c r="G668" s="3" t="s">
        <v>95</v>
      </c>
      <c r="H668" s="2" t="s">
        <v>20</v>
      </c>
      <c r="I668" s="2" t="s">
        <v>1839</v>
      </c>
      <c r="J668" s="3" t="str">
        <f>HYPERLINK("https://www.boe.es/gazeta/dias/1813/09/16/pdfs/GRE-1813-120.pdf#page=6","Abrir facsímil")</f>
        <v>Abrir facsímil</v>
      </c>
      <c r="K668" s="3" t="s">
        <v>22</v>
      </c>
    </row>
    <row r="669" spans="1:11" ht="42" customHeight="1">
      <c r="A669" s="2" t="s">
        <v>1840</v>
      </c>
      <c r="B669" s="2" t="s">
        <v>1841</v>
      </c>
      <c r="C669" s="2" t="s">
        <v>16</v>
      </c>
      <c r="D669" s="2" t="s">
        <v>17</v>
      </c>
      <c r="E669" s="5">
        <v>-31609</v>
      </c>
      <c r="F669" s="3" t="s">
        <v>711</v>
      </c>
      <c r="G669" s="3" t="s">
        <v>82</v>
      </c>
      <c r="H669" s="2" t="s">
        <v>20</v>
      </c>
      <c r="I669" s="2" t="s">
        <v>1842</v>
      </c>
      <c r="J669" s="3" t="str">
        <f>HYPERLINK("https://www.boe.es/gazeta/dias/1813/06/15/pdfs/GMR-1813-6.pdf#page=5","Abrir facsímil")</f>
        <v>Abrir facsímil</v>
      </c>
      <c r="K669" s="3" t="s">
        <v>22</v>
      </c>
    </row>
    <row r="670" spans="1:11" ht="42" customHeight="1">
      <c r="A670" s="2" t="s">
        <v>1843</v>
      </c>
      <c r="B670" s="2" t="s">
        <v>1844</v>
      </c>
      <c r="C670" s="2" t="s">
        <v>277</v>
      </c>
      <c r="D670" s="2" t="s">
        <v>26</v>
      </c>
      <c r="E670" s="5">
        <v>-31719</v>
      </c>
      <c r="F670" s="3" t="s">
        <v>251</v>
      </c>
      <c r="G670" s="3" t="s">
        <v>19</v>
      </c>
      <c r="H670" s="2" t="s">
        <v>20</v>
      </c>
      <c r="I670" s="2" t="s">
        <v>1845</v>
      </c>
      <c r="J670" s="3" t="str">
        <f>HYPERLINK("https://www.boe.es/gazeta/dias/1813/02/25/pdfs/GMD-1813-56.pdf#page=4","Abrir facsímil")</f>
        <v>Abrir facsímil</v>
      </c>
      <c r="K670" s="3" t="s">
        <v>22</v>
      </c>
    </row>
    <row r="671" spans="1:11" ht="42" customHeight="1">
      <c r="A671" s="2" t="s">
        <v>1846</v>
      </c>
      <c r="B671" s="2" t="s">
        <v>1846</v>
      </c>
      <c r="C671" s="2" t="s">
        <v>16</v>
      </c>
      <c r="D671" s="2" t="s">
        <v>17</v>
      </c>
      <c r="E671" s="5">
        <v>-31693</v>
      </c>
      <c r="F671" s="3" t="s">
        <v>1847</v>
      </c>
      <c r="G671" s="3" t="s">
        <v>19</v>
      </c>
      <c r="H671" s="2" t="s">
        <v>20</v>
      </c>
      <c r="I671" s="2" t="s">
        <v>1848</v>
      </c>
      <c r="J671" s="3" t="str">
        <f>HYPERLINK("https://www.boe.es/gazeta/dias/1813/03/23/pdfs/GMD-1813-82.pdf#page=4","Abrir facsímil")</f>
        <v>Abrir facsímil</v>
      </c>
      <c r="K671" s="3" t="s">
        <v>22</v>
      </c>
    </row>
    <row r="672" spans="1:11" ht="42" customHeight="1">
      <c r="A672" s="2" t="s">
        <v>1849</v>
      </c>
      <c r="B672" s="2" t="s">
        <v>1849</v>
      </c>
      <c r="C672" s="2" t="s">
        <v>16</v>
      </c>
      <c r="D672" s="2" t="s">
        <v>97</v>
      </c>
      <c r="E672" s="5">
        <v>-31519</v>
      </c>
      <c r="F672" s="3" t="s">
        <v>312</v>
      </c>
      <c r="G672" s="3" t="s">
        <v>65</v>
      </c>
      <c r="H672" s="2" t="s">
        <v>20</v>
      </c>
      <c r="I672" s="2" t="s">
        <v>1850</v>
      </c>
      <c r="J672" s="3" t="str">
        <f>HYPERLINK("https://www.boe.es/gazeta/dias/1813/09/13/pdfs/GRE-1813-118E.pdf#page=1","Abrir facsímil")</f>
        <v>Abrir facsímil</v>
      </c>
      <c r="K672" s="3" t="s">
        <v>22</v>
      </c>
    </row>
    <row r="673" spans="1:11" ht="42" customHeight="1">
      <c r="A673" s="2" t="s">
        <v>1851</v>
      </c>
      <c r="B673" s="2" t="s">
        <v>1852</v>
      </c>
      <c r="C673" s="2" t="s">
        <v>69</v>
      </c>
      <c r="D673" s="2" t="s">
        <v>26</v>
      </c>
      <c r="E673" s="5">
        <v>-31553</v>
      </c>
      <c r="F673" s="3" t="s">
        <v>1853</v>
      </c>
      <c r="G673" s="3" t="s">
        <v>28</v>
      </c>
      <c r="H673" s="2" t="s">
        <v>29</v>
      </c>
      <c r="I673" s="2" t="s">
        <v>1854</v>
      </c>
      <c r="J673" s="3" t="str">
        <f>HYPERLINK("https://www.boe.es/gazeta/dias/1813/08/10/pdfs/GMR-1813-26.pdf#page=8","Abrir facsímil")</f>
        <v>Abrir facsímil</v>
      </c>
      <c r="K673" s="3" t="s">
        <v>31</v>
      </c>
    </row>
    <row r="674" spans="1:11" ht="42" customHeight="1">
      <c r="A674" s="2" t="s">
        <v>1855</v>
      </c>
      <c r="B674" s="2" t="s">
        <v>1855</v>
      </c>
      <c r="C674" s="2" t="s">
        <v>16</v>
      </c>
      <c r="D674" s="2" t="s">
        <v>17</v>
      </c>
      <c r="E674" s="5">
        <v>-31745</v>
      </c>
      <c r="F674" s="3" t="s">
        <v>1856</v>
      </c>
      <c r="G674" s="3" t="s">
        <v>19</v>
      </c>
      <c r="H674" s="2" t="s">
        <v>20</v>
      </c>
      <c r="I674" s="2" t="s">
        <v>1857</v>
      </c>
      <c r="J674" s="3" t="str">
        <f>HYPERLINK("https://www.boe.es/gazeta/dias/1813/01/30/pdfs/GMD-1813-30.pdf#page=4","Abrir facsímil")</f>
        <v>Abrir facsímil</v>
      </c>
      <c r="K674" s="3" t="s">
        <v>22</v>
      </c>
    </row>
    <row r="675" spans="1:11" ht="42" customHeight="1">
      <c r="A675" s="2" t="s">
        <v>1858</v>
      </c>
      <c r="B675" s="2" t="s">
        <v>1859</v>
      </c>
      <c r="C675" s="2" t="s">
        <v>16</v>
      </c>
      <c r="D675" s="2" t="s">
        <v>17</v>
      </c>
      <c r="E675" s="5">
        <v>-31549</v>
      </c>
      <c r="F675" s="3" t="s">
        <v>332</v>
      </c>
      <c r="G675" s="3" t="s">
        <v>82</v>
      </c>
      <c r="H675" s="2" t="s">
        <v>20</v>
      </c>
      <c r="I675" s="2" t="s">
        <v>1860</v>
      </c>
      <c r="J675" s="3" t="str">
        <f>HYPERLINK("https://www.boe.es/gazeta/dias/1813/08/14/pdfs/GMR-1813-28.pdf#page=5","Abrir facsímil")</f>
        <v>Abrir facsímil</v>
      </c>
      <c r="K675" s="3" t="s">
        <v>22</v>
      </c>
    </row>
    <row r="676" spans="1:11" ht="42" customHeight="1">
      <c r="A676" s="2" t="s">
        <v>1861</v>
      </c>
      <c r="B676" s="2" t="s">
        <v>1861</v>
      </c>
      <c r="C676" s="2" t="s">
        <v>16</v>
      </c>
      <c r="D676" s="2" t="s">
        <v>17</v>
      </c>
      <c r="E676" s="5">
        <v>-31549</v>
      </c>
      <c r="F676" s="3" t="s">
        <v>332</v>
      </c>
      <c r="G676" s="3" t="s">
        <v>82</v>
      </c>
      <c r="H676" s="2" t="s">
        <v>20</v>
      </c>
      <c r="I676" s="2" t="s">
        <v>1862</v>
      </c>
      <c r="J676" s="3" t="str">
        <f>HYPERLINK("https://www.boe.es/gazeta/dias/1813/08/14/pdfs/GMR-1813-28.pdf#page=5","Abrir facsímil")</f>
        <v>Abrir facsímil</v>
      </c>
      <c r="K676" s="3" t="s">
        <v>22</v>
      </c>
    </row>
    <row r="677" spans="1:11" ht="42" customHeight="1">
      <c r="A677" s="2" t="s">
        <v>1861</v>
      </c>
      <c r="B677" s="2" t="s">
        <v>1861</v>
      </c>
      <c r="C677" s="2" t="s">
        <v>16</v>
      </c>
      <c r="D677" s="2" t="s">
        <v>17</v>
      </c>
      <c r="E677" s="5">
        <v>-31544</v>
      </c>
      <c r="F677" s="3" t="s">
        <v>200</v>
      </c>
      <c r="G677" s="3" t="s">
        <v>1863</v>
      </c>
      <c r="H677" s="2" t="s">
        <v>20</v>
      </c>
      <c r="I677" s="2" t="s">
        <v>1864</v>
      </c>
      <c r="J677" s="3" t="str">
        <f>HYPERLINK("https://www.boe.es/gazeta/dias/1813/08/19/pdfs/GRE-1813-106.pdf#page=8","Abrir facsímil")</f>
        <v>Abrir facsímil</v>
      </c>
      <c r="K677" s="3" t="s">
        <v>22</v>
      </c>
    </row>
    <row r="678" spans="1:11" ht="42" customHeight="1">
      <c r="A678" s="2" t="s">
        <v>1865</v>
      </c>
      <c r="B678" s="2" t="s">
        <v>1866</v>
      </c>
      <c r="C678" s="2" t="s">
        <v>435</v>
      </c>
      <c r="D678" s="2" t="s">
        <v>26</v>
      </c>
      <c r="E678" s="5">
        <v>-31560</v>
      </c>
      <c r="F678" s="3" t="s">
        <v>590</v>
      </c>
      <c r="G678" s="3" t="s">
        <v>87</v>
      </c>
      <c r="H678" s="2" t="s">
        <v>20</v>
      </c>
      <c r="I678" s="2" t="s">
        <v>1867</v>
      </c>
      <c r="J678" s="3" t="str">
        <f>HYPERLINK("https://www.boe.es/gazeta/dias/1813/08/03/pdfs/GRE-1813-98.pdf#page=7","Abrir facsímil")</f>
        <v>Abrir facsímil</v>
      </c>
      <c r="K678" s="3" t="s">
        <v>22</v>
      </c>
    </row>
    <row r="679" spans="1:11" ht="42" customHeight="1">
      <c r="A679" s="2" t="s">
        <v>1868</v>
      </c>
      <c r="B679" s="2" t="s">
        <v>1869</v>
      </c>
      <c r="C679" s="2" t="s">
        <v>16</v>
      </c>
      <c r="D679" s="2" t="s">
        <v>17</v>
      </c>
      <c r="E679" s="5">
        <v>-31525</v>
      </c>
      <c r="F679" s="3" t="s">
        <v>135</v>
      </c>
      <c r="G679" s="3" t="s">
        <v>19</v>
      </c>
      <c r="H679" s="2" t="s">
        <v>20</v>
      </c>
      <c r="I679" s="2" t="s">
        <v>1870</v>
      </c>
      <c r="J679" s="3" t="str">
        <f>HYPERLINK("https://www.boe.es/gazeta/dias/1813/09/07/pdfs/GMR-1813-38.pdf#page=4","Abrir facsímil")</f>
        <v>Abrir facsímil</v>
      </c>
      <c r="K679" s="3" t="s">
        <v>22</v>
      </c>
    </row>
    <row r="680" spans="1:11" ht="42" customHeight="1">
      <c r="A680" s="2" t="s">
        <v>1871</v>
      </c>
      <c r="B680" s="2" t="s">
        <v>1871</v>
      </c>
      <c r="C680" s="2" t="s">
        <v>16</v>
      </c>
      <c r="D680" s="2" t="s">
        <v>17</v>
      </c>
      <c r="E680" s="5">
        <v>-31448</v>
      </c>
      <c r="F680" s="3" t="s">
        <v>57</v>
      </c>
      <c r="G680" s="3" t="s">
        <v>54</v>
      </c>
      <c r="H680" s="2" t="s">
        <v>20</v>
      </c>
      <c r="I680" s="2" t="s">
        <v>1872</v>
      </c>
      <c r="J680" s="3" t="str">
        <f>HYPERLINK("https://www.boe.es/gazeta/dias/1813/11/23/pdfs/GRE-1813-153.pdf#page=3","Abrir facsímil")</f>
        <v>Abrir facsímil</v>
      </c>
      <c r="K680" s="3" t="s">
        <v>22</v>
      </c>
    </row>
    <row r="681" spans="1:11" ht="42" customHeight="1">
      <c r="A681" s="2" t="s">
        <v>1873</v>
      </c>
      <c r="B681" s="2" t="s">
        <v>1874</v>
      </c>
      <c r="C681" s="2" t="s">
        <v>25</v>
      </c>
      <c r="D681" s="2" t="s">
        <v>26</v>
      </c>
      <c r="E681" s="5">
        <v>-31553</v>
      </c>
      <c r="F681" s="3" t="s">
        <v>1853</v>
      </c>
      <c r="G681" s="3" t="s">
        <v>28</v>
      </c>
      <c r="H681" s="2" t="s">
        <v>29</v>
      </c>
      <c r="I681" s="2" t="s">
        <v>1875</v>
      </c>
      <c r="J681" s="3" t="str">
        <f>HYPERLINK("https://www.boe.es/gazeta/dias/1813/08/10/pdfs/GMR-1813-26.pdf#page=8","Abrir facsímil")</f>
        <v>Abrir facsímil</v>
      </c>
      <c r="K681" s="3" t="s">
        <v>31</v>
      </c>
    </row>
    <row r="682" spans="1:11" ht="42" customHeight="1">
      <c r="A682" s="2" t="s">
        <v>1876</v>
      </c>
      <c r="B682" s="2" t="s">
        <v>1876</v>
      </c>
      <c r="C682" s="2" t="s">
        <v>16</v>
      </c>
      <c r="D682" s="2" t="s">
        <v>97</v>
      </c>
      <c r="E682" s="5">
        <v>-31446</v>
      </c>
      <c r="F682" s="3" t="s">
        <v>1877</v>
      </c>
      <c r="G682" s="3" t="s">
        <v>1878</v>
      </c>
      <c r="H682" s="2" t="s">
        <v>20</v>
      </c>
      <c r="I682" s="2" t="s">
        <v>1879</v>
      </c>
      <c r="J682" s="3" t="str">
        <f>HYPERLINK("https://www.boe.es/gazeta/dias/1813/11/25/pdfs/GRE-1813-155E.pdf#page=8","Abrir facsímil")</f>
        <v>Abrir facsímil</v>
      </c>
      <c r="K682" s="3" t="s">
        <v>22</v>
      </c>
    </row>
    <row r="683" spans="1:11" ht="42" customHeight="1">
      <c r="A683" s="2" t="s">
        <v>1880</v>
      </c>
      <c r="B683" s="2" t="s">
        <v>1881</v>
      </c>
      <c r="C683" s="2" t="s">
        <v>34</v>
      </c>
      <c r="D683" s="2" t="s">
        <v>35</v>
      </c>
      <c r="E683" s="5">
        <v>-31709</v>
      </c>
      <c r="F683" s="3" t="s">
        <v>36</v>
      </c>
      <c r="G683" s="3" t="s">
        <v>303</v>
      </c>
      <c r="H683" s="2" t="s">
        <v>20</v>
      </c>
      <c r="I683" s="2" t="s">
        <v>1882</v>
      </c>
      <c r="J683" s="3" t="str">
        <f>HYPERLINK("https://www.boe.es/gazeta/dias/1813/03/07/pdfs/GMD-1813-66.pdf#page=3","Abrir facsímil")</f>
        <v>Abrir facsímil</v>
      </c>
      <c r="K683" s="3" t="s">
        <v>22</v>
      </c>
    </row>
    <row r="684" spans="1:11" ht="42" customHeight="1">
      <c r="A684" s="2" t="s">
        <v>1883</v>
      </c>
      <c r="B684" s="2" t="s">
        <v>1884</v>
      </c>
      <c r="C684" s="2" t="s">
        <v>16</v>
      </c>
      <c r="D684" s="2" t="s">
        <v>17</v>
      </c>
      <c r="E684" s="5">
        <v>-31759</v>
      </c>
      <c r="F684" s="3" t="s">
        <v>419</v>
      </c>
      <c r="G684" s="3" t="s">
        <v>420</v>
      </c>
      <c r="H684" s="2" t="s">
        <v>20</v>
      </c>
      <c r="I684" s="2" t="s">
        <v>1885</v>
      </c>
      <c r="J684" s="3" t="str">
        <f>HYPERLINK("https://www.boe.es/gazeta/dias/1813/01/16/pdfs/GRE-1813-7.pdf#page=8","Abrir facsímil")</f>
        <v>Abrir facsímil</v>
      </c>
      <c r="K684" s="3" t="s">
        <v>22</v>
      </c>
    </row>
    <row r="685" spans="1:11" ht="42" customHeight="1">
      <c r="A685" s="2" t="s">
        <v>1886</v>
      </c>
      <c r="B685" s="2" t="s">
        <v>1886</v>
      </c>
      <c r="C685" s="2" t="s">
        <v>69</v>
      </c>
      <c r="D685" s="2" t="s">
        <v>26</v>
      </c>
      <c r="E685" s="5">
        <v>-31655</v>
      </c>
      <c r="F685" s="3" t="s">
        <v>858</v>
      </c>
      <c r="G685" s="3" t="s">
        <v>983</v>
      </c>
      <c r="H685" s="2" t="s">
        <v>20</v>
      </c>
      <c r="I685" s="2" t="s">
        <v>1887</v>
      </c>
      <c r="J685" s="3" t="str">
        <f>HYPERLINK("https://www.boe.es/gazeta/dias/1813/04/30/pdfs/GMD-1813-120.pdf#page=3","Abrir facsímil")</f>
        <v>Abrir facsímil</v>
      </c>
      <c r="K685" s="3" t="s">
        <v>22</v>
      </c>
    </row>
    <row r="686" spans="1:11" ht="42" customHeight="1">
      <c r="A686" s="2" t="s">
        <v>1888</v>
      </c>
      <c r="B686" s="2" t="s">
        <v>1888</v>
      </c>
      <c r="C686" s="2" t="s">
        <v>16</v>
      </c>
      <c r="D686" s="2" t="s">
        <v>17</v>
      </c>
      <c r="E686" s="5">
        <v>-31420</v>
      </c>
      <c r="F686" s="3" t="s">
        <v>210</v>
      </c>
      <c r="G686" s="3" t="s">
        <v>95</v>
      </c>
      <c r="H686" s="2" t="s">
        <v>20</v>
      </c>
      <c r="I686" s="2" t="s">
        <v>1889</v>
      </c>
      <c r="J686" s="3" t="str">
        <f>HYPERLINK("https://www.boe.es/gazeta/dias/1813/12/21/pdfs/GRE-1813-167.pdf#page=6","Abrir facsímil")</f>
        <v>Abrir facsímil</v>
      </c>
      <c r="K686" s="3" t="s">
        <v>22</v>
      </c>
    </row>
    <row r="687" spans="1:11" ht="42" customHeight="1">
      <c r="A687" s="2" t="s">
        <v>1890</v>
      </c>
      <c r="B687" s="2" t="s">
        <v>1890</v>
      </c>
      <c r="C687" s="2" t="s">
        <v>16</v>
      </c>
      <c r="D687" s="2" t="s">
        <v>17</v>
      </c>
      <c r="E687" s="5">
        <v>-31497</v>
      </c>
      <c r="F687" s="3" t="s">
        <v>1457</v>
      </c>
      <c r="G687" s="3" t="s">
        <v>65</v>
      </c>
      <c r="H687" s="2" t="s">
        <v>20</v>
      </c>
      <c r="I687" s="2" t="s">
        <v>1891</v>
      </c>
      <c r="J687" s="3" t="str">
        <f>HYPERLINK("https://www.boe.es/gazeta/dias/1813/10/05/pdfs/GMR-1813-54.pdf#page=1","Abrir facsímil")</f>
        <v>Abrir facsímil</v>
      </c>
      <c r="K687" s="3" t="s">
        <v>22</v>
      </c>
    </row>
    <row r="688" spans="1:11" ht="42" customHeight="1">
      <c r="A688" s="2" t="s">
        <v>1890</v>
      </c>
      <c r="B688" s="2" t="s">
        <v>1890</v>
      </c>
      <c r="C688" s="2" t="s">
        <v>16</v>
      </c>
      <c r="D688" s="2" t="s">
        <v>17</v>
      </c>
      <c r="E688" s="5">
        <v>-31497</v>
      </c>
      <c r="F688" s="3" t="s">
        <v>1457</v>
      </c>
      <c r="G688" s="3" t="s">
        <v>58</v>
      </c>
      <c r="H688" s="2" t="s">
        <v>20</v>
      </c>
      <c r="I688" s="2" t="s">
        <v>1892</v>
      </c>
      <c r="J688" s="3" t="str">
        <f>HYPERLINK("https://www.boe.es/gazeta/dias/1813/10/05/pdfs/GMR-1813-54.pdf#page=2","Abrir facsímil")</f>
        <v>Abrir facsímil</v>
      </c>
      <c r="K688" s="3" t="s">
        <v>22</v>
      </c>
    </row>
    <row r="689" spans="1:11" ht="42" customHeight="1">
      <c r="A689" s="2" t="s">
        <v>1890</v>
      </c>
      <c r="B689" s="2" t="s">
        <v>1890</v>
      </c>
      <c r="C689" s="2" t="s">
        <v>16</v>
      </c>
      <c r="D689" s="2" t="s">
        <v>17</v>
      </c>
      <c r="E689" s="5">
        <v>-31497</v>
      </c>
      <c r="F689" s="3" t="s">
        <v>1457</v>
      </c>
      <c r="G689" s="3" t="s">
        <v>54</v>
      </c>
      <c r="H689" s="2" t="s">
        <v>20</v>
      </c>
      <c r="I689" s="2" t="s">
        <v>1893</v>
      </c>
      <c r="J689" s="3" t="str">
        <f>HYPERLINK("https://www.boe.es/gazeta/dias/1813/10/05/pdfs/GMR-1813-54.pdf#page=3","Abrir facsímil")</f>
        <v>Abrir facsímil</v>
      </c>
      <c r="K689" s="3" t="s">
        <v>22</v>
      </c>
    </row>
    <row r="690" spans="1:11" ht="42" customHeight="1">
      <c r="A690" s="2" t="s">
        <v>1890</v>
      </c>
      <c r="B690" s="2" t="s">
        <v>1890</v>
      </c>
      <c r="C690" s="2" t="s">
        <v>16</v>
      </c>
      <c r="D690" s="2" t="s">
        <v>17</v>
      </c>
      <c r="E690" s="5">
        <v>-31481</v>
      </c>
      <c r="F690" s="3" t="s">
        <v>40</v>
      </c>
      <c r="G690" s="3" t="s">
        <v>1894</v>
      </c>
      <c r="H690" s="2" t="s">
        <v>20</v>
      </c>
      <c r="I690" s="2" t="s">
        <v>1895</v>
      </c>
      <c r="J690" s="3" t="str">
        <f>HYPERLINK("https://www.boe.es/gazeta/dias/1813/10/21/pdfs/GMR-1813-62.pdf#page=4","Abrir facsímil")</f>
        <v>Abrir facsímil</v>
      </c>
      <c r="K690" s="3" t="s">
        <v>22</v>
      </c>
    </row>
    <row r="691" spans="1:11" ht="42" customHeight="1">
      <c r="A691" s="2" t="s">
        <v>1896</v>
      </c>
      <c r="B691" s="2" t="s">
        <v>1896</v>
      </c>
      <c r="C691" s="2" t="s">
        <v>16</v>
      </c>
      <c r="D691" s="2" t="s">
        <v>17</v>
      </c>
      <c r="E691" s="5">
        <v>-31453</v>
      </c>
      <c r="F691" s="3" t="s">
        <v>887</v>
      </c>
      <c r="G691" s="3" t="s">
        <v>1897</v>
      </c>
      <c r="H691" s="2" t="s">
        <v>20</v>
      </c>
      <c r="I691" s="2" t="s">
        <v>1898</v>
      </c>
      <c r="J691" s="3" t="str">
        <f>HYPERLINK("https://www.boe.es/gazeta/dias/1813/11/18/pdfs/GMR-1813-76.pdf#page=6","Abrir facsímil")</f>
        <v>Abrir facsímil</v>
      </c>
      <c r="K691" s="3" t="s">
        <v>22</v>
      </c>
    </row>
    <row r="692" spans="1:11" ht="42" customHeight="1">
      <c r="A692" s="2" t="s">
        <v>1896</v>
      </c>
      <c r="B692" s="2" t="s">
        <v>1896</v>
      </c>
      <c r="C692" s="2" t="s">
        <v>16</v>
      </c>
      <c r="D692" s="2" t="s">
        <v>17</v>
      </c>
      <c r="E692" s="5">
        <v>-31448</v>
      </c>
      <c r="F692" s="3" t="s">
        <v>325</v>
      </c>
      <c r="G692" s="3" t="s">
        <v>54</v>
      </c>
      <c r="H692" s="2" t="s">
        <v>20</v>
      </c>
      <c r="I692" s="2" t="s">
        <v>1899</v>
      </c>
      <c r="J692" s="3" t="str">
        <f>HYPERLINK("https://www.boe.es/gazeta/dias/1813/11/23/pdfs/GMR-1813-78.pdf#page=3","Abrir facsímil")</f>
        <v>Abrir facsímil</v>
      </c>
      <c r="K692" s="3" t="s">
        <v>22</v>
      </c>
    </row>
    <row r="693" spans="1:11" ht="42" customHeight="1">
      <c r="A693" s="2" t="s">
        <v>1900</v>
      </c>
      <c r="B693" s="2" t="s">
        <v>1900</v>
      </c>
      <c r="C693" s="2" t="s">
        <v>16</v>
      </c>
      <c r="D693" s="2" t="s">
        <v>17</v>
      </c>
      <c r="E693" s="5">
        <v>-31495</v>
      </c>
      <c r="F693" s="3" t="s">
        <v>194</v>
      </c>
      <c r="G693" s="3" t="s">
        <v>54</v>
      </c>
      <c r="H693" s="2" t="s">
        <v>20</v>
      </c>
      <c r="I693" s="2" t="s">
        <v>1901</v>
      </c>
      <c r="J693" s="3" t="str">
        <f>HYPERLINK("https://www.boe.es/gazeta/dias/1813/10/07/pdfs/GMR-1813-55.pdf#page=3","Abrir facsímil")</f>
        <v>Abrir facsímil</v>
      </c>
      <c r="K693" s="3" t="s">
        <v>22</v>
      </c>
    </row>
    <row r="694" spans="1:11" ht="42" customHeight="1">
      <c r="A694" s="2" t="s">
        <v>1902</v>
      </c>
      <c r="B694" s="2" t="s">
        <v>1903</v>
      </c>
      <c r="C694" s="2" t="s">
        <v>16</v>
      </c>
      <c r="D694" s="2" t="s">
        <v>17</v>
      </c>
      <c r="E694" s="5">
        <v>-31732</v>
      </c>
      <c r="F694" s="3" t="s">
        <v>1904</v>
      </c>
      <c r="G694" s="3" t="s">
        <v>54</v>
      </c>
      <c r="H694" s="2" t="s">
        <v>20</v>
      </c>
      <c r="I694" s="2" t="s">
        <v>1905</v>
      </c>
      <c r="J694" s="3" t="str">
        <f>HYPERLINK("https://www.boe.es/gazeta/dias/1813/02/12/pdfs/GMD-1813-43.pdf#page=3","Abrir facsímil")</f>
        <v>Abrir facsímil</v>
      </c>
      <c r="K694" s="3" t="s">
        <v>22</v>
      </c>
    </row>
    <row r="695" spans="1:11" ht="42" customHeight="1">
      <c r="A695" s="2" t="s">
        <v>1906</v>
      </c>
      <c r="B695" s="2" t="s">
        <v>1906</v>
      </c>
      <c r="C695" s="2" t="s">
        <v>34</v>
      </c>
      <c r="D695" s="2" t="s">
        <v>35</v>
      </c>
      <c r="E695" s="5">
        <v>-31762</v>
      </c>
      <c r="F695" s="3" t="s">
        <v>604</v>
      </c>
      <c r="G695" s="3" t="s">
        <v>65</v>
      </c>
      <c r="H695" s="2" t="s">
        <v>20</v>
      </c>
      <c r="I695" s="2" t="s">
        <v>1907</v>
      </c>
      <c r="J695" s="3" t="str">
        <f>HYPERLINK("https://www.boe.es/gazeta/dias/1813/01/13/pdfs/GMD-1813-13.pdf#page=1","Abrir facsímil")</f>
        <v>Abrir facsímil</v>
      </c>
      <c r="K695" s="3" t="s">
        <v>22</v>
      </c>
    </row>
    <row r="696" spans="1:11" ht="42" customHeight="1">
      <c r="A696" s="2" t="s">
        <v>1908</v>
      </c>
      <c r="B696" s="2" t="s">
        <v>1909</v>
      </c>
      <c r="C696" s="2" t="s">
        <v>16</v>
      </c>
      <c r="D696" s="2" t="s">
        <v>17</v>
      </c>
      <c r="E696" s="5">
        <v>-31507</v>
      </c>
      <c r="F696" s="3" t="s">
        <v>61</v>
      </c>
      <c r="G696" s="3" t="s">
        <v>28</v>
      </c>
      <c r="H696" s="2" t="s">
        <v>20</v>
      </c>
      <c r="I696" s="2" t="s">
        <v>1910</v>
      </c>
      <c r="J696" s="3" t="str">
        <f>HYPERLINK("https://www.boe.es/gazeta/dias/1813/09/25/pdfs/GMR-1813-48.pdf#page=8","Abrir facsímil")</f>
        <v>Abrir facsímil</v>
      </c>
      <c r="K696" s="3" t="s">
        <v>22</v>
      </c>
    </row>
    <row r="697" spans="1:11" ht="42" customHeight="1">
      <c r="A697" s="2" t="s">
        <v>1911</v>
      </c>
      <c r="B697" s="2" t="s">
        <v>1912</v>
      </c>
      <c r="C697" s="2" t="s">
        <v>25</v>
      </c>
      <c r="D697" s="2" t="s">
        <v>26</v>
      </c>
      <c r="E697" s="5">
        <v>-31567</v>
      </c>
      <c r="F697" s="3" t="s">
        <v>1471</v>
      </c>
      <c r="G697" s="3" t="s">
        <v>95</v>
      </c>
      <c r="H697" s="2" t="s">
        <v>20</v>
      </c>
      <c r="I697" s="2" t="s">
        <v>1913</v>
      </c>
      <c r="J697" s="3" t="str">
        <f>HYPERLINK("https://www.boe.es/gazeta/dias/1813/07/27/pdfs/GRE-1813-95.pdf#page=6","Abrir facsímil")</f>
        <v>Abrir facsímil</v>
      </c>
      <c r="K697" s="3" t="s">
        <v>22</v>
      </c>
    </row>
    <row r="698" spans="1:11" ht="42" customHeight="1">
      <c r="A698" s="2" t="s">
        <v>1914</v>
      </c>
      <c r="B698" s="2" t="s">
        <v>1914</v>
      </c>
      <c r="C698" s="2" t="s">
        <v>34</v>
      </c>
      <c r="D698" s="2" t="s">
        <v>35</v>
      </c>
      <c r="E698" s="5">
        <v>-31767</v>
      </c>
      <c r="F698" s="3" t="s">
        <v>1915</v>
      </c>
      <c r="G698" s="3" t="s">
        <v>19</v>
      </c>
      <c r="H698" s="2" t="s">
        <v>20</v>
      </c>
      <c r="I698" s="2" t="s">
        <v>1916</v>
      </c>
      <c r="J698" s="3" t="str">
        <f>HYPERLINK("https://www.boe.es/gazeta/dias/1813/01/08/pdfs/GMD-1813-8.pdf#page=4","Abrir facsímil")</f>
        <v>Abrir facsímil</v>
      </c>
      <c r="K698" s="3" t="s">
        <v>22</v>
      </c>
    </row>
    <row r="699" spans="1:11" ht="42" customHeight="1">
      <c r="A699" s="2" t="s">
        <v>1917</v>
      </c>
      <c r="B699" s="2" t="s">
        <v>1917</v>
      </c>
      <c r="C699" s="2" t="s">
        <v>16</v>
      </c>
      <c r="D699" s="2" t="s">
        <v>17</v>
      </c>
      <c r="E699" s="5">
        <v>-31754</v>
      </c>
      <c r="F699" s="3" t="s">
        <v>899</v>
      </c>
      <c r="G699" s="3" t="s">
        <v>900</v>
      </c>
      <c r="H699" s="2" t="s">
        <v>20</v>
      </c>
      <c r="I699" s="2" t="s">
        <v>1918</v>
      </c>
      <c r="J699" s="3" t="str">
        <f>HYPERLINK("https://www.boe.es/gazeta/dias/1813/01/21/pdfs/GRE-1813-9.pdf#page=8","Abrir facsímil")</f>
        <v>Abrir facsímil</v>
      </c>
      <c r="K699" s="3" t="s">
        <v>22</v>
      </c>
    </row>
    <row r="700" spans="1:11" ht="42" customHeight="1">
      <c r="A700" s="2" t="s">
        <v>1919</v>
      </c>
      <c r="B700" s="2" t="s">
        <v>1919</v>
      </c>
      <c r="C700" s="2" t="s">
        <v>16</v>
      </c>
      <c r="D700" s="2" t="s">
        <v>17</v>
      </c>
      <c r="E700" s="5">
        <v>-31497</v>
      </c>
      <c r="F700" s="3" t="s">
        <v>223</v>
      </c>
      <c r="G700" s="3" t="s">
        <v>82</v>
      </c>
      <c r="H700" s="2" t="s">
        <v>20</v>
      </c>
      <c r="I700" s="2" t="s">
        <v>1920</v>
      </c>
      <c r="J700" s="3" t="str">
        <f>HYPERLINK("https://www.boe.es/gazeta/dias/1813/10/05/pdfs/GRE-1813-130.pdf#page=5","Abrir facsímil")</f>
        <v>Abrir facsímil</v>
      </c>
      <c r="K700" s="3" t="s">
        <v>22</v>
      </c>
    </row>
    <row r="701" spans="1:11" ht="42" customHeight="1">
      <c r="A701" s="2" t="s">
        <v>1921</v>
      </c>
      <c r="B701" s="2" t="s">
        <v>1921</v>
      </c>
      <c r="C701" s="2" t="s">
        <v>16</v>
      </c>
      <c r="D701" s="2" t="s">
        <v>97</v>
      </c>
      <c r="E701" s="5">
        <v>-31499</v>
      </c>
      <c r="F701" s="3" t="s">
        <v>220</v>
      </c>
      <c r="G701" s="3" t="s">
        <v>54</v>
      </c>
      <c r="H701" s="2" t="s">
        <v>20</v>
      </c>
      <c r="I701" s="2" t="s">
        <v>1922</v>
      </c>
      <c r="J701" s="3" t="str">
        <f>HYPERLINK("https://www.boe.es/gazeta/dias/1813/10/03/pdfs/GMR-1813-53E.pdf#page=3","Abrir facsímil")</f>
        <v>Abrir facsímil</v>
      </c>
      <c r="K701" s="3" t="s">
        <v>22</v>
      </c>
    </row>
    <row r="702" spans="1:11" ht="42" customHeight="1">
      <c r="A702" s="2" t="s">
        <v>1923</v>
      </c>
      <c r="B702" s="2" t="s">
        <v>1923</v>
      </c>
      <c r="C702" s="2" t="s">
        <v>16</v>
      </c>
      <c r="D702" s="2" t="s">
        <v>17</v>
      </c>
      <c r="E702" s="5">
        <v>-31448</v>
      </c>
      <c r="F702" s="3" t="s">
        <v>325</v>
      </c>
      <c r="G702" s="3" t="s">
        <v>87</v>
      </c>
      <c r="H702" s="2" t="s">
        <v>20</v>
      </c>
      <c r="I702" s="2" t="s">
        <v>1924</v>
      </c>
      <c r="J702" s="3" t="str">
        <f>HYPERLINK("https://www.boe.es/gazeta/dias/1813/11/23/pdfs/GMR-1813-78.pdf#page=7","Abrir facsímil")</f>
        <v>Abrir facsímil</v>
      </c>
      <c r="K702" s="3" t="s">
        <v>22</v>
      </c>
    </row>
    <row r="703" spans="1:11" ht="42" customHeight="1">
      <c r="A703" s="2" t="s">
        <v>1925</v>
      </c>
      <c r="B703" s="2" t="s">
        <v>1925</v>
      </c>
      <c r="C703" s="2" t="s">
        <v>16</v>
      </c>
      <c r="D703" s="2" t="s">
        <v>17</v>
      </c>
      <c r="E703" s="5">
        <v>-31658</v>
      </c>
      <c r="F703" s="3" t="s">
        <v>1113</v>
      </c>
      <c r="G703" s="3" t="s">
        <v>1926</v>
      </c>
      <c r="H703" s="2" t="s">
        <v>20</v>
      </c>
      <c r="I703" s="2" t="s">
        <v>1927</v>
      </c>
      <c r="J703" s="3" t="str">
        <f>HYPERLINK("https://www.boe.es/gazeta/dias/1813/04/27/pdfs/GRE-1813-52.pdf#page=5","Abrir facsímil")</f>
        <v>Abrir facsímil</v>
      </c>
      <c r="K703" s="3" t="s">
        <v>22</v>
      </c>
    </row>
    <row r="704" spans="1:11" ht="42" customHeight="1">
      <c r="A704" s="2" t="s">
        <v>1928</v>
      </c>
      <c r="B704" s="2" t="s">
        <v>1928</v>
      </c>
      <c r="C704" s="2" t="s">
        <v>16</v>
      </c>
      <c r="D704" s="2" t="s">
        <v>17</v>
      </c>
      <c r="E704" s="5">
        <v>-31516</v>
      </c>
      <c r="F704" s="3" t="s">
        <v>246</v>
      </c>
      <c r="G704" s="3" t="s">
        <v>82</v>
      </c>
      <c r="H704" s="2" t="s">
        <v>20</v>
      </c>
      <c r="I704" s="2" t="s">
        <v>1929</v>
      </c>
      <c r="J704" s="3" t="str">
        <f>HYPERLINK("https://www.boe.es/gazeta/dias/1813/09/16/pdfs/GMR-1813-43.pdf#page=5","Abrir facsímil")</f>
        <v>Abrir facsímil</v>
      </c>
      <c r="K704" s="3" t="s">
        <v>22</v>
      </c>
    </row>
    <row r="705" spans="1:11" ht="42" customHeight="1">
      <c r="A705" s="2" t="s">
        <v>1930</v>
      </c>
      <c r="B705" s="2" t="s">
        <v>1930</v>
      </c>
      <c r="C705" s="2" t="s">
        <v>16</v>
      </c>
      <c r="D705" s="2" t="s">
        <v>17</v>
      </c>
      <c r="E705" s="5">
        <v>-31418</v>
      </c>
      <c r="F705" s="3" t="s">
        <v>147</v>
      </c>
      <c r="G705" s="3" t="s">
        <v>58</v>
      </c>
      <c r="H705" s="2" t="s">
        <v>20</v>
      </c>
      <c r="I705" s="2" t="s">
        <v>1931</v>
      </c>
      <c r="J705" s="3" t="str">
        <f>HYPERLINK("https://www.boe.es/gazeta/dias/1813/12/23/pdfs/GRE-1813-168.pdf#page=2","Abrir facsímil")</f>
        <v>Abrir facsímil</v>
      </c>
      <c r="K705" s="3" t="s">
        <v>22</v>
      </c>
    </row>
    <row r="706" spans="1:11" ht="42" customHeight="1">
      <c r="A706" s="2" t="s">
        <v>1932</v>
      </c>
      <c r="B706" s="2" t="s">
        <v>1932</v>
      </c>
      <c r="C706" s="2" t="s">
        <v>16</v>
      </c>
      <c r="D706" s="2" t="s">
        <v>17</v>
      </c>
      <c r="E706" s="5">
        <v>-31441</v>
      </c>
      <c r="F706" s="3" t="s">
        <v>1933</v>
      </c>
      <c r="G706" s="3" t="s">
        <v>19</v>
      </c>
      <c r="H706" s="2" t="s">
        <v>20</v>
      </c>
      <c r="I706" s="2" t="s">
        <v>1934</v>
      </c>
      <c r="J706" s="3" t="str">
        <f>HYPERLINK("https://www.boe.es/gazeta/dias/1813/11/30/pdfs/GMR-1813-81.pdf#page=4","Abrir facsímil")</f>
        <v>Abrir facsímil</v>
      </c>
      <c r="K706" s="3" t="s">
        <v>22</v>
      </c>
    </row>
    <row r="707" spans="1:11" ht="42" customHeight="1">
      <c r="A707" s="2" t="s">
        <v>1935</v>
      </c>
      <c r="B707" s="2" t="s">
        <v>1935</v>
      </c>
      <c r="C707" s="2" t="s">
        <v>16</v>
      </c>
      <c r="D707" s="2" t="s">
        <v>17</v>
      </c>
      <c r="E707" s="5">
        <v>-31736</v>
      </c>
      <c r="F707" s="3" t="s">
        <v>1936</v>
      </c>
      <c r="G707" s="3" t="s">
        <v>54</v>
      </c>
      <c r="H707" s="2" t="s">
        <v>20</v>
      </c>
      <c r="I707" s="2" t="s">
        <v>1937</v>
      </c>
      <c r="J707" s="3" t="str">
        <f>HYPERLINK("https://www.boe.es/gazeta/dias/1813/02/08/pdfs/GMD-1813-39.pdf#page=3","Abrir facsímil")</f>
        <v>Abrir facsímil</v>
      </c>
      <c r="K707" s="3" t="s">
        <v>22</v>
      </c>
    </row>
    <row r="708" spans="1:11" ht="42" customHeight="1">
      <c r="A708" s="2" t="s">
        <v>1935</v>
      </c>
      <c r="B708" s="2" t="s">
        <v>1935</v>
      </c>
      <c r="C708" s="2" t="s">
        <v>16</v>
      </c>
      <c r="D708" s="2" t="s">
        <v>17</v>
      </c>
      <c r="E708" s="5">
        <v>-31731</v>
      </c>
      <c r="F708" s="3" t="s">
        <v>1938</v>
      </c>
      <c r="G708" s="3" t="s">
        <v>65</v>
      </c>
      <c r="H708" s="2" t="s">
        <v>20</v>
      </c>
      <c r="I708" s="2" t="s">
        <v>1939</v>
      </c>
      <c r="J708" s="3" t="str">
        <f>HYPERLINK("https://www.boe.es/gazeta/dias/1813/02/13/pdfs/GMD-1813-44.pdf#page=1","Abrir facsímil")</f>
        <v>Abrir facsímil</v>
      </c>
      <c r="K708" s="3" t="s">
        <v>22</v>
      </c>
    </row>
    <row r="709" spans="1:11" ht="42" customHeight="1">
      <c r="A709" s="2" t="s">
        <v>1935</v>
      </c>
      <c r="B709" s="2" t="s">
        <v>1935</v>
      </c>
      <c r="C709" s="2" t="s">
        <v>16</v>
      </c>
      <c r="D709" s="2" t="s">
        <v>17</v>
      </c>
      <c r="E709" s="5">
        <v>-31535</v>
      </c>
      <c r="F709" s="3" t="s">
        <v>366</v>
      </c>
      <c r="G709" s="3" t="s">
        <v>65</v>
      </c>
      <c r="H709" s="2" t="s">
        <v>20</v>
      </c>
      <c r="I709" s="2" t="s">
        <v>1940</v>
      </c>
      <c r="J709" s="3" t="str">
        <f>HYPERLINK("https://www.boe.es/gazeta/dias/1813/08/28/pdfs/GRE-1813-110.pdf#page=1","Abrir facsímil")</f>
        <v>Abrir facsímil</v>
      </c>
      <c r="K709" s="3" t="s">
        <v>22</v>
      </c>
    </row>
    <row r="710" spans="1:11" ht="42" customHeight="1">
      <c r="A710" s="2" t="s">
        <v>1935</v>
      </c>
      <c r="B710" s="2" t="s">
        <v>1935</v>
      </c>
      <c r="C710" s="2" t="s">
        <v>16</v>
      </c>
      <c r="D710" s="2" t="s">
        <v>17</v>
      </c>
      <c r="E710" s="5">
        <v>-31532</v>
      </c>
      <c r="F710" s="3" t="s">
        <v>1728</v>
      </c>
      <c r="G710" s="3" t="s">
        <v>65</v>
      </c>
      <c r="H710" s="2" t="s">
        <v>20</v>
      </c>
      <c r="I710" s="2" t="s">
        <v>1941</v>
      </c>
      <c r="J710" s="3" t="str">
        <f>HYPERLINK("https://www.boe.es/gazeta/dias/1813/08/31/pdfs/GMR-1813-35.pdf#page=1","Abrir facsímil")</f>
        <v>Abrir facsímil</v>
      </c>
      <c r="K710" s="3" t="s">
        <v>22</v>
      </c>
    </row>
    <row r="711" spans="1:11" ht="42" customHeight="1">
      <c r="A711" s="2" t="s">
        <v>1935</v>
      </c>
      <c r="B711" s="2" t="s">
        <v>1935</v>
      </c>
      <c r="C711" s="2" t="s">
        <v>16</v>
      </c>
      <c r="D711" s="2" t="s">
        <v>17</v>
      </c>
      <c r="E711" s="5">
        <v>-31472</v>
      </c>
      <c r="F711" s="3" t="s">
        <v>1942</v>
      </c>
      <c r="G711" s="3" t="s">
        <v>82</v>
      </c>
      <c r="H711" s="2" t="s">
        <v>20</v>
      </c>
      <c r="I711" s="2" t="s">
        <v>1943</v>
      </c>
      <c r="J711" s="3" t="str">
        <f>HYPERLINK("https://www.boe.es/gazeta/dias/1813/10/30/pdfs/GRE-1813-142.pdf#page=5","Abrir facsímil")</f>
        <v>Abrir facsímil</v>
      </c>
      <c r="K711" s="3" t="s">
        <v>22</v>
      </c>
    </row>
    <row r="712" spans="1:11" ht="42" customHeight="1">
      <c r="A712" s="2" t="s">
        <v>1935</v>
      </c>
      <c r="B712" s="2" t="s">
        <v>1935</v>
      </c>
      <c r="C712" s="2" t="s">
        <v>16</v>
      </c>
      <c r="D712" s="2" t="s">
        <v>17</v>
      </c>
      <c r="E712" s="5">
        <v>-31469</v>
      </c>
      <c r="F712" s="3" t="s">
        <v>1452</v>
      </c>
      <c r="G712" s="3" t="s">
        <v>65</v>
      </c>
      <c r="H712" s="2" t="s">
        <v>20</v>
      </c>
      <c r="I712" s="2" t="s">
        <v>1944</v>
      </c>
      <c r="J712" s="3" t="str">
        <f>HYPERLINK("https://www.boe.es/gazeta/dias/1813/11/02/pdfs/GRE-1813-143.pdf#page=1","Abrir facsímil")</f>
        <v>Abrir facsímil</v>
      </c>
      <c r="K712" s="3" t="s">
        <v>22</v>
      </c>
    </row>
    <row r="713" spans="1:11" ht="42" customHeight="1">
      <c r="A713" s="2" t="s">
        <v>1935</v>
      </c>
      <c r="B713" s="2" t="s">
        <v>1935</v>
      </c>
      <c r="C713" s="2" t="s">
        <v>16</v>
      </c>
      <c r="D713" s="2" t="s">
        <v>17</v>
      </c>
      <c r="E713" s="5">
        <v>-31448</v>
      </c>
      <c r="F713" s="3" t="s">
        <v>57</v>
      </c>
      <c r="G713" s="3" t="s">
        <v>106</v>
      </c>
      <c r="H713" s="2" t="s">
        <v>20</v>
      </c>
      <c r="I713" s="2" t="s">
        <v>1945</v>
      </c>
      <c r="J713" s="3" t="str">
        <f>HYPERLINK("https://www.boe.es/gazeta/dias/1813/11/23/pdfs/GRE-1813-153.pdf#page=1","Abrir facsímil")</f>
        <v>Abrir facsímil</v>
      </c>
      <c r="K713" s="3" t="s">
        <v>22</v>
      </c>
    </row>
    <row r="714" spans="1:11" ht="42" customHeight="1">
      <c r="A714" s="2" t="s">
        <v>1935</v>
      </c>
      <c r="B714" s="2" t="s">
        <v>1935</v>
      </c>
      <c r="C714" s="2" t="s">
        <v>16</v>
      </c>
      <c r="D714" s="2" t="s">
        <v>17</v>
      </c>
      <c r="E714" s="5">
        <v>-31448</v>
      </c>
      <c r="F714" s="3" t="s">
        <v>57</v>
      </c>
      <c r="G714" s="3" t="s">
        <v>58</v>
      </c>
      <c r="H714" s="2" t="s">
        <v>20</v>
      </c>
      <c r="I714" s="2" t="s">
        <v>1946</v>
      </c>
      <c r="J714" s="3" t="str">
        <f>HYPERLINK("https://www.boe.es/gazeta/dias/1813/11/23/pdfs/GRE-1813-153.pdf#page=2","Abrir facsímil")</f>
        <v>Abrir facsímil</v>
      </c>
      <c r="K714" s="3" t="s">
        <v>22</v>
      </c>
    </row>
    <row r="715" spans="1:11" ht="42" customHeight="1">
      <c r="A715" s="2" t="s">
        <v>1935</v>
      </c>
      <c r="B715" s="2" t="s">
        <v>1935</v>
      </c>
      <c r="C715" s="2" t="s">
        <v>16</v>
      </c>
      <c r="D715" s="2" t="s">
        <v>17</v>
      </c>
      <c r="E715" s="5">
        <v>-31448</v>
      </c>
      <c r="F715" s="3" t="s">
        <v>57</v>
      </c>
      <c r="G715" s="3" t="s">
        <v>82</v>
      </c>
      <c r="H715" s="2" t="s">
        <v>20</v>
      </c>
      <c r="I715" s="2" t="s">
        <v>1947</v>
      </c>
      <c r="J715" s="3" t="str">
        <f>HYPERLINK("https://www.boe.es/gazeta/dias/1813/11/23/pdfs/GRE-1813-153.pdf#page=5","Abrir facsímil")</f>
        <v>Abrir facsímil</v>
      </c>
      <c r="K715" s="3" t="s">
        <v>22</v>
      </c>
    </row>
    <row r="716" spans="1:11" ht="42" customHeight="1">
      <c r="A716" s="2" t="s">
        <v>1935</v>
      </c>
      <c r="B716" s="2" t="s">
        <v>1935</v>
      </c>
      <c r="C716" s="2" t="s">
        <v>16</v>
      </c>
      <c r="D716" s="2" t="s">
        <v>97</v>
      </c>
      <c r="E716" s="5">
        <v>-31446</v>
      </c>
      <c r="F716" s="3" t="s">
        <v>1877</v>
      </c>
      <c r="G716" s="3" t="s">
        <v>1948</v>
      </c>
      <c r="H716" s="2" t="s">
        <v>20</v>
      </c>
      <c r="I716" s="2" t="s">
        <v>1949</v>
      </c>
      <c r="J716" s="3" t="str">
        <f>HYPERLINK("https://www.boe.es/gazeta/dias/1813/11/25/pdfs/GRE-1813-155E.pdf#page=7","Abrir facsímil")</f>
        <v>Abrir facsímil</v>
      </c>
      <c r="K716" s="3" t="s">
        <v>22</v>
      </c>
    </row>
    <row r="717" spans="1:11" ht="42" customHeight="1">
      <c r="A717" s="2" t="s">
        <v>1935</v>
      </c>
      <c r="B717" s="2" t="s">
        <v>1935</v>
      </c>
      <c r="C717" s="2" t="s">
        <v>16</v>
      </c>
      <c r="D717" s="2" t="s">
        <v>97</v>
      </c>
      <c r="E717" s="5">
        <v>-31446</v>
      </c>
      <c r="F717" s="3" t="s">
        <v>1877</v>
      </c>
      <c r="G717" s="3" t="s">
        <v>19</v>
      </c>
      <c r="H717" s="2" t="s">
        <v>20</v>
      </c>
      <c r="I717" s="2" t="s">
        <v>1950</v>
      </c>
      <c r="J717" s="3" t="str">
        <f>HYPERLINK("https://www.boe.es/gazeta/dias/1813/11/25/pdfs/GRE-1813-155E.pdf#page=4","Abrir facsímil")</f>
        <v>Abrir facsímil</v>
      </c>
      <c r="K717" s="3" t="s">
        <v>22</v>
      </c>
    </row>
    <row r="718" spans="1:11" ht="42" customHeight="1">
      <c r="A718" s="2" t="s">
        <v>1935</v>
      </c>
      <c r="B718" s="2" t="s">
        <v>1935</v>
      </c>
      <c r="C718" s="2" t="s">
        <v>16</v>
      </c>
      <c r="D718" s="2" t="s">
        <v>17</v>
      </c>
      <c r="E718" s="5">
        <v>-31441</v>
      </c>
      <c r="F718" s="3" t="s">
        <v>1933</v>
      </c>
      <c r="G718" s="3" t="s">
        <v>19</v>
      </c>
      <c r="H718" s="2" t="s">
        <v>20</v>
      </c>
      <c r="I718" s="2" t="s">
        <v>1951</v>
      </c>
      <c r="J718" s="3" t="str">
        <f>HYPERLINK("https://www.boe.es/gazeta/dias/1813/11/30/pdfs/GMR-1813-81.pdf#page=4","Abrir facsímil")</f>
        <v>Abrir facsímil</v>
      </c>
      <c r="K718" s="3" t="s">
        <v>22</v>
      </c>
    </row>
    <row r="719" spans="1:11" ht="42" customHeight="1">
      <c r="A719" s="2" t="s">
        <v>1935</v>
      </c>
      <c r="B719" s="2" t="s">
        <v>1935</v>
      </c>
      <c r="C719" s="2" t="s">
        <v>16</v>
      </c>
      <c r="D719" s="2" t="s">
        <v>17</v>
      </c>
      <c r="E719" s="5">
        <v>-31441</v>
      </c>
      <c r="F719" s="3" t="s">
        <v>1952</v>
      </c>
      <c r="G719" s="3" t="s">
        <v>19</v>
      </c>
      <c r="H719" s="2" t="s">
        <v>20</v>
      </c>
      <c r="I719" s="2" t="s">
        <v>1953</v>
      </c>
      <c r="J719" s="3" t="str">
        <f>HYPERLINK("https://www.boe.es/gazeta/dias/1813/11/30/pdfs/GRE-1813-158.pdf#page=4","Abrir facsímil")</f>
        <v>Abrir facsímil</v>
      </c>
      <c r="K719" s="3" t="s">
        <v>22</v>
      </c>
    </row>
    <row r="720" spans="1:11" ht="42" customHeight="1">
      <c r="A720" s="2" t="s">
        <v>1935</v>
      </c>
      <c r="B720" s="2" t="s">
        <v>1935</v>
      </c>
      <c r="C720" s="2" t="s">
        <v>16</v>
      </c>
      <c r="D720" s="2" t="s">
        <v>17</v>
      </c>
      <c r="E720" s="5">
        <v>-31427</v>
      </c>
      <c r="F720" s="3" t="s">
        <v>489</v>
      </c>
      <c r="G720" s="3" t="s">
        <v>54</v>
      </c>
      <c r="H720" s="2" t="s">
        <v>20</v>
      </c>
      <c r="I720" s="2" t="s">
        <v>1954</v>
      </c>
      <c r="J720" s="3" t="str">
        <f>HYPERLINK("https://www.boe.es/gazeta/dias/1813/12/14/pdfs/GMR-1813-87.pdf#page=3","Abrir facsímil")</f>
        <v>Abrir facsímil</v>
      </c>
      <c r="K720" s="3" t="s">
        <v>22</v>
      </c>
    </row>
    <row r="721" spans="1:11" ht="42" customHeight="1">
      <c r="A721" s="2" t="s">
        <v>1935</v>
      </c>
      <c r="B721" s="2" t="s">
        <v>1935</v>
      </c>
      <c r="C721" s="2" t="s">
        <v>16</v>
      </c>
      <c r="D721" s="2" t="s">
        <v>17</v>
      </c>
      <c r="E721" s="5">
        <v>-31425</v>
      </c>
      <c r="F721" s="3" t="s">
        <v>1955</v>
      </c>
      <c r="G721" s="3" t="s">
        <v>82</v>
      </c>
      <c r="H721" s="2" t="s">
        <v>20</v>
      </c>
      <c r="I721" s="2" t="s">
        <v>1956</v>
      </c>
      <c r="J721" s="3" t="str">
        <f>HYPERLINK("https://www.boe.es/gazeta/dias/1813/12/16/pdfs/GMR-1813-88.pdf#page=5","Abrir facsímil")</f>
        <v>Abrir facsímil</v>
      </c>
      <c r="K721" s="3" t="s">
        <v>22</v>
      </c>
    </row>
    <row r="722" spans="1:11" ht="42" customHeight="1">
      <c r="A722" s="2" t="s">
        <v>1935</v>
      </c>
      <c r="B722" s="2" t="s">
        <v>1935</v>
      </c>
      <c r="C722" s="2" t="s">
        <v>16</v>
      </c>
      <c r="D722" s="2" t="s">
        <v>17</v>
      </c>
      <c r="E722" s="5">
        <v>-31420</v>
      </c>
      <c r="F722" s="3" t="s">
        <v>145</v>
      </c>
      <c r="G722" s="3" t="s">
        <v>58</v>
      </c>
      <c r="H722" s="2" t="s">
        <v>20</v>
      </c>
      <c r="I722" s="2" t="s">
        <v>1957</v>
      </c>
      <c r="J722" s="3" t="str">
        <f>HYPERLINK("https://www.boe.es/gazeta/dias/1813/12/21/pdfs/GMR-1813-90.pdf#page=2","Abrir facsímil")</f>
        <v>Abrir facsímil</v>
      </c>
      <c r="K722" s="3" t="s">
        <v>22</v>
      </c>
    </row>
    <row r="723" spans="1:11" ht="42" customHeight="1">
      <c r="A723" s="2" t="s">
        <v>1935</v>
      </c>
      <c r="B723" s="2" t="s">
        <v>1935</v>
      </c>
      <c r="C723" s="2" t="s">
        <v>16</v>
      </c>
      <c r="D723" s="2" t="s">
        <v>17</v>
      </c>
      <c r="E723" s="5">
        <v>-31420</v>
      </c>
      <c r="F723" s="3" t="s">
        <v>145</v>
      </c>
      <c r="G723" s="3" t="s">
        <v>82</v>
      </c>
      <c r="H723" s="2" t="s">
        <v>20</v>
      </c>
      <c r="I723" s="2" t="s">
        <v>1958</v>
      </c>
      <c r="J723" s="3" t="str">
        <f>HYPERLINK("https://www.boe.es/gazeta/dias/1813/12/21/pdfs/GMR-1813-90.pdf#page=5","Abrir facsímil")</f>
        <v>Abrir facsímil</v>
      </c>
      <c r="K723" s="3" t="s">
        <v>22</v>
      </c>
    </row>
    <row r="724" spans="1:11" ht="42" customHeight="1">
      <c r="A724" s="2" t="s">
        <v>1935</v>
      </c>
      <c r="B724" s="2" t="s">
        <v>1935</v>
      </c>
      <c r="C724" s="2" t="s">
        <v>16</v>
      </c>
      <c r="D724" s="2" t="s">
        <v>17</v>
      </c>
      <c r="E724" s="5">
        <v>-31416</v>
      </c>
      <c r="F724" s="3" t="s">
        <v>110</v>
      </c>
      <c r="G724" s="3" t="s">
        <v>95</v>
      </c>
      <c r="H724" s="2" t="s">
        <v>20</v>
      </c>
      <c r="I724" s="2" t="s">
        <v>1959</v>
      </c>
      <c r="J724" s="3" t="str">
        <f>HYPERLINK("https://www.boe.es/gazeta/dias/1813/12/25/pdfs/GRE-1813-169.pdf#page=6","Abrir facsímil")</f>
        <v>Abrir facsímil</v>
      </c>
      <c r="K724" s="3" t="s">
        <v>22</v>
      </c>
    </row>
    <row r="725" spans="1:11" ht="42" customHeight="1">
      <c r="A725" s="2" t="s">
        <v>1960</v>
      </c>
      <c r="B725" s="2" t="s">
        <v>1960</v>
      </c>
      <c r="C725" s="2" t="s">
        <v>16</v>
      </c>
      <c r="D725" s="2" t="s">
        <v>17</v>
      </c>
      <c r="E725" s="5">
        <v>-31469</v>
      </c>
      <c r="F725" s="3" t="s">
        <v>1452</v>
      </c>
      <c r="G725" s="3" t="s">
        <v>82</v>
      </c>
      <c r="H725" s="2" t="s">
        <v>20</v>
      </c>
      <c r="I725" s="2" t="s">
        <v>1961</v>
      </c>
      <c r="J725" s="3" t="str">
        <f>HYPERLINK("https://www.boe.es/gazeta/dias/1813/11/02/pdfs/GRE-1813-143.pdf#page=5","Abrir facsímil")</f>
        <v>Abrir facsímil</v>
      </c>
      <c r="K725" s="3" t="s">
        <v>22</v>
      </c>
    </row>
    <row r="726" spans="1:11" ht="42" customHeight="1">
      <c r="A726" s="2" t="s">
        <v>1962</v>
      </c>
      <c r="B726" s="2" t="s">
        <v>1962</v>
      </c>
      <c r="C726" s="2" t="s">
        <v>16</v>
      </c>
      <c r="D726" s="2" t="s">
        <v>17</v>
      </c>
      <c r="E726" s="5">
        <v>-31451</v>
      </c>
      <c r="F726" s="3" t="s">
        <v>127</v>
      </c>
      <c r="G726" s="3" t="s">
        <v>58</v>
      </c>
      <c r="H726" s="2" t="s">
        <v>20</v>
      </c>
      <c r="I726" s="2" t="s">
        <v>1963</v>
      </c>
      <c r="J726" s="3" t="str">
        <f>HYPERLINK("https://www.boe.es/gazeta/dias/1813/11/20/pdfs/GRE-1813-152.pdf#page=2","Abrir facsímil")</f>
        <v>Abrir facsímil</v>
      </c>
      <c r="K726" s="3" t="s">
        <v>22</v>
      </c>
    </row>
    <row r="727" spans="1:11" ht="42" customHeight="1">
      <c r="A727" s="2" t="s">
        <v>1964</v>
      </c>
      <c r="B727" s="2" t="s">
        <v>1964</v>
      </c>
      <c r="C727" s="2" t="s">
        <v>16</v>
      </c>
      <c r="D727" s="2" t="s">
        <v>17</v>
      </c>
      <c r="E727" s="5">
        <v>-31532</v>
      </c>
      <c r="F727" s="3" t="s">
        <v>215</v>
      </c>
      <c r="G727" s="3" t="s">
        <v>19</v>
      </c>
      <c r="H727" s="2" t="s">
        <v>20</v>
      </c>
      <c r="I727" s="2" t="s">
        <v>1965</v>
      </c>
      <c r="J727" s="3" t="str">
        <f>HYPERLINK("https://www.boe.es/gazeta/dias/1813/08/31/pdfs/GRE-1813-111.pdf#page=4","Abrir facsímil")</f>
        <v>Abrir facsímil</v>
      </c>
      <c r="K727" s="3" t="s">
        <v>22</v>
      </c>
    </row>
    <row r="728" spans="1:11" ht="42" customHeight="1">
      <c r="A728" s="2" t="s">
        <v>1966</v>
      </c>
      <c r="B728" s="2" t="s">
        <v>1966</v>
      </c>
      <c r="C728" s="2" t="s">
        <v>435</v>
      </c>
      <c r="D728" s="2" t="s">
        <v>26</v>
      </c>
      <c r="E728" s="5">
        <v>-31574</v>
      </c>
      <c r="F728" s="3" t="s">
        <v>1343</v>
      </c>
      <c r="G728" s="3" t="s">
        <v>95</v>
      </c>
      <c r="H728" s="2" t="s">
        <v>20</v>
      </c>
      <c r="I728" s="2" t="s">
        <v>1967</v>
      </c>
      <c r="J728" s="3" t="str">
        <f>HYPERLINK("https://www.boe.es/gazeta/dias/1813/07/20/pdfs/GMR-1813-19.pdf#page=6","Abrir facsímil")</f>
        <v>Abrir facsímil</v>
      </c>
      <c r="K728" s="3" t="s">
        <v>22</v>
      </c>
    </row>
    <row r="729" spans="1:11" ht="42" customHeight="1">
      <c r="A729" s="2" t="s">
        <v>1968</v>
      </c>
      <c r="B729" s="2" t="s">
        <v>1968</v>
      </c>
      <c r="C729" s="2" t="s">
        <v>16</v>
      </c>
      <c r="D729" s="2" t="s">
        <v>17</v>
      </c>
      <c r="E729" s="5">
        <v>-31437</v>
      </c>
      <c r="F729" s="3" t="s">
        <v>217</v>
      </c>
      <c r="G729" s="3" t="s">
        <v>65</v>
      </c>
      <c r="H729" s="2" t="s">
        <v>20</v>
      </c>
      <c r="I729" s="2" t="s">
        <v>1969</v>
      </c>
      <c r="J729" s="3" t="str">
        <f>HYPERLINK("https://www.boe.es/gazeta/dias/1813/12/04/pdfs/GRE-1813-160.pdf#page=1","Abrir facsímil")</f>
        <v>Abrir facsímil</v>
      </c>
      <c r="K729" s="3" t="s">
        <v>22</v>
      </c>
    </row>
    <row r="730" spans="1:11" ht="42" customHeight="1">
      <c r="A730" s="2" t="s">
        <v>1970</v>
      </c>
      <c r="B730" s="2" t="s">
        <v>1971</v>
      </c>
      <c r="C730" s="2" t="s">
        <v>16</v>
      </c>
      <c r="D730" s="2" t="s">
        <v>17</v>
      </c>
      <c r="E730" s="5">
        <v>-31647</v>
      </c>
      <c r="F730" s="3" t="s">
        <v>1972</v>
      </c>
      <c r="G730" s="3" t="s">
        <v>1973</v>
      </c>
      <c r="H730" s="2" t="s">
        <v>20</v>
      </c>
      <c r="I730" s="2" t="s">
        <v>1974</v>
      </c>
      <c r="J730" s="3" t="str">
        <f>HYPERLINK("https://www.boe.es/gazeta/dias/1813/05/08/pdfs/GRE-1813-57.pdf#page=2","Abrir facsímil")</f>
        <v>Abrir facsímil</v>
      </c>
      <c r="K730" s="3" t="s">
        <v>22</v>
      </c>
    </row>
    <row r="731" spans="1:11" ht="42" customHeight="1">
      <c r="A731" s="2" t="s">
        <v>1975</v>
      </c>
      <c r="B731" s="2" t="s">
        <v>1975</v>
      </c>
      <c r="C731" s="2" t="s">
        <v>16</v>
      </c>
      <c r="D731" s="2" t="s">
        <v>17</v>
      </c>
      <c r="E731" s="5">
        <v>-31771</v>
      </c>
      <c r="F731" s="3" t="s">
        <v>1976</v>
      </c>
      <c r="G731" s="3" t="s">
        <v>1977</v>
      </c>
      <c r="H731" s="2" t="s">
        <v>20</v>
      </c>
      <c r="I731" s="2" t="s">
        <v>1978</v>
      </c>
      <c r="J731" s="3" t="str">
        <f>HYPERLINK("https://www.boe.es/gazeta/dias/1813/01/04/pdfs/GMD-1813-4.pdf#page=2","Abrir facsímil")</f>
        <v>Abrir facsímil</v>
      </c>
      <c r="K731" s="3" t="s">
        <v>22</v>
      </c>
    </row>
    <row r="732" spans="1:11" ht="42" customHeight="1">
      <c r="A732" s="2" t="s">
        <v>1975</v>
      </c>
      <c r="B732" s="2" t="s">
        <v>1975</v>
      </c>
      <c r="C732" s="2" t="s">
        <v>25</v>
      </c>
      <c r="D732" s="2" t="s">
        <v>26</v>
      </c>
      <c r="E732" s="5">
        <v>-31644</v>
      </c>
      <c r="F732" s="3" t="s">
        <v>1979</v>
      </c>
      <c r="G732" s="3" t="s">
        <v>58</v>
      </c>
      <c r="H732" s="2" t="s">
        <v>20</v>
      </c>
      <c r="I732" s="2" t="s">
        <v>1980</v>
      </c>
      <c r="J732" s="3" t="str">
        <f>HYPERLINK("https://www.boe.es/gazeta/dias/1813/05/11/pdfs/GMD-1813-131.pdf#page=2","Abrir facsímil")</f>
        <v>Abrir facsímil</v>
      </c>
      <c r="K732" s="3" t="s">
        <v>22</v>
      </c>
    </row>
    <row r="733" spans="1:11" ht="42" customHeight="1">
      <c r="A733" s="2" t="s">
        <v>1975</v>
      </c>
      <c r="B733" s="2" t="s">
        <v>1975</v>
      </c>
      <c r="C733" s="2" t="s">
        <v>16</v>
      </c>
      <c r="D733" s="2" t="s">
        <v>97</v>
      </c>
      <c r="E733" s="5">
        <v>-31576</v>
      </c>
      <c r="F733" s="3" t="s">
        <v>1981</v>
      </c>
      <c r="G733" s="3" t="s">
        <v>54</v>
      </c>
      <c r="H733" s="2" t="s">
        <v>20</v>
      </c>
      <c r="I733" s="2" t="s">
        <v>1982</v>
      </c>
      <c r="J733" s="3" t="str">
        <f>HYPERLINK("https://www.boe.es/gazeta/dias/1813/07/18/pdfs/GRE-1813-91E.pdf#page=3","Abrir facsímil")</f>
        <v>Abrir facsímil</v>
      </c>
      <c r="K733" s="3" t="s">
        <v>22</v>
      </c>
    </row>
    <row r="734" spans="1:11" ht="42" customHeight="1">
      <c r="A734" s="2" t="s">
        <v>1975</v>
      </c>
      <c r="B734" s="2" t="s">
        <v>1975</v>
      </c>
      <c r="C734" s="2" t="s">
        <v>16</v>
      </c>
      <c r="D734" s="2" t="s">
        <v>17</v>
      </c>
      <c r="E734" s="5">
        <v>-31564</v>
      </c>
      <c r="F734" s="3" t="s">
        <v>206</v>
      </c>
      <c r="G734" s="3" t="s">
        <v>207</v>
      </c>
      <c r="H734" s="2" t="s">
        <v>20</v>
      </c>
      <c r="I734" s="2" t="s">
        <v>1983</v>
      </c>
      <c r="J734" s="3" t="str">
        <f>HYPERLINK("https://www.boe.es/gazeta/dias/1813/07/30/pdfs/GMR-1813-22.pdf#page=10","Abrir facsímil")</f>
        <v>Abrir facsímil</v>
      </c>
      <c r="K734" s="3" t="s">
        <v>22</v>
      </c>
    </row>
    <row r="735" spans="1:11" ht="42" customHeight="1">
      <c r="A735" s="2" t="s">
        <v>1975</v>
      </c>
      <c r="B735" s="2" t="s">
        <v>1975</v>
      </c>
      <c r="C735" s="2" t="s">
        <v>16</v>
      </c>
      <c r="D735" s="2" t="s">
        <v>17</v>
      </c>
      <c r="E735" s="5">
        <v>-31537</v>
      </c>
      <c r="F735" s="3" t="s">
        <v>138</v>
      </c>
      <c r="G735" s="3" t="s">
        <v>19</v>
      </c>
      <c r="H735" s="2" t="s">
        <v>20</v>
      </c>
      <c r="I735" s="2" t="s">
        <v>1984</v>
      </c>
      <c r="J735" s="3" t="str">
        <f>HYPERLINK("https://www.boe.es/gazeta/dias/1813/08/26/pdfs/GMR-1813-33.pdf#page=4","Abrir facsímil")</f>
        <v>Abrir facsímil</v>
      </c>
      <c r="K735" s="3" t="s">
        <v>22</v>
      </c>
    </row>
    <row r="736" spans="1:11" ht="42" customHeight="1">
      <c r="A736" s="2" t="s">
        <v>1975</v>
      </c>
      <c r="B736" s="2" t="s">
        <v>1975</v>
      </c>
      <c r="C736" s="2" t="s">
        <v>16</v>
      </c>
      <c r="D736" s="2" t="s">
        <v>17</v>
      </c>
      <c r="E736" s="5">
        <v>-31535</v>
      </c>
      <c r="F736" s="3" t="s">
        <v>894</v>
      </c>
      <c r="G736" s="3" t="s">
        <v>95</v>
      </c>
      <c r="H736" s="2" t="s">
        <v>20</v>
      </c>
      <c r="I736" s="2" t="s">
        <v>1985</v>
      </c>
      <c r="J736" s="3" t="str">
        <f>HYPERLINK("https://www.boe.es/gazeta/dias/1813/08/28/pdfs/GMR-1813-34.pdf#page=6","Abrir facsímil")</f>
        <v>Abrir facsímil</v>
      </c>
      <c r="K736" s="3" t="s">
        <v>22</v>
      </c>
    </row>
    <row r="737" spans="1:11" ht="42" customHeight="1">
      <c r="A737" s="2" t="s">
        <v>1975</v>
      </c>
      <c r="B737" s="2" t="s">
        <v>1975</v>
      </c>
      <c r="C737" s="2" t="s">
        <v>16</v>
      </c>
      <c r="D737" s="2" t="s">
        <v>17</v>
      </c>
      <c r="E737" s="5">
        <v>-31521</v>
      </c>
      <c r="F737" s="3" t="s">
        <v>1282</v>
      </c>
      <c r="G737" s="3" t="s">
        <v>82</v>
      </c>
      <c r="H737" s="2" t="s">
        <v>20</v>
      </c>
      <c r="I737" s="2" t="s">
        <v>1986</v>
      </c>
      <c r="J737" s="3" t="str">
        <f>HYPERLINK("https://www.boe.es/gazeta/dias/1813/09/11/pdfs/GMR-1813-41.pdf#page=5","Abrir facsímil")</f>
        <v>Abrir facsímil</v>
      </c>
      <c r="K737" s="3" t="s">
        <v>22</v>
      </c>
    </row>
    <row r="738" spans="1:11" ht="42" customHeight="1">
      <c r="A738" s="2" t="s">
        <v>1975</v>
      </c>
      <c r="B738" s="2" t="s">
        <v>1975</v>
      </c>
      <c r="C738" s="2" t="s">
        <v>16</v>
      </c>
      <c r="D738" s="2" t="s">
        <v>17</v>
      </c>
      <c r="E738" s="5">
        <v>-31504</v>
      </c>
      <c r="F738" s="3" t="s">
        <v>192</v>
      </c>
      <c r="G738" s="3" t="s">
        <v>19</v>
      </c>
      <c r="H738" s="2" t="s">
        <v>20</v>
      </c>
      <c r="I738" s="2" t="s">
        <v>1987</v>
      </c>
      <c r="J738" s="3" t="str">
        <f>HYPERLINK("https://www.boe.es/gazeta/dias/1813/09/28/pdfs/GRE-1813-127.pdf#page=4","Abrir facsímil")</f>
        <v>Abrir facsímil</v>
      </c>
      <c r="K738" s="3" t="s">
        <v>22</v>
      </c>
    </row>
    <row r="739" spans="1:11" ht="42" customHeight="1">
      <c r="A739" s="2" t="s">
        <v>1988</v>
      </c>
      <c r="B739" s="2" t="s">
        <v>1989</v>
      </c>
      <c r="C739" s="2" t="s">
        <v>16</v>
      </c>
      <c r="D739" s="2" t="s">
        <v>17</v>
      </c>
      <c r="E739" s="5">
        <v>-31570</v>
      </c>
      <c r="F739" s="3" t="s">
        <v>1803</v>
      </c>
      <c r="G739" s="3" t="s">
        <v>28</v>
      </c>
      <c r="H739" s="2" t="s">
        <v>20</v>
      </c>
      <c r="I739" s="2" t="s">
        <v>1990</v>
      </c>
      <c r="J739" s="3" t="str">
        <f>HYPERLINK("https://www.boe.es/gazeta/dias/1813/07/24/pdfs/GRE-1813-94.pdf#page=8","Abrir facsímil")</f>
        <v>Abrir facsímil</v>
      </c>
      <c r="K739" s="3" t="s">
        <v>22</v>
      </c>
    </row>
    <row r="740" spans="1:11" ht="42" customHeight="1">
      <c r="A740" s="2" t="s">
        <v>1988</v>
      </c>
      <c r="B740" s="2" t="s">
        <v>1989</v>
      </c>
      <c r="C740" s="2" t="s">
        <v>16</v>
      </c>
      <c r="D740" s="2" t="s">
        <v>97</v>
      </c>
      <c r="E740" s="5">
        <v>-31479</v>
      </c>
      <c r="F740" s="3" t="s">
        <v>290</v>
      </c>
      <c r="G740" s="3" t="s">
        <v>19</v>
      </c>
      <c r="H740" s="2" t="s">
        <v>20</v>
      </c>
      <c r="I740" s="2" t="s">
        <v>1991</v>
      </c>
      <c r="J740" s="3" t="str">
        <f>HYPERLINK("https://www.boe.es/gazeta/dias/1813/10/23/pdfs/GRE-1813-139E.pdf#page=4","Abrir facsímil")</f>
        <v>Abrir facsímil</v>
      </c>
      <c r="K740" s="3" t="s">
        <v>22</v>
      </c>
    </row>
    <row r="741" spans="1:11" ht="42" customHeight="1">
      <c r="A741" s="2" t="s">
        <v>1988</v>
      </c>
      <c r="B741" s="2" t="s">
        <v>1989</v>
      </c>
      <c r="C741" s="2" t="s">
        <v>16</v>
      </c>
      <c r="D741" s="2" t="s">
        <v>17</v>
      </c>
      <c r="E741" s="5">
        <v>-31467</v>
      </c>
      <c r="F741" s="3" t="s">
        <v>120</v>
      </c>
      <c r="G741" s="3" t="s">
        <v>87</v>
      </c>
      <c r="H741" s="2" t="s">
        <v>20</v>
      </c>
      <c r="I741" s="2" t="s">
        <v>1992</v>
      </c>
      <c r="J741" s="3" t="str">
        <f>HYPERLINK("https://www.boe.es/gazeta/dias/1813/11/04/pdfs/GMR-1813-68.pdf#page=7","Abrir facsímil")</f>
        <v>Abrir facsímil</v>
      </c>
      <c r="K741" s="3" t="s">
        <v>22</v>
      </c>
    </row>
    <row r="742" spans="1:11" ht="42" customHeight="1">
      <c r="A742" s="2" t="s">
        <v>1993</v>
      </c>
      <c r="B742" s="2" t="s">
        <v>1994</v>
      </c>
      <c r="C742" s="2" t="s">
        <v>16</v>
      </c>
      <c r="D742" s="2" t="s">
        <v>17</v>
      </c>
      <c r="E742" s="5">
        <v>-31546</v>
      </c>
      <c r="F742" s="3" t="s">
        <v>461</v>
      </c>
      <c r="G742" s="3" t="s">
        <v>19</v>
      </c>
      <c r="H742" s="2" t="s">
        <v>29</v>
      </c>
      <c r="I742" s="2" t="s">
        <v>1995</v>
      </c>
      <c r="J742" s="3" t="str">
        <f>HYPERLINK("https://www.boe.es/gazeta/dias/1813/08/17/pdfs/GMR-1813-29.pdf#page=4","Abrir facsímil")</f>
        <v>Abrir facsímil</v>
      </c>
      <c r="K742" s="3" t="s">
        <v>31</v>
      </c>
    </row>
    <row r="743" spans="1:11" ht="42" customHeight="1">
      <c r="A743" s="2" t="s">
        <v>1993</v>
      </c>
      <c r="B743" s="2" t="s">
        <v>1994</v>
      </c>
      <c r="C743" s="2" t="s">
        <v>16</v>
      </c>
      <c r="D743" s="2" t="s">
        <v>17</v>
      </c>
      <c r="E743" s="5">
        <v>-31493</v>
      </c>
      <c r="F743" s="3" t="s">
        <v>1996</v>
      </c>
      <c r="G743" s="3" t="s">
        <v>95</v>
      </c>
      <c r="H743" s="2" t="s">
        <v>29</v>
      </c>
      <c r="I743" s="2" t="s">
        <v>1997</v>
      </c>
      <c r="J743" s="3" t="str">
        <f>HYPERLINK("https://www.boe.es/gazeta/dias/1813/10/09/pdfs/GRE-1813-132.pdf#page=6","Abrir facsímil")</f>
        <v>Abrir facsímil</v>
      </c>
      <c r="K743" s="3" t="s">
        <v>31</v>
      </c>
    </row>
    <row r="744" spans="1:11" ht="42" customHeight="1">
      <c r="A744" s="2" t="s">
        <v>1998</v>
      </c>
      <c r="B744" s="2" t="s">
        <v>1999</v>
      </c>
      <c r="C744" s="2" t="s">
        <v>16</v>
      </c>
      <c r="D744" s="2" t="s">
        <v>17</v>
      </c>
      <c r="E744" s="5">
        <v>-31672</v>
      </c>
      <c r="F744" s="3" t="s">
        <v>238</v>
      </c>
      <c r="G744" s="3" t="s">
        <v>2000</v>
      </c>
      <c r="H744" s="2" t="s">
        <v>20</v>
      </c>
      <c r="I744" s="2" t="s">
        <v>2001</v>
      </c>
      <c r="J744" s="3" t="str">
        <f>HYPERLINK("https://www.boe.es/gazeta/dias/1813/04/13/pdfs/GRE-1813-45.pdf#page=8","Abrir facsímil")</f>
        <v>Abrir facsímil</v>
      </c>
      <c r="K744" s="3" t="s">
        <v>22</v>
      </c>
    </row>
    <row r="745" spans="1:11" ht="42" customHeight="1">
      <c r="A745" s="2" t="s">
        <v>2002</v>
      </c>
      <c r="B745" s="2" t="s">
        <v>2003</v>
      </c>
      <c r="C745" s="2" t="s">
        <v>16</v>
      </c>
      <c r="D745" s="2" t="s">
        <v>17</v>
      </c>
      <c r="E745" s="5">
        <v>-31518</v>
      </c>
      <c r="F745" s="3" t="s">
        <v>155</v>
      </c>
      <c r="G745" s="3" t="s">
        <v>58</v>
      </c>
      <c r="H745" s="2" t="s">
        <v>20</v>
      </c>
      <c r="I745" s="2" t="s">
        <v>2004</v>
      </c>
      <c r="J745" s="3" t="str">
        <f>HYPERLINK("https://www.boe.es/gazeta/dias/1813/09/14/pdfs/GRE-1813-119.pdf#page=2","Abrir facsímil")</f>
        <v>Abrir facsímil</v>
      </c>
      <c r="K745" s="3" t="s">
        <v>22</v>
      </c>
    </row>
    <row r="746" spans="1:11" ht="42" customHeight="1">
      <c r="A746" s="2" t="s">
        <v>2005</v>
      </c>
      <c r="B746" s="2" t="s">
        <v>2006</v>
      </c>
      <c r="C746" s="2" t="s">
        <v>16</v>
      </c>
      <c r="D746" s="2" t="s">
        <v>17</v>
      </c>
      <c r="E746" s="5">
        <v>-31509</v>
      </c>
      <c r="F746" s="3" t="s">
        <v>2007</v>
      </c>
      <c r="G746" s="3" t="s">
        <v>2008</v>
      </c>
      <c r="H746" s="2" t="s">
        <v>20</v>
      </c>
      <c r="I746" s="2" t="s">
        <v>2009</v>
      </c>
      <c r="J746" s="3" t="str">
        <f>HYPERLINK("https://www.boe.es/gazeta/dias/1813/09/23/pdfs/GRE-1813-125.pdf#page=6","Abrir facsímil")</f>
        <v>Abrir facsímil</v>
      </c>
      <c r="K746" s="3" t="s">
        <v>22</v>
      </c>
    </row>
    <row r="747" spans="1:11" ht="42" customHeight="1">
      <c r="A747" s="2" t="s">
        <v>2010</v>
      </c>
      <c r="B747" s="2" t="s">
        <v>2010</v>
      </c>
      <c r="C747" s="2" t="s">
        <v>16</v>
      </c>
      <c r="D747" s="2" t="s">
        <v>17</v>
      </c>
      <c r="E747" s="5">
        <v>-31736</v>
      </c>
      <c r="F747" s="3" t="s">
        <v>1936</v>
      </c>
      <c r="G747" s="3" t="s">
        <v>54</v>
      </c>
      <c r="H747" s="2" t="s">
        <v>20</v>
      </c>
      <c r="I747" s="2" t="s">
        <v>2011</v>
      </c>
      <c r="J747" s="3" t="str">
        <f>HYPERLINK("https://www.boe.es/gazeta/dias/1813/02/08/pdfs/GMD-1813-39.pdf#page=3","Abrir facsímil")</f>
        <v>Abrir facsímil</v>
      </c>
      <c r="K747" s="3" t="s">
        <v>22</v>
      </c>
    </row>
    <row r="748" spans="1:11" ht="42" customHeight="1">
      <c r="A748" s="2" t="s">
        <v>2012</v>
      </c>
      <c r="B748" s="2" t="s">
        <v>2013</v>
      </c>
      <c r="C748" s="2" t="s">
        <v>16</v>
      </c>
      <c r="D748" s="2" t="s">
        <v>17</v>
      </c>
      <c r="E748" s="5">
        <v>-31542</v>
      </c>
      <c r="F748" s="3" t="s">
        <v>337</v>
      </c>
      <c r="G748" s="3" t="s">
        <v>87</v>
      </c>
      <c r="H748" s="2" t="s">
        <v>29</v>
      </c>
      <c r="I748" s="2" t="s">
        <v>2014</v>
      </c>
      <c r="J748" s="3" t="str">
        <f>HYPERLINK("https://www.boe.es/gazeta/dias/1813/08/21/pdfs/GRE-1813-107.pdf#page=7","Abrir facsímil")</f>
        <v>Abrir facsímil</v>
      </c>
      <c r="K748" s="3" t="s">
        <v>31</v>
      </c>
    </row>
    <row r="749" spans="1:11" ht="42" customHeight="1">
      <c r="A749" s="2" t="s">
        <v>2015</v>
      </c>
      <c r="B749" s="2" t="s">
        <v>2016</v>
      </c>
      <c r="C749" s="2" t="s">
        <v>16</v>
      </c>
      <c r="D749" s="2" t="s">
        <v>17</v>
      </c>
      <c r="E749" s="5">
        <v>-31582</v>
      </c>
      <c r="F749" s="3" t="s">
        <v>907</v>
      </c>
      <c r="G749" s="3" t="s">
        <v>54</v>
      </c>
      <c r="H749" s="2" t="s">
        <v>20</v>
      </c>
      <c r="I749" s="2" t="s">
        <v>2017</v>
      </c>
      <c r="J749" s="3" t="str">
        <f>HYPERLINK("https://www.boe.es/gazeta/dias/1813/07/12/pdfs/GRE-1813-87.pdf#page=3","Abrir facsímil")</f>
        <v>Abrir facsímil</v>
      </c>
      <c r="K749" s="3" t="s">
        <v>22</v>
      </c>
    </row>
    <row r="750" spans="1:11" ht="42" customHeight="1">
      <c r="A750" s="2" t="s">
        <v>2018</v>
      </c>
      <c r="B750" s="2" t="s">
        <v>2018</v>
      </c>
      <c r="C750" s="2" t="s">
        <v>16</v>
      </c>
      <c r="D750" s="2" t="s">
        <v>17</v>
      </c>
      <c r="E750" s="5">
        <v>-31571</v>
      </c>
      <c r="F750" s="3" t="s">
        <v>788</v>
      </c>
      <c r="G750" s="3" t="s">
        <v>313</v>
      </c>
      <c r="H750" s="2" t="s">
        <v>20</v>
      </c>
      <c r="I750" s="2" t="s">
        <v>2019</v>
      </c>
      <c r="J750" s="3" t="str">
        <f>HYPERLINK("https://www.boe.es/gazeta/dias/1813/07/23/pdfs/GMR-1813-20.pdf#page=9","Abrir facsímil")</f>
        <v>Abrir facsímil</v>
      </c>
      <c r="K750" s="3" t="s">
        <v>22</v>
      </c>
    </row>
    <row r="751" spans="1:11" ht="42" customHeight="1">
      <c r="A751" s="2" t="s">
        <v>2020</v>
      </c>
      <c r="B751" s="2" t="s">
        <v>2021</v>
      </c>
      <c r="C751" s="2" t="s">
        <v>16</v>
      </c>
      <c r="D751" s="2" t="s">
        <v>17</v>
      </c>
      <c r="E751" s="5">
        <v>-31571</v>
      </c>
      <c r="F751" s="3" t="s">
        <v>788</v>
      </c>
      <c r="G751" s="3" t="s">
        <v>313</v>
      </c>
      <c r="H751" s="2" t="s">
        <v>20</v>
      </c>
      <c r="I751" s="2" t="s">
        <v>2022</v>
      </c>
      <c r="J751" s="3" t="str">
        <f>HYPERLINK("https://www.boe.es/gazeta/dias/1813/07/23/pdfs/GMR-1813-20.pdf#page=9","Abrir facsímil")</f>
        <v>Abrir facsímil</v>
      </c>
      <c r="K751" s="3" t="s">
        <v>22</v>
      </c>
    </row>
    <row r="752" spans="1:11" ht="42" customHeight="1">
      <c r="A752" s="2" t="s">
        <v>2023</v>
      </c>
      <c r="B752" s="2" t="s">
        <v>2023</v>
      </c>
      <c r="C752" s="2" t="s">
        <v>16</v>
      </c>
      <c r="D752" s="2" t="s">
        <v>17</v>
      </c>
      <c r="E752" s="5">
        <v>-31535</v>
      </c>
      <c r="F752" s="3" t="s">
        <v>366</v>
      </c>
      <c r="G752" s="3" t="s">
        <v>58</v>
      </c>
      <c r="H752" s="2" t="s">
        <v>20</v>
      </c>
      <c r="I752" s="2" t="s">
        <v>2024</v>
      </c>
      <c r="J752" s="3" t="str">
        <f>HYPERLINK("https://www.boe.es/gazeta/dias/1813/08/28/pdfs/GRE-1813-110.pdf#page=2","Abrir facsímil")</f>
        <v>Abrir facsímil</v>
      </c>
      <c r="K752" s="3" t="s">
        <v>22</v>
      </c>
    </row>
    <row r="753" spans="1:11" ht="42" customHeight="1">
      <c r="A753" s="2" t="s">
        <v>2025</v>
      </c>
      <c r="B753" s="2" t="s">
        <v>2026</v>
      </c>
      <c r="C753" s="2" t="s">
        <v>25</v>
      </c>
      <c r="D753" s="2" t="s">
        <v>26</v>
      </c>
      <c r="E753" s="5">
        <v>-31752</v>
      </c>
      <c r="F753" s="3" t="s">
        <v>182</v>
      </c>
      <c r="G753" s="3" t="s">
        <v>183</v>
      </c>
      <c r="H753" s="2" t="s">
        <v>20</v>
      </c>
      <c r="I753" s="2" t="s">
        <v>2027</v>
      </c>
      <c r="J753" s="3" t="str">
        <f>HYPERLINK("https://www.boe.es/gazeta/dias/1813/01/23/pdfs/GRE-1813-10.pdf#page=8","Abrir facsímil")</f>
        <v>Abrir facsímil</v>
      </c>
      <c r="K753" s="3" t="s">
        <v>22</v>
      </c>
    </row>
    <row r="754" spans="1:11" ht="42" customHeight="1">
      <c r="A754" s="2" t="s">
        <v>2028</v>
      </c>
      <c r="B754" s="2" t="s">
        <v>2028</v>
      </c>
      <c r="C754" s="2" t="s">
        <v>16</v>
      </c>
      <c r="D754" s="2" t="s">
        <v>17</v>
      </c>
      <c r="E754" s="5">
        <v>-31502</v>
      </c>
      <c r="F754" s="3" t="s">
        <v>257</v>
      </c>
      <c r="G754" s="3" t="s">
        <v>2029</v>
      </c>
      <c r="H754" s="2" t="s">
        <v>20</v>
      </c>
      <c r="I754" s="2" t="s">
        <v>2030</v>
      </c>
      <c r="J754" s="3" t="str">
        <f>HYPERLINK("https://www.boe.es/gazeta/dias/1813/09/30/pdfs/GMR-1813-51.pdf#page=6","Abrir facsímil")</f>
        <v>Abrir facsímil</v>
      </c>
      <c r="K754" s="3" t="s">
        <v>22</v>
      </c>
    </row>
    <row r="755" spans="1:11" ht="42" customHeight="1">
      <c r="A755" s="2" t="s">
        <v>2031</v>
      </c>
      <c r="B755" s="2" t="s">
        <v>2031</v>
      </c>
      <c r="C755" s="2" t="s">
        <v>16</v>
      </c>
      <c r="D755" s="2" t="s">
        <v>17</v>
      </c>
      <c r="E755" s="5">
        <v>-31592</v>
      </c>
      <c r="F755" s="3" t="s">
        <v>1538</v>
      </c>
      <c r="G755" s="3" t="s">
        <v>54</v>
      </c>
      <c r="H755" s="2" t="s">
        <v>20</v>
      </c>
      <c r="I755" s="2" t="s">
        <v>2032</v>
      </c>
      <c r="J755" s="3" t="str">
        <f>HYPERLINK("https://www.boe.es/gazeta/dias/1813/07/02/pdfs/GMR-1813-14.pdf#page=3","Abrir facsímil")</f>
        <v>Abrir facsímil</v>
      </c>
      <c r="K755" s="3" t="s">
        <v>22</v>
      </c>
    </row>
    <row r="756" spans="1:11" ht="42" customHeight="1">
      <c r="A756" s="2" t="s">
        <v>2031</v>
      </c>
      <c r="B756" s="2" t="s">
        <v>2031</v>
      </c>
      <c r="C756" s="2" t="s">
        <v>16</v>
      </c>
      <c r="D756" s="2" t="s">
        <v>17</v>
      </c>
      <c r="E756" s="5">
        <v>-31483</v>
      </c>
      <c r="F756" s="3" t="s">
        <v>1292</v>
      </c>
      <c r="G756" s="3" t="s">
        <v>1476</v>
      </c>
      <c r="H756" s="2" t="s">
        <v>20</v>
      </c>
      <c r="I756" s="2" t="s">
        <v>2033</v>
      </c>
      <c r="J756" s="3" t="str">
        <f>HYPERLINK("https://www.boe.es/gazeta/dias/1813/10/19/pdfs/GMR-1813-61.pdf#page=6","Abrir facsímil")</f>
        <v>Abrir facsímil</v>
      </c>
      <c r="K756" s="3" t="s">
        <v>22</v>
      </c>
    </row>
    <row r="757" spans="1:11" ht="42" customHeight="1">
      <c r="A757" s="2" t="s">
        <v>2031</v>
      </c>
      <c r="B757" s="2" t="s">
        <v>2031</v>
      </c>
      <c r="C757" s="2" t="s">
        <v>16</v>
      </c>
      <c r="D757" s="2" t="s">
        <v>17</v>
      </c>
      <c r="E757" s="5">
        <v>-31453</v>
      </c>
      <c r="F757" s="3" t="s">
        <v>887</v>
      </c>
      <c r="G757" s="3" t="s">
        <v>82</v>
      </c>
      <c r="H757" s="2" t="s">
        <v>20</v>
      </c>
      <c r="I757" s="2" t="s">
        <v>2034</v>
      </c>
      <c r="J757" s="3" t="str">
        <f>HYPERLINK("https://www.boe.es/gazeta/dias/1813/11/18/pdfs/GMR-1813-76.pdf#page=5","Abrir facsímil")</f>
        <v>Abrir facsímil</v>
      </c>
      <c r="K757" s="3" t="s">
        <v>22</v>
      </c>
    </row>
    <row r="758" spans="1:11" ht="42" customHeight="1">
      <c r="A758" s="2" t="s">
        <v>2035</v>
      </c>
      <c r="B758" s="2" t="s">
        <v>2036</v>
      </c>
      <c r="C758" s="2" t="s">
        <v>16</v>
      </c>
      <c r="D758" s="2" t="s">
        <v>97</v>
      </c>
      <c r="E758" s="5">
        <v>-31519</v>
      </c>
      <c r="F758" s="3" t="s">
        <v>312</v>
      </c>
      <c r="G758" s="3" t="s">
        <v>313</v>
      </c>
      <c r="H758" s="2" t="s">
        <v>20</v>
      </c>
      <c r="I758" s="2" t="s">
        <v>2037</v>
      </c>
      <c r="J758" s="3" t="str">
        <f>HYPERLINK("https://www.boe.es/gazeta/dias/1813/09/13/pdfs/GRE-1813-118E.pdf#page=9","Abrir facsímil")</f>
        <v>Abrir facsímil</v>
      </c>
      <c r="K758" s="3" t="s">
        <v>22</v>
      </c>
    </row>
    <row r="759" spans="1:11" ht="42" customHeight="1">
      <c r="A759" s="2" t="s">
        <v>2038</v>
      </c>
      <c r="B759" s="2" t="s">
        <v>2039</v>
      </c>
      <c r="C759" s="2" t="s">
        <v>16</v>
      </c>
      <c r="D759" s="2" t="s">
        <v>97</v>
      </c>
      <c r="E759" s="5">
        <v>-31519</v>
      </c>
      <c r="F759" s="3" t="s">
        <v>312</v>
      </c>
      <c r="G759" s="3" t="s">
        <v>313</v>
      </c>
      <c r="H759" s="2" t="s">
        <v>20</v>
      </c>
      <c r="I759" s="2" t="s">
        <v>2040</v>
      </c>
      <c r="J759" s="3" t="str">
        <f>HYPERLINK("https://www.boe.es/gazeta/dias/1813/09/13/pdfs/GRE-1813-118E.pdf#page=9","Abrir facsímil")</f>
        <v>Abrir facsímil</v>
      </c>
      <c r="K759" s="3" t="s">
        <v>22</v>
      </c>
    </row>
    <row r="760" spans="1:11" ht="42" customHeight="1">
      <c r="A760" s="2" t="s">
        <v>2041</v>
      </c>
      <c r="B760" s="2" t="s">
        <v>2042</v>
      </c>
      <c r="C760" s="2" t="s">
        <v>16</v>
      </c>
      <c r="D760" s="2" t="s">
        <v>17</v>
      </c>
      <c r="E760" s="5">
        <v>-31663</v>
      </c>
      <c r="F760" s="3" t="s">
        <v>871</v>
      </c>
      <c r="G760" s="3" t="s">
        <v>65</v>
      </c>
      <c r="H760" s="2" t="s">
        <v>29</v>
      </c>
      <c r="I760" s="2" t="s">
        <v>2043</v>
      </c>
      <c r="J760" s="3" t="str">
        <f>HYPERLINK("https://www.boe.es/gazeta/dias/1813/04/22/pdfs/GMD-1813-112.pdf#page=1","Abrir facsímil")</f>
        <v>Abrir facsímil</v>
      </c>
      <c r="K760" s="3" t="s">
        <v>31</v>
      </c>
    </row>
    <row r="761" spans="1:11" ht="42" customHeight="1">
      <c r="A761" s="2" t="s">
        <v>2044</v>
      </c>
      <c r="B761" s="2" t="s">
        <v>2044</v>
      </c>
      <c r="C761" s="2" t="s">
        <v>34</v>
      </c>
      <c r="D761" s="2" t="s">
        <v>35</v>
      </c>
      <c r="E761" s="5">
        <v>-31738</v>
      </c>
      <c r="F761" s="3" t="s">
        <v>2045</v>
      </c>
      <c r="G761" s="3" t="s">
        <v>54</v>
      </c>
      <c r="H761" s="2" t="s">
        <v>20</v>
      </c>
      <c r="I761" s="2" t="s">
        <v>2046</v>
      </c>
      <c r="J761" s="3" t="str">
        <f>HYPERLINK("https://www.boe.es/gazeta/dias/1813/02/06/pdfs/GMD-1813-37.pdf#page=3","Abrir facsímil")</f>
        <v>Abrir facsímil</v>
      </c>
      <c r="K761" s="3" t="s">
        <v>22</v>
      </c>
    </row>
    <row r="762" spans="1:11" ht="42" customHeight="1">
      <c r="A762" s="2" t="s">
        <v>2047</v>
      </c>
      <c r="B762" s="2" t="s">
        <v>2047</v>
      </c>
      <c r="C762" s="2" t="s">
        <v>435</v>
      </c>
      <c r="D762" s="2" t="s">
        <v>26</v>
      </c>
      <c r="E762" s="5">
        <v>-31571</v>
      </c>
      <c r="F762" s="3" t="s">
        <v>788</v>
      </c>
      <c r="G762" s="3" t="s">
        <v>2048</v>
      </c>
      <c r="H762" s="2" t="s">
        <v>20</v>
      </c>
      <c r="I762" s="2" t="s">
        <v>2049</v>
      </c>
      <c r="J762" s="3" t="str">
        <f>HYPERLINK("https://www.boe.es/gazeta/dias/1813/07/23/pdfs/GMR-1813-20.pdf#page=3","Abrir facsímil")</f>
        <v>Abrir facsímil</v>
      </c>
      <c r="K762" s="3" t="s">
        <v>22</v>
      </c>
    </row>
    <row r="763" spans="1:11" ht="42" customHeight="1">
      <c r="A763" s="2" t="s">
        <v>2050</v>
      </c>
      <c r="B763" s="2" t="s">
        <v>2050</v>
      </c>
      <c r="C763" s="2" t="s">
        <v>16</v>
      </c>
      <c r="D763" s="2" t="s">
        <v>17</v>
      </c>
      <c r="E763" s="5">
        <v>-31742</v>
      </c>
      <c r="F763" s="3" t="s">
        <v>2051</v>
      </c>
      <c r="G763" s="3" t="s">
        <v>54</v>
      </c>
      <c r="H763" s="2" t="s">
        <v>20</v>
      </c>
      <c r="I763" s="2" t="s">
        <v>2052</v>
      </c>
      <c r="J763" s="3" t="str">
        <f>HYPERLINK("https://www.boe.es/gazeta/dias/1813/02/02/pdfs/GMD-1813-33.pdf#page=3","Abrir facsímil")</f>
        <v>Abrir facsímil</v>
      </c>
      <c r="K763" s="3" t="s">
        <v>22</v>
      </c>
    </row>
    <row r="764" spans="1:11" ht="42" customHeight="1">
      <c r="A764" s="2" t="s">
        <v>2050</v>
      </c>
      <c r="B764" s="2" t="s">
        <v>2050</v>
      </c>
      <c r="C764" s="2" t="s">
        <v>187</v>
      </c>
      <c r="D764" s="2" t="s">
        <v>26</v>
      </c>
      <c r="E764" s="5">
        <v>-31684</v>
      </c>
      <c r="F764" s="3" t="s">
        <v>2053</v>
      </c>
      <c r="G764" s="3" t="s">
        <v>65</v>
      </c>
      <c r="H764" s="2" t="s">
        <v>20</v>
      </c>
      <c r="I764" s="2" t="s">
        <v>2054</v>
      </c>
      <c r="J764" s="3" t="str">
        <f>HYPERLINK("https://www.boe.es/gazeta/dias/1813/04/01/pdfs/GMD-1813-91.pdf#page=1","Abrir facsímil")</f>
        <v>Abrir facsímil</v>
      </c>
      <c r="K764" s="3" t="s">
        <v>22</v>
      </c>
    </row>
    <row r="765" spans="1:11" ht="42" customHeight="1">
      <c r="A765" s="2" t="s">
        <v>2050</v>
      </c>
      <c r="B765" s="2" t="s">
        <v>2050</v>
      </c>
      <c r="C765" s="2" t="s">
        <v>16</v>
      </c>
      <c r="D765" s="2" t="s">
        <v>17</v>
      </c>
      <c r="E765" s="5">
        <v>-31564</v>
      </c>
      <c r="F765" s="3" t="s">
        <v>206</v>
      </c>
      <c r="G765" s="3" t="s">
        <v>2055</v>
      </c>
      <c r="H765" s="2" t="s">
        <v>20</v>
      </c>
      <c r="I765" s="2" t="s">
        <v>2056</v>
      </c>
      <c r="J765" s="3" t="str">
        <f>HYPERLINK("https://www.boe.es/gazeta/dias/1813/07/30/pdfs/GMR-1813-22.pdf#page=7","Abrir facsímil")</f>
        <v>Abrir facsímil</v>
      </c>
      <c r="K765" s="3" t="s">
        <v>22</v>
      </c>
    </row>
    <row r="766" spans="1:11" ht="42" customHeight="1">
      <c r="A766" s="2" t="s">
        <v>2050</v>
      </c>
      <c r="B766" s="2" t="s">
        <v>2050</v>
      </c>
      <c r="C766" s="2" t="s">
        <v>16</v>
      </c>
      <c r="D766" s="2" t="s">
        <v>17</v>
      </c>
      <c r="E766" s="5">
        <v>-31546</v>
      </c>
      <c r="F766" s="3" t="s">
        <v>2057</v>
      </c>
      <c r="G766" s="3" t="s">
        <v>54</v>
      </c>
      <c r="H766" s="2" t="s">
        <v>20</v>
      </c>
      <c r="I766" s="2" t="s">
        <v>2058</v>
      </c>
      <c r="J766" s="3" t="str">
        <f>HYPERLINK("https://www.boe.es/gazeta/dias/1813/08/17/pdfs/GRE-1813-105.pdf#page=3","Abrir facsímil")</f>
        <v>Abrir facsímil</v>
      </c>
      <c r="K766" s="3" t="s">
        <v>22</v>
      </c>
    </row>
    <row r="767" spans="1:11" ht="42" customHeight="1">
      <c r="A767" s="2" t="s">
        <v>2050</v>
      </c>
      <c r="B767" s="2" t="s">
        <v>2050</v>
      </c>
      <c r="C767" s="2" t="s">
        <v>16</v>
      </c>
      <c r="D767" s="2" t="s">
        <v>17</v>
      </c>
      <c r="E767" s="5">
        <v>-31432</v>
      </c>
      <c r="F767" s="3" t="s">
        <v>702</v>
      </c>
      <c r="G767" s="3" t="s">
        <v>95</v>
      </c>
      <c r="H767" s="2" t="s">
        <v>20</v>
      </c>
      <c r="I767" s="2" t="s">
        <v>2059</v>
      </c>
      <c r="J767" s="3" t="str">
        <f>HYPERLINK("https://www.boe.es/gazeta/dias/1813/12/09/pdfs/GMR-1813-85.pdf#page=6","Abrir facsímil")</f>
        <v>Abrir facsímil</v>
      </c>
      <c r="K767" s="3" t="s">
        <v>22</v>
      </c>
    </row>
    <row r="768" spans="1:11" ht="42" customHeight="1">
      <c r="A768" s="2" t="s">
        <v>2060</v>
      </c>
      <c r="B768" s="2" t="s">
        <v>2061</v>
      </c>
      <c r="C768" s="2" t="s">
        <v>16</v>
      </c>
      <c r="D768" s="2" t="s">
        <v>17</v>
      </c>
      <c r="E768" s="5">
        <v>-31592</v>
      </c>
      <c r="F768" s="3" t="s">
        <v>175</v>
      </c>
      <c r="G768" s="3" t="s">
        <v>82</v>
      </c>
      <c r="H768" s="2" t="s">
        <v>20</v>
      </c>
      <c r="I768" s="2" t="s">
        <v>2062</v>
      </c>
      <c r="J768" s="3" t="str">
        <f>HYPERLINK("https://www.boe.es/gazeta/dias/1813/07/02/pdfs/GRE-1813-82.pdf#page=5","Abrir facsímil")</f>
        <v>Abrir facsímil</v>
      </c>
      <c r="K768" s="3" t="s">
        <v>22</v>
      </c>
    </row>
    <row r="769" spans="1:11" ht="42" customHeight="1">
      <c r="A769" s="2" t="s">
        <v>2063</v>
      </c>
      <c r="B769" s="2" t="s">
        <v>2064</v>
      </c>
      <c r="C769" s="2" t="s">
        <v>16</v>
      </c>
      <c r="D769" s="2" t="s">
        <v>97</v>
      </c>
      <c r="E769" s="5">
        <v>-31548</v>
      </c>
      <c r="F769" s="3" t="s">
        <v>1680</v>
      </c>
      <c r="G769" s="3" t="s">
        <v>87</v>
      </c>
      <c r="H769" s="2" t="s">
        <v>20</v>
      </c>
      <c r="I769" s="2" t="s">
        <v>2065</v>
      </c>
      <c r="J769" s="3" t="str">
        <f>HYPERLINK("https://www.boe.es/gazeta/dias/1813/08/15/pdfs/GRE-1813-104E.pdf#page=7","Abrir facsímil")</f>
        <v>Abrir facsímil</v>
      </c>
      <c r="K769" s="3" t="s">
        <v>22</v>
      </c>
    </row>
    <row r="770" spans="1:11" ht="42" customHeight="1">
      <c r="A770" s="2" t="s">
        <v>2063</v>
      </c>
      <c r="B770" s="2" t="s">
        <v>2064</v>
      </c>
      <c r="C770" s="2" t="s">
        <v>16</v>
      </c>
      <c r="D770" s="2" t="s">
        <v>97</v>
      </c>
      <c r="E770" s="5">
        <v>-31445</v>
      </c>
      <c r="F770" s="3" t="s">
        <v>299</v>
      </c>
      <c r="G770" s="3" t="s">
        <v>58</v>
      </c>
      <c r="H770" s="2" t="s">
        <v>20</v>
      </c>
      <c r="I770" s="2" t="s">
        <v>2066</v>
      </c>
      <c r="J770" s="3" t="str">
        <f>HYPERLINK("https://www.boe.es/gazeta/dias/1813/11/26/pdfs/GRE-1813-156E.pdf#page=2","Abrir facsímil")</f>
        <v>Abrir facsímil</v>
      </c>
      <c r="K770" s="3" t="s">
        <v>22</v>
      </c>
    </row>
    <row r="771" spans="1:11" ht="42" customHeight="1">
      <c r="A771" s="2" t="s">
        <v>2067</v>
      </c>
      <c r="B771" s="2" t="s">
        <v>2068</v>
      </c>
      <c r="C771" s="2" t="s">
        <v>16</v>
      </c>
      <c r="D771" s="2" t="s">
        <v>17</v>
      </c>
      <c r="E771" s="5">
        <v>-31427</v>
      </c>
      <c r="F771" s="3" t="s">
        <v>1822</v>
      </c>
      <c r="G771" s="3" t="s">
        <v>28</v>
      </c>
      <c r="H771" s="2" t="s">
        <v>20</v>
      </c>
      <c r="I771" s="2" t="s">
        <v>2069</v>
      </c>
      <c r="J771" s="3" t="str">
        <f>HYPERLINK("https://www.boe.es/gazeta/dias/1813/12/14/pdfs/GRE-1813-164.pdf#page=8","Abrir facsímil")</f>
        <v>Abrir facsímil</v>
      </c>
      <c r="K771" s="3" t="s">
        <v>22</v>
      </c>
    </row>
    <row r="772" spans="1:11" ht="42" customHeight="1">
      <c r="A772" s="2" t="s">
        <v>2070</v>
      </c>
      <c r="B772" s="2" t="s">
        <v>2070</v>
      </c>
      <c r="C772" s="2" t="s">
        <v>16</v>
      </c>
      <c r="D772" s="2" t="s">
        <v>17</v>
      </c>
      <c r="E772" s="5">
        <v>-31630</v>
      </c>
      <c r="F772" s="3" t="s">
        <v>1324</v>
      </c>
      <c r="G772" s="3" t="s">
        <v>65</v>
      </c>
      <c r="H772" s="2" t="s">
        <v>20</v>
      </c>
      <c r="I772" s="2" t="s">
        <v>2071</v>
      </c>
      <c r="J772" s="3" t="str">
        <f>HYPERLINK("https://www.boe.es/gazeta/dias/1813/05/25/pdfs/GRE-1813-64.pdf#page=1","Abrir facsímil")</f>
        <v>Abrir facsímil</v>
      </c>
      <c r="K772" s="3" t="s">
        <v>22</v>
      </c>
    </row>
    <row r="773" spans="1:11" ht="42" customHeight="1">
      <c r="A773" s="2" t="s">
        <v>2070</v>
      </c>
      <c r="B773" s="2" t="s">
        <v>2070</v>
      </c>
      <c r="C773" s="2" t="s">
        <v>16</v>
      </c>
      <c r="D773" s="2" t="s">
        <v>17</v>
      </c>
      <c r="E773" s="5">
        <v>-31630</v>
      </c>
      <c r="F773" s="3" t="s">
        <v>1324</v>
      </c>
      <c r="G773" s="3" t="s">
        <v>58</v>
      </c>
      <c r="H773" s="2" t="s">
        <v>20</v>
      </c>
      <c r="I773" s="2" t="s">
        <v>2072</v>
      </c>
      <c r="J773" s="3" t="str">
        <f>HYPERLINK("https://www.boe.es/gazeta/dias/1813/05/25/pdfs/GRE-1813-64.pdf#page=2","Abrir facsímil")</f>
        <v>Abrir facsímil</v>
      </c>
      <c r="K773" s="3" t="s">
        <v>22</v>
      </c>
    </row>
    <row r="774" spans="1:11" ht="42" customHeight="1">
      <c r="A774" s="2" t="s">
        <v>2070</v>
      </c>
      <c r="B774" s="2" t="s">
        <v>2070</v>
      </c>
      <c r="C774" s="2" t="s">
        <v>16</v>
      </c>
      <c r="D774" s="2" t="s">
        <v>17</v>
      </c>
      <c r="E774" s="5">
        <v>-31619</v>
      </c>
      <c r="F774" s="3" t="s">
        <v>1350</v>
      </c>
      <c r="G774" s="3" t="s">
        <v>58</v>
      </c>
      <c r="H774" s="2" t="s">
        <v>20</v>
      </c>
      <c r="I774" s="2" t="s">
        <v>2073</v>
      </c>
      <c r="J774" s="3" t="str">
        <f>HYPERLINK("https://www.boe.es/gazeta/dias/1813/06/05/pdfs/GMR-1813-2.pdf#page=2","Abrir facsímil")</f>
        <v>Abrir facsímil</v>
      </c>
      <c r="K774" s="3" t="s">
        <v>22</v>
      </c>
    </row>
    <row r="775" spans="1:11" ht="42" customHeight="1">
      <c r="A775" s="2" t="s">
        <v>2074</v>
      </c>
      <c r="B775" s="2" t="s">
        <v>2075</v>
      </c>
      <c r="C775" s="2" t="s">
        <v>25</v>
      </c>
      <c r="D775" s="2" t="s">
        <v>26</v>
      </c>
      <c r="E775" s="5">
        <v>-31745</v>
      </c>
      <c r="F775" s="3" t="s">
        <v>445</v>
      </c>
      <c r="G775" s="3" t="s">
        <v>475</v>
      </c>
      <c r="H775" s="2" t="s">
        <v>20</v>
      </c>
      <c r="I775" s="2" t="s">
        <v>2076</v>
      </c>
      <c r="J775" s="3" t="str">
        <f>HYPERLINK("https://www.boe.es/gazeta/dias/1813/01/30/pdfs/GRE-1813-13.pdf#page=7","Abrir facsímil")</f>
        <v>Abrir facsímil</v>
      </c>
      <c r="K775" s="3" t="s">
        <v>22</v>
      </c>
    </row>
    <row r="776" spans="1:11" ht="42" customHeight="1">
      <c r="A776" s="2" t="s">
        <v>2077</v>
      </c>
      <c r="B776" s="2" t="s">
        <v>2078</v>
      </c>
      <c r="C776" s="2" t="s">
        <v>25</v>
      </c>
      <c r="D776" s="2" t="s">
        <v>26</v>
      </c>
      <c r="E776" s="5">
        <v>-31745</v>
      </c>
      <c r="F776" s="3" t="s">
        <v>445</v>
      </c>
      <c r="G776" s="3" t="s">
        <v>475</v>
      </c>
      <c r="H776" s="2" t="s">
        <v>20</v>
      </c>
      <c r="I776" s="2" t="s">
        <v>2079</v>
      </c>
      <c r="J776" s="3" t="str">
        <f>HYPERLINK("https://www.boe.es/gazeta/dias/1813/01/30/pdfs/GRE-1813-13.pdf#page=7","Abrir facsímil")</f>
        <v>Abrir facsímil</v>
      </c>
      <c r="K776" s="3" t="s">
        <v>22</v>
      </c>
    </row>
    <row r="777" spans="1:11" ht="42" customHeight="1">
      <c r="A777" s="2" t="s">
        <v>2080</v>
      </c>
      <c r="B777" s="2" t="s">
        <v>2081</v>
      </c>
      <c r="C777" s="2" t="s">
        <v>435</v>
      </c>
      <c r="D777" s="2" t="s">
        <v>26</v>
      </c>
      <c r="E777" s="5">
        <v>-31637</v>
      </c>
      <c r="F777" s="3" t="s">
        <v>855</v>
      </c>
      <c r="G777" s="3" t="s">
        <v>19</v>
      </c>
      <c r="H777" s="2" t="s">
        <v>20</v>
      </c>
      <c r="I777" s="2" t="s">
        <v>2082</v>
      </c>
      <c r="J777" s="3" t="str">
        <f>HYPERLINK("https://www.boe.es/gazeta/dias/1813/05/18/pdfs/GMD-1813-138.pdf#page=4","Abrir facsímil")</f>
        <v>Abrir facsímil</v>
      </c>
      <c r="K777" s="3" t="s">
        <v>22</v>
      </c>
    </row>
    <row r="778" spans="1:11" ht="42" customHeight="1">
      <c r="A778" s="2" t="s">
        <v>2083</v>
      </c>
      <c r="B778" s="2" t="s">
        <v>2084</v>
      </c>
      <c r="C778" s="2" t="s">
        <v>16</v>
      </c>
      <c r="D778" s="2" t="s">
        <v>17</v>
      </c>
      <c r="E778" s="5">
        <v>-31732</v>
      </c>
      <c r="F778" s="3" t="s">
        <v>1904</v>
      </c>
      <c r="G778" s="3" t="s">
        <v>54</v>
      </c>
      <c r="H778" s="2" t="s">
        <v>20</v>
      </c>
      <c r="I778" s="2" t="s">
        <v>2085</v>
      </c>
      <c r="J778" s="3" t="str">
        <f>HYPERLINK("https://www.boe.es/gazeta/dias/1813/02/12/pdfs/GMD-1813-43.pdf#page=3","Abrir facsímil")</f>
        <v>Abrir facsímil</v>
      </c>
      <c r="K778" s="3" t="s">
        <v>22</v>
      </c>
    </row>
    <row r="779" spans="1:11" ht="42" customHeight="1">
      <c r="A779" s="2" t="s">
        <v>2086</v>
      </c>
      <c r="B779" s="2" t="s">
        <v>2087</v>
      </c>
      <c r="C779" s="2" t="s">
        <v>25</v>
      </c>
      <c r="D779" s="2" t="s">
        <v>26</v>
      </c>
      <c r="E779" s="5">
        <v>-31530</v>
      </c>
      <c r="F779" s="3" t="s">
        <v>133</v>
      </c>
      <c r="G779" s="3" t="s">
        <v>82</v>
      </c>
      <c r="H779" s="2" t="s">
        <v>20</v>
      </c>
      <c r="I779" s="2" t="s">
        <v>2088</v>
      </c>
      <c r="J779" s="3" t="str">
        <f>HYPERLINK("https://www.boe.es/gazeta/dias/1813/09/02/pdfs/GMR-1813-36.pdf#page=5","Abrir facsímil")</f>
        <v>Abrir facsímil</v>
      </c>
      <c r="K779" s="3" t="s">
        <v>22</v>
      </c>
    </row>
    <row r="780" spans="1:11" ht="42" customHeight="1">
      <c r="A780" s="2" t="s">
        <v>2089</v>
      </c>
      <c r="B780" s="2" t="s">
        <v>2090</v>
      </c>
      <c r="C780" s="2" t="s">
        <v>109</v>
      </c>
      <c r="D780" s="2" t="s">
        <v>26</v>
      </c>
      <c r="E780" s="5">
        <v>-31642</v>
      </c>
      <c r="F780" s="3" t="s">
        <v>2091</v>
      </c>
      <c r="G780" s="3" t="s">
        <v>19</v>
      </c>
      <c r="H780" s="2" t="s">
        <v>20</v>
      </c>
      <c r="I780" s="2" t="s">
        <v>2092</v>
      </c>
      <c r="J780" s="3" t="str">
        <f>HYPERLINK("https://www.boe.es/gazeta/dias/1813/05/13/pdfs/GMD-1813-133.pdf#page=4","Abrir facsímil")</f>
        <v>Abrir facsímil</v>
      </c>
      <c r="K780" s="3" t="s">
        <v>22</v>
      </c>
    </row>
    <row r="781" spans="1:11" ht="42" customHeight="1">
      <c r="A781" s="2" t="s">
        <v>2093</v>
      </c>
      <c r="B781" s="2" t="s">
        <v>2093</v>
      </c>
      <c r="C781" s="2" t="s">
        <v>16</v>
      </c>
      <c r="D781" s="2" t="s">
        <v>17</v>
      </c>
      <c r="E781" s="5">
        <v>-31516</v>
      </c>
      <c r="F781" s="3" t="s">
        <v>246</v>
      </c>
      <c r="G781" s="3" t="s">
        <v>58</v>
      </c>
      <c r="H781" s="2" t="s">
        <v>20</v>
      </c>
      <c r="I781" s="2" t="s">
        <v>2094</v>
      </c>
      <c r="J781" s="3" t="str">
        <f>HYPERLINK("https://www.boe.es/gazeta/dias/1813/09/16/pdfs/GMR-1813-43.pdf#page=2","Abrir facsímil")</f>
        <v>Abrir facsímil</v>
      </c>
      <c r="K781" s="3" t="s">
        <v>22</v>
      </c>
    </row>
    <row r="782" spans="1:11" ht="42" customHeight="1">
      <c r="A782" s="2" t="s">
        <v>2095</v>
      </c>
      <c r="B782" s="2" t="s">
        <v>2095</v>
      </c>
      <c r="C782" s="2" t="s">
        <v>16</v>
      </c>
      <c r="D782" s="2" t="s">
        <v>17</v>
      </c>
      <c r="E782" s="5">
        <v>-31479</v>
      </c>
      <c r="F782" s="3" t="s">
        <v>322</v>
      </c>
      <c r="G782" s="3" t="s">
        <v>28</v>
      </c>
      <c r="H782" s="2" t="s">
        <v>20</v>
      </c>
      <c r="I782" s="2" t="s">
        <v>2096</v>
      </c>
      <c r="J782" s="3" t="str">
        <f>HYPERLINK("https://www.boe.es/gazeta/dias/1813/10/23/pdfs/GMR-1813-63.pdf#page=8","Abrir facsímil")</f>
        <v>Abrir facsímil</v>
      </c>
      <c r="K782" s="3" t="s">
        <v>22</v>
      </c>
    </row>
    <row r="783" spans="1:11" ht="42" customHeight="1">
      <c r="A783" s="2" t="s">
        <v>2097</v>
      </c>
      <c r="B783" s="2" t="s">
        <v>2098</v>
      </c>
      <c r="C783" s="2" t="s">
        <v>34</v>
      </c>
      <c r="D783" s="2" t="s">
        <v>35</v>
      </c>
      <c r="E783" s="5">
        <v>-31514</v>
      </c>
      <c r="F783" s="3" t="s">
        <v>2099</v>
      </c>
      <c r="G783" s="3" t="s">
        <v>19</v>
      </c>
      <c r="H783" s="2" t="s">
        <v>20</v>
      </c>
      <c r="I783" s="2" t="s">
        <v>2100</v>
      </c>
      <c r="J783" s="3" t="str">
        <f>HYPERLINK("https://www.boe.es/gazeta/dias/1813/09/18/pdfs/GMR-1813-45.pdf#page=4","Abrir facsímil")</f>
        <v>Abrir facsímil</v>
      </c>
      <c r="K783" s="3" t="s">
        <v>22</v>
      </c>
    </row>
    <row r="784" spans="1:11" ht="42" customHeight="1">
      <c r="A784" s="2" t="s">
        <v>2101</v>
      </c>
      <c r="B784" s="2" t="s">
        <v>2101</v>
      </c>
      <c r="C784" s="2" t="s">
        <v>16</v>
      </c>
      <c r="D784" s="2" t="s">
        <v>17</v>
      </c>
      <c r="E784" s="5">
        <v>-31525</v>
      </c>
      <c r="F784" s="3" t="s">
        <v>135</v>
      </c>
      <c r="G784" s="3" t="s">
        <v>58</v>
      </c>
      <c r="H784" s="2" t="s">
        <v>20</v>
      </c>
      <c r="I784" s="2" t="s">
        <v>2102</v>
      </c>
      <c r="J784" s="3" t="str">
        <f>HYPERLINK("https://www.boe.es/gazeta/dias/1813/09/07/pdfs/GMR-1813-38.pdf#page=2","Abrir facsímil")</f>
        <v>Abrir facsímil</v>
      </c>
      <c r="K784" s="3" t="s">
        <v>22</v>
      </c>
    </row>
    <row r="785" spans="1:11" ht="42" customHeight="1">
      <c r="A785" s="2" t="s">
        <v>2103</v>
      </c>
      <c r="B785" s="2" t="s">
        <v>2103</v>
      </c>
      <c r="C785" s="2" t="s">
        <v>16</v>
      </c>
      <c r="D785" s="2" t="s">
        <v>17</v>
      </c>
      <c r="E785" s="5">
        <v>-31621</v>
      </c>
      <c r="F785" s="3" t="s">
        <v>1825</v>
      </c>
      <c r="G785" s="3" t="s">
        <v>82</v>
      </c>
      <c r="H785" s="2" t="s">
        <v>20</v>
      </c>
      <c r="I785" s="2" t="s">
        <v>2104</v>
      </c>
      <c r="J785" s="3" t="str">
        <f>HYPERLINK("https://www.boe.es/gazeta/dias/1813/06/03/pdfs/GMR-1813-1.pdf#page=5","Abrir facsímil")</f>
        <v>Abrir facsímil</v>
      </c>
      <c r="K785" s="3" t="s">
        <v>22</v>
      </c>
    </row>
    <row r="786" spans="1:11" ht="42" customHeight="1">
      <c r="A786" s="2" t="s">
        <v>2105</v>
      </c>
      <c r="B786" s="2" t="s">
        <v>2105</v>
      </c>
      <c r="C786" s="2" t="s">
        <v>25</v>
      </c>
      <c r="D786" s="2" t="s">
        <v>26</v>
      </c>
      <c r="E786" s="5">
        <v>-31565</v>
      </c>
      <c r="F786" s="3" t="s">
        <v>306</v>
      </c>
      <c r="G786" s="3" t="s">
        <v>19</v>
      </c>
      <c r="H786" s="2" t="s">
        <v>20</v>
      </c>
      <c r="I786" s="2" t="s">
        <v>2106</v>
      </c>
      <c r="J786" s="3" t="str">
        <f>HYPERLINK("https://www.boe.es/gazeta/dias/1813/07/29/pdfs/GRE-1813-96.pdf#page=4","Abrir facsímil")</f>
        <v>Abrir facsímil</v>
      </c>
      <c r="K786" s="3" t="s">
        <v>22</v>
      </c>
    </row>
    <row r="787" spans="1:11" ht="42" customHeight="1">
      <c r="A787" s="2" t="s">
        <v>2107</v>
      </c>
      <c r="B787" s="2" t="s">
        <v>2107</v>
      </c>
      <c r="C787" s="2" t="s">
        <v>16</v>
      </c>
      <c r="D787" s="2" t="s">
        <v>17</v>
      </c>
      <c r="E787" s="5">
        <v>-31486</v>
      </c>
      <c r="F787" s="3" t="s">
        <v>597</v>
      </c>
      <c r="G787" s="3" t="s">
        <v>87</v>
      </c>
      <c r="H787" s="2" t="s">
        <v>20</v>
      </c>
      <c r="I787" s="2" t="s">
        <v>2108</v>
      </c>
      <c r="J787" s="3" t="str">
        <f>HYPERLINK("https://www.boe.es/gazeta/dias/1813/10/16/pdfs/GRE-1813-135.pdf#page=7","Abrir facsímil")</f>
        <v>Abrir facsímil</v>
      </c>
      <c r="K787" s="3" t="s">
        <v>22</v>
      </c>
    </row>
    <row r="788" spans="1:11" ht="42" customHeight="1">
      <c r="A788" s="2" t="s">
        <v>2109</v>
      </c>
      <c r="B788" s="2" t="s">
        <v>2109</v>
      </c>
      <c r="C788" s="2" t="s">
        <v>435</v>
      </c>
      <c r="D788" s="2" t="s">
        <v>26</v>
      </c>
      <c r="E788" s="5">
        <v>-31691</v>
      </c>
      <c r="F788" s="3" t="s">
        <v>1542</v>
      </c>
      <c r="G788" s="3" t="s">
        <v>2110</v>
      </c>
      <c r="H788" s="2" t="s">
        <v>20</v>
      </c>
      <c r="I788" s="2" t="s">
        <v>2111</v>
      </c>
      <c r="J788" s="3" t="str">
        <f>HYPERLINK("https://www.boe.es/gazeta/dias/1813/03/25/pdfs/GRE-1813-37.pdf#page=4","Abrir facsímil")</f>
        <v>Abrir facsímil</v>
      </c>
      <c r="K788" s="3" t="s">
        <v>22</v>
      </c>
    </row>
    <row r="789" spans="1:11" ht="42" customHeight="1">
      <c r="A789" s="2" t="s">
        <v>2112</v>
      </c>
      <c r="B789" s="2" t="s">
        <v>2112</v>
      </c>
      <c r="C789" s="2" t="s">
        <v>16</v>
      </c>
      <c r="D789" s="2" t="s">
        <v>17</v>
      </c>
      <c r="E789" s="5">
        <v>-31642</v>
      </c>
      <c r="F789" s="3" t="s">
        <v>582</v>
      </c>
      <c r="G789" s="3" t="s">
        <v>58</v>
      </c>
      <c r="H789" s="2" t="s">
        <v>20</v>
      </c>
      <c r="I789" s="2" t="s">
        <v>2113</v>
      </c>
      <c r="J789" s="3" t="str">
        <f>HYPERLINK("https://www.boe.es/gazeta/dias/1813/05/13/pdfs/GRE-1813-59.pdf#page=2","Abrir facsímil")</f>
        <v>Abrir facsímil</v>
      </c>
      <c r="K789" s="3" t="s">
        <v>22</v>
      </c>
    </row>
    <row r="790" spans="1:11" ht="42" customHeight="1">
      <c r="A790" s="2" t="s">
        <v>2112</v>
      </c>
      <c r="B790" s="2" t="s">
        <v>2112</v>
      </c>
      <c r="C790" s="2" t="s">
        <v>16</v>
      </c>
      <c r="D790" s="2" t="s">
        <v>17</v>
      </c>
      <c r="E790" s="5">
        <v>-31613</v>
      </c>
      <c r="F790" s="3" t="s">
        <v>1629</v>
      </c>
      <c r="G790" s="3" t="s">
        <v>19</v>
      </c>
      <c r="H790" s="2" t="s">
        <v>20</v>
      </c>
      <c r="I790" s="2" t="s">
        <v>2114</v>
      </c>
      <c r="J790" s="3" t="str">
        <f>HYPERLINK("https://www.boe.es/gazeta/dias/1813/06/11/pdfs/GMR-1813-4.pdf#page=4","Abrir facsímil")</f>
        <v>Abrir facsímil</v>
      </c>
      <c r="K790" s="3" t="s">
        <v>22</v>
      </c>
    </row>
    <row r="791" spans="1:11" ht="42" customHeight="1">
      <c r="A791" s="2" t="s">
        <v>2112</v>
      </c>
      <c r="B791" s="2" t="s">
        <v>2112</v>
      </c>
      <c r="C791" s="2" t="s">
        <v>16</v>
      </c>
      <c r="D791" s="2" t="s">
        <v>17</v>
      </c>
      <c r="E791" s="5">
        <v>-31609</v>
      </c>
      <c r="F791" s="3" t="s">
        <v>584</v>
      </c>
      <c r="G791" s="3" t="s">
        <v>95</v>
      </c>
      <c r="H791" s="2" t="s">
        <v>20</v>
      </c>
      <c r="I791" s="2" t="s">
        <v>2115</v>
      </c>
      <c r="J791" s="3" t="str">
        <f>HYPERLINK("https://www.boe.es/gazeta/dias/1813/06/15/pdfs/GRE-1813-74.pdf#page=6","Abrir facsímil")</f>
        <v>Abrir facsímil</v>
      </c>
      <c r="K791" s="3" t="s">
        <v>22</v>
      </c>
    </row>
    <row r="792" spans="1:11" ht="42" customHeight="1">
      <c r="A792" s="2" t="s">
        <v>2112</v>
      </c>
      <c r="B792" s="2" t="s">
        <v>2112</v>
      </c>
      <c r="C792" s="2" t="s">
        <v>16</v>
      </c>
      <c r="D792" s="2" t="s">
        <v>17</v>
      </c>
      <c r="E792" s="5">
        <v>-31606</v>
      </c>
      <c r="F792" s="3" t="s">
        <v>124</v>
      </c>
      <c r="G792" s="3" t="s">
        <v>58</v>
      </c>
      <c r="H792" s="2" t="s">
        <v>20</v>
      </c>
      <c r="I792" s="2" t="s">
        <v>2116</v>
      </c>
      <c r="J792" s="3" t="str">
        <f>HYPERLINK("https://www.boe.es/gazeta/dias/1813/06/18/pdfs/GMR-1813-7.pdf#page=2","Abrir facsímil")</f>
        <v>Abrir facsímil</v>
      </c>
      <c r="K792" s="3" t="s">
        <v>22</v>
      </c>
    </row>
    <row r="793" spans="1:11" ht="42" customHeight="1">
      <c r="A793" s="2" t="s">
        <v>2112</v>
      </c>
      <c r="B793" s="2" t="s">
        <v>2112</v>
      </c>
      <c r="C793" s="2" t="s">
        <v>16</v>
      </c>
      <c r="D793" s="2" t="s">
        <v>17</v>
      </c>
      <c r="E793" s="5">
        <v>-31602</v>
      </c>
      <c r="F793" s="3" t="s">
        <v>2117</v>
      </c>
      <c r="G793" s="3" t="s">
        <v>58</v>
      </c>
      <c r="H793" s="2" t="s">
        <v>20</v>
      </c>
      <c r="I793" s="2" t="s">
        <v>2118</v>
      </c>
      <c r="J793" s="3" t="str">
        <f>HYPERLINK("https://www.boe.es/gazeta/dias/1813/06/22/pdfs/GMR-1813-9.pdf#page=2","Abrir facsímil")</f>
        <v>Abrir facsímil</v>
      </c>
      <c r="K793" s="3" t="s">
        <v>22</v>
      </c>
    </row>
    <row r="794" spans="1:11" ht="42" customHeight="1">
      <c r="A794" s="2" t="s">
        <v>2112</v>
      </c>
      <c r="B794" s="2" t="s">
        <v>2112</v>
      </c>
      <c r="C794" s="2" t="s">
        <v>16</v>
      </c>
      <c r="D794" s="2" t="s">
        <v>17</v>
      </c>
      <c r="E794" s="5">
        <v>-31602</v>
      </c>
      <c r="F794" s="3" t="s">
        <v>2117</v>
      </c>
      <c r="G794" s="3" t="s">
        <v>19</v>
      </c>
      <c r="H794" s="2" t="s">
        <v>20</v>
      </c>
      <c r="I794" s="2" t="s">
        <v>2119</v>
      </c>
      <c r="J794" s="3" t="str">
        <f>HYPERLINK("https://www.boe.es/gazeta/dias/1813/06/22/pdfs/GMR-1813-9.pdf#page=4","Abrir facsímil")</f>
        <v>Abrir facsímil</v>
      </c>
      <c r="K794" s="3" t="s">
        <v>22</v>
      </c>
    </row>
    <row r="795" spans="1:11" ht="42" customHeight="1">
      <c r="A795" s="2" t="s">
        <v>2120</v>
      </c>
      <c r="B795" s="2" t="s">
        <v>2120</v>
      </c>
      <c r="C795" s="2" t="s">
        <v>16</v>
      </c>
      <c r="D795" s="2" t="s">
        <v>17</v>
      </c>
      <c r="E795" s="5">
        <v>-31600</v>
      </c>
      <c r="F795" s="3" t="s">
        <v>2121</v>
      </c>
      <c r="G795" s="3" t="s">
        <v>54</v>
      </c>
      <c r="H795" s="2" t="s">
        <v>20</v>
      </c>
      <c r="I795" s="2" t="s">
        <v>2122</v>
      </c>
      <c r="J795" s="3" t="str">
        <f>HYPERLINK("https://www.boe.es/gazeta/dias/1813/06/24/pdfs/GRE-1813-78.pdf#page=3","Abrir facsímil")</f>
        <v>Abrir facsímil</v>
      </c>
      <c r="K795" s="3" t="s">
        <v>22</v>
      </c>
    </row>
    <row r="796" spans="1:11" ht="42" customHeight="1">
      <c r="A796" s="2" t="s">
        <v>2112</v>
      </c>
      <c r="B796" s="2" t="s">
        <v>2112</v>
      </c>
      <c r="C796" s="2" t="s">
        <v>16</v>
      </c>
      <c r="D796" s="2" t="s">
        <v>17</v>
      </c>
      <c r="E796" s="5">
        <v>-31591</v>
      </c>
      <c r="F796" s="3" t="s">
        <v>2123</v>
      </c>
      <c r="G796" s="3" t="s">
        <v>58</v>
      </c>
      <c r="H796" s="2" t="s">
        <v>20</v>
      </c>
      <c r="I796" s="2" t="s">
        <v>2124</v>
      </c>
      <c r="J796" s="3" t="str">
        <f>HYPERLINK("https://www.boe.es/gazeta/dias/1813/07/03/pdfs/GRE-1813-83.pdf#page=2","Abrir facsímil")</f>
        <v>Abrir facsímil</v>
      </c>
      <c r="K796" s="3" t="s">
        <v>22</v>
      </c>
    </row>
    <row r="797" spans="1:11" ht="42" customHeight="1">
      <c r="A797" s="2" t="s">
        <v>2112</v>
      </c>
      <c r="B797" s="2" t="s">
        <v>2112</v>
      </c>
      <c r="C797" s="2" t="s">
        <v>16</v>
      </c>
      <c r="D797" s="2" t="s">
        <v>17</v>
      </c>
      <c r="E797" s="5">
        <v>-31588</v>
      </c>
      <c r="F797" s="3" t="s">
        <v>1535</v>
      </c>
      <c r="G797" s="3" t="s">
        <v>82</v>
      </c>
      <c r="H797" s="2" t="s">
        <v>20</v>
      </c>
      <c r="I797" s="2" t="s">
        <v>2125</v>
      </c>
      <c r="J797" s="3" t="str">
        <f>HYPERLINK("https://www.boe.es/gazeta/dias/1813/07/06/pdfs/GMR-1813-15.pdf#page=5","Abrir facsímil")</f>
        <v>Abrir facsímil</v>
      </c>
      <c r="K797" s="3" t="s">
        <v>22</v>
      </c>
    </row>
    <row r="798" spans="1:11" ht="42" customHeight="1">
      <c r="A798" s="2" t="s">
        <v>2112</v>
      </c>
      <c r="B798" s="2" t="s">
        <v>2112</v>
      </c>
      <c r="C798" s="2" t="s">
        <v>16</v>
      </c>
      <c r="D798" s="2" t="s">
        <v>17</v>
      </c>
      <c r="E798" s="5">
        <v>-31585</v>
      </c>
      <c r="F798" s="3" t="s">
        <v>177</v>
      </c>
      <c r="G798" s="3" t="s">
        <v>2126</v>
      </c>
      <c r="H798" s="2" t="s">
        <v>20</v>
      </c>
      <c r="I798" s="2" t="s">
        <v>2127</v>
      </c>
      <c r="J798" s="3" t="str">
        <f>HYPERLINK("https://www.boe.es/gazeta/dias/1813/07/09/pdfs/GMR-1813-16.pdf#page=5","Abrir facsímil")</f>
        <v>Abrir facsímil</v>
      </c>
      <c r="K798" s="3" t="s">
        <v>22</v>
      </c>
    </row>
    <row r="799" spans="1:11" ht="42" customHeight="1">
      <c r="A799" s="2" t="s">
        <v>2112</v>
      </c>
      <c r="B799" s="2" t="s">
        <v>2112</v>
      </c>
      <c r="C799" s="2" t="s">
        <v>16</v>
      </c>
      <c r="D799" s="2" t="s">
        <v>17</v>
      </c>
      <c r="E799" s="5">
        <v>-31578</v>
      </c>
      <c r="F799" s="3" t="s">
        <v>974</v>
      </c>
      <c r="G799" s="3" t="s">
        <v>82</v>
      </c>
      <c r="H799" s="2" t="s">
        <v>20</v>
      </c>
      <c r="I799" s="2" t="s">
        <v>2128</v>
      </c>
      <c r="J799" s="3" t="str">
        <f>HYPERLINK("https://www.boe.es/gazeta/dias/1813/07/16/pdfs/GMR-1813-18.pdf#page=5","Abrir facsímil")</f>
        <v>Abrir facsímil</v>
      </c>
      <c r="K799" s="3" t="s">
        <v>22</v>
      </c>
    </row>
    <row r="800" spans="1:11" ht="42" customHeight="1">
      <c r="A800" s="2" t="s">
        <v>2112</v>
      </c>
      <c r="B800" s="2" t="s">
        <v>2112</v>
      </c>
      <c r="C800" s="2" t="s">
        <v>16</v>
      </c>
      <c r="D800" s="2" t="s">
        <v>17</v>
      </c>
      <c r="E800" s="5">
        <v>-31572</v>
      </c>
      <c r="F800" s="3" t="s">
        <v>317</v>
      </c>
      <c r="G800" s="3" t="s">
        <v>82</v>
      </c>
      <c r="H800" s="2" t="s">
        <v>20</v>
      </c>
      <c r="I800" s="2" t="s">
        <v>2129</v>
      </c>
      <c r="J800" s="3" t="str">
        <f>HYPERLINK("https://www.boe.es/gazeta/dias/1813/07/22/pdfs/GRE-1813-93.pdf#page=5","Abrir facsímil")</f>
        <v>Abrir facsímil</v>
      </c>
      <c r="K800" s="3" t="s">
        <v>22</v>
      </c>
    </row>
    <row r="801" spans="1:11" ht="42" customHeight="1">
      <c r="A801" s="2" t="s">
        <v>2112</v>
      </c>
      <c r="B801" s="2" t="s">
        <v>2112</v>
      </c>
      <c r="C801" s="2" t="s">
        <v>25</v>
      </c>
      <c r="D801" s="2" t="s">
        <v>26</v>
      </c>
      <c r="E801" s="5">
        <v>-31571</v>
      </c>
      <c r="F801" s="3" t="s">
        <v>788</v>
      </c>
      <c r="G801" s="3" t="s">
        <v>19</v>
      </c>
      <c r="H801" s="2" t="s">
        <v>20</v>
      </c>
      <c r="I801" s="2" t="s">
        <v>2130</v>
      </c>
      <c r="J801" s="3" t="str">
        <f>HYPERLINK("https://www.boe.es/gazeta/dias/1813/07/23/pdfs/GMR-1813-20.pdf#page=4","Abrir facsímil")</f>
        <v>Abrir facsímil</v>
      </c>
      <c r="K801" s="3" t="s">
        <v>22</v>
      </c>
    </row>
    <row r="802" spans="1:11" ht="42" customHeight="1">
      <c r="A802" s="2" t="s">
        <v>2112</v>
      </c>
      <c r="B802" s="2" t="s">
        <v>2112</v>
      </c>
      <c r="C802" s="2" t="s">
        <v>16</v>
      </c>
      <c r="D802" s="2" t="s">
        <v>17</v>
      </c>
      <c r="E802" s="5">
        <v>-31564</v>
      </c>
      <c r="F802" s="3" t="s">
        <v>206</v>
      </c>
      <c r="G802" s="3" t="s">
        <v>54</v>
      </c>
      <c r="H802" s="2" t="s">
        <v>20</v>
      </c>
      <c r="I802" s="2" t="s">
        <v>2131</v>
      </c>
      <c r="J802" s="3" t="str">
        <f>HYPERLINK("https://www.boe.es/gazeta/dias/1813/07/30/pdfs/GMR-1813-22.pdf#page=3","Abrir facsímil")</f>
        <v>Abrir facsímil</v>
      </c>
      <c r="K802" s="3" t="s">
        <v>22</v>
      </c>
    </row>
    <row r="803" spans="1:11" ht="42" customHeight="1">
      <c r="A803" s="2" t="s">
        <v>2112</v>
      </c>
      <c r="B803" s="2" t="s">
        <v>2112</v>
      </c>
      <c r="C803" s="2" t="s">
        <v>16</v>
      </c>
      <c r="D803" s="2" t="s">
        <v>17</v>
      </c>
      <c r="E803" s="5">
        <v>-31560</v>
      </c>
      <c r="F803" s="3" t="s">
        <v>1233</v>
      </c>
      <c r="G803" s="3" t="s">
        <v>2132</v>
      </c>
      <c r="H803" s="2" t="s">
        <v>20</v>
      </c>
      <c r="I803" s="2" t="s">
        <v>2133</v>
      </c>
      <c r="J803" s="3" t="str">
        <f>HYPERLINK("https://www.boe.es/gazeta/dias/1813/08/03/pdfs/GMR-1813-23.pdf#page=4","Abrir facsímil")</f>
        <v>Abrir facsímil</v>
      </c>
      <c r="K803" s="3" t="s">
        <v>22</v>
      </c>
    </row>
    <row r="804" spans="1:11" ht="42" customHeight="1">
      <c r="A804" s="2" t="s">
        <v>2112</v>
      </c>
      <c r="B804" s="2" t="s">
        <v>2112</v>
      </c>
      <c r="C804" s="2" t="s">
        <v>16</v>
      </c>
      <c r="D804" s="2" t="s">
        <v>17</v>
      </c>
      <c r="E804" s="5">
        <v>-31559</v>
      </c>
      <c r="F804" s="3" t="s">
        <v>1485</v>
      </c>
      <c r="G804" s="3" t="s">
        <v>65</v>
      </c>
      <c r="H804" s="2" t="s">
        <v>20</v>
      </c>
      <c r="I804" s="2" t="s">
        <v>2134</v>
      </c>
      <c r="J804" s="3" t="str">
        <f>HYPERLINK("https://www.boe.es/gazeta/dias/1813/08/04/pdfs/GRE-1813-113.pdf#page=1","Abrir facsímil")</f>
        <v>Abrir facsímil</v>
      </c>
      <c r="K804" s="3" t="s">
        <v>22</v>
      </c>
    </row>
    <row r="805" spans="1:11" ht="42" customHeight="1">
      <c r="A805" s="2" t="s">
        <v>2112</v>
      </c>
      <c r="B805" s="2" t="s">
        <v>2112</v>
      </c>
      <c r="C805" s="2" t="s">
        <v>16</v>
      </c>
      <c r="D805" s="2" t="s">
        <v>17</v>
      </c>
      <c r="E805" s="5">
        <v>-31559</v>
      </c>
      <c r="F805" s="3" t="s">
        <v>1485</v>
      </c>
      <c r="G805" s="3" t="s">
        <v>58</v>
      </c>
      <c r="H805" s="2" t="s">
        <v>20</v>
      </c>
      <c r="I805" s="2" t="s">
        <v>2135</v>
      </c>
      <c r="J805" s="3" t="str">
        <f>HYPERLINK("https://www.boe.es/gazeta/dias/1813/08/04/pdfs/GRE-1813-113.pdf#page=2","Abrir facsímil")</f>
        <v>Abrir facsímil</v>
      </c>
      <c r="K805" s="3" t="s">
        <v>22</v>
      </c>
    </row>
    <row r="806" spans="1:11" ht="42" customHeight="1">
      <c r="A806" s="2" t="s">
        <v>2112</v>
      </c>
      <c r="B806" s="2" t="s">
        <v>2112</v>
      </c>
      <c r="C806" s="2" t="s">
        <v>16</v>
      </c>
      <c r="D806" s="2" t="s">
        <v>17</v>
      </c>
      <c r="E806" s="5">
        <v>-31553</v>
      </c>
      <c r="F806" s="3" t="s">
        <v>592</v>
      </c>
      <c r="G806" s="3" t="s">
        <v>95</v>
      </c>
      <c r="H806" s="2" t="s">
        <v>20</v>
      </c>
      <c r="I806" s="2" t="s">
        <v>2136</v>
      </c>
      <c r="J806" s="3" t="str">
        <f>HYPERLINK("https://www.boe.es/gazeta/dias/1813/08/10/pdfs/GRE-1813-101.pdf#page=6","Abrir facsímil")</f>
        <v>Abrir facsímil</v>
      </c>
      <c r="K806" s="3" t="s">
        <v>22</v>
      </c>
    </row>
    <row r="807" spans="1:11" ht="42" customHeight="1">
      <c r="A807" s="2" t="s">
        <v>2112</v>
      </c>
      <c r="B807" s="2" t="s">
        <v>2112</v>
      </c>
      <c r="C807" s="2" t="s">
        <v>16</v>
      </c>
      <c r="D807" s="2" t="s">
        <v>17</v>
      </c>
      <c r="E807" s="5">
        <v>-31530</v>
      </c>
      <c r="F807" s="3" t="s">
        <v>319</v>
      </c>
      <c r="G807" s="3" t="s">
        <v>65</v>
      </c>
      <c r="H807" s="2" t="s">
        <v>20</v>
      </c>
      <c r="I807" s="2" t="s">
        <v>2137</v>
      </c>
      <c r="J807" s="3" t="str">
        <f>HYPERLINK("https://www.boe.es/gazeta/dias/1813/09/02/pdfs/GRE-1813-112.pdf#page=1","Abrir facsímil")</f>
        <v>Abrir facsímil</v>
      </c>
      <c r="K807" s="3" t="s">
        <v>22</v>
      </c>
    </row>
    <row r="808" spans="1:11" ht="42" customHeight="1">
      <c r="A808" s="2" t="s">
        <v>2112</v>
      </c>
      <c r="B808" s="2" t="s">
        <v>2112</v>
      </c>
      <c r="C808" s="2" t="s">
        <v>16</v>
      </c>
      <c r="D808" s="2" t="s">
        <v>17</v>
      </c>
      <c r="E808" s="5">
        <v>-31528</v>
      </c>
      <c r="F808" s="3" t="s">
        <v>1485</v>
      </c>
      <c r="G808" s="3" t="s">
        <v>65</v>
      </c>
      <c r="H808" s="2" t="s">
        <v>20</v>
      </c>
      <c r="I808" s="2" t="s">
        <v>2134</v>
      </c>
      <c r="J808" s="3" t="str">
        <f>HYPERLINK("https://www.boe.es/gazeta/dias/1813/09/04/pdfs/GRE-1813-113.pdf#page=1","Abrir facsímil")</f>
        <v>Abrir facsímil</v>
      </c>
      <c r="K808" s="3" t="s">
        <v>22</v>
      </c>
    </row>
    <row r="809" spans="1:11" ht="42" customHeight="1">
      <c r="A809" s="2" t="s">
        <v>2112</v>
      </c>
      <c r="B809" s="2" t="s">
        <v>2112</v>
      </c>
      <c r="C809" s="2" t="s">
        <v>16</v>
      </c>
      <c r="D809" s="2" t="s">
        <v>17</v>
      </c>
      <c r="E809" s="5">
        <v>-31528</v>
      </c>
      <c r="F809" s="3" t="s">
        <v>1485</v>
      </c>
      <c r="G809" s="3" t="s">
        <v>58</v>
      </c>
      <c r="H809" s="2" t="s">
        <v>20</v>
      </c>
      <c r="I809" s="2" t="s">
        <v>2135</v>
      </c>
      <c r="J809" s="3" t="str">
        <f>HYPERLINK("https://www.boe.es/gazeta/dias/1813/09/04/pdfs/GRE-1813-113.pdf#page=2","Abrir facsímil")</f>
        <v>Abrir facsímil</v>
      </c>
      <c r="K809" s="3" t="s">
        <v>22</v>
      </c>
    </row>
    <row r="810" spans="1:11" ht="42" customHeight="1">
      <c r="A810" s="2" t="s">
        <v>2112</v>
      </c>
      <c r="B810" s="2" t="s">
        <v>2112</v>
      </c>
      <c r="C810" s="2" t="s">
        <v>16</v>
      </c>
      <c r="D810" s="2" t="s">
        <v>17</v>
      </c>
      <c r="E810" s="5">
        <v>-31525</v>
      </c>
      <c r="F810" s="3" t="s">
        <v>135</v>
      </c>
      <c r="G810" s="3" t="s">
        <v>65</v>
      </c>
      <c r="H810" s="2" t="s">
        <v>20</v>
      </c>
      <c r="I810" s="2" t="s">
        <v>2138</v>
      </c>
      <c r="J810" s="3" t="str">
        <f>HYPERLINK("https://www.boe.es/gazeta/dias/1813/09/07/pdfs/GMR-1813-38.pdf#page=1","Abrir facsímil")</f>
        <v>Abrir facsímil</v>
      </c>
      <c r="K810" s="3" t="s">
        <v>22</v>
      </c>
    </row>
    <row r="811" spans="1:11" ht="42" customHeight="1">
      <c r="A811" s="2" t="s">
        <v>2112</v>
      </c>
      <c r="B811" s="2" t="s">
        <v>2112</v>
      </c>
      <c r="C811" s="2" t="s">
        <v>16</v>
      </c>
      <c r="D811" s="2" t="s">
        <v>17</v>
      </c>
      <c r="E811" s="5">
        <v>-31525</v>
      </c>
      <c r="F811" s="3" t="s">
        <v>1131</v>
      </c>
      <c r="G811" s="3" t="s">
        <v>65</v>
      </c>
      <c r="H811" s="2" t="s">
        <v>20</v>
      </c>
      <c r="I811" s="2" t="s">
        <v>2139</v>
      </c>
      <c r="J811" s="3" t="str">
        <f>HYPERLINK("https://www.boe.es/gazeta/dias/1813/09/07/pdfs/GRE-1813-114.pdf#page=1","Abrir facsímil")</f>
        <v>Abrir facsímil</v>
      </c>
      <c r="K811" s="3" t="s">
        <v>22</v>
      </c>
    </row>
    <row r="812" spans="1:11" ht="42" customHeight="1">
      <c r="A812" s="2" t="s">
        <v>2112</v>
      </c>
      <c r="B812" s="2" t="s">
        <v>2112</v>
      </c>
      <c r="C812" s="2" t="s">
        <v>16</v>
      </c>
      <c r="D812" s="2" t="s">
        <v>17</v>
      </c>
      <c r="E812" s="5">
        <v>-31523</v>
      </c>
      <c r="F812" s="3" t="s">
        <v>2140</v>
      </c>
      <c r="G812" s="3" t="s">
        <v>2141</v>
      </c>
      <c r="H812" s="2" t="s">
        <v>20</v>
      </c>
      <c r="I812" s="2" t="s">
        <v>2142</v>
      </c>
      <c r="J812" s="3" t="str">
        <f>HYPERLINK("https://www.boe.es/gazeta/dias/1813/09/09/pdfs/GMR-1813-40.pdf#page=3","Abrir facsímil")</f>
        <v>Abrir facsímil</v>
      </c>
      <c r="K812" s="3" t="s">
        <v>22</v>
      </c>
    </row>
    <row r="813" spans="1:11" ht="42" customHeight="1">
      <c r="A813" s="2" t="s">
        <v>2112</v>
      </c>
      <c r="B813" s="2" t="s">
        <v>2112</v>
      </c>
      <c r="C813" s="2" t="s">
        <v>16</v>
      </c>
      <c r="D813" s="2" t="s">
        <v>17</v>
      </c>
      <c r="E813" s="5">
        <v>-31523</v>
      </c>
      <c r="F813" s="3" t="s">
        <v>2140</v>
      </c>
      <c r="G813" s="3" t="s">
        <v>58</v>
      </c>
      <c r="H813" s="2" t="s">
        <v>20</v>
      </c>
      <c r="I813" s="2" t="s">
        <v>2143</v>
      </c>
      <c r="J813" s="3" t="str">
        <f>HYPERLINK("https://www.boe.es/gazeta/dias/1813/09/09/pdfs/GMR-1813-40.pdf#page=2","Abrir facsímil")</f>
        <v>Abrir facsímil</v>
      </c>
      <c r="K813" s="3" t="s">
        <v>22</v>
      </c>
    </row>
    <row r="814" spans="1:11" ht="42" customHeight="1">
      <c r="A814" s="2" t="s">
        <v>2112</v>
      </c>
      <c r="B814" s="2" t="s">
        <v>2112</v>
      </c>
      <c r="C814" s="2" t="s">
        <v>16</v>
      </c>
      <c r="D814" s="2" t="s">
        <v>17</v>
      </c>
      <c r="E814" s="5">
        <v>-31521</v>
      </c>
      <c r="F814" s="3" t="s">
        <v>1282</v>
      </c>
      <c r="G814" s="3" t="s">
        <v>19</v>
      </c>
      <c r="H814" s="2" t="s">
        <v>20</v>
      </c>
      <c r="I814" s="2" t="s">
        <v>2144</v>
      </c>
      <c r="J814" s="3" t="str">
        <f>HYPERLINK("https://www.boe.es/gazeta/dias/1813/09/11/pdfs/GMR-1813-41.pdf#page=4","Abrir facsímil")</f>
        <v>Abrir facsímil</v>
      </c>
      <c r="K814" s="3" t="s">
        <v>22</v>
      </c>
    </row>
    <row r="815" spans="1:11" ht="42" customHeight="1">
      <c r="A815" s="2" t="s">
        <v>2112</v>
      </c>
      <c r="B815" s="2" t="s">
        <v>2112</v>
      </c>
      <c r="C815" s="2" t="s">
        <v>16</v>
      </c>
      <c r="D815" s="2" t="s">
        <v>17</v>
      </c>
      <c r="E815" s="5">
        <v>-31516</v>
      </c>
      <c r="F815" s="3" t="s">
        <v>246</v>
      </c>
      <c r="G815" s="3" t="s">
        <v>65</v>
      </c>
      <c r="H815" s="2" t="s">
        <v>20</v>
      </c>
      <c r="I815" s="2" t="s">
        <v>2145</v>
      </c>
      <c r="J815" s="3" t="str">
        <f>HYPERLINK("https://www.boe.es/gazeta/dias/1813/09/16/pdfs/GMR-1813-43.pdf#page=1","Abrir facsímil")</f>
        <v>Abrir facsímil</v>
      </c>
      <c r="K815" s="3" t="s">
        <v>22</v>
      </c>
    </row>
    <row r="816" spans="1:11" ht="42" customHeight="1">
      <c r="A816" s="2" t="s">
        <v>2112</v>
      </c>
      <c r="B816" s="2" t="s">
        <v>2112</v>
      </c>
      <c r="C816" s="2" t="s">
        <v>16</v>
      </c>
      <c r="D816" s="2" t="s">
        <v>17</v>
      </c>
      <c r="E816" s="5">
        <v>-31514</v>
      </c>
      <c r="F816" s="3" t="s">
        <v>2099</v>
      </c>
      <c r="G816" s="3" t="s">
        <v>2146</v>
      </c>
      <c r="H816" s="2" t="s">
        <v>20</v>
      </c>
      <c r="I816" s="2" t="s">
        <v>2147</v>
      </c>
      <c r="J816" s="3" t="str">
        <f>HYPERLINK("https://www.boe.es/gazeta/dias/1813/09/18/pdfs/GMR-1813-45.pdf#page=5","Abrir facsímil")</f>
        <v>Abrir facsímil</v>
      </c>
      <c r="K816" s="3" t="s">
        <v>22</v>
      </c>
    </row>
    <row r="817" spans="1:11" ht="42" customHeight="1">
      <c r="A817" s="2" t="s">
        <v>2112</v>
      </c>
      <c r="B817" s="2" t="s">
        <v>2112</v>
      </c>
      <c r="C817" s="2" t="s">
        <v>16</v>
      </c>
      <c r="D817" s="2" t="s">
        <v>17</v>
      </c>
      <c r="E817" s="5">
        <v>-31514</v>
      </c>
      <c r="F817" s="3" t="s">
        <v>1095</v>
      </c>
      <c r="G817" s="3" t="s">
        <v>54</v>
      </c>
      <c r="H817" s="2" t="s">
        <v>20</v>
      </c>
      <c r="I817" s="2" t="s">
        <v>2148</v>
      </c>
      <c r="J817" s="3" t="str">
        <f>HYPERLINK("https://www.boe.es/gazeta/dias/1813/09/18/pdfs/GRE-1813-121.pdf#page=3","Abrir facsímil")</f>
        <v>Abrir facsímil</v>
      </c>
      <c r="K817" s="3" t="s">
        <v>22</v>
      </c>
    </row>
    <row r="818" spans="1:11" ht="42" customHeight="1">
      <c r="A818" s="2" t="s">
        <v>2112</v>
      </c>
      <c r="B818" s="2" t="s">
        <v>2112</v>
      </c>
      <c r="C818" s="2" t="s">
        <v>16</v>
      </c>
      <c r="D818" s="2" t="s">
        <v>17</v>
      </c>
      <c r="E818" s="5">
        <v>-31511</v>
      </c>
      <c r="F818" s="3" t="s">
        <v>2149</v>
      </c>
      <c r="G818" s="3" t="s">
        <v>65</v>
      </c>
      <c r="H818" s="2" t="s">
        <v>20</v>
      </c>
      <c r="I818" s="2" t="s">
        <v>2150</v>
      </c>
      <c r="J818" s="3" t="str">
        <f>HYPERLINK("https://www.boe.es/gazeta/dias/1813/09/21/pdfs/GRE-1813-122.pdf#page=1","Abrir facsímil")</f>
        <v>Abrir facsímil</v>
      </c>
      <c r="K818" s="3" t="s">
        <v>22</v>
      </c>
    </row>
    <row r="819" spans="1:11" ht="42" customHeight="1">
      <c r="A819" s="2" t="s">
        <v>2112</v>
      </c>
      <c r="B819" s="2" t="s">
        <v>2112</v>
      </c>
      <c r="C819" s="2" t="s">
        <v>16</v>
      </c>
      <c r="D819" s="2" t="s">
        <v>17</v>
      </c>
      <c r="E819" s="5">
        <v>-31509</v>
      </c>
      <c r="F819" s="3" t="s">
        <v>202</v>
      </c>
      <c r="G819" s="3" t="s">
        <v>82</v>
      </c>
      <c r="H819" s="2" t="s">
        <v>20</v>
      </c>
      <c r="I819" s="2" t="s">
        <v>2151</v>
      </c>
      <c r="J819" s="3" t="str">
        <f>HYPERLINK("https://www.boe.es/gazeta/dias/1813/09/23/pdfs/GMR-1813-47.pdf#page=5","Abrir facsímil")</f>
        <v>Abrir facsímil</v>
      </c>
      <c r="K819" s="3" t="s">
        <v>22</v>
      </c>
    </row>
    <row r="820" spans="1:11" ht="42" customHeight="1">
      <c r="A820" s="2" t="s">
        <v>2112</v>
      </c>
      <c r="B820" s="2" t="s">
        <v>2112</v>
      </c>
      <c r="C820" s="2" t="s">
        <v>16</v>
      </c>
      <c r="D820" s="2" t="s">
        <v>17</v>
      </c>
      <c r="E820" s="5">
        <v>-31509</v>
      </c>
      <c r="F820" s="3" t="s">
        <v>2007</v>
      </c>
      <c r="G820" s="3" t="s">
        <v>2008</v>
      </c>
      <c r="H820" s="2" t="s">
        <v>20</v>
      </c>
      <c r="I820" s="2" t="s">
        <v>2152</v>
      </c>
      <c r="J820" s="3" t="str">
        <f>HYPERLINK("https://www.boe.es/gazeta/dias/1813/09/23/pdfs/GRE-1813-125.pdf#page=6","Abrir facsímil")</f>
        <v>Abrir facsímil</v>
      </c>
      <c r="K820" s="3" t="s">
        <v>22</v>
      </c>
    </row>
    <row r="821" spans="1:11" ht="42" customHeight="1">
      <c r="A821" s="2" t="s">
        <v>2112</v>
      </c>
      <c r="B821" s="2" t="s">
        <v>2112</v>
      </c>
      <c r="C821" s="2" t="s">
        <v>16</v>
      </c>
      <c r="D821" s="2" t="s">
        <v>17</v>
      </c>
      <c r="E821" s="5">
        <v>-31497</v>
      </c>
      <c r="F821" s="3" t="s">
        <v>223</v>
      </c>
      <c r="G821" s="3" t="s">
        <v>54</v>
      </c>
      <c r="H821" s="2" t="s">
        <v>20</v>
      </c>
      <c r="I821" s="2" t="s">
        <v>2153</v>
      </c>
      <c r="J821" s="3" t="str">
        <f>HYPERLINK("https://www.boe.es/gazeta/dias/1813/10/05/pdfs/GRE-1813-130.pdf#page=3","Abrir facsímil")</f>
        <v>Abrir facsímil</v>
      </c>
      <c r="K821" s="3" t="s">
        <v>22</v>
      </c>
    </row>
    <row r="822" spans="1:11" ht="42" customHeight="1">
      <c r="A822" s="2" t="s">
        <v>2112</v>
      </c>
      <c r="B822" s="2" t="s">
        <v>2112</v>
      </c>
      <c r="C822" s="2" t="s">
        <v>16</v>
      </c>
      <c r="D822" s="2" t="s">
        <v>17</v>
      </c>
      <c r="E822" s="5">
        <v>-31497</v>
      </c>
      <c r="F822" s="3" t="s">
        <v>223</v>
      </c>
      <c r="G822" s="3" t="s">
        <v>19</v>
      </c>
      <c r="H822" s="2" t="s">
        <v>20</v>
      </c>
      <c r="I822" s="2" t="s">
        <v>2154</v>
      </c>
      <c r="J822" s="3" t="str">
        <f>HYPERLINK("https://www.boe.es/gazeta/dias/1813/10/05/pdfs/GRE-1813-130.pdf#page=4","Abrir facsímil")</f>
        <v>Abrir facsímil</v>
      </c>
      <c r="K822" s="3" t="s">
        <v>22</v>
      </c>
    </row>
    <row r="823" spans="1:11" ht="42" customHeight="1">
      <c r="A823" s="2" t="s">
        <v>2112</v>
      </c>
      <c r="B823" s="2" t="s">
        <v>2112</v>
      </c>
      <c r="C823" s="2" t="s">
        <v>16</v>
      </c>
      <c r="D823" s="2" t="s">
        <v>17</v>
      </c>
      <c r="E823" s="5">
        <v>-31486</v>
      </c>
      <c r="F823" s="3" t="s">
        <v>1284</v>
      </c>
      <c r="G823" s="3" t="s">
        <v>54</v>
      </c>
      <c r="H823" s="2" t="s">
        <v>20</v>
      </c>
      <c r="I823" s="2" t="s">
        <v>2155</v>
      </c>
      <c r="J823" s="3" t="str">
        <f>HYPERLINK("https://www.boe.es/gazeta/dias/1813/10/16/pdfs/GMR-1813-60.pdf#page=3","Abrir facsímil")</f>
        <v>Abrir facsímil</v>
      </c>
      <c r="K823" s="3" t="s">
        <v>22</v>
      </c>
    </row>
    <row r="824" spans="1:11" ht="42" customHeight="1">
      <c r="A824" s="2" t="s">
        <v>2112</v>
      </c>
      <c r="B824" s="2" t="s">
        <v>2112</v>
      </c>
      <c r="C824" s="2" t="s">
        <v>16</v>
      </c>
      <c r="D824" s="2" t="s">
        <v>17</v>
      </c>
      <c r="E824" s="5">
        <v>-31462</v>
      </c>
      <c r="F824" s="3" t="s">
        <v>542</v>
      </c>
      <c r="G824" s="3" t="s">
        <v>2156</v>
      </c>
      <c r="H824" s="2" t="s">
        <v>20</v>
      </c>
      <c r="I824" s="2" t="s">
        <v>2157</v>
      </c>
      <c r="J824" s="3" t="str">
        <f>HYPERLINK("https://www.boe.es/gazeta/dias/1813/11/09/pdfs/GRE-1813-146.pdf#page=5","Abrir facsímil")</f>
        <v>Abrir facsímil</v>
      </c>
      <c r="K824" s="3" t="s">
        <v>22</v>
      </c>
    </row>
    <row r="825" spans="1:11" ht="42" customHeight="1">
      <c r="A825" s="2" t="s">
        <v>2112</v>
      </c>
      <c r="B825" s="2" t="s">
        <v>2112</v>
      </c>
      <c r="C825" s="2" t="s">
        <v>16</v>
      </c>
      <c r="D825" s="2" t="s">
        <v>17</v>
      </c>
      <c r="E825" s="5">
        <v>-31460</v>
      </c>
      <c r="F825" s="3" t="s">
        <v>599</v>
      </c>
      <c r="G825" s="3" t="s">
        <v>2158</v>
      </c>
      <c r="H825" s="2" t="s">
        <v>20</v>
      </c>
      <c r="I825" s="2" t="s">
        <v>2159</v>
      </c>
      <c r="J825" s="3" t="str">
        <f>HYPERLINK("https://www.boe.es/gazeta/dias/1813/11/11/pdfs/GMR-1813-72.pdf#page=6","Abrir facsímil")</f>
        <v>Abrir facsímil</v>
      </c>
      <c r="K825" s="3" t="s">
        <v>22</v>
      </c>
    </row>
    <row r="826" spans="1:11" ht="42" customHeight="1">
      <c r="A826" s="2" t="s">
        <v>2112</v>
      </c>
      <c r="B826" s="2" t="s">
        <v>2112</v>
      </c>
      <c r="C826" s="2" t="s">
        <v>16</v>
      </c>
      <c r="D826" s="2" t="s">
        <v>17</v>
      </c>
      <c r="E826" s="5">
        <v>-31430</v>
      </c>
      <c r="F826" s="3" t="s">
        <v>1731</v>
      </c>
      <c r="G826" s="3" t="s">
        <v>82</v>
      </c>
      <c r="H826" s="2" t="s">
        <v>20</v>
      </c>
      <c r="I826" s="2" t="s">
        <v>2160</v>
      </c>
      <c r="J826" s="3" t="str">
        <f>HYPERLINK("https://www.boe.es/gazeta/dias/1813/12/11/pdfs/GRE-1813-163.pdf#page=5","Abrir facsímil")</f>
        <v>Abrir facsímil</v>
      </c>
      <c r="K826" s="3" t="s">
        <v>22</v>
      </c>
    </row>
    <row r="827" spans="1:11" ht="42" customHeight="1">
      <c r="A827" s="2" t="s">
        <v>2112</v>
      </c>
      <c r="B827" s="2" t="s">
        <v>2112</v>
      </c>
      <c r="C827" s="2" t="s">
        <v>16</v>
      </c>
      <c r="D827" s="2" t="s">
        <v>17</v>
      </c>
      <c r="E827" s="5">
        <v>-31420</v>
      </c>
      <c r="F827" s="3" t="s">
        <v>210</v>
      </c>
      <c r="G827" s="3" t="s">
        <v>82</v>
      </c>
      <c r="H827" s="2" t="s">
        <v>20</v>
      </c>
      <c r="I827" s="2" t="s">
        <v>2161</v>
      </c>
      <c r="J827" s="3" t="str">
        <f>HYPERLINK("https://www.boe.es/gazeta/dias/1813/12/21/pdfs/GRE-1813-167.pdf#page=5","Abrir facsímil")</f>
        <v>Abrir facsímil</v>
      </c>
      <c r="K827" s="3" t="s">
        <v>22</v>
      </c>
    </row>
    <row r="828" spans="1:11" ht="42" customHeight="1">
      <c r="A828" s="2" t="s">
        <v>2162</v>
      </c>
      <c r="B828" s="2" t="s">
        <v>2162</v>
      </c>
      <c r="C828" s="2" t="s">
        <v>16</v>
      </c>
      <c r="D828" s="2" t="s">
        <v>17</v>
      </c>
      <c r="E828" s="5">
        <v>-31497</v>
      </c>
      <c r="F828" s="3" t="s">
        <v>223</v>
      </c>
      <c r="G828" s="3" t="s">
        <v>58</v>
      </c>
      <c r="H828" s="2" t="s">
        <v>20</v>
      </c>
      <c r="I828" s="2" t="s">
        <v>2163</v>
      </c>
      <c r="J828" s="3" t="str">
        <f>HYPERLINK("https://www.boe.es/gazeta/dias/1813/10/05/pdfs/GRE-1813-130.pdf#page=2","Abrir facsímil")</f>
        <v>Abrir facsímil</v>
      </c>
      <c r="K828" s="3" t="s">
        <v>22</v>
      </c>
    </row>
    <row r="829" spans="1:11" ht="42" customHeight="1">
      <c r="A829" s="2" t="s">
        <v>2164</v>
      </c>
      <c r="B829" s="2" t="s">
        <v>2165</v>
      </c>
      <c r="C829" s="2" t="s">
        <v>16</v>
      </c>
      <c r="D829" s="2" t="s">
        <v>17</v>
      </c>
      <c r="E829" s="5">
        <v>-31749</v>
      </c>
      <c r="F829" s="3" t="s">
        <v>1515</v>
      </c>
      <c r="G829" s="3" t="s">
        <v>2166</v>
      </c>
      <c r="H829" s="2" t="s">
        <v>20</v>
      </c>
      <c r="I829" s="2" t="s">
        <v>2167</v>
      </c>
      <c r="J829" s="3" t="str">
        <f>HYPERLINK("https://www.boe.es/gazeta/dias/1813/01/26/pdfs/GRE-1813-11.pdf#page=3","Abrir facsímil")</f>
        <v>Abrir facsímil</v>
      </c>
      <c r="K829" s="3" t="s">
        <v>22</v>
      </c>
    </row>
    <row r="830" spans="1:11" ht="42" customHeight="1">
      <c r="A830" s="2" t="s">
        <v>2168</v>
      </c>
      <c r="B830" s="2" t="s">
        <v>2168</v>
      </c>
      <c r="C830" s="2" t="s">
        <v>16</v>
      </c>
      <c r="D830" s="2" t="s">
        <v>17</v>
      </c>
      <c r="E830" s="5">
        <v>-31432</v>
      </c>
      <c r="F830" s="3" t="s">
        <v>702</v>
      </c>
      <c r="G830" s="3" t="s">
        <v>87</v>
      </c>
      <c r="H830" s="2" t="s">
        <v>20</v>
      </c>
      <c r="I830" s="2" t="s">
        <v>2169</v>
      </c>
      <c r="J830" s="3" t="str">
        <f>HYPERLINK("https://www.boe.es/gazeta/dias/1813/12/09/pdfs/GMR-1813-85.pdf#page=7","Abrir facsímil")</f>
        <v>Abrir facsímil</v>
      </c>
      <c r="K830" s="3" t="s">
        <v>22</v>
      </c>
    </row>
    <row r="831" spans="1:11" ht="42" customHeight="1">
      <c r="A831" s="2" t="s">
        <v>2170</v>
      </c>
      <c r="B831" s="2" t="s">
        <v>2170</v>
      </c>
      <c r="C831" s="2" t="s">
        <v>16</v>
      </c>
      <c r="D831" s="2" t="s">
        <v>17</v>
      </c>
      <c r="E831" s="5">
        <v>-31692</v>
      </c>
      <c r="F831" s="3" t="s">
        <v>2171</v>
      </c>
      <c r="G831" s="3" t="s">
        <v>65</v>
      </c>
      <c r="H831" s="2" t="s">
        <v>20</v>
      </c>
      <c r="I831" s="2" t="s">
        <v>2172</v>
      </c>
      <c r="J831" s="3" t="str">
        <f>HYPERLINK("https://www.boe.es/gazeta/dias/1813/03/24/pdfs/GMD-1813-83.pdf#page=1","Abrir facsímil")</f>
        <v>Abrir facsímil</v>
      </c>
      <c r="K831" s="3" t="s">
        <v>22</v>
      </c>
    </row>
    <row r="832" spans="1:11" ht="42" customHeight="1">
      <c r="A832" s="2" t="s">
        <v>2170</v>
      </c>
      <c r="B832" s="2" t="s">
        <v>2170</v>
      </c>
      <c r="C832" s="2" t="s">
        <v>16</v>
      </c>
      <c r="D832" s="2" t="s">
        <v>17</v>
      </c>
      <c r="E832" s="5">
        <v>-31635</v>
      </c>
      <c r="F832" s="3" t="s">
        <v>2173</v>
      </c>
      <c r="G832" s="3" t="s">
        <v>65</v>
      </c>
      <c r="H832" s="2" t="s">
        <v>20</v>
      </c>
      <c r="I832" s="2" t="s">
        <v>2174</v>
      </c>
      <c r="J832" s="3" t="str">
        <f>HYPERLINK("https://www.boe.es/gazeta/dias/1813/05/20/pdfs/GRE-1813-62.pdf#page=1","Abrir facsímil")</f>
        <v>Abrir facsímil</v>
      </c>
      <c r="K832" s="3" t="s">
        <v>22</v>
      </c>
    </row>
    <row r="833" spans="1:11" ht="42" customHeight="1">
      <c r="A833" s="2" t="s">
        <v>2170</v>
      </c>
      <c r="B833" s="2" t="s">
        <v>2170</v>
      </c>
      <c r="C833" s="2" t="s">
        <v>16</v>
      </c>
      <c r="D833" s="2" t="s">
        <v>17</v>
      </c>
      <c r="E833" s="5">
        <v>-31453</v>
      </c>
      <c r="F833" s="3" t="s">
        <v>695</v>
      </c>
      <c r="G833" s="3" t="s">
        <v>82</v>
      </c>
      <c r="H833" s="2" t="s">
        <v>20</v>
      </c>
      <c r="I833" s="2" t="s">
        <v>2175</v>
      </c>
      <c r="J833" s="3" t="str">
        <f>HYPERLINK("https://www.boe.es/gazeta/dias/1813/11/18/pdfs/GRE-1813-151.pdf#page=5","Abrir facsímil")</f>
        <v>Abrir facsímil</v>
      </c>
      <c r="K833" s="3" t="s">
        <v>22</v>
      </c>
    </row>
    <row r="834" spans="1:11" ht="42" customHeight="1">
      <c r="A834" s="2" t="s">
        <v>2176</v>
      </c>
      <c r="B834" s="2" t="s">
        <v>2176</v>
      </c>
      <c r="C834" s="2" t="s">
        <v>109</v>
      </c>
      <c r="D834" s="2" t="s">
        <v>26</v>
      </c>
      <c r="E834" s="5">
        <v>-31613</v>
      </c>
      <c r="F834" s="3" t="s">
        <v>1629</v>
      </c>
      <c r="G834" s="3" t="s">
        <v>2177</v>
      </c>
      <c r="H834" s="2" t="s">
        <v>20</v>
      </c>
      <c r="I834" s="2" t="s">
        <v>2178</v>
      </c>
      <c r="J834" s="3" t="str">
        <f>HYPERLINK("https://www.boe.es/gazeta/dias/1813/06/11/pdfs/GMR-1813-4.pdf#page=5","Abrir facsímil")</f>
        <v>Abrir facsímil</v>
      </c>
      <c r="K834" s="3" t="s">
        <v>22</v>
      </c>
    </row>
    <row r="835" spans="1:11" ht="42" customHeight="1">
      <c r="A835" s="2" t="s">
        <v>2179</v>
      </c>
      <c r="B835" s="2" t="s">
        <v>2179</v>
      </c>
      <c r="C835" s="2" t="s">
        <v>435</v>
      </c>
      <c r="D835" s="2" t="s">
        <v>26</v>
      </c>
      <c r="E835" s="5">
        <v>-31613</v>
      </c>
      <c r="F835" s="3" t="s">
        <v>1629</v>
      </c>
      <c r="G835" s="3" t="s">
        <v>54</v>
      </c>
      <c r="H835" s="2" t="s">
        <v>20</v>
      </c>
      <c r="I835" s="2" t="s">
        <v>2180</v>
      </c>
      <c r="J835" s="3" t="str">
        <f>HYPERLINK("https://www.boe.es/gazeta/dias/1813/06/11/pdfs/GMR-1813-4.pdf#page=3","Abrir facsímil")</f>
        <v>Abrir facsímil</v>
      </c>
      <c r="K835" s="3" t="s">
        <v>22</v>
      </c>
    </row>
    <row r="836" spans="1:11" ht="42" customHeight="1">
      <c r="A836" s="2" t="s">
        <v>2176</v>
      </c>
      <c r="B836" s="2" t="s">
        <v>2176</v>
      </c>
      <c r="C836" s="2" t="s">
        <v>25</v>
      </c>
      <c r="D836" s="2" t="s">
        <v>26</v>
      </c>
      <c r="E836" s="5">
        <v>-31609</v>
      </c>
      <c r="F836" s="3" t="s">
        <v>584</v>
      </c>
      <c r="G836" s="3" t="s">
        <v>2181</v>
      </c>
      <c r="H836" s="2" t="s">
        <v>20</v>
      </c>
      <c r="I836" s="2" t="s">
        <v>2182</v>
      </c>
      <c r="J836" s="3" t="str">
        <f>HYPERLINK("https://www.boe.es/gazeta/dias/1813/06/15/pdfs/GRE-1813-74.pdf#page=5","Abrir facsímil")</f>
        <v>Abrir facsímil</v>
      </c>
      <c r="K836" s="3" t="s">
        <v>22</v>
      </c>
    </row>
    <row r="837" spans="1:11" ht="42" customHeight="1">
      <c r="A837" s="2" t="s">
        <v>2183</v>
      </c>
      <c r="B837" s="2" t="s">
        <v>2183</v>
      </c>
      <c r="C837" s="2" t="s">
        <v>435</v>
      </c>
      <c r="D837" s="2" t="s">
        <v>26</v>
      </c>
      <c r="E837" s="5">
        <v>-31553</v>
      </c>
      <c r="F837" s="3" t="s">
        <v>592</v>
      </c>
      <c r="G837" s="3" t="s">
        <v>19</v>
      </c>
      <c r="H837" s="2" t="s">
        <v>20</v>
      </c>
      <c r="I837" s="2" t="s">
        <v>2184</v>
      </c>
      <c r="J837" s="3" t="str">
        <f>HYPERLINK("https://www.boe.es/gazeta/dias/1813/08/10/pdfs/GRE-1813-101.pdf#page=4","Abrir facsímil")</f>
        <v>Abrir facsímil</v>
      </c>
      <c r="K837" s="3" t="s">
        <v>22</v>
      </c>
    </row>
    <row r="838" spans="1:11" ht="42" customHeight="1">
      <c r="A838" s="2" t="s">
        <v>2185</v>
      </c>
      <c r="B838" s="2" t="s">
        <v>2185</v>
      </c>
      <c r="C838" s="2" t="s">
        <v>25</v>
      </c>
      <c r="D838" s="2" t="s">
        <v>26</v>
      </c>
      <c r="E838" s="5">
        <v>-31675</v>
      </c>
      <c r="F838" s="3" t="s">
        <v>27</v>
      </c>
      <c r="G838" s="3" t="s">
        <v>648</v>
      </c>
      <c r="H838" s="2" t="s">
        <v>20</v>
      </c>
      <c r="I838" s="2" t="s">
        <v>2186</v>
      </c>
      <c r="J838" s="3" t="str">
        <f>HYPERLINK("https://www.boe.es/gazeta/dias/1813/04/10/pdfs/GRE-1813-44.pdf#page=7","Abrir facsímil")</f>
        <v>Abrir facsímil</v>
      </c>
      <c r="K838" s="3" t="s">
        <v>22</v>
      </c>
    </row>
    <row r="839" spans="1:11" ht="42" customHeight="1">
      <c r="A839" s="2" t="s">
        <v>2187</v>
      </c>
      <c r="B839" s="2" t="s">
        <v>2188</v>
      </c>
      <c r="C839" s="2" t="s">
        <v>25</v>
      </c>
      <c r="D839" s="2" t="s">
        <v>26</v>
      </c>
      <c r="E839" s="5">
        <v>-31745</v>
      </c>
      <c r="F839" s="3" t="s">
        <v>445</v>
      </c>
      <c r="G839" s="3" t="s">
        <v>28</v>
      </c>
      <c r="H839" s="2" t="s">
        <v>20</v>
      </c>
      <c r="I839" s="2" t="s">
        <v>2189</v>
      </c>
      <c r="J839" s="3" t="str">
        <f>HYPERLINK("https://www.boe.es/gazeta/dias/1813/01/30/pdfs/GRE-1813-13.pdf#page=8","Abrir facsímil")</f>
        <v>Abrir facsímil</v>
      </c>
      <c r="K839" s="3" t="s">
        <v>22</v>
      </c>
    </row>
    <row r="840" spans="1:11" ht="42" customHeight="1">
      <c r="A840" s="2" t="s">
        <v>2190</v>
      </c>
      <c r="B840" s="2" t="s">
        <v>2190</v>
      </c>
      <c r="C840" s="2" t="s">
        <v>16</v>
      </c>
      <c r="D840" s="2" t="s">
        <v>17</v>
      </c>
      <c r="E840" s="5">
        <v>-31509</v>
      </c>
      <c r="F840" s="3" t="s">
        <v>202</v>
      </c>
      <c r="G840" s="3" t="s">
        <v>19</v>
      </c>
      <c r="H840" s="2" t="s">
        <v>20</v>
      </c>
      <c r="I840" s="2" t="s">
        <v>2191</v>
      </c>
      <c r="J840" s="3" t="str">
        <f>HYPERLINK("https://www.boe.es/gazeta/dias/1813/09/23/pdfs/GMR-1813-47.pdf#page=4","Abrir facsímil")</f>
        <v>Abrir facsímil</v>
      </c>
      <c r="K840" s="3" t="s">
        <v>22</v>
      </c>
    </row>
    <row r="841" spans="1:11" ht="42" customHeight="1">
      <c r="A841" s="2" t="s">
        <v>2192</v>
      </c>
      <c r="B841" s="2" t="s">
        <v>2192</v>
      </c>
      <c r="C841" s="2" t="s">
        <v>16</v>
      </c>
      <c r="D841" s="2" t="s">
        <v>17</v>
      </c>
      <c r="E841" s="5">
        <v>-31613</v>
      </c>
      <c r="F841" s="3" t="s">
        <v>1629</v>
      </c>
      <c r="G841" s="3" t="s">
        <v>258</v>
      </c>
      <c r="H841" s="2" t="s">
        <v>20</v>
      </c>
      <c r="I841" s="2" t="s">
        <v>2193</v>
      </c>
      <c r="J841" s="3" t="str">
        <f>HYPERLINK("https://www.boe.es/gazeta/dias/1813/06/11/pdfs/GMR-1813-4.pdf#page=12","Abrir facsímil")</f>
        <v>Abrir facsímil</v>
      </c>
      <c r="K841" s="3" t="s">
        <v>22</v>
      </c>
    </row>
    <row r="842" spans="1:11" ht="42" customHeight="1">
      <c r="A842" s="2" t="s">
        <v>2194</v>
      </c>
      <c r="B842" s="2" t="s">
        <v>2194</v>
      </c>
      <c r="C842" s="2" t="s">
        <v>16</v>
      </c>
      <c r="D842" s="2" t="s">
        <v>17</v>
      </c>
      <c r="E842" s="5">
        <v>-31707</v>
      </c>
      <c r="F842" s="3" t="s">
        <v>2195</v>
      </c>
      <c r="G842" s="3" t="s">
        <v>54</v>
      </c>
      <c r="H842" s="2" t="s">
        <v>20</v>
      </c>
      <c r="I842" s="2" t="s">
        <v>2196</v>
      </c>
      <c r="J842" s="3" t="str">
        <f>HYPERLINK("https://www.boe.es/gazeta/dias/1813/03/09/pdfs/GMD-1813-68.pdf#page=3","Abrir facsímil")</f>
        <v>Abrir facsímil</v>
      </c>
      <c r="K842" s="3" t="s">
        <v>22</v>
      </c>
    </row>
    <row r="843" spans="1:11" ht="42" customHeight="1">
      <c r="A843" s="2" t="s">
        <v>2194</v>
      </c>
      <c r="B843" s="2" t="s">
        <v>2194</v>
      </c>
      <c r="C843" s="2" t="s">
        <v>16</v>
      </c>
      <c r="D843" s="2" t="s">
        <v>17</v>
      </c>
      <c r="E843" s="5">
        <v>-31693</v>
      </c>
      <c r="F843" s="3" t="s">
        <v>1847</v>
      </c>
      <c r="G843" s="3" t="s">
        <v>19</v>
      </c>
      <c r="H843" s="2" t="s">
        <v>20</v>
      </c>
      <c r="I843" s="2" t="s">
        <v>2197</v>
      </c>
      <c r="J843" s="3" t="str">
        <f>HYPERLINK("https://www.boe.es/gazeta/dias/1813/03/23/pdfs/GMD-1813-82.pdf#page=4","Abrir facsímil")</f>
        <v>Abrir facsímil</v>
      </c>
      <c r="K843" s="3" t="s">
        <v>22</v>
      </c>
    </row>
    <row r="844" spans="1:11" ht="42" customHeight="1">
      <c r="A844" s="2" t="s">
        <v>2198</v>
      </c>
      <c r="B844" s="2" t="s">
        <v>2198</v>
      </c>
      <c r="C844" s="2" t="s">
        <v>16</v>
      </c>
      <c r="D844" s="2" t="s">
        <v>17</v>
      </c>
      <c r="E844" s="5">
        <v>-31719</v>
      </c>
      <c r="F844" s="3" t="s">
        <v>251</v>
      </c>
      <c r="G844" s="3" t="s">
        <v>58</v>
      </c>
      <c r="H844" s="2" t="s">
        <v>20</v>
      </c>
      <c r="I844" s="2" t="s">
        <v>2199</v>
      </c>
      <c r="J844" s="3" t="str">
        <f>HYPERLINK("https://www.boe.es/gazeta/dias/1813/02/25/pdfs/GMD-1813-56.pdf#page=2","Abrir facsímil")</f>
        <v>Abrir facsímil</v>
      </c>
      <c r="K844" s="3" t="s">
        <v>22</v>
      </c>
    </row>
    <row r="845" spans="1:11" ht="42" customHeight="1">
      <c r="A845" s="2" t="s">
        <v>2198</v>
      </c>
      <c r="B845" s="2" t="s">
        <v>2198</v>
      </c>
      <c r="C845" s="2" t="s">
        <v>16</v>
      </c>
      <c r="D845" s="2" t="s">
        <v>17</v>
      </c>
      <c r="E845" s="5">
        <v>-31638</v>
      </c>
      <c r="F845" s="3" t="s">
        <v>1635</v>
      </c>
      <c r="G845" s="3" t="s">
        <v>65</v>
      </c>
      <c r="H845" s="2" t="s">
        <v>20</v>
      </c>
      <c r="I845" s="2" t="s">
        <v>2200</v>
      </c>
      <c r="J845" s="3" t="str">
        <f>HYPERLINK("https://www.boe.es/gazeta/dias/1813/05/17/pdfs/GMD-1813-137.pdf#page=1","Abrir facsímil")</f>
        <v>Abrir facsímil</v>
      </c>
      <c r="K845" s="3" t="s">
        <v>22</v>
      </c>
    </row>
    <row r="846" spans="1:11" ht="42" customHeight="1">
      <c r="A846" s="2" t="s">
        <v>2198</v>
      </c>
      <c r="B846" s="2" t="s">
        <v>2198</v>
      </c>
      <c r="C846" s="2" t="s">
        <v>16</v>
      </c>
      <c r="D846" s="2" t="s">
        <v>17</v>
      </c>
      <c r="E846" s="5">
        <v>-31616</v>
      </c>
      <c r="F846" s="3" t="s">
        <v>2201</v>
      </c>
      <c r="G846" s="3" t="s">
        <v>2202</v>
      </c>
      <c r="H846" s="2" t="s">
        <v>20</v>
      </c>
      <c r="I846" s="2" t="s">
        <v>2203</v>
      </c>
      <c r="J846" s="3" t="str">
        <f>HYPERLINK("https://www.boe.es/gazeta/dias/1813/06/08/pdfs/GMR-1813-3.pdf#page=5","Abrir facsímil")</f>
        <v>Abrir facsímil</v>
      </c>
      <c r="K846" s="3" t="s">
        <v>22</v>
      </c>
    </row>
    <row r="847" spans="1:11" ht="42" customHeight="1">
      <c r="A847" s="2" t="s">
        <v>2198</v>
      </c>
      <c r="B847" s="2" t="s">
        <v>2198</v>
      </c>
      <c r="C847" s="2" t="s">
        <v>16</v>
      </c>
      <c r="D847" s="2" t="s">
        <v>17</v>
      </c>
      <c r="E847" s="5">
        <v>-31616</v>
      </c>
      <c r="F847" s="3" t="s">
        <v>2201</v>
      </c>
      <c r="G847" s="3" t="s">
        <v>95</v>
      </c>
      <c r="H847" s="2" t="s">
        <v>20</v>
      </c>
      <c r="I847" s="2" t="s">
        <v>2204</v>
      </c>
      <c r="J847" s="3" t="str">
        <f>HYPERLINK("https://www.boe.es/gazeta/dias/1813/06/08/pdfs/GMR-1813-3.pdf#page=6","Abrir facsímil")</f>
        <v>Abrir facsímil</v>
      </c>
      <c r="K847" s="3" t="s">
        <v>22</v>
      </c>
    </row>
    <row r="848" spans="1:11" ht="42" customHeight="1">
      <c r="A848" s="2" t="s">
        <v>2198</v>
      </c>
      <c r="B848" s="2" t="s">
        <v>2198</v>
      </c>
      <c r="C848" s="2" t="s">
        <v>16</v>
      </c>
      <c r="D848" s="2" t="s">
        <v>17</v>
      </c>
      <c r="E848" s="5">
        <v>-31616</v>
      </c>
      <c r="F848" s="3" t="s">
        <v>2201</v>
      </c>
      <c r="G848" s="3" t="s">
        <v>87</v>
      </c>
      <c r="H848" s="2" t="s">
        <v>20</v>
      </c>
      <c r="I848" s="2" t="s">
        <v>2205</v>
      </c>
      <c r="J848" s="3" t="str">
        <f>HYPERLINK("https://www.boe.es/gazeta/dias/1813/06/08/pdfs/GMR-1813-3.pdf#page=7","Abrir facsímil")</f>
        <v>Abrir facsímil</v>
      </c>
      <c r="K848" s="3" t="s">
        <v>22</v>
      </c>
    </row>
    <row r="849" spans="1:11" ht="42" customHeight="1">
      <c r="A849" s="2" t="s">
        <v>2198</v>
      </c>
      <c r="B849" s="2" t="s">
        <v>2198</v>
      </c>
      <c r="C849" s="2" t="s">
        <v>16</v>
      </c>
      <c r="D849" s="2" t="s">
        <v>97</v>
      </c>
      <c r="E849" s="5">
        <v>-31499</v>
      </c>
      <c r="F849" s="3" t="s">
        <v>220</v>
      </c>
      <c r="G849" s="3" t="s">
        <v>65</v>
      </c>
      <c r="H849" s="2" t="s">
        <v>20</v>
      </c>
      <c r="I849" s="2" t="s">
        <v>2206</v>
      </c>
      <c r="J849" s="3" t="str">
        <f>HYPERLINK("https://www.boe.es/gazeta/dias/1813/10/03/pdfs/GMR-1813-53E.pdf#page=1","Abrir facsímil")</f>
        <v>Abrir facsímil</v>
      </c>
      <c r="K849" s="3" t="s">
        <v>22</v>
      </c>
    </row>
    <row r="850" spans="1:11" ht="42" customHeight="1">
      <c r="A850" s="2" t="s">
        <v>2198</v>
      </c>
      <c r="B850" s="2" t="s">
        <v>2198</v>
      </c>
      <c r="C850" s="2" t="s">
        <v>16</v>
      </c>
      <c r="D850" s="2" t="s">
        <v>17</v>
      </c>
      <c r="E850" s="5">
        <v>-31495</v>
      </c>
      <c r="F850" s="3" t="s">
        <v>484</v>
      </c>
      <c r="G850" s="3" t="s">
        <v>54</v>
      </c>
      <c r="H850" s="2" t="s">
        <v>20</v>
      </c>
      <c r="I850" s="2" t="s">
        <v>2207</v>
      </c>
      <c r="J850" s="3" t="str">
        <f>HYPERLINK("https://www.boe.es/gazeta/dias/1813/10/07/pdfs/GRE-1813-131.pdf#page=3","Abrir facsímil")</f>
        <v>Abrir facsímil</v>
      </c>
      <c r="K850" s="3" t="s">
        <v>22</v>
      </c>
    </row>
    <row r="851" spans="1:11" ht="42" customHeight="1">
      <c r="A851" s="2" t="s">
        <v>2198</v>
      </c>
      <c r="B851" s="2" t="s">
        <v>2198</v>
      </c>
      <c r="C851" s="2" t="s">
        <v>16</v>
      </c>
      <c r="D851" s="2" t="s">
        <v>17</v>
      </c>
      <c r="E851" s="5">
        <v>-31462</v>
      </c>
      <c r="F851" s="3" t="s">
        <v>1028</v>
      </c>
      <c r="G851" s="3" t="s">
        <v>95</v>
      </c>
      <c r="H851" s="2" t="s">
        <v>20</v>
      </c>
      <c r="I851" s="2" t="s">
        <v>2208</v>
      </c>
      <c r="J851" s="3" t="str">
        <f>HYPERLINK("https://www.boe.es/gazeta/dias/1813/11/09/pdfs/GMR-1813-71.pdf#page=6","Abrir facsímil")</f>
        <v>Abrir facsímil</v>
      </c>
      <c r="K851" s="3" t="s">
        <v>22</v>
      </c>
    </row>
    <row r="852" spans="1:11" ht="42" customHeight="1">
      <c r="A852" s="2" t="s">
        <v>2198</v>
      </c>
      <c r="B852" s="2" t="s">
        <v>2198</v>
      </c>
      <c r="C852" s="2" t="s">
        <v>16</v>
      </c>
      <c r="D852" s="2" t="s">
        <v>17</v>
      </c>
      <c r="E852" s="5">
        <v>-31453</v>
      </c>
      <c r="F852" s="3" t="s">
        <v>887</v>
      </c>
      <c r="G852" s="3" t="s">
        <v>1897</v>
      </c>
      <c r="H852" s="2" t="s">
        <v>20</v>
      </c>
      <c r="I852" s="2" t="s">
        <v>2209</v>
      </c>
      <c r="J852" s="3" t="str">
        <f>HYPERLINK("https://www.boe.es/gazeta/dias/1813/11/18/pdfs/GMR-1813-76.pdf#page=6","Abrir facsímil")</f>
        <v>Abrir facsímil</v>
      </c>
      <c r="K852" s="3" t="s">
        <v>22</v>
      </c>
    </row>
    <row r="853" spans="1:11" ht="42" customHeight="1">
      <c r="A853" s="2" t="s">
        <v>2198</v>
      </c>
      <c r="B853" s="2" t="s">
        <v>2198</v>
      </c>
      <c r="C853" s="2" t="s">
        <v>16</v>
      </c>
      <c r="D853" s="2" t="s">
        <v>17</v>
      </c>
      <c r="E853" s="5">
        <v>-31453</v>
      </c>
      <c r="F853" s="3" t="s">
        <v>887</v>
      </c>
      <c r="G853" s="3" t="s">
        <v>2210</v>
      </c>
      <c r="H853" s="2" t="s">
        <v>20</v>
      </c>
      <c r="I853" s="2" t="s">
        <v>2211</v>
      </c>
      <c r="J853" s="3" t="str">
        <f>HYPERLINK("https://www.boe.es/gazeta/dias/1813/11/18/pdfs/GMR-1813-76.pdf#page=9","Abrir facsímil")</f>
        <v>Abrir facsímil</v>
      </c>
      <c r="K853" s="3" t="s">
        <v>22</v>
      </c>
    </row>
    <row r="854" spans="1:11" ht="42" customHeight="1">
      <c r="A854" s="2" t="s">
        <v>2198</v>
      </c>
      <c r="B854" s="2" t="s">
        <v>2198</v>
      </c>
      <c r="C854" s="2" t="s">
        <v>16</v>
      </c>
      <c r="D854" s="2" t="s">
        <v>17</v>
      </c>
      <c r="E854" s="5">
        <v>-31453</v>
      </c>
      <c r="F854" s="3" t="s">
        <v>887</v>
      </c>
      <c r="G854" s="3" t="s">
        <v>58</v>
      </c>
      <c r="H854" s="2" t="s">
        <v>20</v>
      </c>
      <c r="I854" s="2" t="s">
        <v>2212</v>
      </c>
      <c r="J854" s="3" t="str">
        <f>HYPERLINK("https://www.boe.es/gazeta/dias/1813/11/18/pdfs/GMR-1813-76.pdf#page=2","Abrir facsímil")</f>
        <v>Abrir facsímil</v>
      </c>
      <c r="K854" s="3" t="s">
        <v>22</v>
      </c>
    </row>
    <row r="855" spans="1:11" ht="42" customHeight="1">
      <c r="A855" s="2" t="s">
        <v>2198</v>
      </c>
      <c r="B855" s="2" t="s">
        <v>2198</v>
      </c>
      <c r="C855" s="2" t="s">
        <v>16</v>
      </c>
      <c r="D855" s="2" t="s">
        <v>17</v>
      </c>
      <c r="E855" s="5">
        <v>-31453</v>
      </c>
      <c r="F855" s="3" t="s">
        <v>887</v>
      </c>
      <c r="G855" s="3" t="s">
        <v>54</v>
      </c>
      <c r="H855" s="2" t="s">
        <v>20</v>
      </c>
      <c r="I855" s="2" t="s">
        <v>2213</v>
      </c>
      <c r="J855" s="3" t="str">
        <f>HYPERLINK("https://www.boe.es/gazeta/dias/1813/11/18/pdfs/GMR-1813-76.pdf#page=3","Abrir facsímil")</f>
        <v>Abrir facsímil</v>
      </c>
      <c r="K855" s="3" t="s">
        <v>22</v>
      </c>
    </row>
    <row r="856" spans="1:11" ht="42" customHeight="1">
      <c r="A856" s="2" t="s">
        <v>2198</v>
      </c>
      <c r="B856" s="2" t="s">
        <v>2198</v>
      </c>
      <c r="C856" s="2" t="s">
        <v>16</v>
      </c>
      <c r="D856" s="2" t="s">
        <v>17</v>
      </c>
      <c r="E856" s="5">
        <v>-31453</v>
      </c>
      <c r="F856" s="3" t="s">
        <v>887</v>
      </c>
      <c r="G856" s="3" t="s">
        <v>82</v>
      </c>
      <c r="H856" s="2" t="s">
        <v>20</v>
      </c>
      <c r="I856" s="2" t="s">
        <v>2214</v>
      </c>
      <c r="J856" s="3" t="str">
        <f>HYPERLINK("https://www.boe.es/gazeta/dias/1813/11/18/pdfs/GMR-1813-76.pdf#page=5","Abrir facsímil")</f>
        <v>Abrir facsímil</v>
      </c>
      <c r="K856" s="3" t="s">
        <v>22</v>
      </c>
    </row>
    <row r="857" spans="1:11" ht="42" customHeight="1">
      <c r="A857" s="2" t="s">
        <v>2198</v>
      </c>
      <c r="B857" s="2" t="s">
        <v>2198</v>
      </c>
      <c r="C857" s="2" t="s">
        <v>16</v>
      </c>
      <c r="D857" s="2" t="s">
        <v>17</v>
      </c>
      <c r="E857" s="5">
        <v>-31451</v>
      </c>
      <c r="F857" s="3" t="s">
        <v>127</v>
      </c>
      <c r="G857" s="3" t="s">
        <v>65</v>
      </c>
      <c r="H857" s="2" t="s">
        <v>20</v>
      </c>
      <c r="I857" s="2" t="s">
        <v>2215</v>
      </c>
      <c r="J857" s="3" t="str">
        <f>HYPERLINK("https://www.boe.es/gazeta/dias/1813/11/20/pdfs/GRE-1813-152.pdf#page=1","Abrir facsímil")</f>
        <v>Abrir facsímil</v>
      </c>
      <c r="K857" s="3" t="s">
        <v>22</v>
      </c>
    </row>
    <row r="858" spans="1:11" ht="42" customHeight="1">
      <c r="A858" s="2" t="s">
        <v>2216</v>
      </c>
      <c r="B858" s="2" t="s">
        <v>2216</v>
      </c>
      <c r="C858" s="2" t="s">
        <v>16</v>
      </c>
      <c r="D858" s="2" t="s">
        <v>17</v>
      </c>
      <c r="E858" s="5">
        <v>-31448</v>
      </c>
      <c r="F858" s="3" t="s">
        <v>325</v>
      </c>
      <c r="G858" s="3" t="s">
        <v>82</v>
      </c>
      <c r="H858" s="2" t="s">
        <v>20</v>
      </c>
      <c r="I858" s="2" t="s">
        <v>2217</v>
      </c>
      <c r="J858" s="3" t="str">
        <f>HYPERLINK("https://www.boe.es/gazeta/dias/1813/11/23/pdfs/GMR-1813-78.pdf#page=5","Abrir facsímil")</f>
        <v>Abrir facsímil</v>
      </c>
      <c r="K858" s="3" t="s">
        <v>22</v>
      </c>
    </row>
    <row r="859" spans="1:11" ht="42" customHeight="1">
      <c r="A859" s="2" t="s">
        <v>2198</v>
      </c>
      <c r="B859" s="2" t="s">
        <v>2198</v>
      </c>
      <c r="C859" s="2" t="s">
        <v>16</v>
      </c>
      <c r="D859" s="2" t="s">
        <v>17</v>
      </c>
      <c r="E859" s="5">
        <v>-31448</v>
      </c>
      <c r="F859" s="3" t="s">
        <v>57</v>
      </c>
      <c r="G859" s="3" t="s">
        <v>2218</v>
      </c>
      <c r="H859" s="2" t="s">
        <v>20</v>
      </c>
      <c r="I859" s="2" t="s">
        <v>2219</v>
      </c>
      <c r="J859" s="3" t="str">
        <f>HYPERLINK("https://www.boe.es/gazeta/dias/1813/11/23/pdfs/GRE-1813-153.pdf#page=4","Abrir facsímil")</f>
        <v>Abrir facsímil</v>
      </c>
      <c r="K859" s="3" t="s">
        <v>22</v>
      </c>
    </row>
    <row r="860" spans="1:11" ht="42" customHeight="1">
      <c r="A860" s="2" t="s">
        <v>2198</v>
      </c>
      <c r="B860" s="2" t="s">
        <v>2198</v>
      </c>
      <c r="C860" s="2" t="s">
        <v>16</v>
      </c>
      <c r="D860" s="2" t="s">
        <v>17</v>
      </c>
      <c r="E860" s="5">
        <v>-31441</v>
      </c>
      <c r="F860" s="3" t="s">
        <v>1952</v>
      </c>
      <c r="G860" s="3" t="s">
        <v>19</v>
      </c>
      <c r="H860" s="2" t="s">
        <v>20</v>
      </c>
      <c r="I860" s="2" t="s">
        <v>2220</v>
      </c>
      <c r="J860" s="3" t="str">
        <f>HYPERLINK("https://www.boe.es/gazeta/dias/1813/11/30/pdfs/GRE-1813-158.pdf#page=4","Abrir facsímil")</f>
        <v>Abrir facsímil</v>
      </c>
      <c r="K860" s="3" t="s">
        <v>22</v>
      </c>
    </row>
    <row r="861" spans="1:11" ht="42" customHeight="1">
      <c r="A861" s="2" t="s">
        <v>2198</v>
      </c>
      <c r="B861" s="2" t="s">
        <v>2198</v>
      </c>
      <c r="C861" s="2" t="s">
        <v>16</v>
      </c>
      <c r="D861" s="2" t="s">
        <v>17</v>
      </c>
      <c r="E861" s="5">
        <v>-31437</v>
      </c>
      <c r="F861" s="3" t="s">
        <v>680</v>
      </c>
      <c r="G861" s="3" t="s">
        <v>82</v>
      </c>
      <c r="H861" s="2" t="s">
        <v>20</v>
      </c>
      <c r="I861" s="2" t="s">
        <v>2221</v>
      </c>
      <c r="J861" s="3" t="str">
        <f>HYPERLINK("https://www.boe.es/gazeta/dias/1813/12/04/pdfs/GMR-1813-83.pdf#page=5","Abrir facsímil")</f>
        <v>Abrir facsímil</v>
      </c>
      <c r="K861" s="3" t="s">
        <v>22</v>
      </c>
    </row>
    <row r="862" spans="1:11" ht="42" customHeight="1">
      <c r="A862" s="2" t="s">
        <v>2198</v>
      </c>
      <c r="B862" s="2" t="s">
        <v>2198</v>
      </c>
      <c r="C862" s="2" t="s">
        <v>16</v>
      </c>
      <c r="D862" s="2" t="s">
        <v>17</v>
      </c>
      <c r="E862" s="5">
        <v>-31430</v>
      </c>
      <c r="F862" s="3" t="s">
        <v>1161</v>
      </c>
      <c r="G862" s="3" t="s">
        <v>54</v>
      </c>
      <c r="H862" s="2" t="s">
        <v>20</v>
      </c>
      <c r="I862" s="2" t="s">
        <v>2222</v>
      </c>
      <c r="J862" s="3" t="str">
        <f>HYPERLINK("https://www.boe.es/gazeta/dias/1813/12/11/pdfs/GMR-1813-86.pdf#page=3","Abrir facsímil")</f>
        <v>Abrir facsímil</v>
      </c>
      <c r="K862" s="3" t="s">
        <v>22</v>
      </c>
    </row>
    <row r="863" spans="1:11" ht="42" customHeight="1">
      <c r="A863" s="2" t="s">
        <v>2198</v>
      </c>
      <c r="B863" s="2" t="s">
        <v>2198</v>
      </c>
      <c r="C863" s="2" t="s">
        <v>16</v>
      </c>
      <c r="D863" s="2" t="s">
        <v>17</v>
      </c>
      <c r="E863" s="5">
        <v>-31430</v>
      </c>
      <c r="F863" s="3" t="s">
        <v>1161</v>
      </c>
      <c r="G863" s="3" t="s">
        <v>19</v>
      </c>
      <c r="H863" s="2" t="s">
        <v>20</v>
      </c>
      <c r="I863" s="2" t="s">
        <v>2223</v>
      </c>
      <c r="J863" s="3" t="str">
        <f>HYPERLINK("https://www.boe.es/gazeta/dias/1813/12/11/pdfs/GMR-1813-86.pdf#page=4","Abrir facsímil")</f>
        <v>Abrir facsímil</v>
      </c>
      <c r="K863" s="3" t="s">
        <v>22</v>
      </c>
    </row>
    <row r="864" spans="1:11" ht="42" customHeight="1">
      <c r="A864" s="2" t="s">
        <v>2198</v>
      </c>
      <c r="B864" s="2" t="s">
        <v>2198</v>
      </c>
      <c r="C864" s="2" t="s">
        <v>16</v>
      </c>
      <c r="D864" s="2" t="s">
        <v>17</v>
      </c>
      <c r="E864" s="5">
        <v>-31430</v>
      </c>
      <c r="F864" s="3" t="s">
        <v>1731</v>
      </c>
      <c r="G864" s="3" t="s">
        <v>54</v>
      </c>
      <c r="H864" s="2" t="s">
        <v>20</v>
      </c>
      <c r="I864" s="2" t="s">
        <v>2224</v>
      </c>
      <c r="J864" s="3" t="str">
        <f>HYPERLINK("https://www.boe.es/gazeta/dias/1813/12/11/pdfs/GRE-1813-163.pdf#page=3","Abrir facsímil")</f>
        <v>Abrir facsímil</v>
      </c>
      <c r="K864" s="3" t="s">
        <v>22</v>
      </c>
    </row>
    <row r="865" spans="1:11" ht="42" customHeight="1">
      <c r="A865" s="2" t="s">
        <v>2198</v>
      </c>
      <c r="B865" s="2" t="s">
        <v>2198</v>
      </c>
      <c r="C865" s="2" t="s">
        <v>16</v>
      </c>
      <c r="D865" s="2" t="s">
        <v>17</v>
      </c>
      <c r="E865" s="5">
        <v>-31425</v>
      </c>
      <c r="F865" s="3" t="s">
        <v>1955</v>
      </c>
      <c r="G865" s="3" t="s">
        <v>65</v>
      </c>
      <c r="H865" s="2" t="s">
        <v>20</v>
      </c>
      <c r="I865" s="2" t="s">
        <v>2225</v>
      </c>
      <c r="J865" s="3" t="str">
        <f>HYPERLINK("https://www.boe.es/gazeta/dias/1813/12/16/pdfs/GMR-1813-88.pdf#page=1","Abrir facsímil")</f>
        <v>Abrir facsímil</v>
      </c>
      <c r="K865" s="3" t="s">
        <v>22</v>
      </c>
    </row>
    <row r="866" spans="1:11" ht="42" customHeight="1">
      <c r="A866" s="2" t="s">
        <v>2198</v>
      </c>
      <c r="B866" s="2" t="s">
        <v>2198</v>
      </c>
      <c r="C866" s="2" t="s">
        <v>16</v>
      </c>
      <c r="D866" s="2" t="s">
        <v>17</v>
      </c>
      <c r="E866" s="5">
        <v>-31423</v>
      </c>
      <c r="F866" s="3" t="s">
        <v>340</v>
      </c>
      <c r="G866" s="3" t="s">
        <v>82</v>
      </c>
      <c r="H866" s="2" t="s">
        <v>20</v>
      </c>
      <c r="I866" s="2" t="s">
        <v>2226</v>
      </c>
      <c r="J866" s="3" t="str">
        <f>HYPERLINK("https://www.boe.es/gazeta/dias/1813/12/18/pdfs/GRE-1813-166.pdf#page=5","Abrir facsímil")</f>
        <v>Abrir facsímil</v>
      </c>
      <c r="K866" s="3" t="s">
        <v>22</v>
      </c>
    </row>
    <row r="867" spans="1:11" ht="42" customHeight="1">
      <c r="A867" s="2" t="s">
        <v>2227</v>
      </c>
      <c r="B867" s="2" t="s">
        <v>2227</v>
      </c>
      <c r="C867" s="2" t="s">
        <v>16</v>
      </c>
      <c r="D867" s="2" t="s">
        <v>17</v>
      </c>
      <c r="E867" s="5">
        <v>-31441</v>
      </c>
      <c r="F867" s="3" t="s">
        <v>1952</v>
      </c>
      <c r="G867" s="3" t="s">
        <v>19</v>
      </c>
      <c r="H867" s="2" t="s">
        <v>20</v>
      </c>
      <c r="I867" s="2" t="s">
        <v>2228</v>
      </c>
      <c r="J867" s="3" t="str">
        <f>HYPERLINK("https://www.boe.es/gazeta/dias/1813/11/30/pdfs/GRE-1813-158.pdf#page=4","Abrir facsímil")</f>
        <v>Abrir facsímil</v>
      </c>
      <c r="K867" s="3" t="s">
        <v>22</v>
      </c>
    </row>
    <row r="868" spans="1:11" ht="42" customHeight="1">
      <c r="A868" s="2" t="s">
        <v>2229</v>
      </c>
      <c r="B868" s="2" t="s">
        <v>2229</v>
      </c>
      <c r="C868" s="2" t="s">
        <v>16</v>
      </c>
      <c r="D868" s="2" t="s">
        <v>97</v>
      </c>
      <c r="E868" s="5">
        <v>-31446</v>
      </c>
      <c r="F868" s="3" t="s">
        <v>1877</v>
      </c>
      <c r="G868" s="3" t="s">
        <v>58</v>
      </c>
      <c r="H868" s="2" t="s">
        <v>20</v>
      </c>
      <c r="I868" s="2" t="s">
        <v>2230</v>
      </c>
      <c r="J868" s="3" t="str">
        <f>HYPERLINK("https://www.boe.es/gazeta/dias/1813/11/25/pdfs/GRE-1813-155E.pdf#page=2","Abrir facsímil")</f>
        <v>Abrir facsímil</v>
      </c>
      <c r="K868" s="3" t="s">
        <v>22</v>
      </c>
    </row>
    <row r="869" spans="1:11" ht="42" customHeight="1">
      <c r="A869" s="2" t="s">
        <v>2231</v>
      </c>
      <c r="B869" s="2" t="s">
        <v>2231</v>
      </c>
      <c r="C869" s="2" t="s">
        <v>16</v>
      </c>
      <c r="D869" s="2" t="s">
        <v>17</v>
      </c>
      <c r="E869" s="5">
        <v>-31525</v>
      </c>
      <c r="F869" s="3" t="s">
        <v>135</v>
      </c>
      <c r="G869" s="3" t="s">
        <v>65</v>
      </c>
      <c r="H869" s="2" t="s">
        <v>20</v>
      </c>
      <c r="I869" s="2" t="s">
        <v>2232</v>
      </c>
      <c r="J869" s="3" t="str">
        <f>HYPERLINK("https://www.boe.es/gazeta/dias/1813/09/07/pdfs/GMR-1813-38.pdf#page=1","Abrir facsímil")</f>
        <v>Abrir facsímil</v>
      </c>
      <c r="K869" s="3" t="s">
        <v>22</v>
      </c>
    </row>
    <row r="870" spans="1:11" ht="42" customHeight="1">
      <c r="A870" s="2" t="s">
        <v>2233</v>
      </c>
      <c r="B870" s="2" t="s">
        <v>2234</v>
      </c>
      <c r="C870" s="2" t="s">
        <v>25</v>
      </c>
      <c r="D870" s="2" t="s">
        <v>26</v>
      </c>
      <c r="E870" s="5">
        <v>-31745</v>
      </c>
      <c r="F870" s="3" t="s">
        <v>445</v>
      </c>
      <c r="G870" s="3" t="s">
        <v>28</v>
      </c>
      <c r="H870" s="2" t="s">
        <v>20</v>
      </c>
      <c r="I870" s="2" t="s">
        <v>2235</v>
      </c>
      <c r="J870" s="3" t="str">
        <f>HYPERLINK("https://www.boe.es/gazeta/dias/1813/01/30/pdfs/GRE-1813-13.pdf#page=8","Abrir facsímil")</f>
        <v>Abrir facsímil</v>
      </c>
      <c r="K870" s="3" t="s">
        <v>22</v>
      </c>
    </row>
    <row r="871" spans="1:11" ht="42" customHeight="1">
      <c r="A871" s="2" t="s">
        <v>2236</v>
      </c>
      <c r="B871" s="2" t="s">
        <v>2236</v>
      </c>
      <c r="C871" s="2" t="s">
        <v>16</v>
      </c>
      <c r="D871" s="2" t="s">
        <v>17</v>
      </c>
      <c r="E871" s="5">
        <v>-31728</v>
      </c>
      <c r="F871" s="3" t="s">
        <v>1434</v>
      </c>
      <c r="G871" s="3" t="s">
        <v>58</v>
      </c>
      <c r="H871" s="2" t="s">
        <v>20</v>
      </c>
      <c r="I871" s="2" t="s">
        <v>2237</v>
      </c>
      <c r="J871" s="3" t="str">
        <f>HYPERLINK("https://www.boe.es/gazeta/dias/1813/02/16/pdfs/GRE-1813-20.pdf#page=2","Abrir facsímil")</f>
        <v>Abrir facsímil</v>
      </c>
      <c r="K871" s="3" t="s">
        <v>22</v>
      </c>
    </row>
    <row r="872" spans="1:11" ht="42" customHeight="1">
      <c r="A872" s="2" t="s">
        <v>2238</v>
      </c>
      <c r="B872" s="2" t="s">
        <v>2238</v>
      </c>
      <c r="C872" s="2" t="s">
        <v>16</v>
      </c>
      <c r="D872" s="2" t="s">
        <v>17</v>
      </c>
      <c r="E872" s="5">
        <v>-31623</v>
      </c>
      <c r="F872" s="3" t="s">
        <v>267</v>
      </c>
      <c r="G872" s="3" t="s">
        <v>58</v>
      </c>
      <c r="H872" s="2" t="s">
        <v>20</v>
      </c>
      <c r="I872" s="2" t="s">
        <v>2239</v>
      </c>
      <c r="J872" s="3" t="str">
        <f>HYPERLINK("https://www.boe.es/gazeta/dias/1813/06/01/pdfs/GRE-1813-67.pdf#page=2","Abrir facsímil")</f>
        <v>Abrir facsímil</v>
      </c>
      <c r="K872" s="3" t="s">
        <v>22</v>
      </c>
    </row>
    <row r="873" spans="1:11" ht="42" customHeight="1">
      <c r="A873" s="2" t="s">
        <v>2240</v>
      </c>
      <c r="B873" s="2" t="s">
        <v>2240</v>
      </c>
      <c r="C873" s="2" t="s">
        <v>16</v>
      </c>
      <c r="D873" s="2" t="s">
        <v>17</v>
      </c>
      <c r="E873" s="5">
        <v>-31614</v>
      </c>
      <c r="F873" s="3" t="s">
        <v>498</v>
      </c>
      <c r="G873" s="3" t="s">
        <v>1293</v>
      </c>
      <c r="H873" s="2" t="s">
        <v>20</v>
      </c>
      <c r="I873" s="2" t="s">
        <v>2241</v>
      </c>
      <c r="J873" s="3" t="str">
        <f>HYPERLINK("https://www.boe.es/gazeta/dias/1813/06/10/pdfs/GRE-1813-72.pdf#page=2","Abrir facsímil")</f>
        <v>Abrir facsímil</v>
      </c>
      <c r="K873" s="3" t="s">
        <v>22</v>
      </c>
    </row>
    <row r="874" spans="1:11" ht="42" customHeight="1">
      <c r="A874" s="2" t="s">
        <v>2240</v>
      </c>
      <c r="B874" s="2" t="s">
        <v>2240</v>
      </c>
      <c r="C874" s="2" t="s">
        <v>16</v>
      </c>
      <c r="D874" s="2" t="s">
        <v>17</v>
      </c>
      <c r="E874" s="5">
        <v>-31613</v>
      </c>
      <c r="F874" s="3" t="s">
        <v>1629</v>
      </c>
      <c r="G874" s="3" t="s">
        <v>95</v>
      </c>
      <c r="H874" s="2" t="s">
        <v>20</v>
      </c>
      <c r="I874" s="2" t="s">
        <v>2242</v>
      </c>
      <c r="J874" s="3" t="str">
        <f>HYPERLINK("https://www.boe.es/gazeta/dias/1813/06/11/pdfs/GMR-1813-4.pdf#page=6","Abrir facsímil")</f>
        <v>Abrir facsímil</v>
      </c>
      <c r="K874" s="3" t="s">
        <v>22</v>
      </c>
    </row>
    <row r="875" spans="1:11" ht="42" customHeight="1">
      <c r="A875" s="2" t="s">
        <v>2243</v>
      </c>
      <c r="B875" s="2" t="s">
        <v>2243</v>
      </c>
      <c r="C875" s="2" t="s">
        <v>34</v>
      </c>
      <c r="D875" s="2" t="s">
        <v>35</v>
      </c>
      <c r="E875" s="5">
        <v>-31595</v>
      </c>
      <c r="F875" s="3" t="s">
        <v>70</v>
      </c>
      <c r="G875" s="3" t="s">
        <v>2244</v>
      </c>
      <c r="H875" s="2" t="s">
        <v>20</v>
      </c>
      <c r="I875" s="2" t="s">
        <v>2245</v>
      </c>
      <c r="J875" s="3" t="str">
        <f>HYPERLINK("https://www.boe.es/gazeta/dias/1813/06/29/pdfs/GMR-1813-13.pdf#page=2","Abrir facsímil")</f>
        <v>Abrir facsímil</v>
      </c>
      <c r="K875" s="3" t="s">
        <v>22</v>
      </c>
    </row>
    <row r="876" spans="1:11" ht="42" customHeight="1">
      <c r="A876" s="2" t="s">
        <v>2246</v>
      </c>
      <c r="B876" s="2" t="s">
        <v>2247</v>
      </c>
      <c r="C876" s="2" t="s">
        <v>25</v>
      </c>
      <c r="D876" s="2" t="s">
        <v>26</v>
      </c>
      <c r="E876" s="5">
        <v>-31767</v>
      </c>
      <c r="F876" s="3" t="s">
        <v>1915</v>
      </c>
      <c r="G876" s="3" t="s">
        <v>19</v>
      </c>
      <c r="H876" s="2" t="s">
        <v>20</v>
      </c>
      <c r="I876" s="2" t="s">
        <v>2248</v>
      </c>
      <c r="J876" s="3" t="str">
        <f>HYPERLINK("https://www.boe.es/gazeta/dias/1813/01/08/pdfs/GMD-1813-8.pdf#page=4","Abrir facsímil")</f>
        <v>Abrir facsímil</v>
      </c>
      <c r="K876" s="3" t="s">
        <v>22</v>
      </c>
    </row>
    <row r="877" spans="1:11" ht="42" customHeight="1">
      <c r="A877" s="2" t="s">
        <v>2249</v>
      </c>
      <c r="B877" s="2" t="s">
        <v>2249</v>
      </c>
      <c r="C877" s="2" t="s">
        <v>16</v>
      </c>
      <c r="D877" s="2" t="s">
        <v>17</v>
      </c>
      <c r="E877" s="5">
        <v>-31448</v>
      </c>
      <c r="F877" s="3" t="s">
        <v>57</v>
      </c>
      <c r="G877" s="3" t="s">
        <v>54</v>
      </c>
      <c r="H877" s="2" t="s">
        <v>20</v>
      </c>
      <c r="I877" s="2" t="s">
        <v>2250</v>
      </c>
      <c r="J877" s="3" t="str">
        <f>HYPERLINK("https://www.boe.es/gazeta/dias/1813/11/23/pdfs/GRE-1813-153.pdf#page=3","Abrir facsímil")</f>
        <v>Abrir facsímil</v>
      </c>
      <c r="K877" s="3" t="s">
        <v>22</v>
      </c>
    </row>
    <row r="878" spans="1:11" ht="42" customHeight="1">
      <c r="A878" s="2" t="s">
        <v>2251</v>
      </c>
      <c r="B878" s="2" t="s">
        <v>2251</v>
      </c>
      <c r="C878" s="2" t="s">
        <v>25</v>
      </c>
      <c r="D878" s="2" t="s">
        <v>26</v>
      </c>
      <c r="E878" s="5">
        <v>-31731</v>
      </c>
      <c r="F878" s="3" t="s">
        <v>1938</v>
      </c>
      <c r="G878" s="3" t="s">
        <v>65</v>
      </c>
      <c r="H878" s="2" t="s">
        <v>20</v>
      </c>
      <c r="I878" s="2" t="s">
        <v>2252</v>
      </c>
      <c r="J878" s="3" t="str">
        <f>HYPERLINK("https://www.boe.es/gazeta/dias/1813/02/13/pdfs/GMD-1813-44.pdf#page=1","Abrir facsímil")</f>
        <v>Abrir facsímil</v>
      </c>
      <c r="K878" s="3" t="s">
        <v>22</v>
      </c>
    </row>
    <row r="879" spans="1:11" ht="42" customHeight="1">
      <c r="A879" s="2" t="s">
        <v>2253</v>
      </c>
      <c r="B879" s="2" t="s">
        <v>2253</v>
      </c>
      <c r="C879" s="2" t="s">
        <v>34</v>
      </c>
      <c r="D879" s="2" t="s">
        <v>35</v>
      </c>
      <c r="E879" s="5">
        <v>-31638</v>
      </c>
      <c r="F879" s="3" t="s">
        <v>1635</v>
      </c>
      <c r="G879" s="3" t="s">
        <v>58</v>
      </c>
      <c r="H879" s="2" t="s">
        <v>20</v>
      </c>
      <c r="I879" s="2" t="s">
        <v>2254</v>
      </c>
      <c r="J879" s="3" t="str">
        <f>HYPERLINK("https://www.boe.es/gazeta/dias/1813/05/17/pdfs/GMD-1813-137.pdf#page=2","Abrir facsímil")</f>
        <v>Abrir facsímil</v>
      </c>
      <c r="K879" s="3" t="s">
        <v>22</v>
      </c>
    </row>
    <row r="880" spans="1:11" ht="42" customHeight="1">
      <c r="A880" s="2" t="s">
        <v>2255</v>
      </c>
      <c r="B880" s="2" t="s">
        <v>2255</v>
      </c>
      <c r="C880" s="2" t="s">
        <v>16</v>
      </c>
      <c r="D880" s="2" t="s">
        <v>17</v>
      </c>
      <c r="E880" s="5">
        <v>-31706</v>
      </c>
      <c r="F880" s="3" t="s">
        <v>2256</v>
      </c>
      <c r="G880" s="3" t="s">
        <v>54</v>
      </c>
      <c r="H880" s="2" t="s">
        <v>20</v>
      </c>
      <c r="I880" s="2" t="s">
        <v>2257</v>
      </c>
      <c r="J880" s="3" t="str">
        <f>HYPERLINK("https://www.boe.es/gazeta/dias/1813/03/10/pdfs/GMD-1813-69.pdf#page=3","Abrir facsímil")</f>
        <v>Abrir facsímil</v>
      </c>
      <c r="K880" s="3" t="s">
        <v>22</v>
      </c>
    </row>
    <row r="881" spans="1:11" ht="42" customHeight="1">
      <c r="A881" s="2" t="s">
        <v>2258</v>
      </c>
      <c r="B881" s="2" t="s">
        <v>2259</v>
      </c>
      <c r="C881" s="2" t="s">
        <v>16</v>
      </c>
      <c r="D881" s="2" t="s">
        <v>17</v>
      </c>
      <c r="E881" s="5">
        <v>-31544</v>
      </c>
      <c r="F881" s="3" t="s">
        <v>200</v>
      </c>
      <c r="G881" s="3" t="s">
        <v>87</v>
      </c>
      <c r="H881" s="2" t="s">
        <v>20</v>
      </c>
      <c r="I881" s="2" t="s">
        <v>2260</v>
      </c>
      <c r="J881" s="3" t="str">
        <f>HYPERLINK("https://www.boe.es/gazeta/dias/1813/08/19/pdfs/GRE-1813-106.pdf#page=7","Abrir facsímil")</f>
        <v>Abrir facsímil</v>
      </c>
      <c r="K881" s="3" t="s">
        <v>22</v>
      </c>
    </row>
    <row r="882" spans="1:11" ht="42" customHeight="1">
      <c r="A882" s="2" t="s">
        <v>2261</v>
      </c>
      <c r="B882" s="2" t="s">
        <v>2262</v>
      </c>
      <c r="C882" s="2" t="s">
        <v>16</v>
      </c>
      <c r="D882" s="2" t="s">
        <v>17</v>
      </c>
      <c r="E882" s="5">
        <v>-31465</v>
      </c>
      <c r="F882" s="3" t="s">
        <v>407</v>
      </c>
      <c r="G882" s="3" t="s">
        <v>19</v>
      </c>
      <c r="H882" s="2" t="s">
        <v>20</v>
      </c>
      <c r="I882" s="2" t="s">
        <v>2263</v>
      </c>
      <c r="J882" s="3" t="str">
        <f>HYPERLINK("https://www.boe.es/gazeta/dias/1813/11/06/pdfs/GMR-1813-70.pdf#page=4","Abrir facsímil")</f>
        <v>Abrir facsímil</v>
      </c>
      <c r="K882" s="3" t="s">
        <v>22</v>
      </c>
    </row>
    <row r="883" spans="1:11" ht="42" customHeight="1">
      <c r="A883" s="2" t="s">
        <v>2264</v>
      </c>
      <c r="B883" s="2" t="s">
        <v>2265</v>
      </c>
      <c r="C883" s="2" t="s">
        <v>16</v>
      </c>
      <c r="D883" s="2" t="s">
        <v>17</v>
      </c>
      <c r="E883" s="5">
        <v>-31465</v>
      </c>
      <c r="F883" s="3" t="s">
        <v>407</v>
      </c>
      <c r="G883" s="3" t="s">
        <v>82</v>
      </c>
      <c r="H883" s="2" t="s">
        <v>20</v>
      </c>
      <c r="I883" s="2" t="s">
        <v>2266</v>
      </c>
      <c r="J883" s="3" t="str">
        <f>HYPERLINK("https://www.boe.es/gazeta/dias/1813/11/06/pdfs/GMR-1813-70.pdf#page=5","Abrir facsímil")</f>
        <v>Abrir facsímil</v>
      </c>
      <c r="K883" s="3" t="s">
        <v>22</v>
      </c>
    </row>
    <row r="884" spans="1:11" ht="42" customHeight="1">
      <c r="A884" s="2" t="s">
        <v>2267</v>
      </c>
      <c r="B884" s="2" t="s">
        <v>2267</v>
      </c>
      <c r="C884" s="2" t="s">
        <v>16</v>
      </c>
      <c r="D884" s="2" t="s">
        <v>17</v>
      </c>
      <c r="E884" s="5">
        <v>-31592</v>
      </c>
      <c r="F884" s="3" t="s">
        <v>1538</v>
      </c>
      <c r="G884" s="3" t="s">
        <v>2268</v>
      </c>
      <c r="H884" s="2" t="s">
        <v>20</v>
      </c>
      <c r="I884" s="2" t="s">
        <v>2269</v>
      </c>
      <c r="J884" s="3" t="str">
        <f>HYPERLINK("https://www.boe.es/gazeta/dias/1813/07/02/pdfs/GMR-1813-14.pdf#page=6","Abrir facsímil")</f>
        <v>Abrir facsímil</v>
      </c>
      <c r="K884" s="3" t="s">
        <v>22</v>
      </c>
    </row>
    <row r="885" spans="1:11" ht="42" customHeight="1">
      <c r="A885" s="2" t="s">
        <v>2270</v>
      </c>
      <c r="B885" s="2" t="s">
        <v>2270</v>
      </c>
      <c r="C885" s="2" t="s">
        <v>16</v>
      </c>
      <c r="D885" s="2" t="s">
        <v>17</v>
      </c>
      <c r="E885" s="5">
        <v>-31728</v>
      </c>
      <c r="F885" s="3" t="s">
        <v>1434</v>
      </c>
      <c r="G885" s="3" t="s">
        <v>65</v>
      </c>
      <c r="H885" s="2" t="s">
        <v>20</v>
      </c>
      <c r="I885" s="2" t="s">
        <v>2271</v>
      </c>
      <c r="J885" s="3" t="str">
        <f>HYPERLINK("https://www.boe.es/gazeta/dias/1813/02/16/pdfs/GRE-1813-20.pdf#page=1","Abrir facsímil")</f>
        <v>Abrir facsímil</v>
      </c>
      <c r="K885" s="3" t="s">
        <v>22</v>
      </c>
    </row>
    <row r="886" spans="1:11" ht="42" customHeight="1">
      <c r="A886" s="2" t="s">
        <v>2272</v>
      </c>
      <c r="B886" s="2" t="s">
        <v>2272</v>
      </c>
      <c r="C886" s="2" t="s">
        <v>16</v>
      </c>
      <c r="D886" s="2" t="s">
        <v>17</v>
      </c>
      <c r="E886" s="5">
        <v>-31616</v>
      </c>
      <c r="F886" s="3" t="s">
        <v>2201</v>
      </c>
      <c r="G886" s="3" t="s">
        <v>2202</v>
      </c>
      <c r="H886" s="2" t="s">
        <v>20</v>
      </c>
      <c r="I886" s="2" t="s">
        <v>2273</v>
      </c>
      <c r="J886" s="3" t="str">
        <f>HYPERLINK("https://www.boe.es/gazeta/dias/1813/06/08/pdfs/GMR-1813-3.pdf#page=5","Abrir facsímil")</f>
        <v>Abrir facsímil</v>
      </c>
      <c r="K886" s="3" t="s">
        <v>22</v>
      </c>
    </row>
    <row r="887" spans="1:11" ht="42" customHeight="1">
      <c r="A887" s="2" t="s">
        <v>2274</v>
      </c>
      <c r="B887" s="2" t="s">
        <v>2274</v>
      </c>
      <c r="C887" s="2" t="s">
        <v>16</v>
      </c>
      <c r="D887" s="2" t="s">
        <v>17</v>
      </c>
      <c r="E887" s="5">
        <v>-31665</v>
      </c>
      <c r="F887" s="3" t="s">
        <v>396</v>
      </c>
      <c r="G887" s="3" t="s">
        <v>397</v>
      </c>
      <c r="H887" s="2" t="s">
        <v>20</v>
      </c>
      <c r="I887" s="2" t="s">
        <v>2275</v>
      </c>
      <c r="J887" s="3" t="str">
        <f>HYPERLINK("https://www.boe.es/gazeta/dias/1813/04/20/pdfs/GRE-1813-49.pdf#page=8","Abrir facsímil")</f>
        <v>Abrir facsímil</v>
      </c>
      <c r="K887" s="3" t="s">
        <v>22</v>
      </c>
    </row>
    <row r="888" spans="1:11" ht="42" customHeight="1">
      <c r="A888" s="2" t="s">
        <v>2276</v>
      </c>
      <c r="B888" s="2" t="s">
        <v>2276</v>
      </c>
      <c r="C888" s="2" t="s">
        <v>16</v>
      </c>
      <c r="D888" s="2" t="s">
        <v>17</v>
      </c>
      <c r="E888" s="5">
        <v>-31537</v>
      </c>
      <c r="F888" s="3" t="s">
        <v>138</v>
      </c>
      <c r="G888" s="3" t="s">
        <v>178</v>
      </c>
      <c r="H888" s="2" t="s">
        <v>20</v>
      </c>
      <c r="I888" s="2" t="s">
        <v>2277</v>
      </c>
      <c r="J888" s="3" t="str">
        <f>HYPERLINK("https://www.boe.es/gazeta/dias/1813/08/26/pdfs/GMR-1813-33.pdf#page=11","Abrir facsímil")</f>
        <v>Abrir facsímil</v>
      </c>
      <c r="K888" s="3" t="s">
        <v>22</v>
      </c>
    </row>
    <row r="889" spans="1:11" ht="42" customHeight="1">
      <c r="A889" s="2" t="s">
        <v>2278</v>
      </c>
      <c r="B889" s="2" t="s">
        <v>2278</v>
      </c>
      <c r="C889" s="2" t="s">
        <v>16</v>
      </c>
      <c r="D889" s="2" t="s">
        <v>97</v>
      </c>
      <c r="E889" s="5">
        <v>-31548</v>
      </c>
      <c r="F889" s="3" t="s">
        <v>1680</v>
      </c>
      <c r="G889" s="3" t="s">
        <v>82</v>
      </c>
      <c r="H889" s="2" t="s">
        <v>20</v>
      </c>
      <c r="I889" s="2" t="s">
        <v>2279</v>
      </c>
      <c r="J889" s="3" t="str">
        <f>HYPERLINK("https://www.boe.es/gazeta/dias/1813/08/15/pdfs/GRE-1813-104E.pdf#page=5","Abrir facsímil")</f>
        <v>Abrir facsímil</v>
      </c>
      <c r="K889" s="3" t="s">
        <v>22</v>
      </c>
    </row>
    <row r="890" spans="1:11" ht="42" customHeight="1">
      <c r="A890" s="2" t="s">
        <v>2280</v>
      </c>
      <c r="B890" s="2" t="s">
        <v>2280</v>
      </c>
      <c r="C890" s="2" t="s">
        <v>16</v>
      </c>
      <c r="D890" s="2" t="s">
        <v>17</v>
      </c>
      <c r="E890" s="5">
        <v>-31413</v>
      </c>
      <c r="F890" s="3" t="s">
        <v>149</v>
      </c>
      <c r="G890" s="3" t="s">
        <v>54</v>
      </c>
      <c r="H890" s="2" t="s">
        <v>20</v>
      </c>
      <c r="I890" s="2" t="s">
        <v>2281</v>
      </c>
      <c r="J890" s="3" t="str">
        <f>HYPERLINK("https://www.boe.es/gazeta/dias/1813/12/28/pdfs/GMR-1813-93.pdf#page=3","Abrir facsímil")</f>
        <v>Abrir facsímil</v>
      </c>
      <c r="K890" s="3" t="s">
        <v>22</v>
      </c>
    </row>
    <row r="891" spans="1:11" ht="42" customHeight="1">
      <c r="A891" s="2" t="s">
        <v>2282</v>
      </c>
      <c r="B891" s="2" t="s">
        <v>2282</v>
      </c>
      <c r="C891" s="2" t="s">
        <v>16</v>
      </c>
      <c r="D891" s="2" t="s">
        <v>97</v>
      </c>
      <c r="E891" s="5">
        <v>-31548</v>
      </c>
      <c r="F891" s="3" t="s">
        <v>1680</v>
      </c>
      <c r="G891" s="3" t="s">
        <v>58</v>
      </c>
      <c r="H891" s="2" t="s">
        <v>20</v>
      </c>
      <c r="I891" s="2" t="s">
        <v>2283</v>
      </c>
      <c r="J891" s="3" t="str">
        <f>HYPERLINK("https://www.boe.es/gazeta/dias/1813/08/15/pdfs/GRE-1813-104E.pdf#page=2","Abrir facsímil")</f>
        <v>Abrir facsímil</v>
      </c>
      <c r="K891" s="3" t="s">
        <v>22</v>
      </c>
    </row>
    <row r="892" spans="1:11" ht="42" customHeight="1">
      <c r="A892" s="2" t="s">
        <v>2282</v>
      </c>
      <c r="B892" s="2" t="s">
        <v>2282</v>
      </c>
      <c r="C892" s="2" t="s">
        <v>16</v>
      </c>
      <c r="D892" s="2" t="s">
        <v>97</v>
      </c>
      <c r="E892" s="5">
        <v>-31548</v>
      </c>
      <c r="F892" s="3" t="s">
        <v>1680</v>
      </c>
      <c r="G892" s="3" t="s">
        <v>95</v>
      </c>
      <c r="H892" s="2" t="s">
        <v>20</v>
      </c>
      <c r="I892" s="2" t="s">
        <v>2284</v>
      </c>
      <c r="J892" s="3" t="str">
        <f>HYPERLINK("https://www.boe.es/gazeta/dias/1813/08/15/pdfs/GRE-1813-104E.pdf#page=6","Abrir facsímil")</f>
        <v>Abrir facsímil</v>
      </c>
      <c r="K892" s="3" t="s">
        <v>22</v>
      </c>
    </row>
    <row r="893" spans="1:11" ht="42" customHeight="1">
      <c r="A893" s="2" t="s">
        <v>2285</v>
      </c>
      <c r="B893" s="2" t="s">
        <v>2285</v>
      </c>
      <c r="C893" s="2" t="s">
        <v>16</v>
      </c>
      <c r="D893" s="2" t="s">
        <v>17</v>
      </c>
      <c r="E893" s="5">
        <v>-31578</v>
      </c>
      <c r="F893" s="3" t="s">
        <v>974</v>
      </c>
      <c r="G893" s="3" t="s">
        <v>313</v>
      </c>
      <c r="H893" s="2" t="s">
        <v>20</v>
      </c>
      <c r="I893" s="2" t="s">
        <v>2286</v>
      </c>
      <c r="J893" s="3" t="str">
        <f>HYPERLINK("https://www.boe.es/gazeta/dias/1813/07/16/pdfs/GMR-1813-18.pdf#page=9","Abrir facsímil")</f>
        <v>Abrir facsímil</v>
      </c>
      <c r="K893" s="3" t="s">
        <v>22</v>
      </c>
    </row>
    <row r="894" spans="1:11" ht="42" customHeight="1">
      <c r="A894" s="2" t="s">
        <v>2287</v>
      </c>
      <c r="B894" s="2" t="s">
        <v>2287</v>
      </c>
      <c r="C894" s="2" t="s">
        <v>16</v>
      </c>
      <c r="D894" s="2" t="s">
        <v>17</v>
      </c>
      <c r="E894" s="5">
        <v>-31453</v>
      </c>
      <c r="F894" s="3" t="s">
        <v>695</v>
      </c>
      <c r="G894" s="3" t="s">
        <v>19</v>
      </c>
      <c r="H894" s="2" t="s">
        <v>20</v>
      </c>
      <c r="I894" s="2" t="s">
        <v>2288</v>
      </c>
      <c r="J894" s="3" t="str">
        <f>HYPERLINK("https://www.boe.es/gazeta/dias/1813/11/18/pdfs/GRE-1813-151.pdf#page=4","Abrir facsímil")</f>
        <v>Abrir facsímil</v>
      </c>
      <c r="K894" s="3" t="s">
        <v>22</v>
      </c>
    </row>
    <row r="895" spans="1:11" ht="42" customHeight="1">
      <c r="A895" s="2" t="s">
        <v>2289</v>
      </c>
      <c r="B895" s="2" t="s">
        <v>2289</v>
      </c>
      <c r="C895" s="2" t="s">
        <v>16</v>
      </c>
      <c r="D895" s="2" t="s">
        <v>17</v>
      </c>
      <c r="E895" s="5">
        <v>-31642</v>
      </c>
      <c r="F895" s="3" t="s">
        <v>582</v>
      </c>
      <c r="G895" s="3" t="s">
        <v>58</v>
      </c>
      <c r="H895" s="2" t="s">
        <v>20</v>
      </c>
      <c r="I895" s="2" t="s">
        <v>2290</v>
      </c>
      <c r="J895" s="3" t="str">
        <f>HYPERLINK("https://www.boe.es/gazeta/dias/1813/05/13/pdfs/GRE-1813-59.pdf#page=2","Abrir facsímil")</f>
        <v>Abrir facsímil</v>
      </c>
      <c r="K895" s="3" t="s">
        <v>22</v>
      </c>
    </row>
    <row r="896" spans="1:11" ht="42" customHeight="1">
      <c r="A896" s="2" t="s">
        <v>2291</v>
      </c>
      <c r="B896" s="2" t="s">
        <v>2291</v>
      </c>
      <c r="C896" s="2" t="s">
        <v>16</v>
      </c>
      <c r="D896" s="2" t="s">
        <v>17</v>
      </c>
      <c r="E896" s="5">
        <v>-31581</v>
      </c>
      <c r="F896" s="3" t="s">
        <v>1321</v>
      </c>
      <c r="G896" s="3" t="s">
        <v>54</v>
      </c>
      <c r="H896" s="2" t="s">
        <v>20</v>
      </c>
      <c r="I896" s="2" t="s">
        <v>2292</v>
      </c>
      <c r="J896" s="3" t="str">
        <f>HYPERLINK("https://www.boe.es/gazeta/dias/1813/07/13/pdfs/GMR-1813-17.pdf#page=3","Abrir facsímil")</f>
        <v>Abrir facsímil</v>
      </c>
      <c r="K896" s="3" t="s">
        <v>22</v>
      </c>
    </row>
    <row r="897" spans="1:11" ht="42" customHeight="1">
      <c r="A897" s="2" t="s">
        <v>2291</v>
      </c>
      <c r="B897" s="2" t="s">
        <v>2291</v>
      </c>
      <c r="C897" s="2" t="s">
        <v>16</v>
      </c>
      <c r="D897" s="2" t="s">
        <v>17</v>
      </c>
      <c r="E897" s="5">
        <v>-31509</v>
      </c>
      <c r="F897" s="3" t="s">
        <v>202</v>
      </c>
      <c r="G897" s="3" t="s">
        <v>95</v>
      </c>
      <c r="H897" s="2" t="s">
        <v>20</v>
      </c>
      <c r="I897" s="2" t="s">
        <v>2293</v>
      </c>
      <c r="J897" s="3" t="str">
        <f>HYPERLINK("https://www.boe.es/gazeta/dias/1813/09/23/pdfs/GMR-1813-47.pdf#page=6","Abrir facsímil")</f>
        <v>Abrir facsímil</v>
      </c>
      <c r="K897" s="3" t="s">
        <v>22</v>
      </c>
    </row>
    <row r="898" spans="1:11" ht="42" customHeight="1">
      <c r="A898" s="2" t="s">
        <v>2291</v>
      </c>
      <c r="B898" s="2" t="s">
        <v>2291</v>
      </c>
      <c r="C898" s="2" t="s">
        <v>16</v>
      </c>
      <c r="D898" s="2" t="s">
        <v>17</v>
      </c>
      <c r="E898" s="5">
        <v>-31507</v>
      </c>
      <c r="F898" s="3" t="s">
        <v>2294</v>
      </c>
      <c r="G898" s="3" t="s">
        <v>2295</v>
      </c>
      <c r="H898" s="2" t="s">
        <v>20</v>
      </c>
      <c r="I898" s="2" t="s">
        <v>2296</v>
      </c>
      <c r="J898" s="3" t="str">
        <f>HYPERLINK("https://www.boe.es/gazeta/dias/1813/09/25/pdfs/GRE-1813-126.pdf#page=7","Abrir facsímil")</f>
        <v>Abrir facsímil</v>
      </c>
      <c r="K898" s="3" t="s">
        <v>22</v>
      </c>
    </row>
    <row r="899" spans="1:11" ht="42" customHeight="1">
      <c r="A899" s="2" t="s">
        <v>2291</v>
      </c>
      <c r="B899" s="2" t="s">
        <v>2291</v>
      </c>
      <c r="C899" s="2" t="s">
        <v>16</v>
      </c>
      <c r="D899" s="2" t="s">
        <v>17</v>
      </c>
      <c r="E899" s="5">
        <v>-31481</v>
      </c>
      <c r="F899" s="3" t="s">
        <v>380</v>
      </c>
      <c r="G899" s="3" t="s">
        <v>82</v>
      </c>
      <c r="H899" s="2" t="s">
        <v>20</v>
      </c>
      <c r="I899" s="2" t="s">
        <v>2297</v>
      </c>
      <c r="J899" s="3" t="str">
        <f>HYPERLINK("https://www.boe.es/gazeta/dias/1813/10/21/pdfs/GRE-1813-137.pdf#page=5","Abrir facsímil")</f>
        <v>Abrir facsímil</v>
      </c>
      <c r="K899" s="3" t="s">
        <v>22</v>
      </c>
    </row>
    <row r="900" spans="1:11" ht="42" customHeight="1">
      <c r="A900" s="2" t="s">
        <v>2291</v>
      </c>
      <c r="B900" s="2" t="s">
        <v>2291</v>
      </c>
      <c r="C900" s="2" t="s">
        <v>16</v>
      </c>
      <c r="D900" s="2" t="s">
        <v>17</v>
      </c>
      <c r="E900" s="5">
        <v>-31474</v>
      </c>
      <c r="F900" s="3" t="s">
        <v>130</v>
      </c>
      <c r="G900" s="3" t="s">
        <v>54</v>
      </c>
      <c r="H900" s="2" t="s">
        <v>20</v>
      </c>
      <c r="I900" s="2" t="s">
        <v>2298</v>
      </c>
      <c r="J900" s="3" t="str">
        <f>HYPERLINK("https://www.boe.es/gazeta/dias/1813/10/28/pdfs/GRE-1813-141.pdf#page=3","Abrir facsímil")</f>
        <v>Abrir facsímil</v>
      </c>
      <c r="K900" s="3" t="s">
        <v>22</v>
      </c>
    </row>
    <row r="901" spans="1:11" ht="42" customHeight="1">
      <c r="A901" s="2" t="s">
        <v>2291</v>
      </c>
      <c r="B901" s="2" t="s">
        <v>2291</v>
      </c>
      <c r="C901" s="2" t="s">
        <v>16</v>
      </c>
      <c r="D901" s="2" t="s">
        <v>17</v>
      </c>
      <c r="E901" s="5">
        <v>-31472</v>
      </c>
      <c r="F901" s="3" t="s">
        <v>1942</v>
      </c>
      <c r="G901" s="3" t="s">
        <v>82</v>
      </c>
      <c r="H901" s="2" t="s">
        <v>20</v>
      </c>
      <c r="I901" s="2" t="s">
        <v>2299</v>
      </c>
      <c r="J901" s="3" t="str">
        <f>HYPERLINK("https://www.boe.es/gazeta/dias/1813/10/30/pdfs/GRE-1813-142.pdf#page=5","Abrir facsímil")</f>
        <v>Abrir facsímil</v>
      </c>
      <c r="K901" s="3" t="s">
        <v>22</v>
      </c>
    </row>
    <row r="902" spans="1:11" ht="42" customHeight="1">
      <c r="A902" s="2" t="s">
        <v>2289</v>
      </c>
      <c r="B902" s="2" t="s">
        <v>2289</v>
      </c>
      <c r="C902" s="2" t="s">
        <v>16</v>
      </c>
      <c r="D902" s="2" t="s">
        <v>17</v>
      </c>
      <c r="E902" s="5">
        <v>-31448</v>
      </c>
      <c r="F902" s="3" t="s">
        <v>325</v>
      </c>
      <c r="G902" s="3" t="s">
        <v>95</v>
      </c>
      <c r="H902" s="2" t="s">
        <v>20</v>
      </c>
      <c r="I902" s="2" t="s">
        <v>2300</v>
      </c>
      <c r="J902" s="3" t="str">
        <f>HYPERLINK("https://www.boe.es/gazeta/dias/1813/11/23/pdfs/GMR-1813-78.pdf#page=6","Abrir facsímil")</f>
        <v>Abrir facsímil</v>
      </c>
      <c r="K902" s="3" t="s">
        <v>22</v>
      </c>
    </row>
    <row r="903" spans="1:11" ht="42" customHeight="1">
      <c r="A903" s="2" t="s">
        <v>2291</v>
      </c>
      <c r="B903" s="2" t="s">
        <v>2291</v>
      </c>
      <c r="C903" s="2" t="s">
        <v>16</v>
      </c>
      <c r="D903" s="2" t="s">
        <v>17</v>
      </c>
      <c r="E903" s="5">
        <v>-31448</v>
      </c>
      <c r="F903" s="3" t="s">
        <v>57</v>
      </c>
      <c r="G903" s="3" t="s">
        <v>58</v>
      </c>
      <c r="H903" s="2" t="s">
        <v>20</v>
      </c>
      <c r="I903" s="2" t="s">
        <v>2301</v>
      </c>
      <c r="J903" s="3" t="str">
        <f>HYPERLINK("https://www.boe.es/gazeta/dias/1813/11/23/pdfs/GRE-1813-153.pdf#page=2","Abrir facsímil")</f>
        <v>Abrir facsímil</v>
      </c>
      <c r="K903" s="3" t="s">
        <v>22</v>
      </c>
    </row>
    <row r="904" spans="1:11" ht="42" customHeight="1">
      <c r="A904" s="2" t="s">
        <v>2291</v>
      </c>
      <c r="B904" s="2" t="s">
        <v>2291</v>
      </c>
      <c r="C904" s="2" t="s">
        <v>16</v>
      </c>
      <c r="D904" s="2" t="s">
        <v>17</v>
      </c>
      <c r="E904" s="5">
        <v>-31446</v>
      </c>
      <c r="F904" s="3" t="s">
        <v>1078</v>
      </c>
      <c r="G904" s="3" t="s">
        <v>54</v>
      </c>
      <c r="H904" s="2" t="s">
        <v>20</v>
      </c>
      <c r="I904" s="2" t="s">
        <v>2302</v>
      </c>
      <c r="J904" s="3" t="str">
        <f>HYPERLINK("https://www.boe.es/gazeta/dias/1813/11/25/pdfs/GRE-1813-154.pdf#page=3","Abrir facsímil")</f>
        <v>Abrir facsímil</v>
      </c>
      <c r="K904" s="3" t="s">
        <v>22</v>
      </c>
    </row>
    <row r="905" spans="1:11" ht="42" customHeight="1">
      <c r="A905" s="2" t="s">
        <v>2291</v>
      </c>
      <c r="B905" s="2" t="s">
        <v>2291</v>
      </c>
      <c r="C905" s="2" t="s">
        <v>16</v>
      </c>
      <c r="D905" s="2" t="s">
        <v>17</v>
      </c>
      <c r="E905" s="5">
        <v>-31446</v>
      </c>
      <c r="F905" s="3" t="s">
        <v>1078</v>
      </c>
      <c r="G905" s="3" t="s">
        <v>19</v>
      </c>
      <c r="H905" s="2" t="s">
        <v>20</v>
      </c>
      <c r="I905" s="2" t="s">
        <v>2303</v>
      </c>
      <c r="J905" s="3" t="str">
        <f>HYPERLINK("https://www.boe.es/gazeta/dias/1813/11/25/pdfs/GRE-1813-154.pdf#page=4","Abrir facsímil")</f>
        <v>Abrir facsímil</v>
      </c>
      <c r="K905" s="3" t="s">
        <v>22</v>
      </c>
    </row>
    <row r="906" spans="1:11" ht="42" customHeight="1">
      <c r="A906" s="2" t="s">
        <v>2291</v>
      </c>
      <c r="B906" s="2" t="s">
        <v>2291</v>
      </c>
      <c r="C906" s="2" t="s">
        <v>16</v>
      </c>
      <c r="D906" s="2" t="s">
        <v>17</v>
      </c>
      <c r="E906" s="5">
        <v>-31446</v>
      </c>
      <c r="F906" s="3" t="s">
        <v>1078</v>
      </c>
      <c r="G906" s="3" t="s">
        <v>95</v>
      </c>
      <c r="H906" s="2" t="s">
        <v>20</v>
      </c>
      <c r="I906" s="2" t="s">
        <v>2304</v>
      </c>
      <c r="J906" s="3" t="str">
        <f>HYPERLINK("https://www.boe.es/gazeta/dias/1813/11/25/pdfs/GRE-1813-154.pdf#page=6","Abrir facsímil")</f>
        <v>Abrir facsímil</v>
      </c>
      <c r="K906" s="3" t="s">
        <v>22</v>
      </c>
    </row>
    <row r="907" spans="1:11" ht="42" customHeight="1">
      <c r="A907" s="2" t="s">
        <v>2305</v>
      </c>
      <c r="B907" s="2" t="s">
        <v>2305</v>
      </c>
      <c r="C907" s="2" t="s">
        <v>16</v>
      </c>
      <c r="D907" s="2" t="s">
        <v>17</v>
      </c>
      <c r="E907" s="5">
        <v>-31411</v>
      </c>
      <c r="F907" s="3" t="s">
        <v>2306</v>
      </c>
      <c r="G907" s="3" t="s">
        <v>54</v>
      </c>
      <c r="H907" s="2" t="s">
        <v>20</v>
      </c>
      <c r="I907" s="2" t="s">
        <v>2307</v>
      </c>
      <c r="J907" s="3" t="str">
        <f>HYPERLINK("https://www.boe.es/gazeta/dias/1813/12/30/pdfs/GMR-1813-94.pdf#page=3","Abrir facsímil")</f>
        <v>Abrir facsímil</v>
      </c>
      <c r="K907" s="3" t="s">
        <v>22</v>
      </c>
    </row>
    <row r="908" spans="1:11" ht="42" customHeight="1">
      <c r="A908" s="2" t="s">
        <v>2308</v>
      </c>
      <c r="B908" s="2" t="s">
        <v>2308</v>
      </c>
      <c r="C908" s="2" t="s">
        <v>16</v>
      </c>
      <c r="D908" s="2" t="s">
        <v>97</v>
      </c>
      <c r="E908" s="5">
        <v>-31446</v>
      </c>
      <c r="F908" s="3" t="s">
        <v>1877</v>
      </c>
      <c r="G908" s="3" t="s">
        <v>1948</v>
      </c>
      <c r="H908" s="2" t="s">
        <v>20</v>
      </c>
      <c r="I908" s="2" t="s">
        <v>2309</v>
      </c>
      <c r="J908" s="3" t="str">
        <f>HYPERLINK("https://www.boe.es/gazeta/dias/1813/11/25/pdfs/GRE-1813-155E.pdf#page=7","Abrir facsímil")</f>
        <v>Abrir facsímil</v>
      </c>
      <c r="K908" s="3" t="s">
        <v>22</v>
      </c>
    </row>
    <row r="909" spans="1:11" ht="42" customHeight="1">
      <c r="A909" s="2" t="s">
        <v>2310</v>
      </c>
      <c r="B909" s="2" t="s">
        <v>2310</v>
      </c>
      <c r="C909" s="2" t="s">
        <v>16</v>
      </c>
      <c r="D909" s="2" t="s">
        <v>17</v>
      </c>
      <c r="E909" s="5">
        <v>-31469</v>
      </c>
      <c r="F909" s="3" t="s">
        <v>1452</v>
      </c>
      <c r="G909" s="3" t="s">
        <v>54</v>
      </c>
      <c r="H909" s="2" t="s">
        <v>20</v>
      </c>
      <c r="I909" s="2" t="s">
        <v>2311</v>
      </c>
      <c r="J909" s="3" t="str">
        <f>HYPERLINK("https://www.boe.es/gazeta/dias/1813/11/02/pdfs/GRE-1813-143.pdf#page=3","Abrir facsímil")</f>
        <v>Abrir facsímil</v>
      </c>
      <c r="K909" s="3" t="s">
        <v>22</v>
      </c>
    </row>
    <row r="910" spans="1:11" ht="42" customHeight="1">
      <c r="A910" s="2" t="s">
        <v>2312</v>
      </c>
      <c r="B910" s="2" t="s">
        <v>2312</v>
      </c>
      <c r="C910" s="2" t="s">
        <v>16</v>
      </c>
      <c r="D910" s="2" t="s">
        <v>17</v>
      </c>
      <c r="E910" s="5">
        <v>-31453</v>
      </c>
      <c r="F910" s="3" t="s">
        <v>695</v>
      </c>
      <c r="G910" s="3" t="s">
        <v>65</v>
      </c>
      <c r="H910" s="2" t="s">
        <v>20</v>
      </c>
      <c r="I910" s="2" t="s">
        <v>2313</v>
      </c>
      <c r="J910" s="3" t="str">
        <f>HYPERLINK("https://www.boe.es/gazeta/dias/1813/11/18/pdfs/GRE-1813-151.pdf#page=1","Abrir facsímil")</f>
        <v>Abrir facsímil</v>
      </c>
      <c r="K910" s="3" t="s">
        <v>22</v>
      </c>
    </row>
    <row r="911" spans="1:11" ht="42" customHeight="1">
      <c r="A911" s="2" t="s">
        <v>2314</v>
      </c>
      <c r="B911" s="2" t="s">
        <v>2314</v>
      </c>
      <c r="C911" s="2" t="s">
        <v>16</v>
      </c>
      <c r="D911" s="2" t="s">
        <v>17</v>
      </c>
      <c r="E911" s="5">
        <v>-31458</v>
      </c>
      <c r="F911" s="3" t="s">
        <v>2315</v>
      </c>
      <c r="G911" s="3" t="s">
        <v>54</v>
      </c>
      <c r="H911" s="2" t="s">
        <v>20</v>
      </c>
      <c r="I911" s="2" t="s">
        <v>2316</v>
      </c>
      <c r="J911" s="3" t="str">
        <f>HYPERLINK("https://www.boe.es/gazeta/dias/1813/11/13/pdfs/GMR-1813-73.pdf#page=3","Abrir facsímil")</f>
        <v>Abrir facsímil</v>
      </c>
      <c r="K911" s="3" t="s">
        <v>22</v>
      </c>
    </row>
    <row r="912" spans="1:11" ht="42" customHeight="1">
      <c r="A912" s="2" t="s">
        <v>2314</v>
      </c>
      <c r="B912" s="2" t="s">
        <v>2314</v>
      </c>
      <c r="C912" s="2" t="s">
        <v>16</v>
      </c>
      <c r="D912" s="2" t="s">
        <v>17</v>
      </c>
      <c r="E912" s="5">
        <v>-31448</v>
      </c>
      <c r="F912" s="3" t="s">
        <v>325</v>
      </c>
      <c r="G912" s="3" t="s">
        <v>54</v>
      </c>
      <c r="H912" s="2" t="s">
        <v>20</v>
      </c>
      <c r="I912" s="2" t="s">
        <v>2317</v>
      </c>
      <c r="J912" s="3" t="str">
        <f>HYPERLINK("https://www.boe.es/gazeta/dias/1813/11/23/pdfs/GMR-1813-78.pdf#page=3","Abrir facsímil")</f>
        <v>Abrir facsímil</v>
      </c>
      <c r="K912" s="3" t="s">
        <v>22</v>
      </c>
    </row>
    <row r="913" spans="1:11" ht="42" customHeight="1">
      <c r="A913" s="2" t="s">
        <v>2314</v>
      </c>
      <c r="B913" s="2" t="s">
        <v>2314</v>
      </c>
      <c r="C913" s="2" t="s">
        <v>16</v>
      </c>
      <c r="D913" s="2" t="s">
        <v>17</v>
      </c>
      <c r="E913" s="5">
        <v>-31448</v>
      </c>
      <c r="F913" s="3" t="s">
        <v>325</v>
      </c>
      <c r="G913" s="3" t="s">
        <v>19</v>
      </c>
      <c r="H913" s="2" t="s">
        <v>20</v>
      </c>
      <c r="I913" s="2" t="s">
        <v>2318</v>
      </c>
      <c r="J913" s="3" t="str">
        <f>HYPERLINK("https://www.boe.es/gazeta/dias/1813/11/23/pdfs/GMR-1813-78.pdf#page=4","Abrir facsímil")</f>
        <v>Abrir facsímil</v>
      </c>
      <c r="K913" s="3" t="s">
        <v>22</v>
      </c>
    </row>
    <row r="914" spans="1:11" ht="42" customHeight="1">
      <c r="A914" s="2" t="s">
        <v>2314</v>
      </c>
      <c r="B914" s="2" t="s">
        <v>2314</v>
      </c>
      <c r="C914" s="2" t="s">
        <v>16</v>
      </c>
      <c r="D914" s="2" t="s">
        <v>17</v>
      </c>
      <c r="E914" s="5">
        <v>-31437</v>
      </c>
      <c r="F914" s="3" t="s">
        <v>217</v>
      </c>
      <c r="G914" s="3" t="s">
        <v>58</v>
      </c>
      <c r="H914" s="2" t="s">
        <v>20</v>
      </c>
      <c r="I914" s="2" t="s">
        <v>2319</v>
      </c>
      <c r="J914" s="3" t="str">
        <f>HYPERLINK("https://www.boe.es/gazeta/dias/1813/12/04/pdfs/GRE-1813-160.pdf#page=2","Abrir facsímil")</f>
        <v>Abrir facsímil</v>
      </c>
      <c r="K914" s="3" t="s">
        <v>22</v>
      </c>
    </row>
    <row r="915" spans="1:11" ht="42" customHeight="1">
      <c r="A915" s="2" t="s">
        <v>2320</v>
      </c>
      <c r="B915" s="2" t="s">
        <v>2320</v>
      </c>
      <c r="C915" s="2" t="s">
        <v>16</v>
      </c>
      <c r="D915" s="2" t="s">
        <v>17</v>
      </c>
      <c r="E915" s="5">
        <v>-31437</v>
      </c>
      <c r="F915" s="3" t="s">
        <v>217</v>
      </c>
      <c r="G915" s="3" t="s">
        <v>58</v>
      </c>
      <c r="H915" s="2" t="s">
        <v>20</v>
      </c>
      <c r="I915" s="2" t="s">
        <v>2321</v>
      </c>
      <c r="J915" s="3" t="str">
        <f>HYPERLINK("https://www.boe.es/gazeta/dias/1813/12/04/pdfs/GRE-1813-160.pdf#page=2","Abrir facsímil")</f>
        <v>Abrir facsímil</v>
      </c>
      <c r="K915" s="3" t="s">
        <v>22</v>
      </c>
    </row>
    <row r="916" spans="1:11" ht="42" customHeight="1">
      <c r="A916" s="2" t="s">
        <v>2322</v>
      </c>
      <c r="B916" s="2" t="s">
        <v>2322</v>
      </c>
      <c r="C916" s="2" t="s">
        <v>16</v>
      </c>
      <c r="D916" s="2" t="s">
        <v>17</v>
      </c>
      <c r="E916" s="5">
        <v>-31446</v>
      </c>
      <c r="F916" s="3" t="s">
        <v>1078</v>
      </c>
      <c r="G916" s="3" t="s">
        <v>65</v>
      </c>
      <c r="H916" s="2" t="s">
        <v>20</v>
      </c>
      <c r="I916" s="2" t="s">
        <v>2323</v>
      </c>
      <c r="J916" s="3" t="str">
        <f>HYPERLINK("https://www.boe.es/gazeta/dias/1813/11/25/pdfs/GRE-1813-154.pdf#page=1","Abrir facsímil")</f>
        <v>Abrir facsímil</v>
      </c>
      <c r="K916" s="3" t="s">
        <v>22</v>
      </c>
    </row>
    <row r="917" spans="1:11" ht="42" customHeight="1">
      <c r="A917" s="2" t="s">
        <v>2324</v>
      </c>
      <c r="B917" s="2" t="s">
        <v>2324</v>
      </c>
      <c r="C917" s="2" t="s">
        <v>16</v>
      </c>
      <c r="D917" s="2" t="s">
        <v>17</v>
      </c>
      <c r="E917" s="5">
        <v>-31451</v>
      </c>
      <c r="F917" s="3" t="s">
        <v>2325</v>
      </c>
      <c r="G917" s="3" t="s">
        <v>65</v>
      </c>
      <c r="H917" s="2" t="s">
        <v>20</v>
      </c>
      <c r="I917" s="2" t="s">
        <v>2326</v>
      </c>
      <c r="J917" s="3" t="str">
        <f>HYPERLINK("https://www.boe.es/gazeta/dias/1813/11/20/pdfs/GMR-1813-77.pdf#page=1","Abrir facsímil")</f>
        <v>Abrir facsímil</v>
      </c>
      <c r="K917" s="3" t="s">
        <v>22</v>
      </c>
    </row>
    <row r="918" spans="1:11" ht="42" customHeight="1">
      <c r="A918" s="2" t="s">
        <v>2327</v>
      </c>
      <c r="B918" s="2" t="s">
        <v>2327</v>
      </c>
      <c r="C918" s="2" t="s">
        <v>16</v>
      </c>
      <c r="D918" s="2" t="s">
        <v>17</v>
      </c>
      <c r="E918" s="5">
        <v>-31472</v>
      </c>
      <c r="F918" s="3" t="s">
        <v>1942</v>
      </c>
      <c r="G918" s="3" t="s">
        <v>58</v>
      </c>
      <c r="H918" s="2" t="s">
        <v>20</v>
      </c>
      <c r="I918" s="2" t="s">
        <v>2328</v>
      </c>
      <c r="J918" s="3" t="str">
        <f>HYPERLINK("https://www.boe.es/gazeta/dias/1813/10/30/pdfs/GRE-1813-142.pdf#page=2","Abrir facsímil")</f>
        <v>Abrir facsímil</v>
      </c>
      <c r="K918" s="3" t="s">
        <v>22</v>
      </c>
    </row>
    <row r="919" spans="1:11" ht="42" customHeight="1">
      <c r="A919" s="2" t="s">
        <v>2329</v>
      </c>
      <c r="B919" s="2" t="s">
        <v>2329</v>
      </c>
      <c r="C919" s="2" t="s">
        <v>16</v>
      </c>
      <c r="D919" s="2" t="s">
        <v>97</v>
      </c>
      <c r="E919" s="5">
        <v>-31446</v>
      </c>
      <c r="F919" s="3" t="s">
        <v>1877</v>
      </c>
      <c r="G919" s="3" t="s">
        <v>19</v>
      </c>
      <c r="H919" s="2" t="s">
        <v>20</v>
      </c>
      <c r="I919" s="2" t="s">
        <v>2330</v>
      </c>
      <c r="J919" s="3" t="str">
        <f>HYPERLINK("https://www.boe.es/gazeta/dias/1813/11/25/pdfs/GRE-1813-155E.pdf#page=4","Abrir facsímil")</f>
        <v>Abrir facsímil</v>
      </c>
      <c r="K919" s="3" t="s">
        <v>22</v>
      </c>
    </row>
    <row r="920" spans="1:11" ht="42" customHeight="1">
      <c r="A920" s="2" t="s">
        <v>2329</v>
      </c>
      <c r="B920" s="2" t="s">
        <v>2329</v>
      </c>
      <c r="C920" s="2" t="s">
        <v>16</v>
      </c>
      <c r="D920" s="2" t="s">
        <v>97</v>
      </c>
      <c r="E920" s="5">
        <v>-31446</v>
      </c>
      <c r="F920" s="3" t="s">
        <v>1877</v>
      </c>
      <c r="G920" s="3" t="s">
        <v>82</v>
      </c>
      <c r="H920" s="2" t="s">
        <v>20</v>
      </c>
      <c r="I920" s="2" t="s">
        <v>2331</v>
      </c>
      <c r="J920" s="3" t="str">
        <f>HYPERLINK("https://www.boe.es/gazeta/dias/1813/11/25/pdfs/GRE-1813-155E.pdf#page=5","Abrir facsímil")</f>
        <v>Abrir facsímil</v>
      </c>
      <c r="K920" s="3" t="s">
        <v>22</v>
      </c>
    </row>
    <row r="921" spans="1:11" ht="42" customHeight="1">
      <c r="A921" s="2" t="s">
        <v>2332</v>
      </c>
      <c r="B921" s="2" t="s">
        <v>2333</v>
      </c>
      <c r="C921" s="2" t="s">
        <v>16</v>
      </c>
      <c r="D921" s="2" t="s">
        <v>17</v>
      </c>
      <c r="E921" s="5">
        <v>-31453</v>
      </c>
      <c r="F921" s="3" t="s">
        <v>695</v>
      </c>
      <c r="G921" s="3" t="s">
        <v>2334</v>
      </c>
      <c r="H921" s="2" t="s">
        <v>20</v>
      </c>
      <c r="I921" s="2" t="s">
        <v>2335</v>
      </c>
      <c r="J921" s="3" t="str">
        <f>HYPERLINK("https://www.boe.es/gazeta/dias/1813/11/18/pdfs/GRE-1813-151.pdf#page=8","Abrir facsímil")</f>
        <v>Abrir facsímil</v>
      </c>
      <c r="K921" s="3" t="s">
        <v>22</v>
      </c>
    </row>
    <row r="922" spans="1:11" ht="42" customHeight="1">
      <c r="A922" s="2" t="s">
        <v>2336</v>
      </c>
      <c r="B922" s="2" t="s">
        <v>2337</v>
      </c>
      <c r="C922" s="2" t="s">
        <v>435</v>
      </c>
      <c r="D922" s="2" t="s">
        <v>26</v>
      </c>
      <c r="E922" s="5">
        <v>-31717</v>
      </c>
      <c r="F922" s="3" t="s">
        <v>2338</v>
      </c>
      <c r="G922" s="3" t="s">
        <v>2339</v>
      </c>
      <c r="H922" s="2" t="s">
        <v>20</v>
      </c>
      <c r="I922" s="2" t="s">
        <v>2340</v>
      </c>
      <c r="J922" s="3" t="str">
        <f>HYPERLINK("https://www.boe.es/gazeta/dias/1813/02/27/pdfs/GRE-1813-25.pdf#page=7","Abrir facsímil")</f>
        <v>Abrir facsímil</v>
      </c>
      <c r="K922" s="3" t="s">
        <v>22</v>
      </c>
    </row>
    <row r="923" spans="1:11" ht="42" customHeight="1">
      <c r="A923" s="2" t="s">
        <v>2341</v>
      </c>
      <c r="B923" s="2" t="s">
        <v>2341</v>
      </c>
      <c r="C923" s="2" t="s">
        <v>25</v>
      </c>
      <c r="D923" s="2" t="s">
        <v>26</v>
      </c>
      <c r="E923" s="5">
        <v>-31692</v>
      </c>
      <c r="F923" s="3" t="s">
        <v>2171</v>
      </c>
      <c r="G923" s="3" t="s">
        <v>54</v>
      </c>
      <c r="H923" s="2" t="s">
        <v>20</v>
      </c>
      <c r="I923" s="2" t="s">
        <v>2342</v>
      </c>
      <c r="J923" s="3" t="str">
        <f>HYPERLINK("https://www.boe.es/gazeta/dias/1813/03/24/pdfs/GMD-1813-83.pdf#page=3","Abrir facsímil")</f>
        <v>Abrir facsímil</v>
      </c>
      <c r="K923" s="3" t="s">
        <v>22</v>
      </c>
    </row>
    <row r="924" spans="1:11" ht="42" customHeight="1">
      <c r="A924" s="2" t="s">
        <v>2343</v>
      </c>
      <c r="B924" s="2" t="s">
        <v>2343</v>
      </c>
      <c r="C924" s="2" t="s">
        <v>16</v>
      </c>
      <c r="D924" s="2" t="s">
        <v>17</v>
      </c>
      <c r="E924" s="5">
        <v>-31507</v>
      </c>
      <c r="F924" s="3" t="s">
        <v>61</v>
      </c>
      <c r="G924" s="3" t="s">
        <v>58</v>
      </c>
      <c r="H924" s="2" t="s">
        <v>20</v>
      </c>
      <c r="I924" s="2" t="s">
        <v>2344</v>
      </c>
      <c r="J924" s="3" t="str">
        <f>HYPERLINK("https://www.boe.es/gazeta/dias/1813/09/25/pdfs/GMR-1813-48.pdf#page=2","Abrir facsímil")</f>
        <v>Abrir facsímil</v>
      </c>
      <c r="K924" s="3" t="s">
        <v>22</v>
      </c>
    </row>
    <row r="925" spans="1:11" ht="42" customHeight="1">
      <c r="A925" s="2" t="s">
        <v>2345</v>
      </c>
      <c r="B925" s="2" t="s">
        <v>2346</v>
      </c>
      <c r="C925" s="2" t="s">
        <v>16</v>
      </c>
      <c r="D925" s="2" t="s">
        <v>17</v>
      </c>
      <c r="E925" s="5">
        <v>-31483</v>
      </c>
      <c r="F925" s="3" t="s">
        <v>1292</v>
      </c>
      <c r="G925" s="3" t="s">
        <v>2347</v>
      </c>
      <c r="H925" s="2" t="s">
        <v>20</v>
      </c>
      <c r="I925" s="2" t="s">
        <v>2348</v>
      </c>
      <c r="J925" s="3" t="str">
        <f>HYPERLINK("https://www.boe.es/gazeta/dias/1813/10/19/pdfs/GMR-1813-61.pdf#page=10","Abrir facsímil")</f>
        <v>Abrir facsímil</v>
      </c>
      <c r="K925" s="3" t="s">
        <v>22</v>
      </c>
    </row>
    <row r="926" spans="1:11" ht="42" customHeight="1">
      <c r="A926" s="2" t="s">
        <v>2349</v>
      </c>
      <c r="B926" s="2" t="s">
        <v>2350</v>
      </c>
      <c r="C926" s="2" t="s">
        <v>34</v>
      </c>
      <c r="D926" s="2" t="s">
        <v>35</v>
      </c>
      <c r="E926" s="5">
        <v>-31709</v>
      </c>
      <c r="F926" s="3" t="s">
        <v>36</v>
      </c>
      <c r="G926" s="3" t="s">
        <v>19</v>
      </c>
      <c r="H926" s="2" t="s">
        <v>20</v>
      </c>
      <c r="I926" s="2" t="s">
        <v>2351</v>
      </c>
      <c r="J926" s="3" t="str">
        <f>HYPERLINK("https://www.boe.es/gazeta/dias/1813/03/07/pdfs/GMD-1813-66.pdf#page=4","Abrir facsímil")</f>
        <v>Abrir facsímil</v>
      </c>
      <c r="K926" s="3" t="s">
        <v>22</v>
      </c>
    </row>
    <row r="927" spans="1:11" ht="42" customHeight="1">
      <c r="A927" s="2" t="s">
        <v>2352</v>
      </c>
      <c r="B927" s="2" t="s">
        <v>2353</v>
      </c>
      <c r="C927" s="2" t="s">
        <v>16</v>
      </c>
      <c r="D927" s="2" t="s">
        <v>17</v>
      </c>
      <c r="E927" s="5">
        <v>-31563</v>
      </c>
      <c r="F927" s="3" t="s">
        <v>1267</v>
      </c>
      <c r="G927" s="3" t="s">
        <v>82</v>
      </c>
      <c r="H927" s="2" t="s">
        <v>20</v>
      </c>
      <c r="I927" s="2" t="s">
        <v>2354</v>
      </c>
      <c r="J927" s="3" t="str">
        <f>HYPERLINK("https://www.boe.es/gazeta/dias/1813/07/31/pdfs/GRE-1813-97.pdf#page=5","Abrir facsímil")</f>
        <v>Abrir facsímil</v>
      </c>
      <c r="K927" s="3" t="s">
        <v>22</v>
      </c>
    </row>
    <row r="928" spans="1:11" ht="42" customHeight="1">
      <c r="A928" s="2" t="s">
        <v>2355</v>
      </c>
      <c r="B928" s="2" t="s">
        <v>2355</v>
      </c>
      <c r="C928" s="2" t="s">
        <v>16</v>
      </c>
      <c r="D928" s="2" t="s">
        <v>17</v>
      </c>
      <c r="E928" s="5">
        <v>-31472</v>
      </c>
      <c r="F928" s="3" t="s">
        <v>143</v>
      </c>
      <c r="G928" s="3" t="s">
        <v>998</v>
      </c>
      <c r="H928" s="2" t="s">
        <v>20</v>
      </c>
      <c r="I928" s="2" t="s">
        <v>2356</v>
      </c>
      <c r="J928" s="3" t="str">
        <f>HYPERLINK("https://www.boe.es/gazeta/dias/1813/10/30/pdfs/GMR-1813-66.pdf#page=6","Abrir facsímil")</f>
        <v>Abrir facsímil</v>
      </c>
      <c r="K928" s="3" t="s">
        <v>22</v>
      </c>
    </row>
    <row r="929" spans="1:11" ht="42" customHeight="1">
      <c r="A929" s="2" t="s">
        <v>2357</v>
      </c>
      <c r="B929" s="2" t="s">
        <v>2358</v>
      </c>
      <c r="C929" s="2" t="s">
        <v>187</v>
      </c>
      <c r="D929" s="2" t="s">
        <v>26</v>
      </c>
      <c r="E929" s="5">
        <v>-31745</v>
      </c>
      <c r="F929" s="3" t="s">
        <v>445</v>
      </c>
      <c r="G929" s="3" t="s">
        <v>28</v>
      </c>
      <c r="H929" s="2" t="s">
        <v>20</v>
      </c>
      <c r="I929" s="2" t="s">
        <v>2359</v>
      </c>
      <c r="J929" s="3" t="str">
        <f>HYPERLINK("https://www.boe.es/gazeta/dias/1813/01/30/pdfs/GRE-1813-13.pdf#page=8","Abrir facsímil")</f>
        <v>Abrir facsímil</v>
      </c>
      <c r="K929" s="3" t="s">
        <v>22</v>
      </c>
    </row>
    <row r="930" spans="1:11" ht="42" customHeight="1">
      <c r="A930" s="2" t="s">
        <v>2360</v>
      </c>
      <c r="B930" s="2" t="s">
        <v>2360</v>
      </c>
      <c r="C930" s="2" t="s">
        <v>16</v>
      </c>
      <c r="D930" s="2" t="s">
        <v>17</v>
      </c>
      <c r="E930" s="5">
        <v>-31772</v>
      </c>
      <c r="F930" s="3" t="s">
        <v>2361</v>
      </c>
      <c r="G930" s="3" t="s">
        <v>65</v>
      </c>
      <c r="H930" s="2" t="s">
        <v>20</v>
      </c>
      <c r="I930" s="2" t="s">
        <v>2362</v>
      </c>
      <c r="J930" s="3" t="str">
        <f>HYPERLINK("https://www.boe.es/gazeta/dias/1813/01/03/pdfs/GMD-1813-3.pdf#page=1","Abrir facsímil")</f>
        <v>Abrir facsímil</v>
      </c>
      <c r="K930" s="3" t="s">
        <v>22</v>
      </c>
    </row>
    <row r="931" spans="1:11" ht="42" customHeight="1">
      <c r="A931" s="2" t="s">
        <v>2363</v>
      </c>
      <c r="B931" s="2" t="s">
        <v>2363</v>
      </c>
      <c r="C931" s="2" t="s">
        <v>16</v>
      </c>
      <c r="D931" s="2" t="s">
        <v>17</v>
      </c>
      <c r="E931" s="5">
        <v>-31598</v>
      </c>
      <c r="F931" s="3" t="s">
        <v>286</v>
      </c>
      <c r="G931" s="3" t="s">
        <v>82</v>
      </c>
      <c r="H931" s="2" t="s">
        <v>20</v>
      </c>
      <c r="I931" s="2" t="s">
        <v>2364</v>
      </c>
      <c r="J931" s="3" t="str">
        <f>HYPERLINK("https://www.boe.es/gazeta/dias/1813/06/26/pdfs/GRE-1813-79.pdf#page=5","Abrir facsímil")</f>
        <v>Abrir facsímil</v>
      </c>
      <c r="K931" s="3" t="s">
        <v>22</v>
      </c>
    </row>
    <row r="932" spans="1:11" ht="42" customHeight="1">
      <c r="A932" s="2" t="s">
        <v>2363</v>
      </c>
      <c r="B932" s="2" t="s">
        <v>2363</v>
      </c>
      <c r="C932" s="2" t="s">
        <v>16</v>
      </c>
      <c r="D932" s="2" t="s">
        <v>17</v>
      </c>
      <c r="E932" s="5">
        <v>-31511</v>
      </c>
      <c r="F932" s="3" t="s">
        <v>2149</v>
      </c>
      <c r="G932" s="3" t="s">
        <v>95</v>
      </c>
      <c r="H932" s="2" t="s">
        <v>20</v>
      </c>
      <c r="I932" s="2" t="s">
        <v>2365</v>
      </c>
      <c r="J932" s="3" t="str">
        <f>HYPERLINK("https://www.boe.es/gazeta/dias/1813/09/21/pdfs/GRE-1813-122.pdf#page=6","Abrir facsímil")</f>
        <v>Abrir facsímil</v>
      </c>
      <c r="K932" s="3" t="s">
        <v>22</v>
      </c>
    </row>
    <row r="933" spans="1:11" ht="42" customHeight="1">
      <c r="A933" s="2" t="s">
        <v>2366</v>
      </c>
      <c r="B933" s="2" t="s">
        <v>2366</v>
      </c>
      <c r="C933" s="2" t="s">
        <v>16</v>
      </c>
      <c r="D933" s="2" t="s">
        <v>17</v>
      </c>
      <c r="E933" s="5">
        <v>-31578</v>
      </c>
      <c r="F933" s="3" t="s">
        <v>974</v>
      </c>
      <c r="G933" s="3" t="s">
        <v>2367</v>
      </c>
      <c r="H933" s="2" t="s">
        <v>20</v>
      </c>
      <c r="I933" s="2" t="s">
        <v>2368</v>
      </c>
      <c r="J933" s="3" t="str">
        <f>HYPERLINK("https://www.boe.es/gazeta/dias/1813/07/16/pdfs/GMR-1813-18.pdf#page=6","Abrir facsímil")</f>
        <v>Abrir facsímil</v>
      </c>
      <c r="K933" s="3" t="s">
        <v>22</v>
      </c>
    </row>
    <row r="934" spans="1:11" ht="42" customHeight="1">
      <c r="A934" s="2" t="s">
        <v>2369</v>
      </c>
      <c r="B934" s="2" t="s">
        <v>2369</v>
      </c>
      <c r="C934" s="2" t="s">
        <v>16</v>
      </c>
      <c r="D934" s="2" t="s">
        <v>17</v>
      </c>
      <c r="E934" s="5">
        <v>-31488</v>
      </c>
      <c r="F934" s="3" t="s">
        <v>2370</v>
      </c>
      <c r="G934" s="3" t="s">
        <v>95</v>
      </c>
      <c r="H934" s="2" t="s">
        <v>20</v>
      </c>
      <c r="I934" s="2" t="s">
        <v>2371</v>
      </c>
      <c r="J934" s="3" t="str">
        <f>HYPERLINK("https://www.boe.es/gazeta/dias/1813/10/14/pdfs/GMR-1813-59.pdf#page=6","Abrir facsímil")</f>
        <v>Abrir facsímil</v>
      </c>
      <c r="K934" s="3" t="s">
        <v>22</v>
      </c>
    </row>
    <row r="935" spans="1:11" ht="42" customHeight="1">
      <c r="A935" s="2" t="s">
        <v>2372</v>
      </c>
      <c r="B935" s="2" t="s">
        <v>2373</v>
      </c>
      <c r="C935" s="2" t="s">
        <v>16</v>
      </c>
      <c r="D935" s="2" t="s">
        <v>17</v>
      </c>
      <c r="E935" s="5">
        <v>-31474</v>
      </c>
      <c r="F935" s="3" t="s">
        <v>1082</v>
      </c>
      <c r="G935" s="3" t="s">
        <v>54</v>
      </c>
      <c r="H935" s="2" t="s">
        <v>20</v>
      </c>
      <c r="I935" s="2" t="s">
        <v>2374</v>
      </c>
      <c r="J935" s="3" t="str">
        <f>HYPERLINK("https://www.boe.es/gazeta/dias/1813/10/28/pdfs/GMR-1813-65.pdf#page=3","Abrir facsímil")</f>
        <v>Abrir facsímil</v>
      </c>
      <c r="K935" s="3" t="s">
        <v>22</v>
      </c>
    </row>
    <row r="936" spans="1:11" ht="42" customHeight="1">
      <c r="A936" s="2" t="s">
        <v>2375</v>
      </c>
      <c r="B936" s="2" t="s">
        <v>2375</v>
      </c>
      <c r="C936" s="2" t="s">
        <v>16</v>
      </c>
      <c r="D936" s="2" t="s">
        <v>17</v>
      </c>
      <c r="E936" s="5">
        <v>-31446</v>
      </c>
      <c r="F936" s="3" t="s">
        <v>1078</v>
      </c>
      <c r="G936" s="3" t="s">
        <v>19</v>
      </c>
      <c r="H936" s="2" t="s">
        <v>20</v>
      </c>
      <c r="I936" s="2" t="s">
        <v>2376</v>
      </c>
      <c r="J936" s="3" t="str">
        <f>HYPERLINK("https://www.boe.es/gazeta/dias/1813/11/25/pdfs/GRE-1813-154.pdf#page=4","Abrir facsímil")</f>
        <v>Abrir facsímil</v>
      </c>
      <c r="K936" s="3" t="s">
        <v>22</v>
      </c>
    </row>
    <row r="937" spans="1:11" ht="42" customHeight="1">
      <c r="A937" s="2" t="s">
        <v>2377</v>
      </c>
      <c r="B937" s="2" t="s">
        <v>2377</v>
      </c>
      <c r="C937" s="2" t="s">
        <v>16</v>
      </c>
      <c r="D937" s="2" t="s">
        <v>17</v>
      </c>
      <c r="E937" s="5">
        <v>-31481</v>
      </c>
      <c r="F937" s="3" t="s">
        <v>380</v>
      </c>
      <c r="G937" s="3" t="s">
        <v>794</v>
      </c>
      <c r="H937" s="2" t="s">
        <v>20</v>
      </c>
      <c r="I937" s="2" t="s">
        <v>2378</v>
      </c>
      <c r="J937" s="3" t="str">
        <f>HYPERLINK("https://www.boe.es/gazeta/dias/1813/10/21/pdfs/GRE-1813-137.pdf#page=7","Abrir facsímil")</f>
        <v>Abrir facsímil</v>
      </c>
      <c r="K937" s="3" t="s">
        <v>22</v>
      </c>
    </row>
    <row r="938" spans="1:11" ht="42" customHeight="1">
      <c r="A938" s="2" t="s">
        <v>2377</v>
      </c>
      <c r="B938" s="2" t="s">
        <v>2377</v>
      </c>
      <c r="C938" s="2" t="s">
        <v>16</v>
      </c>
      <c r="D938" s="2" t="s">
        <v>97</v>
      </c>
      <c r="E938" s="5">
        <v>-31446</v>
      </c>
      <c r="F938" s="3" t="s">
        <v>1877</v>
      </c>
      <c r="G938" s="3" t="s">
        <v>54</v>
      </c>
      <c r="H938" s="2" t="s">
        <v>20</v>
      </c>
      <c r="I938" s="2" t="s">
        <v>2379</v>
      </c>
      <c r="J938" s="3" t="str">
        <f>HYPERLINK("https://www.boe.es/gazeta/dias/1813/11/25/pdfs/GRE-1813-155E.pdf#page=3","Abrir facsímil")</f>
        <v>Abrir facsímil</v>
      </c>
      <c r="K938" s="3" t="s">
        <v>22</v>
      </c>
    </row>
    <row r="939" spans="1:11" ht="42" customHeight="1">
      <c r="A939" s="2" t="s">
        <v>2380</v>
      </c>
      <c r="B939" s="2" t="s">
        <v>2380</v>
      </c>
      <c r="C939" s="2" t="s">
        <v>16</v>
      </c>
      <c r="D939" s="2" t="s">
        <v>17</v>
      </c>
      <c r="E939" s="5">
        <v>-31481</v>
      </c>
      <c r="F939" s="3" t="s">
        <v>380</v>
      </c>
      <c r="G939" s="3" t="s">
        <v>65</v>
      </c>
      <c r="H939" s="2" t="s">
        <v>20</v>
      </c>
      <c r="I939" s="2" t="s">
        <v>2381</v>
      </c>
      <c r="J939" s="3" t="str">
        <f>HYPERLINK("https://www.boe.es/gazeta/dias/1813/10/21/pdfs/GRE-1813-137.pdf#page=1","Abrir facsímil")</f>
        <v>Abrir facsímil</v>
      </c>
      <c r="K939" s="3" t="s">
        <v>22</v>
      </c>
    </row>
    <row r="940" spans="1:11" ht="42" customHeight="1">
      <c r="A940" s="2" t="s">
        <v>2382</v>
      </c>
      <c r="B940" s="2" t="s">
        <v>2382</v>
      </c>
      <c r="C940" s="2" t="s">
        <v>16</v>
      </c>
      <c r="D940" s="2" t="s">
        <v>17</v>
      </c>
      <c r="E940" s="5">
        <v>-31479</v>
      </c>
      <c r="F940" s="3" t="s">
        <v>2383</v>
      </c>
      <c r="G940" s="3" t="s">
        <v>65</v>
      </c>
      <c r="H940" s="2" t="s">
        <v>20</v>
      </c>
      <c r="I940" s="2" t="s">
        <v>2384</v>
      </c>
      <c r="J940" s="3" t="str">
        <f>HYPERLINK("https://www.boe.es/gazeta/dias/1813/10/23/pdfs/GRE-1813-138.pdf#page=1","Abrir facsímil")</f>
        <v>Abrir facsímil</v>
      </c>
      <c r="K940" s="3" t="s">
        <v>22</v>
      </c>
    </row>
    <row r="941" spans="1:11" ht="42" customHeight="1">
      <c r="A941" s="2" t="s">
        <v>2385</v>
      </c>
      <c r="B941" s="2" t="s">
        <v>2385</v>
      </c>
      <c r="C941" s="2" t="s">
        <v>16</v>
      </c>
      <c r="D941" s="2" t="s">
        <v>17</v>
      </c>
      <c r="E941" s="5">
        <v>-31451</v>
      </c>
      <c r="F941" s="3" t="s">
        <v>127</v>
      </c>
      <c r="G941" s="3" t="s">
        <v>65</v>
      </c>
      <c r="H941" s="2" t="s">
        <v>20</v>
      </c>
      <c r="I941" s="2" t="s">
        <v>2386</v>
      </c>
      <c r="J941" s="3" t="str">
        <f>HYPERLINK("https://www.boe.es/gazeta/dias/1813/11/20/pdfs/GRE-1813-152.pdf#page=1","Abrir facsímil")</f>
        <v>Abrir facsímil</v>
      </c>
      <c r="K941" s="3" t="s">
        <v>22</v>
      </c>
    </row>
    <row r="942" spans="1:11" ht="42" customHeight="1">
      <c r="A942" s="2" t="s">
        <v>2387</v>
      </c>
      <c r="B942" s="2" t="s">
        <v>2387</v>
      </c>
      <c r="C942" s="2" t="s">
        <v>16</v>
      </c>
      <c r="D942" s="2" t="s">
        <v>17</v>
      </c>
      <c r="E942" s="5">
        <v>-31581</v>
      </c>
      <c r="F942" s="3" t="s">
        <v>1321</v>
      </c>
      <c r="G942" s="3" t="s">
        <v>54</v>
      </c>
      <c r="H942" s="2" t="s">
        <v>20</v>
      </c>
      <c r="I942" s="2" t="s">
        <v>2388</v>
      </c>
      <c r="J942" s="3" t="str">
        <f>HYPERLINK("https://www.boe.es/gazeta/dias/1813/07/13/pdfs/GMR-1813-17.pdf#page=3","Abrir facsímil")</f>
        <v>Abrir facsímil</v>
      </c>
      <c r="K942" s="3" t="s">
        <v>22</v>
      </c>
    </row>
    <row r="943" spans="1:11" ht="42" customHeight="1">
      <c r="A943" s="2" t="s">
        <v>2389</v>
      </c>
      <c r="B943" s="2" t="s">
        <v>2389</v>
      </c>
      <c r="C943" s="2" t="s">
        <v>16</v>
      </c>
      <c r="D943" s="2" t="s">
        <v>17</v>
      </c>
      <c r="E943" s="5">
        <v>-31483</v>
      </c>
      <c r="F943" s="3" t="s">
        <v>1292</v>
      </c>
      <c r="G943" s="3" t="s">
        <v>19</v>
      </c>
      <c r="H943" s="2" t="s">
        <v>20</v>
      </c>
      <c r="I943" s="2" t="s">
        <v>2390</v>
      </c>
      <c r="J943" s="3" t="str">
        <f>HYPERLINK("https://www.boe.es/gazeta/dias/1813/10/19/pdfs/GMR-1813-61.pdf#page=4","Abrir facsímil")</f>
        <v>Abrir facsímil</v>
      </c>
      <c r="K943" s="3" t="s">
        <v>22</v>
      </c>
    </row>
    <row r="944" spans="1:11" ht="42" customHeight="1">
      <c r="A944" s="2" t="s">
        <v>2391</v>
      </c>
      <c r="B944" s="2" t="s">
        <v>2391</v>
      </c>
      <c r="C944" s="2" t="s">
        <v>16</v>
      </c>
      <c r="D944" s="2" t="s">
        <v>17</v>
      </c>
      <c r="E944" s="5">
        <v>-31640</v>
      </c>
      <c r="F944" s="3" t="s">
        <v>2392</v>
      </c>
      <c r="G944" s="3" t="s">
        <v>58</v>
      </c>
      <c r="H944" s="2" t="s">
        <v>20</v>
      </c>
      <c r="I944" s="2" t="s">
        <v>2393</v>
      </c>
      <c r="J944" s="3" t="str">
        <f>HYPERLINK("https://www.boe.es/gazeta/dias/1813/05/15/pdfs/GRE-1813-60.pdf#page=2","Abrir facsímil")</f>
        <v>Abrir facsímil</v>
      </c>
      <c r="K944" s="3" t="s">
        <v>22</v>
      </c>
    </row>
    <row r="945" spans="1:11" ht="42" customHeight="1">
      <c r="A945" s="2" t="s">
        <v>2391</v>
      </c>
      <c r="B945" s="2" t="s">
        <v>2391</v>
      </c>
      <c r="C945" s="2" t="s">
        <v>16</v>
      </c>
      <c r="D945" s="2" t="s">
        <v>17</v>
      </c>
      <c r="E945" s="5">
        <v>-31616</v>
      </c>
      <c r="F945" s="3" t="s">
        <v>2201</v>
      </c>
      <c r="G945" s="3" t="s">
        <v>58</v>
      </c>
      <c r="H945" s="2" t="s">
        <v>20</v>
      </c>
      <c r="I945" s="2" t="s">
        <v>2394</v>
      </c>
      <c r="J945" s="3" t="str">
        <f>HYPERLINK("https://www.boe.es/gazeta/dias/1813/06/08/pdfs/GMR-1813-3.pdf#page=2","Abrir facsímil")</f>
        <v>Abrir facsímil</v>
      </c>
      <c r="K945" s="3" t="s">
        <v>22</v>
      </c>
    </row>
    <row r="946" spans="1:11" ht="42" customHeight="1">
      <c r="A946" s="2" t="s">
        <v>2391</v>
      </c>
      <c r="B946" s="2" t="s">
        <v>2391</v>
      </c>
      <c r="C946" s="2" t="s">
        <v>16</v>
      </c>
      <c r="D946" s="2" t="s">
        <v>17</v>
      </c>
      <c r="E946" s="5">
        <v>-31616</v>
      </c>
      <c r="F946" s="3" t="s">
        <v>2201</v>
      </c>
      <c r="G946" s="3" t="s">
        <v>54</v>
      </c>
      <c r="H946" s="2" t="s">
        <v>20</v>
      </c>
      <c r="I946" s="2" t="s">
        <v>2395</v>
      </c>
      <c r="J946" s="3" t="str">
        <f>HYPERLINK("https://www.boe.es/gazeta/dias/1813/06/08/pdfs/GMR-1813-3.pdf#page=3","Abrir facsímil")</f>
        <v>Abrir facsímil</v>
      </c>
      <c r="K946" s="3" t="s">
        <v>22</v>
      </c>
    </row>
    <row r="947" spans="1:11" ht="42" customHeight="1">
      <c r="A947" s="2" t="s">
        <v>2391</v>
      </c>
      <c r="B947" s="2" t="s">
        <v>2391</v>
      </c>
      <c r="C947" s="2" t="s">
        <v>16</v>
      </c>
      <c r="D947" s="2" t="s">
        <v>17</v>
      </c>
      <c r="E947" s="5">
        <v>-31616</v>
      </c>
      <c r="F947" s="3" t="s">
        <v>545</v>
      </c>
      <c r="G947" s="3" t="s">
        <v>82</v>
      </c>
      <c r="H947" s="2" t="s">
        <v>20</v>
      </c>
      <c r="I947" s="2" t="s">
        <v>2396</v>
      </c>
      <c r="J947" s="3" t="str">
        <f>HYPERLINK("https://www.boe.es/gazeta/dias/1813/06/08/pdfs/GRE-1813-71.pdf#page=5","Abrir facsímil")</f>
        <v>Abrir facsímil</v>
      </c>
      <c r="K947" s="3" t="s">
        <v>22</v>
      </c>
    </row>
    <row r="948" spans="1:11" ht="42" customHeight="1">
      <c r="A948" s="2" t="s">
        <v>2391</v>
      </c>
      <c r="B948" s="2" t="s">
        <v>2391</v>
      </c>
      <c r="C948" s="2" t="s">
        <v>16</v>
      </c>
      <c r="D948" s="2" t="s">
        <v>17</v>
      </c>
      <c r="E948" s="5">
        <v>-31614</v>
      </c>
      <c r="F948" s="3" t="s">
        <v>498</v>
      </c>
      <c r="G948" s="3" t="s">
        <v>82</v>
      </c>
      <c r="H948" s="2" t="s">
        <v>20</v>
      </c>
      <c r="I948" s="2" t="s">
        <v>2397</v>
      </c>
      <c r="J948" s="3" t="str">
        <f>HYPERLINK("https://www.boe.es/gazeta/dias/1813/06/10/pdfs/GRE-1813-72.pdf#page=5","Abrir facsímil")</f>
        <v>Abrir facsímil</v>
      </c>
      <c r="K948" s="3" t="s">
        <v>22</v>
      </c>
    </row>
    <row r="949" spans="1:11" ht="42" customHeight="1">
      <c r="A949" s="2" t="s">
        <v>2391</v>
      </c>
      <c r="B949" s="2" t="s">
        <v>2391</v>
      </c>
      <c r="C949" s="2" t="s">
        <v>16</v>
      </c>
      <c r="D949" s="2" t="s">
        <v>17</v>
      </c>
      <c r="E949" s="5">
        <v>-31606</v>
      </c>
      <c r="F949" s="3" t="s">
        <v>124</v>
      </c>
      <c r="G949" s="3" t="s">
        <v>82</v>
      </c>
      <c r="H949" s="2" t="s">
        <v>20</v>
      </c>
      <c r="I949" s="2" t="s">
        <v>2398</v>
      </c>
      <c r="J949" s="3" t="str">
        <f>HYPERLINK("https://www.boe.es/gazeta/dias/1813/06/18/pdfs/GMR-1813-7.pdf#page=5","Abrir facsímil")</f>
        <v>Abrir facsímil</v>
      </c>
      <c r="K949" s="3" t="s">
        <v>22</v>
      </c>
    </row>
    <row r="950" spans="1:11" ht="42" customHeight="1">
      <c r="A950" s="2" t="s">
        <v>2391</v>
      </c>
      <c r="B950" s="2" t="s">
        <v>2391</v>
      </c>
      <c r="C950" s="2" t="s">
        <v>16</v>
      </c>
      <c r="D950" s="2" t="s">
        <v>17</v>
      </c>
      <c r="E950" s="5">
        <v>-31595</v>
      </c>
      <c r="F950" s="3" t="s">
        <v>70</v>
      </c>
      <c r="G950" s="3" t="s">
        <v>82</v>
      </c>
      <c r="H950" s="2" t="s">
        <v>20</v>
      </c>
      <c r="I950" s="2" t="s">
        <v>2399</v>
      </c>
      <c r="J950" s="3" t="str">
        <f>HYPERLINK("https://www.boe.es/gazeta/dias/1813/06/29/pdfs/GMR-1813-13.pdf#page=5","Abrir facsímil")</f>
        <v>Abrir facsímil</v>
      </c>
      <c r="K950" s="3" t="s">
        <v>22</v>
      </c>
    </row>
    <row r="951" spans="1:11" ht="42" customHeight="1">
      <c r="A951" s="2" t="s">
        <v>2391</v>
      </c>
      <c r="B951" s="2" t="s">
        <v>2391</v>
      </c>
      <c r="C951" s="2" t="s">
        <v>16</v>
      </c>
      <c r="D951" s="2" t="s">
        <v>17</v>
      </c>
      <c r="E951" s="5">
        <v>-31595</v>
      </c>
      <c r="F951" s="3" t="s">
        <v>1319</v>
      </c>
      <c r="G951" s="3" t="s">
        <v>58</v>
      </c>
      <c r="H951" s="2" t="s">
        <v>20</v>
      </c>
      <c r="I951" s="2" t="s">
        <v>2400</v>
      </c>
      <c r="J951" s="3" t="str">
        <f>HYPERLINK("https://www.boe.es/gazeta/dias/1813/06/29/pdfs/GRE-1813-80.pdf#page=2","Abrir facsímil")</f>
        <v>Abrir facsímil</v>
      </c>
      <c r="K951" s="3" t="s">
        <v>22</v>
      </c>
    </row>
    <row r="952" spans="1:11" ht="42" customHeight="1">
      <c r="A952" s="2" t="s">
        <v>2391</v>
      </c>
      <c r="B952" s="2" t="s">
        <v>2391</v>
      </c>
      <c r="C952" s="2" t="s">
        <v>16</v>
      </c>
      <c r="D952" s="2" t="s">
        <v>17</v>
      </c>
      <c r="E952" s="5">
        <v>-31595</v>
      </c>
      <c r="F952" s="3" t="s">
        <v>1319</v>
      </c>
      <c r="G952" s="3" t="s">
        <v>54</v>
      </c>
      <c r="H952" s="2" t="s">
        <v>20</v>
      </c>
      <c r="I952" s="2" t="s">
        <v>2401</v>
      </c>
      <c r="J952" s="3" t="str">
        <f>HYPERLINK("https://www.boe.es/gazeta/dias/1813/06/29/pdfs/GRE-1813-80.pdf#page=3","Abrir facsímil")</f>
        <v>Abrir facsímil</v>
      </c>
      <c r="K952" s="3" t="s">
        <v>22</v>
      </c>
    </row>
    <row r="953" spans="1:11" ht="42" customHeight="1">
      <c r="A953" s="2" t="s">
        <v>2391</v>
      </c>
      <c r="B953" s="2" t="s">
        <v>2391</v>
      </c>
      <c r="C953" s="2" t="s">
        <v>16</v>
      </c>
      <c r="D953" s="2" t="s">
        <v>17</v>
      </c>
      <c r="E953" s="5">
        <v>-31588</v>
      </c>
      <c r="F953" s="3" t="s">
        <v>2402</v>
      </c>
      <c r="G953" s="3" t="s">
        <v>65</v>
      </c>
      <c r="H953" s="2" t="s">
        <v>20</v>
      </c>
      <c r="I953" s="2" t="s">
        <v>2403</v>
      </c>
      <c r="J953" s="3" t="str">
        <f>HYPERLINK("https://www.boe.es/gazeta/dias/1813/07/06/pdfs/GRE-1813-84.pdf#page=1","Abrir facsímil")</f>
        <v>Abrir facsímil</v>
      </c>
      <c r="K953" s="3" t="s">
        <v>22</v>
      </c>
    </row>
    <row r="954" spans="1:11" ht="42" customHeight="1">
      <c r="A954" s="2" t="s">
        <v>2391</v>
      </c>
      <c r="B954" s="2" t="s">
        <v>2391</v>
      </c>
      <c r="C954" s="2" t="s">
        <v>16</v>
      </c>
      <c r="D954" s="2" t="s">
        <v>17</v>
      </c>
      <c r="E954" s="5">
        <v>-31588</v>
      </c>
      <c r="F954" s="3" t="s">
        <v>2402</v>
      </c>
      <c r="G954" s="3" t="s">
        <v>58</v>
      </c>
      <c r="H954" s="2" t="s">
        <v>20</v>
      </c>
      <c r="I954" s="2" t="s">
        <v>2404</v>
      </c>
      <c r="J954" s="3" t="str">
        <f>HYPERLINK("https://www.boe.es/gazeta/dias/1813/07/06/pdfs/GRE-1813-84.pdf#page=2","Abrir facsímil")</f>
        <v>Abrir facsímil</v>
      </c>
      <c r="K954" s="3" t="s">
        <v>22</v>
      </c>
    </row>
    <row r="955" spans="1:11" ht="42" customHeight="1">
      <c r="A955" s="2" t="s">
        <v>2391</v>
      </c>
      <c r="B955" s="2" t="s">
        <v>2391</v>
      </c>
      <c r="C955" s="2" t="s">
        <v>16</v>
      </c>
      <c r="D955" s="2" t="s">
        <v>17</v>
      </c>
      <c r="E955" s="5">
        <v>-31581</v>
      </c>
      <c r="F955" s="3" t="s">
        <v>1321</v>
      </c>
      <c r="G955" s="3" t="s">
        <v>58</v>
      </c>
      <c r="H955" s="2" t="s">
        <v>20</v>
      </c>
      <c r="I955" s="2" t="s">
        <v>2405</v>
      </c>
      <c r="J955" s="3" t="str">
        <f>HYPERLINK("https://www.boe.es/gazeta/dias/1813/07/13/pdfs/GMR-1813-17.pdf#page=2","Abrir facsímil")</f>
        <v>Abrir facsímil</v>
      </c>
      <c r="K955" s="3" t="s">
        <v>22</v>
      </c>
    </row>
    <row r="956" spans="1:11" ht="42" customHeight="1">
      <c r="A956" s="2" t="s">
        <v>2391</v>
      </c>
      <c r="B956" s="2" t="s">
        <v>2391</v>
      </c>
      <c r="C956" s="2" t="s">
        <v>16</v>
      </c>
      <c r="D956" s="2" t="s">
        <v>17</v>
      </c>
      <c r="E956" s="5">
        <v>-31578</v>
      </c>
      <c r="F956" s="3" t="s">
        <v>974</v>
      </c>
      <c r="G956" s="3" t="s">
        <v>2367</v>
      </c>
      <c r="H956" s="2" t="s">
        <v>20</v>
      </c>
      <c r="I956" s="2" t="s">
        <v>2406</v>
      </c>
      <c r="J956" s="3" t="str">
        <f>HYPERLINK("https://www.boe.es/gazeta/dias/1813/07/16/pdfs/GMR-1813-18.pdf#page=6","Abrir facsímil")</f>
        <v>Abrir facsímil</v>
      </c>
      <c r="K956" s="3" t="s">
        <v>22</v>
      </c>
    </row>
    <row r="957" spans="1:11" ht="42" customHeight="1">
      <c r="A957" s="2" t="s">
        <v>2391</v>
      </c>
      <c r="B957" s="2" t="s">
        <v>2391</v>
      </c>
      <c r="C957" s="2" t="s">
        <v>16</v>
      </c>
      <c r="D957" s="2" t="s">
        <v>17</v>
      </c>
      <c r="E957" s="5">
        <v>-31578</v>
      </c>
      <c r="F957" s="3" t="s">
        <v>974</v>
      </c>
      <c r="G957" s="3" t="s">
        <v>82</v>
      </c>
      <c r="H957" s="2" t="s">
        <v>20</v>
      </c>
      <c r="I957" s="2" t="s">
        <v>2407</v>
      </c>
      <c r="J957" s="3" t="str">
        <f>HYPERLINK("https://www.boe.es/gazeta/dias/1813/07/16/pdfs/GMR-1813-18.pdf#page=5","Abrir facsímil")</f>
        <v>Abrir facsímil</v>
      </c>
      <c r="K957" s="3" t="s">
        <v>22</v>
      </c>
    </row>
    <row r="958" spans="1:11" ht="42" customHeight="1">
      <c r="A958" s="2" t="s">
        <v>2391</v>
      </c>
      <c r="B958" s="2" t="s">
        <v>2391</v>
      </c>
      <c r="C958" s="2" t="s">
        <v>16</v>
      </c>
      <c r="D958" s="2" t="s">
        <v>17</v>
      </c>
      <c r="E958" s="5">
        <v>-31570</v>
      </c>
      <c r="F958" s="3" t="s">
        <v>1803</v>
      </c>
      <c r="G958" s="3" t="s">
        <v>65</v>
      </c>
      <c r="H958" s="2" t="s">
        <v>20</v>
      </c>
      <c r="I958" s="2" t="s">
        <v>2408</v>
      </c>
      <c r="J958" s="3" t="str">
        <f>HYPERLINK("https://www.boe.es/gazeta/dias/1813/07/24/pdfs/GRE-1813-94.pdf#page=1","Abrir facsímil")</f>
        <v>Abrir facsímil</v>
      </c>
      <c r="K958" s="3" t="s">
        <v>22</v>
      </c>
    </row>
    <row r="959" spans="1:11" ht="42" customHeight="1">
      <c r="A959" s="2" t="s">
        <v>2391</v>
      </c>
      <c r="B959" s="2" t="s">
        <v>2391</v>
      </c>
      <c r="C959" s="2" t="s">
        <v>16</v>
      </c>
      <c r="D959" s="2" t="s">
        <v>17</v>
      </c>
      <c r="E959" s="5">
        <v>-31497</v>
      </c>
      <c r="F959" s="3" t="s">
        <v>1457</v>
      </c>
      <c r="G959" s="3" t="s">
        <v>65</v>
      </c>
      <c r="H959" s="2" t="s">
        <v>20</v>
      </c>
      <c r="I959" s="2" t="s">
        <v>2409</v>
      </c>
      <c r="J959" s="3" t="str">
        <f>HYPERLINK("https://www.boe.es/gazeta/dias/1813/10/05/pdfs/GMR-1813-54.pdf#page=1","Abrir facsímil")</f>
        <v>Abrir facsímil</v>
      </c>
      <c r="K959" s="3" t="s">
        <v>22</v>
      </c>
    </row>
    <row r="960" spans="1:11" ht="42" customHeight="1">
      <c r="A960" s="2" t="s">
        <v>2391</v>
      </c>
      <c r="B960" s="2" t="s">
        <v>2391</v>
      </c>
      <c r="C960" s="2" t="s">
        <v>16</v>
      </c>
      <c r="D960" s="2" t="s">
        <v>17</v>
      </c>
      <c r="E960" s="5">
        <v>-31497</v>
      </c>
      <c r="F960" s="3" t="s">
        <v>1457</v>
      </c>
      <c r="G960" s="3" t="s">
        <v>58</v>
      </c>
      <c r="H960" s="2" t="s">
        <v>20</v>
      </c>
      <c r="I960" s="2" t="s">
        <v>2410</v>
      </c>
      <c r="J960" s="3" t="str">
        <f>HYPERLINK("https://www.boe.es/gazeta/dias/1813/10/05/pdfs/GMR-1813-54.pdf#page=2","Abrir facsímil")</f>
        <v>Abrir facsímil</v>
      </c>
      <c r="K960" s="3" t="s">
        <v>22</v>
      </c>
    </row>
    <row r="961" spans="1:11" ht="42" customHeight="1">
      <c r="A961" s="2" t="s">
        <v>2391</v>
      </c>
      <c r="B961" s="2" t="s">
        <v>2391</v>
      </c>
      <c r="C961" s="2" t="s">
        <v>16</v>
      </c>
      <c r="D961" s="2" t="s">
        <v>17</v>
      </c>
      <c r="E961" s="5">
        <v>-31497</v>
      </c>
      <c r="F961" s="3" t="s">
        <v>223</v>
      </c>
      <c r="G961" s="3" t="s">
        <v>28</v>
      </c>
      <c r="H961" s="2" t="s">
        <v>20</v>
      </c>
      <c r="I961" s="2" t="s">
        <v>2411</v>
      </c>
      <c r="J961" s="3" t="str">
        <f>HYPERLINK("https://www.boe.es/gazeta/dias/1813/10/05/pdfs/GRE-1813-130.pdf#page=8","Abrir facsímil")</f>
        <v>Abrir facsímil</v>
      </c>
      <c r="K961" s="3" t="s">
        <v>22</v>
      </c>
    </row>
    <row r="962" spans="1:11" ht="42" customHeight="1">
      <c r="A962" s="2" t="s">
        <v>2391</v>
      </c>
      <c r="B962" s="2" t="s">
        <v>2391</v>
      </c>
      <c r="C962" s="2" t="s">
        <v>16</v>
      </c>
      <c r="D962" s="2" t="s">
        <v>17</v>
      </c>
      <c r="E962" s="5">
        <v>-31495</v>
      </c>
      <c r="F962" s="3" t="s">
        <v>194</v>
      </c>
      <c r="G962" s="3" t="s">
        <v>54</v>
      </c>
      <c r="H962" s="2" t="s">
        <v>20</v>
      </c>
      <c r="I962" s="2" t="s">
        <v>2412</v>
      </c>
      <c r="J962" s="3" t="str">
        <f>HYPERLINK("https://www.boe.es/gazeta/dias/1813/10/07/pdfs/GMR-1813-55.pdf#page=3","Abrir facsímil")</f>
        <v>Abrir facsímil</v>
      </c>
      <c r="K962" s="3" t="s">
        <v>22</v>
      </c>
    </row>
    <row r="963" spans="1:11" ht="42" customHeight="1">
      <c r="A963" s="2" t="s">
        <v>2391</v>
      </c>
      <c r="B963" s="2" t="s">
        <v>2391</v>
      </c>
      <c r="C963" s="2" t="s">
        <v>16</v>
      </c>
      <c r="D963" s="2" t="s">
        <v>17</v>
      </c>
      <c r="E963" s="5">
        <v>-31486</v>
      </c>
      <c r="F963" s="3" t="s">
        <v>1284</v>
      </c>
      <c r="G963" s="3" t="s">
        <v>2413</v>
      </c>
      <c r="H963" s="2" t="s">
        <v>20</v>
      </c>
      <c r="I963" s="2" t="s">
        <v>2414</v>
      </c>
      <c r="J963" s="3" t="str">
        <f>HYPERLINK("https://www.boe.es/gazeta/dias/1813/10/16/pdfs/GMR-1813-60.pdf#page=5","Abrir facsímil")</f>
        <v>Abrir facsímil</v>
      </c>
      <c r="K963" s="3" t="s">
        <v>22</v>
      </c>
    </row>
    <row r="964" spans="1:11" ht="42" customHeight="1">
      <c r="A964" s="2" t="s">
        <v>2391</v>
      </c>
      <c r="B964" s="2" t="s">
        <v>2391</v>
      </c>
      <c r="C964" s="2" t="s">
        <v>16</v>
      </c>
      <c r="D964" s="2" t="s">
        <v>17</v>
      </c>
      <c r="E964" s="5">
        <v>-31483</v>
      </c>
      <c r="F964" s="3" t="s">
        <v>1292</v>
      </c>
      <c r="G964" s="3" t="s">
        <v>65</v>
      </c>
      <c r="H964" s="2" t="s">
        <v>20</v>
      </c>
      <c r="I964" s="2" t="s">
        <v>2415</v>
      </c>
      <c r="J964" s="3" t="str">
        <f>HYPERLINK("https://www.boe.es/gazeta/dias/1813/10/19/pdfs/GMR-1813-61.pdf#page=1","Abrir facsímil")</f>
        <v>Abrir facsímil</v>
      </c>
      <c r="K964" s="3" t="s">
        <v>22</v>
      </c>
    </row>
    <row r="965" spans="1:11" ht="42" customHeight="1">
      <c r="A965" s="2" t="s">
        <v>2391</v>
      </c>
      <c r="B965" s="2" t="s">
        <v>2391</v>
      </c>
      <c r="C965" s="2" t="s">
        <v>16</v>
      </c>
      <c r="D965" s="2" t="s">
        <v>17</v>
      </c>
      <c r="E965" s="5">
        <v>-31483</v>
      </c>
      <c r="F965" s="3" t="s">
        <v>1292</v>
      </c>
      <c r="G965" s="3" t="s">
        <v>87</v>
      </c>
      <c r="H965" s="2" t="s">
        <v>20</v>
      </c>
      <c r="I965" s="2" t="s">
        <v>2416</v>
      </c>
      <c r="J965" s="3" t="str">
        <f>HYPERLINK("https://www.boe.es/gazeta/dias/1813/10/19/pdfs/GMR-1813-61.pdf#page=7","Abrir facsímil")</f>
        <v>Abrir facsímil</v>
      </c>
      <c r="K965" s="3" t="s">
        <v>22</v>
      </c>
    </row>
    <row r="966" spans="1:11" ht="42" customHeight="1">
      <c r="A966" s="2" t="s">
        <v>2391</v>
      </c>
      <c r="B966" s="2" t="s">
        <v>2391</v>
      </c>
      <c r="C966" s="2" t="s">
        <v>16</v>
      </c>
      <c r="D966" s="2" t="s">
        <v>17</v>
      </c>
      <c r="E966" s="5">
        <v>-31481</v>
      </c>
      <c r="F966" s="3" t="s">
        <v>40</v>
      </c>
      <c r="G966" s="3" t="s">
        <v>58</v>
      </c>
      <c r="H966" s="2" t="s">
        <v>20</v>
      </c>
      <c r="I966" s="2" t="s">
        <v>2417</v>
      </c>
      <c r="J966" s="3" t="str">
        <f>HYPERLINK("https://www.boe.es/gazeta/dias/1813/10/21/pdfs/GMR-1813-62.pdf#page=2","Abrir facsímil")</f>
        <v>Abrir facsímil</v>
      </c>
      <c r="K966" s="3" t="s">
        <v>22</v>
      </c>
    </row>
    <row r="967" spans="1:11" ht="42" customHeight="1">
      <c r="A967" s="2" t="s">
        <v>2391</v>
      </c>
      <c r="B967" s="2" t="s">
        <v>2391</v>
      </c>
      <c r="C967" s="2" t="s">
        <v>16</v>
      </c>
      <c r="D967" s="2" t="s">
        <v>17</v>
      </c>
      <c r="E967" s="5">
        <v>-31481</v>
      </c>
      <c r="F967" s="3" t="s">
        <v>380</v>
      </c>
      <c r="G967" s="3" t="s">
        <v>794</v>
      </c>
      <c r="H967" s="2" t="s">
        <v>20</v>
      </c>
      <c r="I967" s="2" t="s">
        <v>2418</v>
      </c>
      <c r="J967" s="3" t="str">
        <f>HYPERLINK("https://www.boe.es/gazeta/dias/1813/10/21/pdfs/GRE-1813-137.pdf#page=7","Abrir facsímil")</f>
        <v>Abrir facsímil</v>
      </c>
      <c r="K967" s="3" t="s">
        <v>22</v>
      </c>
    </row>
    <row r="968" spans="1:11" ht="42" customHeight="1">
      <c r="A968" s="2" t="s">
        <v>2391</v>
      </c>
      <c r="B968" s="2" t="s">
        <v>2391</v>
      </c>
      <c r="C968" s="2" t="s">
        <v>16</v>
      </c>
      <c r="D968" s="2" t="s">
        <v>17</v>
      </c>
      <c r="E968" s="5">
        <v>-31481</v>
      </c>
      <c r="F968" s="3" t="s">
        <v>380</v>
      </c>
      <c r="G968" s="3" t="s">
        <v>95</v>
      </c>
      <c r="H968" s="2" t="s">
        <v>20</v>
      </c>
      <c r="I968" s="2" t="s">
        <v>2419</v>
      </c>
      <c r="J968" s="3" t="str">
        <f>HYPERLINK("https://www.boe.es/gazeta/dias/1813/10/21/pdfs/GRE-1813-137.pdf#page=6","Abrir facsímil")</f>
        <v>Abrir facsímil</v>
      </c>
      <c r="K968" s="3" t="s">
        <v>22</v>
      </c>
    </row>
    <row r="969" spans="1:11" ht="42" customHeight="1">
      <c r="A969" s="2" t="s">
        <v>2391</v>
      </c>
      <c r="B969" s="2" t="s">
        <v>2391</v>
      </c>
      <c r="C969" s="2" t="s">
        <v>16</v>
      </c>
      <c r="D969" s="2" t="s">
        <v>17</v>
      </c>
      <c r="E969" s="5">
        <v>-31479</v>
      </c>
      <c r="F969" s="3" t="s">
        <v>2383</v>
      </c>
      <c r="G969" s="3" t="s">
        <v>2420</v>
      </c>
      <c r="H969" s="2" t="s">
        <v>20</v>
      </c>
      <c r="I969" s="2" t="s">
        <v>2421</v>
      </c>
      <c r="J969" s="3" t="str">
        <f>HYPERLINK("https://www.boe.es/gazeta/dias/1813/10/23/pdfs/GRE-1813-138.pdf#page=2","Abrir facsímil")</f>
        <v>Abrir facsímil</v>
      </c>
      <c r="K969" s="3" t="s">
        <v>22</v>
      </c>
    </row>
    <row r="970" spans="1:11" ht="42" customHeight="1">
      <c r="A970" s="2" t="s">
        <v>2391</v>
      </c>
      <c r="B970" s="2" t="s">
        <v>2391</v>
      </c>
      <c r="C970" s="2" t="s">
        <v>16</v>
      </c>
      <c r="D970" s="2" t="s">
        <v>17</v>
      </c>
      <c r="E970" s="5">
        <v>-31479</v>
      </c>
      <c r="F970" s="3" t="s">
        <v>2383</v>
      </c>
      <c r="G970" s="3" t="s">
        <v>65</v>
      </c>
      <c r="H970" s="2" t="s">
        <v>20</v>
      </c>
      <c r="I970" s="2" t="s">
        <v>2422</v>
      </c>
      <c r="J970" s="3" t="str">
        <f>HYPERLINK("https://www.boe.es/gazeta/dias/1813/10/23/pdfs/GRE-1813-138.pdf#page=1","Abrir facsímil")</f>
        <v>Abrir facsímil</v>
      </c>
      <c r="K970" s="3" t="s">
        <v>22</v>
      </c>
    </row>
    <row r="971" spans="1:11" ht="42" customHeight="1">
      <c r="A971" s="2" t="s">
        <v>2391</v>
      </c>
      <c r="B971" s="2" t="s">
        <v>2391</v>
      </c>
      <c r="C971" s="2" t="s">
        <v>16</v>
      </c>
      <c r="D971" s="2" t="s">
        <v>17</v>
      </c>
      <c r="E971" s="5">
        <v>-31476</v>
      </c>
      <c r="F971" s="3" t="s">
        <v>229</v>
      </c>
      <c r="G971" s="3" t="s">
        <v>54</v>
      </c>
      <c r="H971" s="2" t="s">
        <v>20</v>
      </c>
      <c r="I971" s="2" t="s">
        <v>2423</v>
      </c>
      <c r="J971" s="3" t="str">
        <f>HYPERLINK("https://www.boe.es/gazeta/dias/1813/10/26/pdfs/GRE-1813-140.pdf#page=3","Abrir facsímil")</f>
        <v>Abrir facsímil</v>
      </c>
      <c r="K971" s="3" t="s">
        <v>22</v>
      </c>
    </row>
    <row r="972" spans="1:11" ht="42" customHeight="1">
      <c r="A972" s="2" t="s">
        <v>2391</v>
      </c>
      <c r="B972" s="2" t="s">
        <v>2391</v>
      </c>
      <c r="C972" s="2" t="s">
        <v>16</v>
      </c>
      <c r="D972" s="2" t="s">
        <v>17</v>
      </c>
      <c r="E972" s="5">
        <v>-31474</v>
      </c>
      <c r="F972" s="3" t="s">
        <v>130</v>
      </c>
      <c r="G972" s="3" t="s">
        <v>19</v>
      </c>
      <c r="H972" s="2" t="s">
        <v>20</v>
      </c>
      <c r="I972" s="2" t="s">
        <v>2424</v>
      </c>
      <c r="J972" s="3" t="str">
        <f>HYPERLINK("https://www.boe.es/gazeta/dias/1813/10/28/pdfs/GRE-1813-141.pdf#page=4","Abrir facsímil")</f>
        <v>Abrir facsímil</v>
      </c>
      <c r="K972" s="3" t="s">
        <v>22</v>
      </c>
    </row>
    <row r="973" spans="1:11" ht="42" customHeight="1">
      <c r="A973" s="2" t="s">
        <v>2391</v>
      </c>
      <c r="B973" s="2" t="s">
        <v>2391</v>
      </c>
      <c r="C973" s="2" t="s">
        <v>16</v>
      </c>
      <c r="D973" s="2" t="s">
        <v>17</v>
      </c>
      <c r="E973" s="5">
        <v>-31462</v>
      </c>
      <c r="F973" s="3" t="s">
        <v>1028</v>
      </c>
      <c r="G973" s="3" t="s">
        <v>58</v>
      </c>
      <c r="H973" s="2" t="s">
        <v>20</v>
      </c>
      <c r="I973" s="2" t="s">
        <v>2425</v>
      </c>
      <c r="J973" s="3" t="str">
        <f>HYPERLINK("https://www.boe.es/gazeta/dias/1813/11/09/pdfs/GMR-1813-71.pdf#page=2","Abrir facsímil")</f>
        <v>Abrir facsímil</v>
      </c>
      <c r="K973" s="3" t="s">
        <v>22</v>
      </c>
    </row>
    <row r="974" spans="1:11" ht="42" customHeight="1">
      <c r="A974" s="2" t="s">
        <v>2391</v>
      </c>
      <c r="B974" s="2" t="s">
        <v>2391</v>
      </c>
      <c r="C974" s="2" t="s">
        <v>16</v>
      </c>
      <c r="D974" s="2" t="s">
        <v>17</v>
      </c>
      <c r="E974" s="5">
        <v>-31462</v>
      </c>
      <c r="F974" s="3" t="s">
        <v>1028</v>
      </c>
      <c r="G974" s="3" t="s">
        <v>19</v>
      </c>
      <c r="H974" s="2" t="s">
        <v>20</v>
      </c>
      <c r="I974" s="2" t="s">
        <v>2426</v>
      </c>
      <c r="J974" s="3" t="str">
        <f>HYPERLINK("https://www.boe.es/gazeta/dias/1813/11/09/pdfs/GMR-1813-71.pdf#page=4","Abrir facsímil")</f>
        <v>Abrir facsímil</v>
      </c>
      <c r="K974" s="3" t="s">
        <v>22</v>
      </c>
    </row>
    <row r="975" spans="1:11" ht="42" customHeight="1">
      <c r="A975" s="2" t="s">
        <v>2391</v>
      </c>
      <c r="B975" s="2" t="s">
        <v>2391</v>
      </c>
      <c r="C975" s="2" t="s">
        <v>16</v>
      </c>
      <c r="D975" s="2" t="s">
        <v>17</v>
      </c>
      <c r="E975" s="5">
        <v>-31462</v>
      </c>
      <c r="F975" s="3" t="s">
        <v>542</v>
      </c>
      <c r="G975" s="3" t="s">
        <v>2156</v>
      </c>
      <c r="H975" s="2" t="s">
        <v>20</v>
      </c>
      <c r="I975" s="2" t="s">
        <v>2427</v>
      </c>
      <c r="J975" s="3" t="str">
        <f>HYPERLINK("https://www.boe.es/gazeta/dias/1813/11/09/pdfs/GRE-1813-146.pdf#page=5","Abrir facsímil")</f>
        <v>Abrir facsímil</v>
      </c>
      <c r="K975" s="3" t="s">
        <v>22</v>
      </c>
    </row>
    <row r="976" spans="1:11" ht="42" customHeight="1">
      <c r="A976" s="2" t="s">
        <v>2391</v>
      </c>
      <c r="B976" s="2" t="s">
        <v>2391</v>
      </c>
      <c r="C976" s="2" t="s">
        <v>16</v>
      </c>
      <c r="D976" s="2" t="s">
        <v>17</v>
      </c>
      <c r="E976" s="5">
        <v>-31462</v>
      </c>
      <c r="F976" s="3" t="s">
        <v>542</v>
      </c>
      <c r="G976" s="3" t="s">
        <v>19</v>
      </c>
      <c r="H976" s="2" t="s">
        <v>20</v>
      </c>
      <c r="I976" s="2" t="s">
        <v>2428</v>
      </c>
      <c r="J976" s="3" t="str">
        <f>HYPERLINK("https://www.boe.es/gazeta/dias/1813/11/09/pdfs/GRE-1813-146.pdf#page=4","Abrir facsímil")</f>
        <v>Abrir facsímil</v>
      </c>
      <c r="K976" s="3" t="s">
        <v>22</v>
      </c>
    </row>
    <row r="977" spans="1:11" ht="42" customHeight="1">
      <c r="A977" s="2" t="s">
        <v>2391</v>
      </c>
      <c r="B977" s="2" t="s">
        <v>2391</v>
      </c>
      <c r="C977" s="2" t="s">
        <v>16</v>
      </c>
      <c r="D977" s="2" t="s">
        <v>17</v>
      </c>
      <c r="E977" s="5">
        <v>-31460</v>
      </c>
      <c r="F977" s="3" t="s">
        <v>599</v>
      </c>
      <c r="G977" s="3" t="s">
        <v>1492</v>
      </c>
      <c r="H977" s="2" t="s">
        <v>20</v>
      </c>
      <c r="I977" s="2" t="s">
        <v>2429</v>
      </c>
      <c r="J977" s="3" t="str">
        <f>HYPERLINK("https://www.boe.es/gazeta/dias/1813/11/11/pdfs/GMR-1813-72.pdf#page=4","Abrir facsímil")</f>
        <v>Abrir facsímil</v>
      </c>
      <c r="K977" s="3" t="s">
        <v>22</v>
      </c>
    </row>
    <row r="978" spans="1:11" ht="42" customHeight="1">
      <c r="A978" s="2" t="s">
        <v>2391</v>
      </c>
      <c r="B978" s="2" t="s">
        <v>2391</v>
      </c>
      <c r="C978" s="2" t="s">
        <v>16</v>
      </c>
      <c r="D978" s="2" t="s">
        <v>17</v>
      </c>
      <c r="E978" s="5">
        <v>-31460</v>
      </c>
      <c r="F978" s="3" t="s">
        <v>599</v>
      </c>
      <c r="G978" s="3" t="s">
        <v>58</v>
      </c>
      <c r="H978" s="2" t="s">
        <v>20</v>
      </c>
      <c r="I978" s="2" t="s">
        <v>2430</v>
      </c>
      <c r="J978" s="3" t="str">
        <f>HYPERLINK("https://www.boe.es/gazeta/dias/1813/11/11/pdfs/GMR-1813-72.pdf#page=2","Abrir facsímil")</f>
        <v>Abrir facsímil</v>
      </c>
      <c r="K978" s="3" t="s">
        <v>22</v>
      </c>
    </row>
    <row r="979" spans="1:11" ht="42" customHeight="1">
      <c r="A979" s="2" t="s">
        <v>2391</v>
      </c>
      <c r="B979" s="2" t="s">
        <v>2391</v>
      </c>
      <c r="C979" s="2" t="s">
        <v>16</v>
      </c>
      <c r="D979" s="2" t="s">
        <v>17</v>
      </c>
      <c r="E979" s="5">
        <v>-31458</v>
      </c>
      <c r="F979" s="3" t="s">
        <v>2315</v>
      </c>
      <c r="G979" s="3" t="s">
        <v>54</v>
      </c>
      <c r="H979" s="2" t="s">
        <v>20</v>
      </c>
      <c r="I979" s="2" t="s">
        <v>2431</v>
      </c>
      <c r="J979" s="3" t="str">
        <f>HYPERLINK("https://www.boe.es/gazeta/dias/1813/11/13/pdfs/GMR-1813-73.pdf#page=3","Abrir facsímil")</f>
        <v>Abrir facsímil</v>
      </c>
      <c r="K979" s="3" t="s">
        <v>22</v>
      </c>
    </row>
    <row r="980" spans="1:11" ht="42" customHeight="1">
      <c r="A980" s="2" t="s">
        <v>2391</v>
      </c>
      <c r="B980" s="2" t="s">
        <v>2391</v>
      </c>
      <c r="C980" s="2" t="s">
        <v>16</v>
      </c>
      <c r="D980" s="2" t="s">
        <v>17</v>
      </c>
      <c r="E980" s="5">
        <v>-31458</v>
      </c>
      <c r="F980" s="3" t="s">
        <v>2315</v>
      </c>
      <c r="G980" s="3" t="s">
        <v>19</v>
      </c>
      <c r="H980" s="2" t="s">
        <v>20</v>
      </c>
      <c r="I980" s="2" t="s">
        <v>2432</v>
      </c>
      <c r="J980" s="3" t="str">
        <f>HYPERLINK("https://www.boe.es/gazeta/dias/1813/11/13/pdfs/GMR-1813-73.pdf#page=4","Abrir facsímil")</f>
        <v>Abrir facsímil</v>
      </c>
      <c r="K980" s="3" t="s">
        <v>22</v>
      </c>
    </row>
    <row r="981" spans="1:11" ht="42" customHeight="1">
      <c r="A981" s="2" t="s">
        <v>2391</v>
      </c>
      <c r="B981" s="2" t="s">
        <v>2391</v>
      </c>
      <c r="C981" s="2" t="s">
        <v>16</v>
      </c>
      <c r="D981" s="2" t="s">
        <v>17</v>
      </c>
      <c r="E981" s="5">
        <v>-31458</v>
      </c>
      <c r="F981" s="3" t="s">
        <v>1171</v>
      </c>
      <c r="G981" s="3" t="s">
        <v>54</v>
      </c>
      <c r="H981" s="2" t="s">
        <v>20</v>
      </c>
      <c r="I981" s="2" t="s">
        <v>2433</v>
      </c>
      <c r="J981" s="3" t="str">
        <f>HYPERLINK("https://www.boe.es/gazeta/dias/1813/11/13/pdfs/GRE-1813-149.pdf#page=3","Abrir facsímil")</f>
        <v>Abrir facsímil</v>
      </c>
      <c r="K981" s="3" t="s">
        <v>22</v>
      </c>
    </row>
    <row r="982" spans="1:11" ht="42" customHeight="1">
      <c r="A982" s="2" t="s">
        <v>2391</v>
      </c>
      <c r="B982" s="2" t="s">
        <v>2391</v>
      </c>
      <c r="C982" s="2" t="s">
        <v>16</v>
      </c>
      <c r="D982" s="2" t="s">
        <v>17</v>
      </c>
      <c r="E982" s="5">
        <v>-31455</v>
      </c>
      <c r="F982" s="3" t="s">
        <v>693</v>
      </c>
      <c r="G982" s="3" t="s">
        <v>1588</v>
      </c>
      <c r="H982" s="2" t="s">
        <v>20</v>
      </c>
      <c r="I982" s="2" t="s">
        <v>2434</v>
      </c>
      <c r="J982" s="3" t="str">
        <f>HYPERLINK("https://www.boe.es/gazeta/dias/1813/11/16/pdfs/GRE-1813-150.pdf#page=4","Abrir facsímil")</f>
        <v>Abrir facsímil</v>
      </c>
      <c r="K982" s="3" t="s">
        <v>22</v>
      </c>
    </row>
    <row r="983" spans="1:11" ht="42" customHeight="1">
      <c r="A983" s="2" t="s">
        <v>2391</v>
      </c>
      <c r="B983" s="2" t="s">
        <v>2391</v>
      </c>
      <c r="C983" s="2" t="s">
        <v>16</v>
      </c>
      <c r="D983" s="2" t="s">
        <v>17</v>
      </c>
      <c r="E983" s="5">
        <v>-31455</v>
      </c>
      <c r="F983" s="3" t="s">
        <v>693</v>
      </c>
      <c r="G983" s="3" t="s">
        <v>58</v>
      </c>
      <c r="H983" s="2" t="s">
        <v>20</v>
      </c>
      <c r="I983" s="2" t="s">
        <v>2435</v>
      </c>
      <c r="J983" s="3" t="str">
        <f>HYPERLINK("https://www.boe.es/gazeta/dias/1813/11/16/pdfs/GRE-1813-150.pdf#page=2","Abrir facsímil")</f>
        <v>Abrir facsímil</v>
      </c>
      <c r="K983" s="3" t="s">
        <v>22</v>
      </c>
    </row>
    <row r="984" spans="1:11" ht="42" customHeight="1">
      <c r="A984" s="2" t="s">
        <v>2391</v>
      </c>
      <c r="B984" s="2" t="s">
        <v>2391</v>
      </c>
      <c r="C984" s="2" t="s">
        <v>16</v>
      </c>
      <c r="D984" s="2" t="s">
        <v>17</v>
      </c>
      <c r="E984" s="5">
        <v>-31455</v>
      </c>
      <c r="F984" s="3" t="s">
        <v>693</v>
      </c>
      <c r="G984" s="3" t="s">
        <v>95</v>
      </c>
      <c r="H984" s="2" t="s">
        <v>20</v>
      </c>
      <c r="I984" s="2" t="s">
        <v>2436</v>
      </c>
      <c r="J984" s="3" t="str">
        <f>HYPERLINK("https://www.boe.es/gazeta/dias/1813/11/16/pdfs/GRE-1813-150.pdf#page=6","Abrir facsímil")</f>
        <v>Abrir facsímil</v>
      </c>
      <c r="K984" s="3" t="s">
        <v>22</v>
      </c>
    </row>
    <row r="985" spans="1:11" ht="42" customHeight="1">
      <c r="A985" s="2" t="s">
        <v>2391</v>
      </c>
      <c r="B985" s="2" t="s">
        <v>2391</v>
      </c>
      <c r="C985" s="2" t="s">
        <v>16</v>
      </c>
      <c r="D985" s="2" t="s">
        <v>17</v>
      </c>
      <c r="E985" s="5">
        <v>-31453</v>
      </c>
      <c r="F985" s="3" t="s">
        <v>695</v>
      </c>
      <c r="G985" s="3" t="s">
        <v>58</v>
      </c>
      <c r="H985" s="2" t="s">
        <v>20</v>
      </c>
      <c r="I985" s="2" t="s">
        <v>2437</v>
      </c>
      <c r="J985" s="3" t="str">
        <f>HYPERLINK("https://www.boe.es/gazeta/dias/1813/11/18/pdfs/GRE-1813-151.pdf#page=2","Abrir facsímil")</f>
        <v>Abrir facsímil</v>
      </c>
      <c r="K985" s="3" t="s">
        <v>22</v>
      </c>
    </row>
    <row r="986" spans="1:11" ht="42" customHeight="1">
      <c r="A986" s="2" t="s">
        <v>2391</v>
      </c>
      <c r="B986" s="2" t="s">
        <v>2391</v>
      </c>
      <c r="C986" s="2" t="s">
        <v>16</v>
      </c>
      <c r="D986" s="2" t="s">
        <v>17</v>
      </c>
      <c r="E986" s="5">
        <v>-31453</v>
      </c>
      <c r="F986" s="3" t="s">
        <v>695</v>
      </c>
      <c r="G986" s="3" t="s">
        <v>54</v>
      </c>
      <c r="H986" s="2" t="s">
        <v>20</v>
      </c>
      <c r="I986" s="2" t="s">
        <v>2438</v>
      </c>
      <c r="J986" s="3" t="str">
        <f>HYPERLINK("https://www.boe.es/gazeta/dias/1813/11/18/pdfs/GRE-1813-151.pdf#page=3","Abrir facsímil")</f>
        <v>Abrir facsímil</v>
      </c>
      <c r="K986" s="3" t="s">
        <v>22</v>
      </c>
    </row>
    <row r="987" spans="1:11" ht="42" customHeight="1">
      <c r="A987" s="2" t="s">
        <v>2391</v>
      </c>
      <c r="B987" s="2" t="s">
        <v>2391</v>
      </c>
      <c r="C987" s="2" t="s">
        <v>16</v>
      </c>
      <c r="D987" s="2" t="s">
        <v>17</v>
      </c>
      <c r="E987" s="5">
        <v>-31451</v>
      </c>
      <c r="F987" s="3" t="s">
        <v>2325</v>
      </c>
      <c r="G987" s="3" t="s">
        <v>65</v>
      </c>
      <c r="H987" s="2" t="s">
        <v>20</v>
      </c>
      <c r="I987" s="2" t="s">
        <v>2439</v>
      </c>
      <c r="J987" s="3" t="str">
        <f>HYPERLINK("https://www.boe.es/gazeta/dias/1813/11/20/pdfs/GMR-1813-77.pdf#page=1","Abrir facsímil")</f>
        <v>Abrir facsímil</v>
      </c>
      <c r="K987" s="3" t="s">
        <v>22</v>
      </c>
    </row>
    <row r="988" spans="1:11" ht="42" customHeight="1">
      <c r="A988" s="2" t="s">
        <v>2391</v>
      </c>
      <c r="B988" s="2" t="s">
        <v>2391</v>
      </c>
      <c r="C988" s="2" t="s">
        <v>16</v>
      </c>
      <c r="D988" s="2" t="s">
        <v>17</v>
      </c>
      <c r="E988" s="5">
        <v>-31448</v>
      </c>
      <c r="F988" s="3" t="s">
        <v>57</v>
      </c>
      <c r="G988" s="3" t="s">
        <v>2218</v>
      </c>
      <c r="H988" s="2" t="s">
        <v>20</v>
      </c>
      <c r="I988" s="2" t="s">
        <v>2440</v>
      </c>
      <c r="J988" s="3" t="str">
        <f>HYPERLINK("https://www.boe.es/gazeta/dias/1813/11/23/pdfs/GRE-1813-153.pdf#page=4","Abrir facsímil")</f>
        <v>Abrir facsímil</v>
      </c>
      <c r="K988" s="3" t="s">
        <v>22</v>
      </c>
    </row>
    <row r="989" spans="1:11" ht="42" customHeight="1">
      <c r="A989" s="2" t="s">
        <v>2391</v>
      </c>
      <c r="B989" s="2" t="s">
        <v>2391</v>
      </c>
      <c r="C989" s="2" t="s">
        <v>16</v>
      </c>
      <c r="D989" s="2" t="s">
        <v>17</v>
      </c>
      <c r="E989" s="5">
        <v>-31448</v>
      </c>
      <c r="F989" s="3" t="s">
        <v>57</v>
      </c>
      <c r="G989" s="3" t="s">
        <v>54</v>
      </c>
      <c r="H989" s="2" t="s">
        <v>20</v>
      </c>
      <c r="I989" s="2" t="s">
        <v>2441</v>
      </c>
      <c r="J989" s="3" t="str">
        <f>HYPERLINK("https://www.boe.es/gazeta/dias/1813/11/23/pdfs/GRE-1813-153.pdf#page=3","Abrir facsímil")</f>
        <v>Abrir facsímil</v>
      </c>
      <c r="K989" s="3" t="s">
        <v>22</v>
      </c>
    </row>
    <row r="990" spans="1:11" ht="42" customHeight="1">
      <c r="A990" s="2" t="s">
        <v>2391</v>
      </c>
      <c r="B990" s="2" t="s">
        <v>2391</v>
      </c>
      <c r="C990" s="2" t="s">
        <v>16</v>
      </c>
      <c r="D990" s="2" t="s">
        <v>17</v>
      </c>
      <c r="E990" s="5">
        <v>-31448</v>
      </c>
      <c r="F990" s="3" t="s">
        <v>57</v>
      </c>
      <c r="G990" s="3" t="s">
        <v>82</v>
      </c>
      <c r="H990" s="2" t="s">
        <v>20</v>
      </c>
      <c r="I990" s="2" t="s">
        <v>2442</v>
      </c>
      <c r="J990" s="3" t="str">
        <f>HYPERLINK("https://www.boe.es/gazeta/dias/1813/11/23/pdfs/GRE-1813-153.pdf#page=5","Abrir facsímil")</f>
        <v>Abrir facsímil</v>
      </c>
      <c r="K990" s="3" t="s">
        <v>22</v>
      </c>
    </row>
    <row r="991" spans="1:11" ht="42" customHeight="1">
      <c r="A991" s="2" t="s">
        <v>2391</v>
      </c>
      <c r="B991" s="2" t="s">
        <v>2391</v>
      </c>
      <c r="C991" s="2" t="s">
        <v>16</v>
      </c>
      <c r="D991" s="2" t="s">
        <v>17</v>
      </c>
      <c r="E991" s="5">
        <v>-31446</v>
      </c>
      <c r="F991" s="3" t="s">
        <v>103</v>
      </c>
      <c r="G991" s="3" t="s">
        <v>95</v>
      </c>
      <c r="H991" s="2" t="s">
        <v>20</v>
      </c>
      <c r="I991" s="2" t="s">
        <v>2443</v>
      </c>
      <c r="J991" s="3" t="str">
        <f>HYPERLINK("https://www.boe.es/gazeta/dias/1813/11/25/pdfs/GMR-1813-79.pdf#page=6","Abrir facsímil")</f>
        <v>Abrir facsímil</v>
      </c>
      <c r="K991" s="3" t="s">
        <v>22</v>
      </c>
    </row>
    <row r="992" spans="1:11" ht="42" customHeight="1">
      <c r="A992" s="2" t="s">
        <v>2391</v>
      </c>
      <c r="B992" s="2" t="s">
        <v>2391</v>
      </c>
      <c r="C992" s="2" t="s">
        <v>16</v>
      </c>
      <c r="D992" s="2" t="s">
        <v>97</v>
      </c>
      <c r="E992" s="5">
        <v>-31446</v>
      </c>
      <c r="F992" s="3" t="s">
        <v>1877</v>
      </c>
      <c r="G992" s="3" t="s">
        <v>1948</v>
      </c>
      <c r="H992" s="2" t="s">
        <v>20</v>
      </c>
      <c r="I992" s="2" t="s">
        <v>2444</v>
      </c>
      <c r="J992" s="3" t="str">
        <f>HYPERLINK("https://www.boe.es/gazeta/dias/1813/11/25/pdfs/GRE-1813-155E.pdf#page=7","Abrir facsímil")</f>
        <v>Abrir facsímil</v>
      </c>
      <c r="K992" s="3" t="s">
        <v>22</v>
      </c>
    </row>
    <row r="993" spans="1:11" ht="42" customHeight="1">
      <c r="A993" s="2" t="s">
        <v>2391</v>
      </c>
      <c r="B993" s="2" t="s">
        <v>2391</v>
      </c>
      <c r="C993" s="2" t="s">
        <v>16</v>
      </c>
      <c r="D993" s="2" t="s">
        <v>97</v>
      </c>
      <c r="E993" s="5">
        <v>-31446</v>
      </c>
      <c r="F993" s="3" t="s">
        <v>1877</v>
      </c>
      <c r="G993" s="3" t="s">
        <v>1878</v>
      </c>
      <c r="H993" s="2" t="s">
        <v>20</v>
      </c>
      <c r="I993" s="2" t="s">
        <v>2445</v>
      </c>
      <c r="J993" s="3" t="str">
        <f>HYPERLINK("https://www.boe.es/gazeta/dias/1813/11/25/pdfs/GRE-1813-155E.pdf#page=8","Abrir facsímil")</f>
        <v>Abrir facsímil</v>
      </c>
      <c r="K993" s="3" t="s">
        <v>22</v>
      </c>
    </row>
    <row r="994" spans="1:11" ht="42" customHeight="1">
      <c r="A994" s="2" t="s">
        <v>2391</v>
      </c>
      <c r="B994" s="2" t="s">
        <v>2391</v>
      </c>
      <c r="C994" s="2" t="s">
        <v>16</v>
      </c>
      <c r="D994" s="2" t="s">
        <v>97</v>
      </c>
      <c r="E994" s="5">
        <v>-31446</v>
      </c>
      <c r="F994" s="3" t="s">
        <v>1877</v>
      </c>
      <c r="G994" s="3" t="s">
        <v>65</v>
      </c>
      <c r="H994" s="2" t="s">
        <v>20</v>
      </c>
      <c r="I994" s="2" t="s">
        <v>2446</v>
      </c>
      <c r="J994" s="3" t="str">
        <f>HYPERLINK("https://www.boe.es/gazeta/dias/1813/11/25/pdfs/GRE-1813-155E.pdf#page=1","Abrir facsímil")</f>
        <v>Abrir facsímil</v>
      </c>
      <c r="K994" s="3" t="s">
        <v>22</v>
      </c>
    </row>
    <row r="995" spans="1:11" ht="42" customHeight="1">
      <c r="A995" s="2" t="s">
        <v>2391</v>
      </c>
      <c r="B995" s="2" t="s">
        <v>2391</v>
      </c>
      <c r="C995" s="2" t="s">
        <v>16</v>
      </c>
      <c r="D995" s="2" t="s">
        <v>97</v>
      </c>
      <c r="E995" s="5">
        <v>-31446</v>
      </c>
      <c r="F995" s="3" t="s">
        <v>1877</v>
      </c>
      <c r="G995" s="3" t="s">
        <v>58</v>
      </c>
      <c r="H995" s="2" t="s">
        <v>20</v>
      </c>
      <c r="I995" s="2" t="s">
        <v>2447</v>
      </c>
      <c r="J995" s="3" t="str">
        <f>HYPERLINK("https://www.boe.es/gazeta/dias/1813/11/25/pdfs/GRE-1813-155E.pdf#page=2","Abrir facsímil")</f>
        <v>Abrir facsímil</v>
      </c>
      <c r="K995" s="3" t="s">
        <v>22</v>
      </c>
    </row>
    <row r="996" spans="1:11" ht="42" customHeight="1">
      <c r="A996" s="2" t="s">
        <v>2391</v>
      </c>
      <c r="B996" s="2" t="s">
        <v>2391</v>
      </c>
      <c r="C996" s="2" t="s">
        <v>16</v>
      </c>
      <c r="D996" s="2" t="s">
        <v>97</v>
      </c>
      <c r="E996" s="5">
        <v>-31446</v>
      </c>
      <c r="F996" s="3" t="s">
        <v>1877</v>
      </c>
      <c r="G996" s="3" t="s">
        <v>54</v>
      </c>
      <c r="H996" s="2" t="s">
        <v>20</v>
      </c>
      <c r="I996" s="2" t="s">
        <v>2448</v>
      </c>
      <c r="J996" s="3" t="str">
        <f>HYPERLINK("https://www.boe.es/gazeta/dias/1813/11/25/pdfs/GRE-1813-155E.pdf#page=3","Abrir facsímil")</f>
        <v>Abrir facsímil</v>
      </c>
      <c r="K996" s="3" t="s">
        <v>22</v>
      </c>
    </row>
    <row r="997" spans="1:11" ht="42" customHeight="1">
      <c r="A997" s="2" t="s">
        <v>2391</v>
      </c>
      <c r="B997" s="2" t="s">
        <v>2391</v>
      </c>
      <c r="C997" s="2" t="s">
        <v>16</v>
      </c>
      <c r="D997" s="2" t="s">
        <v>97</v>
      </c>
      <c r="E997" s="5">
        <v>-31446</v>
      </c>
      <c r="F997" s="3" t="s">
        <v>1877</v>
      </c>
      <c r="G997" s="3" t="s">
        <v>82</v>
      </c>
      <c r="H997" s="2" t="s">
        <v>20</v>
      </c>
      <c r="I997" s="2" t="s">
        <v>2449</v>
      </c>
      <c r="J997" s="3" t="str">
        <f>HYPERLINK("https://www.boe.es/gazeta/dias/1813/11/25/pdfs/GRE-1813-155E.pdf#page=5","Abrir facsímil")</f>
        <v>Abrir facsímil</v>
      </c>
      <c r="K997" s="3" t="s">
        <v>22</v>
      </c>
    </row>
    <row r="998" spans="1:11" ht="42" customHeight="1">
      <c r="A998" s="2" t="s">
        <v>2391</v>
      </c>
      <c r="B998" s="2" t="s">
        <v>2391</v>
      </c>
      <c r="C998" s="2" t="s">
        <v>16</v>
      </c>
      <c r="D998" s="2" t="s">
        <v>17</v>
      </c>
      <c r="E998" s="5">
        <v>-31444</v>
      </c>
      <c r="F998" s="3" t="s">
        <v>389</v>
      </c>
      <c r="G998" s="3" t="s">
        <v>19</v>
      </c>
      <c r="H998" s="2" t="s">
        <v>20</v>
      </c>
      <c r="I998" s="2" t="s">
        <v>2450</v>
      </c>
      <c r="J998" s="3" t="str">
        <f>HYPERLINK("https://www.boe.es/gazeta/dias/1813/11/27/pdfs/GMR-1813-80.pdf#page=4","Abrir facsímil")</f>
        <v>Abrir facsímil</v>
      </c>
      <c r="K998" s="3" t="s">
        <v>22</v>
      </c>
    </row>
    <row r="999" spans="1:11" ht="42" customHeight="1">
      <c r="A999" s="2" t="s">
        <v>2391</v>
      </c>
      <c r="B999" s="2" t="s">
        <v>2391</v>
      </c>
      <c r="C999" s="2" t="s">
        <v>16</v>
      </c>
      <c r="D999" s="2" t="s">
        <v>17</v>
      </c>
      <c r="E999" s="5">
        <v>-31444</v>
      </c>
      <c r="F999" s="3" t="s">
        <v>2451</v>
      </c>
      <c r="G999" s="3" t="s">
        <v>19</v>
      </c>
      <c r="H999" s="2" t="s">
        <v>20</v>
      </c>
      <c r="I999" s="2" t="s">
        <v>2452</v>
      </c>
      <c r="J999" s="3" t="str">
        <f>HYPERLINK("https://www.boe.es/gazeta/dias/1813/11/27/pdfs/GRE-1813-157.pdf#page=4","Abrir facsímil")</f>
        <v>Abrir facsímil</v>
      </c>
      <c r="K999" s="3" t="s">
        <v>22</v>
      </c>
    </row>
    <row r="1000" spans="1:11" ht="42" customHeight="1">
      <c r="A1000" s="2" t="s">
        <v>2391</v>
      </c>
      <c r="B1000" s="2" t="s">
        <v>2391</v>
      </c>
      <c r="C1000" s="2" t="s">
        <v>16</v>
      </c>
      <c r="D1000" s="2" t="s">
        <v>17</v>
      </c>
      <c r="E1000" s="5">
        <v>-31441</v>
      </c>
      <c r="F1000" s="3" t="s">
        <v>1933</v>
      </c>
      <c r="G1000" s="3" t="s">
        <v>65</v>
      </c>
      <c r="H1000" s="2" t="s">
        <v>20</v>
      </c>
      <c r="I1000" s="2" t="s">
        <v>2453</v>
      </c>
      <c r="J1000" s="3" t="str">
        <f>HYPERLINK("https://www.boe.es/gazeta/dias/1813/11/30/pdfs/GMR-1813-81.pdf#page=1","Abrir facsímil")</f>
        <v>Abrir facsímil</v>
      </c>
      <c r="K1000" s="3" t="s">
        <v>22</v>
      </c>
    </row>
    <row r="1001" spans="1:11" ht="42" customHeight="1">
      <c r="A1001" s="2" t="s">
        <v>2391</v>
      </c>
      <c r="B1001" s="2" t="s">
        <v>2391</v>
      </c>
      <c r="C1001" s="2" t="s">
        <v>16</v>
      </c>
      <c r="D1001" s="2" t="s">
        <v>17</v>
      </c>
      <c r="E1001" s="5">
        <v>-31441</v>
      </c>
      <c r="F1001" s="3" t="s">
        <v>1933</v>
      </c>
      <c r="G1001" s="3" t="s">
        <v>58</v>
      </c>
      <c r="H1001" s="2" t="s">
        <v>20</v>
      </c>
      <c r="I1001" s="2" t="s">
        <v>2454</v>
      </c>
      <c r="J1001" s="3" t="str">
        <f>HYPERLINK("https://www.boe.es/gazeta/dias/1813/11/30/pdfs/GMR-1813-81.pdf#page=2","Abrir facsímil")</f>
        <v>Abrir facsímil</v>
      </c>
      <c r="K1001" s="3" t="s">
        <v>22</v>
      </c>
    </row>
    <row r="1002" spans="1:11" ht="42" customHeight="1">
      <c r="A1002" s="2" t="s">
        <v>2391</v>
      </c>
      <c r="B1002" s="2" t="s">
        <v>2391</v>
      </c>
      <c r="C1002" s="2" t="s">
        <v>16</v>
      </c>
      <c r="D1002" s="2" t="s">
        <v>17</v>
      </c>
      <c r="E1002" s="5">
        <v>-31441</v>
      </c>
      <c r="F1002" s="3" t="s">
        <v>1933</v>
      </c>
      <c r="G1002" s="3" t="s">
        <v>54</v>
      </c>
      <c r="H1002" s="2" t="s">
        <v>20</v>
      </c>
      <c r="I1002" s="2" t="s">
        <v>2455</v>
      </c>
      <c r="J1002" s="3" t="str">
        <f>HYPERLINK("https://www.boe.es/gazeta/dias/1813/11/30/pdfs/GMR-1813-81.pdf#page=3","Abrir facsímil")</f>
        <v>Abrir facsímil</v>
      </c>
      <c r="K1002" s="3" t="s">
        <v>22</v>
      </c>
    </row>
    <row r="1003" spans="1:11" ht="42" customHeight="1">
      <c r="A1003" s="2" t="s">
        <v>2391</v>
      </c>
      <c r="B1003" s="2" t="s">
        <v>2391</v>
      </c>
      <c r="C1003" s="2" t="s">
        <v>16</v>
      </c>
      <c r="D1003" s="2" t="s">
        <v>17</v>
      </c>
      <c r="E1003" s="5">
        <v>-31441</v>
      </c>
      <c r="F1003" s="3" t="s">
        <v>1933</v>
      </c>
      <c r="G1003" s="3" t="s">
        <v>19</v>
      </c>
      <c r="H1003" s="2" t="s">
        <v>20</v>
      </c>
      <c r="I1003" s="2" t="s">
        <v>2456</v>
      </c>
      <c r="J1003" s="3" t="str">
        <f>HYPERLINK("https://www.boe.es/gazeta/dias/1813/11/30/pdfs/GMR-1813-81.pdf#page=4","Abrir facsímil")</f>
        <v>Abrir facsímil</v>
      </c>
      <c r="K1003" s="3" t="s">
        <v>22</v>
      </c>
    </row>
    <row r="1004" spans="1:11" ht="42" customHeight="1">
      <c r="A1004" s="2" t="s">
        <v>2391</v>
      </c>
      <c r="B1004" s="2" t="s">
        <v>2391</v>
      </c>
      <c r="C1004" s="2" t="s">
        <v>16</v>
      </c>
      <c r="D1004" s="2" t="s">
        <v>17</v>
      </c>
      <c r="E1004" s="5">
        <v>-31437</v>
      </c>
      <c r="F1004" s="3" t="s">
        <v>217</v>
      </c>
      <c r="G1004" s="3" t="s">
        <v>65</v>
      </c>
      <c r="H1004" s="2" t="s">
        <v>20</v>
      </c>
      <c r="I1004" s="2" t="s">
        <v>2457</v>
      </c>
      <c r="J1004" s="3" t="str">
        <f>HYPERLINK("https://www.boe.es/gazeta/dias/1813/12/04/pdfs/GRE-1813-160.pdf#page=1","Abrir facsímil")</f>
        <v>Abrir facsímil</v>
      </c>
      <c r="K1004" s="3" t="s">
        <v>22</v>
      </c>
    </row>
    <row r="1005" spans="1:11" ht="42" customHeight="1">
      <c r="A1005" s="2" t="s">
        <v>2391</v>
      </c>
      <c r="B1005" s="2" t="s">
        <v>2391</v>
      </c>
      <c r="C1005" s="2" t="s">
        <v>16</v>
      </c>
      <c r="D1005" s="2" t="s">
        <v>17</v>
      </c>
      <c r="E1005" s="5">
        <v>-31434</v>
      </c>
      <c r="F1005" s="3" t="s">
        <v>18</v>
      </c>
      <c r="G1005" s="3" t="s">
        <v>95</v>
      </c>
      <c r="H1005" s="2" t="s">
        <v>20</v>
      </c>
      <c r="I1005" s="2" t="s">
        <v>2458</v>
      </c>
      <c r="J1005" s="3" t="str">
        <f>HYPERLINK("https://www.boe.es/gazeta/dias/1813/12/07/pdfs/GRE-1813-161.pdf#page=6","Abrir facsímil")</f>
        <v>Abrir facsímil</v>
      </c>
      <c r="K1005" s="3" t="s">
        <v>22</v>
      </c>
    </row>
    <row r="1006" spans="1:11" ht="42" customHeight="1">
      <c r="A1006" s="2" t="s">
        <v>2391</v>
      </c>
      <c r="B1006" s="2" t="s">
        <v>2391</v>
      </c>
      <c r="C1006" s="2" t="s">
        <v>16</v>
      </c>
      <c r="D1006" s="2" t="s">
        <v>17</v>
      </c>
      <c r="E1006" s="5">
        <v>-31427</v>
      </c>
      <c r="F1006" s="3" t="s">
        <v>489</v>
      </c>
      <c r="G1006" s="3" t="s">
        <v>2459</v>
      </c>
      <c r="H1006" s="2" t="s">
        <v>20</v>
      </c>
      <c r="I1006" s="2" t="s">
        <v>2460</v>
      </c>
      <c r="J1006" s="3" t="str">
        <f>HYPERLINK("https://www.boe.es/gazeta/dias/1813/12/14/pdfs/GMR-1813-87.pdf#page=2","Abrir facsímil")</f>
        <v>Abrir facsímil</v>
      </c>
      <c r="K1006" s="3" t="s">
        <v>22</v>
      </c>
    </row>
    <row r="1007" spans="1:11" ht="42" customHeight="1">
      <c r="A1007" s="2" t="s">
        <v>2391</v>
      </c>
      <c r="B1007" s="2" t="s">
        <v>2391</v>
      </c>
      <c r="C1007" s="2" t="s">
        <v>16</v>
      </c>
      <c r="D1007" s="2" t="s">
        <v>17</v>
      </c>
      <c r="E1007" s="5">
        <v>-31427</v>
      </c>
      <c r="F1007" s="3" t="s">
        <v>489</v>
      </c>
      <c r="G1007" s="3" t="s">
        <v>65</v>
      </c>
      <c r="H1007" s="2" t="s">
        <v>20</v>
      </c>
      <c r="I1007" s="2" t="s">
        <v>2461</v>
      </c>
      <c r="J1007" s="3" t="str">
        <f>HYPERLINK("https://www.boe.es/gazeta/dias/1813/12/14/pdfs/GMR-1813-87.pdf#page=1","Abrir facsímil")</f>
        <v>Abrir facsímil</v>
      </c>
      <c r="K1007" s="3" t="s">
        <v>22</v>
      </c>
    </row>
    <row r="1008" spans="1:11" ht="42" customHeight="1">
      <c r="A1008" s="2" t="s">
        <v>2391</v>
      </c>
      <c r="B1008" s="2" t="s">
        <v>2391</v>
      </c>
      <c r="C1008" s="2" t="s">
        <v>16</v>
      </c>
      <c r="D1008" s="2" t="s">
        <v>17</v>
      </c>
      <c r="E1008" s="5">
        <v>-31427</v>
      </c>
      <c r="F1008" s="3" t="s">
        <v>489</v>
      </c>
      <c r="G1008" s="3" t="s">
        <v>54</v>
      </c>
      <c r="H1008" s="2" t="s">
        <v>20</v>
      </c>
      <c r="I1008" s="2" t="s">
        <v>2462</v>
      </c>
      <c r="J1008" s="3" t="str">
        <f>HYPERLINK("https://www.boe.es/gazeta/dias/1813/12/14/pdfs/GMR-1813-87.pdf#page=3","Abrir facsímil")</f>
        <v>Abrir facsímil</v>
      </c>
      <c r="K1008" s="3" t="s">
        <v>22</v>
      </c>
    </row>
    <row r="1009" spans="1:11" ht="42" customHeight="1">
      <c r="A1009" s="2" t="s">
        <v>2391</v>
      </c>
      <c r="B1009" s="2" t="s">
        <v>2391</v>
      </c>
      <c r="C1009" s="2" t="s">
        <v>16</v>
      </c>
      <c r="D1009" s="2" t="s">
        <v>17</v>
      </c>
      <c r="E1009" s="5">
        <v>-31425</v>
      </c>
      <c r="F1009" s="3" t="s">
        <v>1955</v>
      </c>
      <c r="G1009" s="3" t="s">
        <v>19</v>
      </c>
      <c r="H1009" s="2" t="s">
        <v>20</v>
      </c>
      <c r="I1009" s="2" t="s">
        <v>2463</v>
      </c>
      <c r="J1009" s="3" t="str">
        <f>HYPERLINK("https://www.boe.es/gazeta/dias/1813/12/16/pdfs/GMR-1813-88.pdf#page=4","Abrir facsímil")</f>
        <v>Abrir facsímil</v>
      </c>
      <c r="K1009" s="3" t="s">
        <v>22</v>
      </c>
    </row>
    <row r="1010" spans="1:11" ht="42" customHeight="1">
      <c r="A1010" s="2" t="s">
        <v>2391</v>
      </c>
      <c r="B1010" s="2" t="s">
        <v>2391</v>
      </c>
      <c r="C1010" s="2" t="s">
        <v>16</v>
      </c>
      <c r="D1010" s="2" t="s">
        <v>17</v>
      </c>
      <c r="E1010" s="5">
        <v>-31425</v>
      </c>
      <c r="F1010" s="3" t="s">
        <v>1955</v>
      </c>
      <c r="G1010" s="3" t="s">
        <v>82</v>
      </c>
      <c r="H1010" s="2" t="s">
        <v>20</v>
      </c>
      <c r="I1010" s="2" t="s">
        <v>2464</v>
      </c>
      <c r="J1010" s="3" t="str">
        <f>HYPERLINK("https://www.boe.es/gazeta/dias/1813/12/16/pdfs/GMR-1813-88.pdf#page=5","Abrir facsímil")</f>
        <v>Abrir facsímil</v>
      </c>
      <c r="K1010" s="3" t="s">
        <v>22</v>
      </c>
    </row>
    <row r="1011" spans="1:11" ht="42" customHeight="1">
      <c r="A1011" s="2" t="s">
        <v>2391</v>
      </c>
      <c r="B1011" s="2" t="s">
        <v>2391</v>
      </c>
      <c r="C1011" s="2" t="s">
        <v>16</v>
      </c>
      <c r="D1011" s="2" t="s">
        <v>17</v>
      </c>
      <c r="E1011" s="5">
        <v>-31423</v>
      </c>
      <c r="F1011" s="3" t="s">
        <v>2465</v>
      </c>
      <c r="G1011" s="3" t="s">
        <v>65</v>
      </c>
      <c r="H1011" s="2" t="s">
        <v>20</v>
      </c>
      <c r="I1011" s="2" t="s">
        <v>2466</v>
      </c>
      <c r="J1011" s="3" t="str">
        <f>HYPERLINK("https://www.boe.es/gazeta/dias/1813/12/18/pdfs/GMR-1813-89.pdf#page=1","Abrir facsímil")</f>
        <v>Abrir facsímil</v>
      </c>
      <c r="K1011" s="3" t="s">
        <v>22</v>
      </c>
    </row>
    <row r="1012" spans="1:11" ht="42" customHeight="1">
      <c r="A1012" s="2" t="s">
        <v>2391</v>
      </c>
      <c r="B1012" s="2" t="s">
        <v>2391</v>
      </c>
      <c r="C1012" s="2" t="s">
        <v>16</v>
      </c>
      <c r="D1012" s="2" t="s">
        <v>17</v>
      </c>
      <c r="E1012" s="5">
        <v>-31413</v>
      </c>
      <c r="F1012" s="3" t="s">
        <v>152</v>
      </c>
      <c r="G1012" s="3" t="s">
        <v>58</v>
      </c>
      <c r="H1012" s="2" t="s">
        <v>20</v>
      </c>
      <c r="I1012" s="2" t="s">
        <v>2467</v>
      </c>
      <c r="J1012" s="3" t="str">
        <f>HYPERLINK("https://www.boe.es/gazeta/dias/1813/12/28/pdfs/GRE-1813-170.pdf#page=2","Abrir facsímil")</f>
        <v>Abrir facsímil</v>
      </c>
      <c r="K1012" s="3" t="s">
        <v>22</v>
      </c>
    </row>
    <row r="1013" spans="1:11" ht="42" customHeight="1">
      <c r="A1013" s="2" t="s">
        <v>2468</v>
      </c>
      <c r="B1013" s="2" t="s">
        <v>2469</v>
      </c>
      <c r="C1013" s="2" t="s">
        <v>16</v>
      </c>
      <c r="D1013" s="2" t="s">
        <v>17</v>
      </c>
      <c r="E1013" s="5">
        <v>-31599</v>
      </c>
      <c r="F1013" s="3" t="s">
        <v>2470</v>
      </c>
      <c r="G1013" s="3" t="s">
        <v>58</v>
      </c>
      <c r="H1013" s="2" t="s">
        <v>20</v>
      </c>
      <c r="I1013" s="2" t="s">
        <v>2471</v>
      </c>
      <c r="J1013" s="3" t="str">
        <f>HYPERLINK("https://www.boe.es/gazeta/dias/1813/06/25/pdfs/GMR-1813-11.pdf#page=2","Abrir facsímil")</f>
        <v>Abrir facsímil</v>
      </c>
      <c r="K1013" s="3" t="s">
        <v>22</v>
      </c>
    </row>
    <row r="1014" spans="1:11" ht="42" customHeight="1">
      <c r="A1014" s="2" t="s">
        <v>2468</v>
      </c>
      <c r="B1014" s="2" t="s">
        <v>2469</v>
      </c>
      <c r="C1014" s="2" t="s">
        <v>16</v>
      </c>
      <c r="D1014" s="2" t="s">
        <v>17</v>
      </c>
      <c r="E1014" s="5">
        <v>-31423</v>
      </c>
      <c r="F1014" s="3" t="s">
        <v>2465</v>
      </c>
      <c r="G1014" s="3" t="s">
        <v>65</v>
      </c>
      <c r="H1014" s="2" t="s">
        <v>20</v>
      </c>
      <c r="I1014" s="2" t="s">
        <v>2472</v>
      </c>
      <c r="J1014" s="3" t="str">
        <f>HYPERLINK("https://www.boe.es/gazeta/dias/1813/12/18/pdfs/GMR-1813-89.pdf#page=1","Abrir facsímil")</f>
        <v>Abrir facsímil</v>
      </c>
      <c r="K1014" s="3" t="s">
        <v>22</v>
      </c>
    </row>
    <row r="1015" spans="1:11" ht="42" customHeight="1">
      <c r="A1015" s="2" t="s">
        <v>2473</v>
      </c>
      <c r="B1015" s="2" t="s">
        <v>2473</v>
      </c>
      <c r="C1015" s="2" t="s">
        <v>16</v>
      </c>
      <c r="D1015" s="2" t="s">
        <v>17</v>
      </c>
      <c r="E1015" s="5">
        <v>-31483</v>
      </c>
      <c r="F1015" s="3" t="s">
        <v>308</v>
      </c>
      <c r="G1015" s="3" t="s">
        <v>54</v>
      </c>
      <c r="H1015" s="2" t="s">
        <v>20</v>
      </c>
      <c r="I1015" s="2" t="s">
        <v>2474</v>
      </c>
      <c r="J1015" s="3" t="str">
        <f>HYPERLINK("https://www.boe.es/gazeta/dias/1813/10/19/pdfs/GRE-1813-136.pdf#page=3","Abrir facsímil")</f>
        <v>Abrir facsímil</v>
      </c>
      <c r="K1015" s="3" t="s">
        <v>22</v>
      </c>
    </row>
    <row r="1016" spans="1:11" ht="42" customHeight="1">
      <c r="A1016" s="2" t="s">
        <v>2475</v>
      </c>
      <c r="B1016" s="2" t="s">
        <v>2476</v>
      </c>
      <c r="C1016" s="2" t="s">
        <v>16</v>
      </c>
      <c r="D1016" s="2" t="s">
        <v>17</v>
      </c>
      <c r="E1016" s="5">
        <v>-31599</v>
      </c>
      <c r="F1016" s="3" t="s">
        <v>2470</v>
      </c>
      <c r="G1016" s="3" t="s">
        <v>58</v>
      </c>
      <c r="H1016" s="2" t="s">
        <v>20</v>
      </c>
      <c r="I1016" s="2" t="s">
        <v>2477</v>
      </c>
      <c r="J1016" s="3" t="str">
        <f>HYPERLINK("https://www.boe.es/gazeta/dias/1813/06/25/pdfs/GMR-1813-11.pdf#page=2","Abrir facsímil")</f>
        <v>Abrir facsímil</v>
      </c>
      <c r="K1016" s="3" t="s">
        <v>22</v>
      </c>
    </row>
    <row r="1017" spans="1:11" ht="42" customHeight="1">
      <c r="A1017" s="2" t="s">
        <v>2478</v>
      </c>
      <c r="B1017" s="2" t="s">
        <v>2478</v>
      </c>
      <c r="C1017" s="2" t="s">
        <v>16</v>
      </c>
      <c r="D1017" s="2" t="s">
        <v>97</v>
      </c>
      <c r="E1017" s="5">
        <v>-31446</v>
      </c>
      <c r="F1017" s="3" t="s">
        <v>1877</v>
      </c>
      <c r="G1017" s="3" t="s">
        <v>19</v>
      </c>
      <c r="H1017" s="2" t="s">
        <v>20</v>
      </c>
      <c r="I1017" s="2" t="s">
        <v>2479</v>
      </c>
      <c r="J1017" s="3" t="str">
        <f>HYPERLINK("https://www.boe.es/gazeta/dias/1813/11/25/pdfs/GRE-1813-155E.pdf#page=4","Abrir facsímil")</f>
        <v>Abrir facsímil</v>
      </c>
      <c r="K1017" s="3" t="s">
        <v>22</v>
      </c>
    </row>
    <row r="1018" spans="1:11" ht="42" customHeight="1">
      <c r="A1018" s="2" t="s">
        <v>2480</v>
      </c>
      <c r="B1018" s="2" t="s">
        <v>2480</v>
      </c>
      <c r="C1018" s="2" t="s">
        <v>16</v>
      </c>
      <c r="D1018" s="2" t="s">
        <v>17</v>
      </c>
      <c r="E1018" s="5">
        <v>-31479</v>
      </c>
      <c r="F1018" s="3" t="s">
        <v>322</v>
      </c>
      <c r="G1018" s="3" t="s">
        <v>19</v>
      </c>
      <c r="H1018" s="2" t="s">
        <v>20</v>
      </c>
      <c r="I1018" s="2" t="s">
        <v>2481</v>
      </c>
      <c r="J1018" s="3" t="str">
        <f>HYPERLINK("https://www.boe.es/gazeta/dias/1813/10/23/pdfs/GMR-1813-63.pdf#page=4","Abrir facsímil")</f>
        <v>Abrir facsímil</v>
      </c>
      <c r="K1018" s="3" t="s">
        <v>22</v>
      </c>
    </row>
    <row r="1019" spans="1:11" ht="42" customHeight="1">
      <c r="A1019" s="2" t="s">
        <v>2482</v>
      </c>
      <c r="B1019" s="2" t="s">
        <v>2482</v>
      </c>
      <c r="C1019" s="2" t="s">
        <v>16</v>
      </c>
      <c r="D1019" s="2" t="s">
        <v>17</v>
      </c>
      <c r="E1019" s="5">
        <v>-31441</v>
      </c>
      <c r="F1019" s="3" t="s">
        <v>1933</v>
      </c>
      <c r="G1019" s="3" t="s">
        <v>54</v>
      </c>
      <c r="H1019" s="2" t="s">
        <v>20</v>
      </c>
      <c r="I1019" s="2" t="s">
        <v>2483</v>
      </c>
      <c r="J1019" s="3" t="str">
        <f>HYPERLINK("https://www.boe.es/gazeta/dias/1813/11/30/pdfs/GMR-1813-81.pdf#page=3","Abrir facsímil")</f>
        <v>Abrir facsímil</v>
      </c>
      <c r="K1019" s="3" t="s">
        <v>22</v>
      </c>
    </row>
    <row r="1020" spans="1:11" ht="42" customHeight="1">
      <c r="A1020" s="2" t="s">
        <v>2482</v>
      </c>
      <c r="B1020" s="2" t="s">
        <v>2482</v>
      </c>
      <c r="C1020" s="2" t="s">
        <v>16</v>
      </c>
      <c r="D1020" s="2" t="s">
        <v>17</v>
      </c>
      <c r="E1020" s="5">
        <v>-31434</v>
      </c>
      <c r="F1020" s="3" t="s">
        <v>948</v>
      </c>
      <c r="G1020" s="3" t="s">
        <v>54</v>
      </c>
      <c r="H1020" s="2" t="s">
        <v>20</v>
      </c>
      <c r="I1020" s="2" t="s">
        <v>2484</v>
      </c>
      <c r="J1020" s="3" t="str">
        <f>HYPERLINK("https://www.boe.es/gazeta/dias/1813/12/07/pdfs/GMR-1813-84.pdf#page=3","Abrir facsímil")</f>
        <v>Abrir facsímil</v>
      </c>
      <c r="K1020" s="3" t="s">
        <v>22</v>
      </c>
    </row>
    <row r="1021" spans="1:11" ht="42" customHeight="1">
      <c r="A1021" s="2" t="s">
        <v>2482</v>
      </c>
      <c r="B1021" s="2" t="s">
        <v>2482</v>
      </c>
      <c r="C1021" s="2" t="s">
        <v>16</v>
      </c>
      <c r="D1021" s="2" t="s">
        <v>17</v>
      </c>
      <c r="E1021" s="5">
        <v>-31434</v>
      </c>
      <c r="F1021" s="3" t="s">
        <v>18</v>
      </c>
      <c r="G1021" s="3" t="s">
        <v>95</v>
      </c>
      <c r="H1021" s="2" t="s">
        <v>20</v>
      </c>
      <c r="I1021" s="2" t="s">
        <v>2485</v>
      </c>
      <c r="J1021" s="3" t="str">
        <f>HYPERLINK("https://www.boe.es/gazeta/dias/1813/12/07/pdfs/GRE-1813-161.pdf#page=6","Abrir facsímil")</f>
        <v>Abrir facsímil</v>
      </c>
      <c r="K1021" s="3" t="s">
        <v>22</v>
      </c>
    </row>
    <row r="1022" spans="1:11" ht="42" customHeight="1">
      <c r="A1022" s="2" t="s">
        <v>2486</v>
      </c>
      <c r="B1022" s="2" t="s">
        <v>2486</v>
      </c>
      <c r="C1022" s="2" t="s">
        <v>16</v>
      </c>
      <c r="D1022" s="2" t="s">
        <v>17</v>
      </c>
      <c r="E1022" s="5">
        <v>-31413</v>
      </c>
      <c r="F1022" s="3" t="s">
        <v>149</v>
      </c>
      <c r="G1022" s="3" t="s">
        <v>54</v>
      </c>
      <c r="H1022" s="2" t="s">
        <v>20</v>
      </c>
      <c r="I1022" s="2" t="s">
        <v>2487</v>
      </c>
      <c r="J1022" s="3" t="str">
        <f>HYPERLINK("https://www.boe.es/gazeta/dias/1813/12/28/pdfs/GMR-1813-93.pdf#page=3","Abrir facsímil")</f>
        <v>Abrir facsímil</v>
      </c>
      <c r="K1022" s="3" t="s">
        <v>22</v>
      </c>
    </row>
    <row r="1023" spans="1:11" ht="42" customHeight="1">
      <c r="A1023" s="2" t="s">
        <v>2488</v>
      </c>
      <c r="B1023" s="2" t="s">
        <v>2488</v>
      </c>
      <c r="C1023" s="2" t="s">
        <v>16</v>
      </c>
      <c r="D1023" s="2" t="s">
        <v>17</v>
      </c>
      <c r="E1023" s="5">
        <v>-31446</v>
      </c>
      <c r="F1023" s="3" t="s">
        <v>1078</v>
      </c>
      <c r="G1023" s="3" t="s">
        <v>58</v>
      </c>
      <c r="H1023" s="2" t="s">
        <v>20</v>
      </c>
      <c r="I1023" s="2" t="s">
        <v>2489</v>
      </c>
      <c r="J1023" s="3" t="str">
        <f>HYPERLINK("https://www.boe.es/gazeta/dias/1813/11/25/pdfs/GRE-1813-154.pdf#page=2","Abrir facsímil")</f>
        <v>Abrir facsímil</v>
      </c>
      <c r="K1023" s="3" t="s">
        <v>22</v>
      </c>
    </row>
    <row r="1024" spans="1:11" ht="42" customHeight="1">
      <c r="A1024" s="2" t="s">
        <v>2490</v>
      </c>
      <c r="B1024" s="2" t="s">
        <v>2490</v>
      </c>
      <c r="C1024" s="2" t="s">
        <v>16</v>
      </c>
      <c r="D1024" s="2" t="s">
        <v>97</v>
      </c>
      <c r="E1024" s="5">
        <v>-31445</v>
      </c>
      <c r="F1024" s="3" t="s">
        <v>299</v>
      </c>
      <c r="G1024" s="3" t="s">
        <v>58</v>
      </c>
      <c r="H1024" s="2" t="s">
        <v>20</v>
      </c>
      <c r="I1024" s="2" t="s">
        <v>2491</v>
      </c>
      <c r="J1024" s="3" t="str">
        <f>HYPERLINK("https://www.boe.es/gazeta/dias/1813/11/26/pdfs/GRE-1813-156E.pdf#page=2","Abrir facsímil")</f>
        <v>Abrir facsímil</v>
      </c>
      <c r="K1024" s="3" t="s">
        <v>22</v>
      </c>
    </row>
    <row r="1025" spans="1:11" ht="42" customHeight="1">
      <c r="A1025" s="2" t="s">
        <v>2492</v>
      </c>
      <c r="B1025" s="2" t="s">
        <v>2492</v>
      </c>
      <c r="C1025" s="2" t="s">
        <v>16</v>
      </c>
      <c r="D1025" s="2" t="s">
        <v>17</v>
      </c>
      <c r="E1025" s="5">
        <v>-31726</v>
      </c>
      <c r="F1025" s="3" t="s">
        <v>493</v>
      </c>
      <c r="G1025" s="3" t="s">
        <v>19</v>
      </c>
      <c r="H1025" s="2" t="s">
        <v>20</v>
      </c>
      <c r="I1025" s="2" t="s">
        <v>2493</v>
      </c>
      <c r="J1025" s="3" t="str">
        <f>HYPERLINK("https://www.boe.es/gazeta/dias/1813/02/18/pdfs/GMD-1813-49.pdf#page=4","Abrir facsímil")</f>
        <v>Abrir facsímil</v>
      </c>
      <c r="K1025" s="3" t="s">
        <v>22</v>
      </c>
    </row>
    <row r="1026" spans="1:11" ht="42" customHeight="1">
      <c r="A1026" s="2" t="s">
        <v>2494</v>
      </c>
      <c r="B1026" s="2" t="s">
        <v>2494</v>
      </c>
      <c r="C1026" s="2" t="s">
        <v>16</v>
      </c>
      <c r="D1026" s="2" t="s">
        <v>17</v>
      </c>
      <c r="E1026" s="5">
        <v>-31474</v>
      </c>
      <c r="F1026" s="3" t="s">
        <v>130</v>
      </c>
      <c r="G1026" s="3" t="s">
        <v>95</v>
      </c>
      <c r="H1026" s="2" t="s">
        <v>20</v>
      </c>
      <c r="I1026" s="2" t="s">
        <v>2495</v>
      </c>
      <c r="J1026" s="3" t="str">
        <f>HYPERLINK("https://www.boe.es/gazeta/dias/1813/10/28/pdfs/GRE-1813-141.pdf#page=6","Abrir facsímil")</f>
        <v>Abrir facsímil</v>
      </c>
      <c r="K1026" s="3" t="s">
        <v>22</v>
      </c>
    </row>
    <row r="1027" spans="1:11" ht="42" customHeight="1">
      <c r="A1027" s="2" t="s">
        <v>2496</v>
      </c>
      <c r="B1027" s="2" t="s">
        <v>2496</v>
      </c>
      <c r="C1027" s="2" t="s">
        <v>16</v>
      </c>
      <c r="D1027" s="2" t="s">
        <v>17</v>
      </c>
      <c r="E1027" s="5">
        <v>-31730</v>
      </c>
      <c r="F1027" s="3" t="s">
        <v>2497</v>
      </c>
      <c r="G1027" s="3" t="s">
        <v>2498</v>
      </c>
      <c r="H1027" s="2" t="s">
        <v>20</v>
      </c>
      <c r="I1027" s="2" t="s">
        <v>2499</v>
      </c>
      <c r="J1027" s="3" t="str">
        <f>HYPERLINK("https://www.boe.es/gazeta/dias/1813/02/14/pdfs/GMD-1813-45.pdf#page=2","Abrir facsímil")</f>
        <v>Abrir facsímil</v>
      </c>
      <c r="K1027" s="3" t="s">
        <v>22</v>
      </c>
    </row>
    <row r="1028" spans="1:11" ht="42" customHeight="1">
      <c r="A1028" s="2" t="s">
        <v>2500</v>
      </c>
      <c r="B1028" s="2" t="s">
        <v>2500</v>
      </c>
      <c r="C1028" s="2" t="s">
        <v>16</v>
      </c>
      <c r="D1028" s="2" t="s">
        <v>17</v>
      </c>
      <c r="E1028" s="5">
        <v>-31453</v>
      </c>
      <c r="F1028" s="3" t="s">
        <v>695</v>
      </c>
      <c r="G1028" s="3" t="s">
        <v>95</v>
      </c>
      <c r="H1028" s="2" t="s">
        <v>20</v>
      </c>
      <c r="I1028" s="2" t="s">
        <v>2501</v>
      </c>
      <c r="J1028" s="3" t="str">
        <f>HYPERLINK("https://www.boe.es/gazeta/dias/1813/11/18/pdfs/GRE-1813-151.pdf#page=6","Abrir facsímil")</f>
        <v>Abrir facsímil</v>
      </c>
      <c r="K1028" s="3" t="s">
        <v>22</v>
      </c>
    </row>
    <row r="1029" spans="1:11" ht="42" customHeight="1">
      <c r="A1029" s="2" t="s">
        <v>2502</v>
      </c>
      <c r="B1029" s="2" t="s">
        <v>2502</v>
      </c>
      <c r="C1029" s="2" t="s">
        <v>16</v>
      </c>
      <c r="D1029" s="2" t="s">
        <v>97</v>
      </c>
      <c r="E1029" s="5">
        <v>-31446</v>
      </c>
      <c r="F1029" s="3" t="s">
        <v>1877</v>
      </c>
      <c r="G1029" s="3" t="s">
        <v>1948</v>
      </c>
      <c r="H1029" s="2" t="s">
        <v>20</v>
      </c>
      <c r="I1029" s="2" t="s">
        <v>2503</v>
      </c>
      <c r="J1029" s="3" t="str">
        <f>HYPERLINK("https://www.boe.es/gazeta/dias/1813/11/25/pdfs/GRE-1813-155E.pdf#page=7","Abrir facsímil")</f>
        <v>Abrir facsímil</v>
      </c>
      <c r="K1029" s="3" t="s">
        <v>22</v>
      </c>
    </row>
    <row r="1030" spans="1:11" ht="42" customHeight="1">
      <c r="A1030" s="2" t="s">
        <v>2502</v>
      </c>
      <c r="B1030" s="2" t="s">
        <v>2502</v>
      </c>
      <c r="C1030" s="2" t="s">
        <v>16</v>
      </c>
      <c r="D1030" s="2" t="s">
        <v>17</v>
      </c>
      <c r="E1030" s="5">
        <v>-31441</v>
      </c>
      <c r="F1030" s="3" t="s">
        <v>1933</v>
      </c>
      <c r="G1030" s="3" t="s">
        <v>54</v>
      </c>
      <c r="H1030" s="2" t="s">
        <v>20</v>
      </c>
      <c r="I1030" s="2" t="s">
        <v>2504</v>
      </c>
      <c r="J1030" s="3" t="str">
        <f>HYPERLINK("https://www.boe.es/gazeta/dias/1813/11/30/pdfs/GMR-1813-81.pdf#page=3","Abrir facsímil")</f>
        <v>Abrir facsímil</v>
      </c>
      <c r="K1030" s="3" t="s">
        <v>22</v>
      </c>
    </row>
    <row r="1031" spans="1:11" ht="42" customHeight="1">
      <c r="A1031" s="2" t="s">
        <v>2502</v>
      </c>
      <c r="B1031" s="2" t="s">
        <v>2502</v>
      </c>
      <c r="C1031" s="2" t="s">
        <v>16</v>
      </c>
      <c r="D1031" s="2" t="s">
        <v>17</v>
      </c>
      <c r="E1031" s="5">
        <v>-31427</v>
      </c>
      <c r="F1031" s="3" t="s">
        <v>489</v>
      </c>
      <c r="G1031" s="3" t="s">
        <v>19</v>
      </c>
      <c r="H1031" s="2" t="s">
        <v>20</v>
      </c>
      <c r="I1031" s="2" t="s">
        <v>2505</v>
      </c>
      <c r="J1031" s="3" t="str">
        <f>HYPERLINK("https://www.boe.es/gazeta/dias/1813/12/14/pdfs/GMR-1813-87.pdf#page=4","Abrir facsímil")</f>
        <v>Abrir facsímil</v>
      </c>
      <c r="K1031" s="3" t="s">
        <v>22</v>
      </c>
    </row>
    <row r="1032" spans="1:11" ht="42" customHeight="1">
      <c r="A1032" s="2" t="s">
        <v>2506</v>
      </c>
      <c r="B1032" s="2" t="s">
        <v>2507</v>
      </c>
      <c r="C1032" s="2" t="s">
        <v>187</v>
      </c>
      <c r="D1032" s="2" t="s">
        <v>26</v>
      </c>
      <c r="E1032" s="5">
        <v>-31754</v>
      </c>
      <c r="F1032" s="3" t="s">
        <v>899</v>
      </c>
      <c r="G1032" s="3" t="s">
        <v>900</v>
      </c>
      <c r="H1032" s="2" t="s">
        <v>20</v>
      </c>
      <c r="I1032" s="2" t="s">
        <v>2508</v>
      </c>
      <c r="J1032" s="3" t="str">
        <f>HYPERLINK("https://www.boe.es/gazeta/dias/1813/01/21/pdfs/GRE-1813-9.pdf#page=8","Abrir facsímil")</f>
        <v>Abrir facsímil</v>
      </c>
      <c r="K1032" s="3" t="s">
        <v>22</v>
      </c>
    </row>
    <row r="1033" spans="1:11" ht="42" customHeight="1">
      <c r="A1033" s="2" t="s">
        <v>2509</v>
      </c>
      <c r="B1033" s="2" t="s">
        <v>2510</v>
      </c>
      <c r="C1033" s="2" t="s">
        <v>25</v>
      </c>
      <c r="D1033" s="2" t="s">
        <v>26</v>
      </c>
      <c r="E1033" s="5">
        <v>-31752</v>
      </c>
      <c r="F1033" s="3" t="s">
        <v>182</v>
      </c>
      <c r="G1033" s="3" t="s">
        <v>183</v>
      </c>
      <c r="H1033" s="2" t="s">
        <v>20</v>
      </c>
      <c r="I1033" s="2" t="s">
        <v>2511</v>
      </c>
      <c r="J1033" s="3" t="str">
        <f>HYPERLINK("https://www.boe.es/gazeta/dias/1813/01/23/pdfs/GRE-1813-10.pdf#page=8","Abrir facsímil")</f>
        <v>Abrir facsímil</v>
      </c>
      <c r="K1033" s="3" t="s">
        <v>22</v>
      </c>
    </row>
    <row r="1034" spans="1:11" ht="42" customHeight="1">
      <c r="A1034" s="2" t="s">
        <v>2512</v>
      </c>
      <c r="B1034" s="2" t="s">
        <v>2513</v>
      </c>
      <c r="C1034" s="2" t="s">
        <v>16</v>
      </c>
      <c r="D1034" s="2" t="s">
        <v>17</v>
      </c>
      <c r="E1034" s="5">
        <v>-31754</v>
      </c>
      <c r="F1034" s="3" t="s">
        <v>899</v>
      </c>
      <c r="G1034" s="3" t="s">
        <v>82</v>
      </c>
      <c r="H1034" s="2" t="s">
        <v>20</v>
      </c>
      <c r="I1034" s="2" t="s">
        <v>2514</v>
      </c>
      <c r="J1034" s="3" t="str">
        <f>HYPERLINK("https://www.boe.es/gazeta/dias/1813/01/21/pdfs/GRE-1813-9.pdf#page=5","Abrir facsímil")</f>
        <v>Abrir facsímil</v>
      </c>
      <c r="K1034" s="3" t="s">
        <v>22</v>
      </c>
    </row>
    <row r="1035" spans="1:11" ht="42" customHeight="1">
      <c r="A1035" s="2" t="s">
        <v>2515</v>
      </c>
      <c r="B1035" s="2" t="s">
        <v>2516</v>
      </c>
      <c r="C1035" s="2" t="s">
        <v>277</v>
      </c>
      <c r="D1035" s="2" t="s">
        <v>26</v>
      </c>
      <c r="E1035" s="5">
        <v>-31703</v>
      </c>
      <c r="F1035" s="3" t="s">
        <v>526</v>
      </c>
      <c r="G1035" s="3" t="s">
        <v>2517</v>
      </c>
      <c r="H1035" s="2" t="s">
        <v>20</v>
      </c>
      <c r="I1035" s="2" t="s">
        <v>2518</v>
      </c>
      <c r="J1035" s="3" t="str">
        <f>HYPERLINK("https://www.boe.es/gazeta/dias/1813/03/13/pdfs/GMD-1813-72.pdf#page=4","Abrir facsímil")</f>
        <v>Abrir facsímil</v>
      </c>
      <c r="K1035" s="3" t="s">
        <v>22</v>
      </c>
    </row>
    <row r="1036" spans="1:11" ht="42" customHeight="1">
      <c r="A1036" s="2" t="s">
        <v>2519</v>
      </c>
      <c r="B1036" s="2" t="s">
        <v>2519</v>
      </c>
      <c r="C1036" s="2" t="s">
        <v>16</v>
      </c>
      <c r="D1036" s="2" t="s">
        <v>17</v>
      </c>
      <c r="E1036" s="5">
        <v>-31416</v>
      </c>
      <c r="F1036" s="3" t="s">
        <v>110</v>
      </c>
      <c r="G1036" s="3" t="s">
        <v>95</v>
      </c>
      <c r="H1036" s="2" t="s">
        <v>20</v>
      </c>
      <c r="I1036" s="2" t="s">
        <v>2520</v>
      </c>
      <c r="J1036" s="3" t="str">
        <f>HYPERLINK("https://www.boe.es/gazeta/dias/1813/12/25/pdfs/GRE-1813-169.pdf#page=6","Abrir facsímil")</f>
        <v>Abrir facsímil</v>
      </c>
      <c r="K1036" s="3" t="s">
        <v>22</v>
      </c>
    </row>
    <row r="1037" spans="1:11" ht="42" customHeight="1">
      <c r="A1037" s="2" t="s">
        <v>2521</v>
      </c>
      <c r="B1037" s="2" t="s">
        <v>2522</v>
      </c>
      <c r="C1037" s="2" t="s">
        <v>16</v>
      </c>
      <c r="D1037" s="2" t="s">
        <v>17</v>
      </c>
      <c r="E1037" s="5">
        <v>-31719</v>
      </c>
      <c r="F1037" s="3" t="s">
        <v>251</v>
      </c>
      <c r="G1037" s="3" t="s">
        <v>19</v>
      </c>
      <c r="H1037" s="2" t="s">
        <v>20</v>
      </c>
      <c r="I1037" s="2" t="s">
        <v>2523</v>
      </c>
      <c r="J1037" s="3" t="str">
        <f>HYPERLINK("https://www.boe.es/gazeta/dias/1813/02/25/pdfs/GMD-1813-56.pdf#page=4","Abrir facsímil")</f>
        <v>Abrir facsímil</v>
      </c>
      <c r="K1037" s="3" t="s">
        <v>22</v>
      </c>
    </row>
    <row r="1038" spans="1:11" ht="42" customHeight="1">
      <c r="A1038" s="2" t="s">
        <v>2524</v>
      </c>
      <c r="B1038" s="2" t="s">
        <v>2525</v>
      </c>
      <c r="C1038" s="2" t="s">
        <v>25</v>
      </c>
      <c r="D1038" s="2" t="s">
        <v>26</v>
      </c>
      <c r="E1038" s="5">
        <v>-31719</v>
      </c>
      <c r="F1038" s="3" t="s">
        <v>1770</v>
      </c>
      <c r="G1038" s="3" t="s">
        <v>95</v>
      </c>
      <c r="H1038" s="2" t="s">
        <v>20</v>
      </c>
      <c r="I1038" s="2" t="s">
        <v>2526</v>
      </c>
      <c r="J1038" s="3" t="str">
        <f>HYPERLINK("https://www.boe.es/gazeta/dias/1813/02/25/pdfs/GRE-1813-24.pdf#page=6","Abrir facsímil")</f>
        <v>Abrir facsímil</v>
      </c>
      <c r="K1038" s="3" t="s">
        <v>22</v>
      </c>
    </row>
    <row r="1039" spans="1:11" ht="42" customHeight="1">
      <c r="A1039" s="2" t="s">
        <v>2527</v>
      </c>
      <c r="B1039" s="2" t="s">
        <v>2528</v>
      </c>
      <c r="C1039" s="2" t="s">
        <v>25</v>
      </c>
      <c r="D1039" s="2" t="s">
        <v>26</v>
      </c>
      <c r="E1039" s="5">
        <v>-31714</v>
      </c>
      <c r="F1039" s="3" t="s">
        <v>479</v>
      </c>
      <c r="G1039" s="3" t="s">
        <v>1002</v>
      </c>
      <c r="H1039" s="2" t="s">
        <v>20</v>
      </c>
      <c r="I1039" s="2" t="s">
        <v>2529</v>
      </c>
      <c r="J1039" s="3" t="str">
        <f>HYPERLINK("https://www.boe.es/gazeta/dias/1813/03/02/pdfs/GRE-1813-27.pdf#page=7","Abrir facsímil")</f>
        <v>Abrir facsímil</v>
      </c>
      <c r="K1039" s="3" t="s">
        <v>22</v>
      </c>
    </row>
    <row r="1040" spans="1:11" ht="42" customHeight="1">
      <c r="A1040" s="2" t="s">
        <v>2530</v>
      </c>
      <c r="B1040" s="2" t="s">
        <v>2530</v>
      </c>
      <c r="C1040" s="2" t="s">
        <v>16</v>
      </c>
      <c r="D1040" s="2" t="s">
        <v>17</v>
      </c>
      <c r="E1040" s="5">
        <v>-31640</v>
      </c>
      <c r="F1040" s="3" t="s">
        <v>2392</v>
      </c>
      <c r="G1040" s="3" t="s">
        <v>65</v>
      </c>
      <c r="H1040" s="2" t="s">
        <v>20</v>
      </c>
      <c r="I1040" s="2" t="s">
        <v>2531</v>
      </c>
      <c r="J1040" s="3" t="str">
        <f>HYPERLINK("https://www.boe.es/gazeta/dias/1813/05/15/pdfs/GRE-1813-60.pdf#page=1","Abrir facsímil")</f>
        <v>Abrir facsímil</v>
      </c>
      <c r="K1040" s="3" t="s">
        <v>22</v>
      </c>
    </row>
    <row r="1041" spans="1:11" ht="42" customHeight="1">
      <c r="A1041" s="2" t="s">
        <v>2532</v>
      </c>
      <c r="B1041" s="2" t="s">
        <v>2533</v>
      </c>
      <c r="C1041" s="2" t="s">
        <v>16</v>
      </c>
      <c r="D1041" s="2" t="s">
        <v>17</v>
      </c>
      <c r="E1041" s="5">
        <v>-31572</v>
      </c>
      <c r="F1041" s="3" t="s">
        <v>317</v>
      </c>
      <c r="G1041" s="3" t="s">
        <v>87</v>
      </c>
      <c r="H1041" s="2" t="s">
        <v>20</v>
      </c>
      <c r="I1041" s="2" t="s">
        <v>2534</v>
      </c>
      <c r="J1041" s="3" t="str">
        <f>HYPERLINK("https://www.boe.es/gazeta/dias/1813/07/22/pdfs/GRE-1813-93.pdf#page=7","Abrir facsímil")</f>
        <v>Abrir facsímil</v>
      </c>
      <c r="K1041" s="3" t="s">
        <v>22</v>
      </c>
    </row>
    <row r="1042" spans="1:11" ht="42" customHeight="1">
      <c r="A1042" s="2" t="s">
        <v>2535</v>
      </c>
      <c r="B1042" s="2" t="s">
        <v>2535</v>
      </c>
      <c r="C1042" s="2" t="s">
        <v>16</v>
      </c>
      <c r="D1042" s="2" t="s">
        <v>17</v>
      </c>
      <c r="E1042" s="5">
        <v>-31772</v>
      </c>
      <c r="F1042" s="3" t="s">
        <v>709</v>
      </c>
      <c r="G1042" s="3" t="s">
        <v>19</v>
      </c>
      <c r="H1042" s="2" t="s">
        <v>20</v>
      </c>
      <c r="I1042" s="2" t="s">
        <v>2536</v>
      </c>
      <c r="J1042" s="3" t="str">
        <f>HYPERLINK("https://www.boe.es/gazeta/dias/1813/01/03/pdfs/GRE-1813-69.pdf#page=4","Abrir facsímil")</f>
        <v>Abrir facsímil</v>
      </c>
      <c r="K1042" s="3" t="s">
        <v>22</v>
      </c>
    </row>
    <row r="1043" spans="1:11" ht="42" customHeight="1">
      <c r="A1043" s="2" t="s">
        <v>2535</v>
      </c>
      <c r="B1043" s="2" t="s">
        <v>2535</v>
      </c>
      <c r="C1043" s="2" t="s">
        <v>16</v>
      </c>
      <c r="D1043" s="2" t="s">
        <v>17</v>
      </c>
      <c r="E1043" s="5">
        <v>-31621</v>
      </c>
      <c r="F1043" s="3" t="s">
        <v>709</v>
      </c>
      <c r="G1043" s="3" t="s">
        <v>19</v>
      </c>
      <c r="H1043" s="2" t="s">
        <v>20</v>
      </c>
      <c r="I1043" s="2" t="s">
        <v>2536</v>
      </c>
      <c r="J1043" s="3" t="str">
        <f>HYPERLINK("https://www.boe.es/gazeta/dias/1813/06/03/pdfs/GRE-1813-69.pdf#page=4","Abrir facsímil")</f>
        <v>Abrir facsímil</v>
      </c>
      <c r="K1043" s="3" t="s">
        <v>22</v>
      </c>
    </row>
    <row r="1044" spans="1:11" ht="42" customHeight="1">
      <c r="A1044" s="2" t="s">
        <v>2537</v>
      </c>
      <c r="B1044" s="2" t="s">
        <v>2538</v>
      </c>
      <c r="C1044" s="2" t="s">
        <v>16</v>
      </c>
      <c r="D1044" s="2" t="s">
        <v>17</v>
      </c>
      <c r="E1044" s="5">
        <v>-31772</v>
      </c>
      <c r="F1044" s="3" t="s">
        <v>709</v>
      </c>
      <c r="G1044" s="3" t="s">
        <v>19</v>
      </c>
      <c r="H1044" s="2" t="s">
        <v>20</v>
      </c>
      <c r="I1044" s="2" t="s">
        <v>2539</v>
      </c>
      <c r="J1044" s="3" t="str">
        <f>HYPERLINK("https://www.boe.es/gazeta/dias/1813/01/03/pdfs/GRE-1813-69.pdf#page=4","Abrir facsímil")</f>
        <v>Abrir facsímil</v>
      </c>
      <c r="K1044" s="3" t="s">
        <v>22</v>
      </c>
    </row>
    <row r="1045" spans="1:11" ht="42" customHeight="1">
      <c r="A1045" s="2" t="s">
        <v>2537</v>
      </c>
      <c r="B1045" s="2" t="s">
        <v>2538</v>
      </c>
      <c r="C1045" s="2" t="s">
        <v>16</v>
      </c>
      <c r="D1045" s="2" t="s">
        <v>17</v>
      </c>
      <c r="E1045" s="5">
        <v>-31621</v>
      </c>
      <c r="F1045" s="3" t="s">
        <v>709</v>
      </c>
      <c r="G1045" s="3" t="s">
        <v>19</v>
      </c>
      <c r="H1045" s="2" t="s">
        <v>20</v>
      </c>
      <c r="I1045" s="2" t="s">
        <v>2539</v>
      </c>
      <c r="J1045" s="3" t="str">
        <f>HYPERLINK("https://www.boe.es/gazeta/dias/1813/06/03/pdfs/GRE-1813-69.pdf#page=4","Abrir facsímil")</f>
        <v>Abrir facsímil</v>
      </c>
      <c r="K1045" s="3" t="s">
        <v>22</v>
      </c>
    </row>
    <row r="1046" spans="1:11" ht="42" customHeight="1">
      <c r="A1046" s="2" t="s">
        <v>2540</v>
      </c>
      <c r="B1046" s="2" t="s">
        <v>2540</v>
      </c>
      <c r="C1046" s="2" t="s">
        <v>16</v>
      </c>
      <c r="D1046" s="2" t="s">
        <v>17</v>
      </c>
      <c r="E1046" s="5">
        <v>-31581</v>
      </c>
      <c r="F1046" s="3" t="s">
        <v>1321</v>
      </c>
      <c r="G1046" s="3" t="s">
        <v>2541</v>
      </c>
      <c r="H1046" s="2" t="s">
        <v>20</v>
      </c>
      <c r="I1046" s="2" t="s">
        <v>2542</v>
      </c>
      <c r="J1046" s="3" t="str">
        <f>HYPERLINK("https://www.boe.es/gazeta/dias/1813/07/13/pdfs/GMR-1813-17.pdf#page=4","Abrir facsímil")</f>
        <v>Abrir facsímil</v>
      </c>
      <c r="K1046" s="3" t="s">
        <v>22</v>
      </c>
    </row>
    <row r="1047" spans="1:11" ht="42" customHeight="1">
      <c r="A1047" s="2" t="s">
        <v>2543</v>
      </c>
      <c r="B1047" s="2" t="s">
        <v>2544</v>
      </c>
      <c r="C1047" s="2" t="s">
        <v>16</v>
      </c>
      <c r="D1047" s="2" t="s">
        <v>97</v>
      </c>
      <c r="E1047" s="5">
        <v>-31479</v>
      </c>
      <c r="F1047" s="3" t="s">
        <v>290</v>
      </c>
      <c r="G1047" s="3" t="s">
        <v>87</v>
      </c>
      <c r="H1047" s="2" t="s">
        <v>20</v>
      </c>
      <c r="I1047" s="2" t="s">
        <v>2545</v>
      </c>
      <c r="J1047" s="3" t="str">
        <f>HYPERLINK("https://www.boe.es/gazeta/dias/1813/10/23/pdfs/GRE-1813-139E.pdf#page=7","Abrir facsímil")</f>
        <v>Abrir facsímil</v>
      </c>
      <c r="K1047" s="3" t="s">
        <v>22</v>
      </c>
    </row>
    <row r="1048" spans="1:11" ht="42" customHeight="1">
      <c r="A1048" s="2" t="s">
        <v>2546</v>
      </c>
      <c r="B1048" s="2" t="s">
        <v>2546</v>
      </c>
      <c r="C1048" s="2" t="s">
        <v>25</v>
      </c>
      <c r="D1048" s="2" t="s">
        <v>26</v>
      </c>
      <c r="E1048" s="5">
        <v>-31677</v>
      </c>
      <c r="F1048" s="3" t="s">
        <v>76</v>
      </c>
      <c r="G1048" s="3" t="s">
        <v>28</v>
      </c>
      <c r="H1048" s="2" t="s">
        <v>20</v>
      </c>
      <c r="I1048" s="2" t="s">
        <v>2547</v>
      </c>
      <c r="J1048" s="3" t="str">
        <f>HYPERLINK("https://www.boe.es/gazeta/dias/1813/04/08/pdfs/GRE-1813-43.pdf#page=8","Abrir facsímil")</f>
        <v>Abrir facsímil</v>
      </c>
      <c r="K1048" s="3" t="s">
        <v>22</v>
      </c>
    </row>
    <row r="1049" spans="1:11" ht="42" customHeight="1">
      <c r="A1049" s="2" t="s">
        <v>2548</v>
      </c>
      <c r="B1049" s="2" t="s">
        <v>2548</v>
      </c>
      <c r="C1049" s="2" t="s">
        <v>16</v>
      </c>
      <c r="D1049" s="2" t="s">
        <v>17</v>
      </c>
      <c r="E1049" s="5">
        <v>-31502</v>
      </c>
      <c r="F1049" s="3" t="s">
        <v>1363</v>
      </c>
      <c r="G1049" s="3" t="s">
        <v>82</v>
      </c>
      <c r="H1049" s="2" t="s">
        <v>20</v>
      </c>
      <c r="I1049" s="2" t="s">
        <v>2549</v>
      </c>
      <c r="J1049" s="3" t="str">
        <f>HYPERLINK("https://www.boe.es/gazeta/dias/1813/09/30/pdfs/GRE-1813-128.pdf#page=5","Abrir facsímil")</f>
        <v>Abrir facsímil</v>
      </c>
      <c r="K1049" s="3" t="s">
        <v>22</v>
      </c>
    </row>
    <row r="1050" spans="1:11" ht="42" customHeight="1">
      <c r="A1050" s="2" t="s">
        <v>2548</v>
      </c>
      <c r="B1050" s="2" t="s">
        <v>2548</v>
      </c>
      <c r="C1050" s="2" t="s">
        <v>16</v>
      </c>
      <c r="D1050" s="2" t="s">
        <v>17</v>
      </c>
      <c r="E1050" s="5">
        <v>-31479</v>
      </c>
      <c r="F1050" s="3" t="s">
        <v>322</v>
      </c>
      <c r="G1050" s="3" t="s">
        <v>65</v>
      </c>
      <c r="H1050" s="2" t="s">
        <v>20</v>
      </c>
      <c r="I1050" s="2" t="s">
        <v>2550</v>
      </c>
      <c r="J1050" s="3" t="str">
        <f>HYPERLINK("https://www.boe.es/gazeta/dias/1813/10/23/pdfs/GMR-1813-63.pdf#page=1","Abrir facsímil")</f>
        <v>Abrir facsímil</v>
      </c>
      <c r="K1050" s="3" t="s">
        <v>22</v>
      </c>
    </row>
    <row r="1051" spans="1:11" ht="42" customHeight="1">
      <c r="A1051" s="2" t="s">
        <v>2551</v>
      </c>
      <c r="B1051" s="2" t="s">
        <v>2551</v>
      </c>
      <c r="C1051" s="2" t="s">
        <v>16</v>
      </c>
      <c r="D1051" s="2" t="s">
        <v>17</v>
      </c>
      <c r="E1051" s="5">
        <v>-31675</v>
      </c>
      <c r="F1051" s="3" t="s">
        <v>2552</v>
      </c>
      <c r="G1051" s="3" t="s">
        <v>65</v>
      </c>
      <c r="H1051" s="2" t="s">
        <v>20</v>
      </c>
      <c r="I1051" s="2" t="s">
        <v>2553</v>
      </c>
      <c r="J1051" s="3" t="str">
        <f>HYPERLINK("https://www.boe.es/gazeta/dias/1813/04/10/pdfs/GMD-1813-100.pdf#page=1","Abrir facsímil")</f>
        <v>Abrir facsímil</v>
      </c>
      <c r="K1051" s="3" t="s">
        <v>22</v>
      </c>
    </row>
    <row r="1052" spans="1:11" ht="42" customHeight="1">
      <c r="A1052" s="2" t="s">
        <v>2554</v>
      </c>
      <c r="B1052" s="2" t="s">
        <v>2554</v>
      </c>
      <c r="C1052" s="2" t="s">
        <v>16</v>
      </c>
      <c r="D1052" s="2" t="s">
        <v>17</v>
      </c>
      <c r="E1052" s="5">
        <v>-31592</v>
      </c>
      <c r="F1052" s="3" t="s">
        <v>175</v>
      </c>
      <c r="G1052" s="3" t="s">
        <v>82</v>
      </c>
      <c r="H1052" s="2" t="s">
        <v>20</v>
      </c>
      <c r="I1052" s="2" t="s">
        <v>2555</v>
      </c>
      <c r="J1052" s="3" t="str">
        <f>HYPERLINK("https://www.boe.es/gazeta/dias/1813/07/02/pdfs/GRE-1813-82.pdf#page=5","Abrir facsímil")</f>
        <v>Abrir facsímil</v>
      </c>
      <c r="K1052" s="3" t="s">
        <v>22</v>
      </c>
    </row>
    <row r="1053" spans="1:11" ht="42" customHeight="1">
      <c r="A1053" s="2" t="s">
        <v>2556</v>
      </c>
      <c r="B1053" s="2" t="s">
        <v>2556</v>
      </c>
      <c r="C1053" s="2" t="s">
        <v>16</v>
      </c>
      <c r="D1053" s="2" t="s">
        <v>17</v>
      </c>
      <c r="E1053" s="5">
        <v>-31585</v>
      </c>
      <c r="F1053" s="3" t="s">
        <v>177</v>
      </c>
      <c r="G1053" s="3" t="s">
        <v>207</v>
      </c>
      <c r="H1053" s="2" t="s">
        <v>20</v>
      </c>
      <c r="I1053" s="2" t="s">
        <v>2557</v>
      </c>
      <c r="J1053" s="3" t="str">
        <f>HYPERLINK("https://www.boe.es/gazeta/dias/1813/07/09/pdfs/GMR-1813-16.pdf#page=10","Abrir facsímil")</f>
        <v>Abrir facsímil</v>
      </c>
      <c r="K1053" s="3" t="s">
        <v>22</v>
      </c>
    </row>
    <row r="1054" spans="1:11" ht="42" customHeight="1">
      <c r="A1054" s="2" t="s">
        <v>2558</v>
      </c>
      <c r="B1054" s="2" t="s">
        <v>2559</v>
      </c>
      <c r="C1054" s="2" t="s">
        <v>277</v>
      </c>
      <c r="D1054" s="2" t="s">
        <v>26</v>
      </c>
      <c r="E1054" s="5">
        <v>-31719</v>
      </c>
      <c r="F1054" s="3" t="s">
        <v>251</v>
      </c>
      <c r="G1054" s="3" t="s">
        <v>19</v>
      </c>
      <c r="H1054" s="2" t="s">
        <v>20</v>
      </c>
      <c r="I1054" s="2" t="s">
        <v>2560</v>
      </c>
      <c r="J1054" s="3" t="str">
        <f>HYPERLINK("https://www.boe.es/gazeta/dias/1813/02/25/pdfs/GMD-1813-56.pdf#page=4","Abrir facsímil")</f>
        <v>Abrir facsímil</v>
      </c>
      <c r="K1054" s="3" t="s">
        <v>22</v>
      </c>
    </row>
    <row r="1055" spans="1:11" ht="42" customHeight="1">
      <c r="A1055" s="2" t="s">
        <v>2561</v>
      </c>
      <c r="B1055" s="2" t="s">
        <v>2561</v>
      </c>
      <c r="C1055" s="2" t="s">
        <v>16</v>
      </c>
      <c r="D1055" s="2" t="s">
        <v>17</v>
      </c>
      <c r="E1055" s="5">
        <v>-31619</v>
      </c>
      <c r="F1055" s="3" t="s">
        <v>1350</v>
      </c>
      <c r="G1055" s="3" t="s">
        <v>58</v>
      </c>
      <c r="H1055" s="2" t="s">
        <v>20</v>
      </c>
      <c r="I1055" s="2" t="s">
        <v>2562</v>
      </c>
      <c r="J1055" s="3" t="str">
        <f>HYPERLINK("https://www.boe.es/gazeta/dias/1813/06/05/pdfs/GMR-1813-2.pdf#page=2","Abrir facsímil")</f>
        <v>Abrir facsímil</v>
      </c>
      <c r="K1055" s="3" t="s">
        <v>22</v>
      </c>
    </row>
    <row r="1056" spans="1:11" ht="42" customHeight="1">
      <c r="A1056" s="2" t="s">
        <v>2563</v>
      </c>
      <c r="B1056" s="2" t="s">
        <v>2564</v>
      </c>
      <c r="C1056" s="2" t="s">
        <v>187</v>
      </c>
      <c r="D1056" s="2" t="s">
        <v>26</v>
      </c>
      <c r="E1056" s="5">
        <v>-31734</v>
      </c>
      <c r="F1056" s="3" t="s">
        <v>362</v>
      </c>
      <c r="G1056" s="3" t="s">
        <v>54</v>
      </c>
      <c r="H1056" s="2" t="s">
        <v>20</v>
      </c>
      <c r="I1056" s="2" t="s">
        <v>2565</v>
      </c>
      <c r="J1056" s="3" t="str">
        <f>HYPERLINK("https://www.boe.es/gazeta/dias/1813/02/10/pdfs/GMD-1813-41.pdf#page=3","Abrir facsímil")</f>
        <v>Abrir facsímil</v>
      </c>
      <c r="K1056" s="3" t="s">
        <v>22</v>
      </c>
    </row>
    <row r="1057" spans="1:11" ht="42" customHeight="1">
      <c r="A1057" s="2" t="s">
        <v>2566</v>
      </c>
      <c r="B1057" s="2" t="s">
        <v>2567</v>
      </c>
      <c r="C1057" s="2" t="s">
        <v>16</v>
      </c>
      <c r="D1057" s="2" t="s">
        <v>17</v>
      </c>
      <c r="E1057" s="5">
        <v>-31691</v>
      </c>
      <c r="F1057" s="3" t="s">
        <v>1542</v>
      </c>
      <c r="G1057" s="3" t="s">
        <v>95</v>
      </c>
      <c r="H1057" s="2" t="s">
        <v>20</v>
      </c>
      <c r="I1057" s="2" t="s">
        <v>2568</v>
      </c>
      <c r="J1057" s="3" t="str">
        <f>HYPERLINK("https://www.boe.es/gazeta/dias/1813/03/25/pdfs/GRE-1813-37.pdf#page=6","Abrir facsímil")</f>
        <v>Abrir facsímil</v>
      </c>
      <c r="K1057" s="3" t="s">
        <v>22</v>
      </c>
    </row>
    <row r="1058" spans="1:11" ht="42" customHeight="1">
      <c r="A1058" s="2" t="s">
        <v>2569</v>
      </c>
      <c r="B1058" s="2" t="s">
        <v>2569</v>
      </c>
      <c r="C1058" s="2" t="s">
        <v>16</v>
      </c>
      <c r="D1058" s="2" t="s">
        <v>17</v>
      </c>
      <c r="E1058" s="5">
        <v>-31637</v>
      </c>
      <c r="F1058" s="3" t="s">
        <v>234</v>
      </c>
      <c r="G1058" s="3" t="s">
        <v>58</v>
      </c>
      <c r="H1058" s="2" t="s">
        <v>20</v>
      </c>
      <c r="I1058" s="2" t="s">
        <v>2570</v>
      </c>
      <c r="J1058" s="3" t="str">
        <f>HYPERLINK("https://www.boe.es/gazeta/dias/1813/05/18/pdfs/GRE-1813-61.pdf#page=2","Abrir facsímil")</f>
        <v>Abrir facsímil</v>
      </c>
      <c r="K1058" s="3" t="s">
        <v>22</v>
      </c>
    </row>
    <row r="1059" spans="1:11" ht="42" customHeight="1">
      <c r="A1059" s="2" t="s">
        <v>2571</v>
      </c>
      <c r="B1059" s="2" t="s">
        <v>2572</v>
      </c>
      <c r="C1059" s="2" t="s">
        <v>16</v>
      </c>
      <c r="D1059" s="2" t="s">
        <v>17</v>
      </c>
      <c r="E1059" s="5">
        <v>-31448</v>
      </c>
      <c r="F1059" s="3" t="s">
        <v>57</v>
      </c>
      <c r="G1059" s="3" t="s">
        <v>54</v>
      </c>
      <c r="H1059" s="2" t="s">
        <v>20</v>
      </c>
      <c r="I1059" s="2" t="s">
        <v>2573</v>
      </c>
      <c r="J1059" s="3" t="str">
        <f>HYPERLINK("https://www.boe.es/gazeta/dias/1813/11/23/pdfs/GRE-1813-153.pdf#page=3","Abrir facsímil")</f>
        <v>Abrir facsímil</v>
      </c>
      <c r="K1059" s="3" t="s">
        <v>22</v>
      </c>
    </row>
    <row r="1060" spans="1:11" ht="42" customHeight="1">
      <c r="A1060" s="2" t="s">
        <v>2574</v>
      </c>
      <c r="B1060" s="2" t="s">
        <v>2574</v>
      </c>
      <c r="C1060" s="2" t="s">
        <v>16</v>
      </c>
      <c r="D1060" s="2" t="s">
        <v>17</v>
      </c>
      <c r="E1060" s="5">
        <v>-31690</v>
      </c>
      <c r="F1060" s="3" t="s">
        <v>2575</v>
      </c>
      <c r="G1060" s="3" t="s">
        <v>58</v>
      </c>
      <c r="H1060" s="2" t="s">
        <v>20</v>
      </c>
      <c r="I1060" s="2" t="s">
        <v>2576</v>
      </c>
      <c r="J1060" s="3" t="str">
        <f>HYPERLINK("https://www.boe.es/gazeta/dias/1813/03/26/pdfs/GMD-1813-85.pdf#page=2","Abrir facsímil")</f>
        <v>Abrir facsímil</v>
      </c>
      <c r="K1060" s="3" t="s">
        <v>22</v>
      </c>
    </row>
    <row r="1061" spans="1:11" ht="42" customHeight="1">
      <c r="A1061" s="2" t="s">
        <v>2577</v>
      </c>
      <c r="B1061" s="2" t="s">
        <v>2577</v>
      </c>
      <c r="C1061" s="2" t="s">
        <v>16</v>
      </c>
      <c r="D1061" s="2" t="s">
        <v>17</v>
      </c>
      <c r="E1061" s="5">
        <v>-31630</v>
      </c>
      <c r="F1061" s="3" t="s">
        <v>1324</v>
      </c>
      <c r="G1061" s="3" t="s">
        <v>65</v>
      </c>
      <c r="H1061" s="2" t="s">
        <v>20</v>
      </c>
      <c r="I1061" s="2" t="s">
        <v>2578</v>
      </c>
      <c r="J1061" s="3" t="str">
        <f>HYPERLINK("https://www.boe.es/gazeta/dias/1813/05/25/pdfs/GRE-1813-64.pdf#page=1","Abrir facsímil")</f>
        <v>Abrir facsímil</v>
      </c>
      <c r="K1061" s="3" t="s">
        <v>22</v>
      </c>
    </row>
    <row r="1062" spans="1:11" ht="42" customHeight="1">
      <c r="A1062" s="2" t="s">
        <v>2577</v>
      </c>
      <c r="B1062" s="2" t="s">
        <v>2577</v>
      </c>
      <c r="C1062" s="2" t="s">
        <v>16</v>
      </c>
      <c r="D1062" s="2" t="s">
        <v>17</v>
      </c>
      <c r="E1062" s="5">
        <v>-31469</v>
      </c>
      <c r="F1062" s="3" t="s">
        <v>1452</v>
      </c>
      <c r="G1062" s="3" t="s">
        <v>19</v>
      </c>
      <c r="H1062" s="2" t="s">
        <v>20</v>
      </c>
      <c r="I1062" s="2" t="s">
        <v>2579</v>
      </c>
      <c r="J1062" s="3" t="str">
        <f>HYPERLINK("https://www.boe.es/gazeta/dias/1813/11/02/pdfs/GRE-1813-143.pdf#page=4","Abrir facsímil")</f>
        <v>Abrir facsímil</v>
      </c>
      <c r="K1062" s="3" t="s">
        <v>22</v>
      </c>
    </row>
    <row r="1063" spans="1:11" ht="42" customHeight="1">
      <c r="A1063" s="2" t="s">
        <v>2580</v>
      </c>
      <c r="B1063" s="2" t="s">
        <v>2580</v>
      </c>
      <c r="C1063" s="2" t="s">
        <v>16</v>
      </c>
      <c r="D1063" s="2" t="s">
        <v>17</v>
      </c>
      <c r="E1063" s="5">
        <v>-31497</v>
      </c>
      <c r="F1063" s="3" t="s">
        <v>223</v>
      </c>
      <c r="G1063" s="3" t="s">
        <v>87</v>
      </c>
      <c r="H1063" s="2" t="s">
        <v>20</v>
      </c>
      <c r="I1063" s="2" t="s">
        <v>2581</v>
      </c>
      <c r="J1063" s="3" t="str">
        <f>HYPERLINK("https://www.boe.es/gazeta/dias/1813/10/05/pdfs/GRE-1813-130.pdf#page=7","Abrir facsímil")</f>
        <v>Abrir facsímil</v>
      </c>
      <c r="K1063" s="3" t="s">
        <v>22</v>
      </c>
    </row>
    <row r="1064" spans="1:11" ht="42" customHeight="1">
      <c r="A1064" s="2" t="s">
        <v>2582</v>
      </c>
      <c r="B1064" s="2" t="s">
        <v>2582</v>
      </c>
      <c r="C1064" s="2" t="s">
        <v>16</v>
      </c>
      <c r="D1064" s="2" t="s">
        <v>17</v>
      </c>
      <c r="E1064" s="5">
        <v>-31619</v>
      </c>
      <c r="F1064" s="3" t="s">
        <v>1350</v>
      </c>
      <c r="G1064" s="3" t="s">
        <v>58</v>
      </c>
      <c r="H1064" s="2" t="s">
        <v>20</v>
      </c>
      <c r="I1064" s="2" t="s">
        <v>2583</v>
      </c>
      <c r="J1064" s="3" t="str">
        <f>HYPERLINK("https://www.boe.es/gazeta/dias/1813/06/05/pdfs/GMR-1813-2.pdf#page=2","Abrir facsímil")</f>
        <v>Abrir facsímil</v>
      </c>
      <c r="K1064" s="3" t="s">
        <v>22</v>
      </c>
    </row>
    <row r="1065" spans="1:11" ht="42" customHeight="1">
      <c r="A1065" s="2" t="s">
        <v>2584</v>
      </c>
      <c r="B1065" s="2" t="s">
        <v>2584</v>
      </c>
      <c r="C1065" s="2" t="s">
        <v>16</v>
      </c>
      <c r="D1065" s="2" t="s">
        <v>97</v>
      </c>
      <c r="E1065" s="5">
        <v>-31499</v>
      </c>
      <c r="F1065" s="3" t="s">
        <v>220</v>
      </c>
      <c r="G1065" s="3" t="s">
        <v>54</v>
      </c>
      <c r="H1065" s="2" t="s">
        <v>20</v>
      </c>
      <c r="I1065" s="2" t="s">
        <v>2585</v>
      </c>
      <c r="J1065" s="3" t="str">
        <f>HYPERLINK("https://www.boe.es/gazeta/dias/1813/10/03/pdfs/GMR-1813-53E.pdf#page=3","Abrir facsímil")</f>
        <v>Abrir facsímil</v>
      </c>
      <c r="K1065" s="3" t="s">
        <v>22</v>
      </c>
    </row>
    <row r="1066" spans="1:11" ht="42" customHeight="1">
      <c r="A1066" s="2" t="s">
        <v>2584</v>
      </c>
      <c r="B1066" s="2" t="s">
        <v>2584</v>
      </c>
      <c r="C1066" s="2" t="s">
        <v>16</v>
      </c>
      <c r="D1066" s="2" t="s">
        <v>17</v>
      </c>
      <c r="E1066" s="5">
        <v>-31497</v>
      </c>
      <c r="F1066" s="3" t="s">
        <v>223</v>
      </c>
      <c r="G1066" s="3" t="s">
        <v>82</v>
      </c>
      <c r="H1066" s="2" t="s">
        <v>20</v>
      </c>
      <c r="I1066" s="2" t="s">
        <v>2586</v>
      </c>
      <c r="J1066" s="3" t="str">
        <f>HYPERLINK("https://www.boe.es/gazeta/dias/1813/10/05/pdfs/GRE-1813-130.pdf#page=5","Abrir facsímil")</f>
        <v>Abrir facsímil</v>
      </c>
      <c r="K1066" s="3" t="s">
        <v>22</v>
      </c>
    </row>
    <row r="1067" spans="1:11" ht="42" customHeight="1">
      <c r="A1067" s="2" t="s">
        <v>2584</v>
      </c>
      <c r="B1067" s="2" t="s">
        <v>2584</v>
      </c>
      <c r="C1067" s="2" t="s">
        <v>16</v>
      </c>
      <c r="D1067" s="2" t="s">
        <v>17</v>
      </c>
      <c r="E1067" s="5">
        <v>-31427</v>
      </c>
      <c r="F1067" s="3" t="s">
        <v>489</v>
      </c>
      <c r="G1067" s="3" t="s">
        <v>19</v>
      </c>
      <c r="H1067" s="2" t="s">
        <v>20</v>
      </c>
      <c r="I1067" s="2" t="s">
        <v>2587</v>
      </c>
      <c r="J1067" s="3" t="str">
        <f>HYPERLINK("https://www.boe.es/gazeta/dias/1813/12/14/pdfs/GMR-1813-87.pdf#page=4","Abrir facsímil")</f>
        <v>Abrir facsímil</v>
      </c>
      <c r="K1067" s="3" t="s">
        <v>22</v>
      </c>
    </row>
    <row r="1068" spans="1:11" ht="42" customHeight="1">
      <c r="A1068" s="2" t="s">
        <v>2588</v>
      </c>
      <c r="B1068" s="2" t="s">
        <v>2589</v>
      </c>
      <c r="C1068" s="2" t="s">
        <v>25</v>
      </c>
      <c r="D1068" s="2" t="s">
        <v>26</v>
      </c>
      <c r="E1068" s="5">
        <v>-31677</v>
      </c>
      <c r="F1068" s="3" t="s">
        <v>76</v>
      </c>
      <c r="G1068" s="3" t="s">
        <v>28</v>
      </c>
      <c r="H1068" s="2" t="s">
        <v>20</v>
      </c>
      <c r="I1068" s="2" t="s">
        <v>2590</v>
      </c>
      <c r="J1068" s="3" t="str">
        <f>HYPERLINK("https://www.boe.es/gazeta/dias/1813/04/08/pdfs/GRE-1813-43.pdf#page=8","Abrir facsímil")</f>
        <v>Abrir facsímil</v>
      </c>
      <c r="K1068" s="3" t="s">
        <v>22</v>
      </c>
    </row>
    <row r="1069" spans="1:11" ht="42" customHeight="1">
      <c r="A1069" s="2" t="s">
        <v>2591</v>
      </c>
      <c r="B1069" s="2" t="s">
        <v>2591</v>
      </c>
      <c r="C1069" s="2" t="s">
        <v>25</v>
      </c>
      <c r="D1069" s="2" t="s">
        <v>26</v>
      </c>
      <c r="E1069" s="5">
        <v>-31755</v>
      </c>
      <c r="F1069" s="3" t="s">
        <v>2592</v>
      </c>
      <c r="G1069" s="3" t="s">
        <v>58</v>
      </c>
      <c r="H1069" s="2" t="s">
        <v>20</v>
      </c>
      <c r="I1069" s="2" t="s">
        <v>2593</v>
      </c>
      <c r="J1069" s="3" t="str">
        <f>HYPERLINK("https://www.boe.es/gazeta/dias/1813/01/20/pdfs/GMD-1813-20.pdf#page=2","Abrir facsímil")</f>
        <v>Abrir facsímil</v>
      </c>
      <c r="K1069" s="3" t="s">
        <v>22</v>
      </c>
    </row>
    <row r="1070" spans="1:11" ht="42" customHeight="1">
      <c r="A1070" s="2" t="s">
        <v>2594</v>
      </c>
      <c r="B1070" s="2" t="s">
        <v>2594</v>
      </c>
      <c r="C1070" s="2" t="s">
        <v>187</v>
      </c>
      <c r="D1070" s="2" t="s">
        <v>26</v>
      </c>
      <c r="E1070" s="5">
        <v>-31730</v>
      </c>
      <c r="F1070" s="3" t="s">
        <v>2497</v>
      </c>
      <c r="G1070" s="3" t="s">
        <v>2498</v>
      </c>
      <c r="H1070" s="2" t="s">
        <v>20</v>
      </c>
      <c r="I1070" s="2" t="s">
        <v>2595</v>
      </c>
      <c r="J1070" s="3" t="str">
        <f>HYPERLINK("https://www.boe.es/gazeta/dias/1813/02/14/pdfs/GMD-1813-45.pdf#page=2","Abrir facsímil")</f>
        <v>Abrir facsímil</v>
      </c>
      <c r="K1070" s="3" t="s">
        <v>22</v>
      </c>
    </row>
    <row r="1071" spans="1:11" ht="42" customHeight="1">
      <c r="A1071" s="2" t="s">
        <v>2596</v>
      </c>
      <c r="B1071" s="2" t="s">
        <v>2596</v>
      </c>
      <c r="C1071" s="2" t="s">
        <v>277</v>
      </c>
      <c r="D1071" s="2" t="s">
        <v>26</v>
      </c>
      <c r="E1071" s="5">
        <v>-31638</v>
      </c>
      <c r="F1071" s="3" t="s">
        <v>1635</v>
      </c>
      <c r="G1071" s="3" t="s">
        <v>58</v>
      </c>
      <c r="H1071" s="2" t="s">
        <v>20</v>
      </c>
      <c r="I1071" s="2" t="s">
        <v>2597</v>
      </c>
      <c r="J1071" s="3" t="str">
        <f>HYPERLINK("https://www.boe.es/gazeta/dias/1813/05/17/pdfs/GMD-1813-137.pdf#page=2","Abrir facsímil")</f>
        <v>Abrir facsímil</v>
      </c>
      <c r="K1071" s="3" t="s">
        <v>22</v>
      </c>
    </row>
    <row r="1072" spans="1:11" ht="42" customHeight="1">
      <c r="A1072" s="2" t="s">
        <v>2598</v>
      </c>
      <c r="B1072" s="2" t="s">
        <v>2598</v>
      </c>
      <c r="C1072" s="2" t="s">
        <v>25</v>
      </c>
      <c r="D1072" s="2" t="s">
        <v>26</v>
      </c>
      <c r="E1072" s="5">
        <v>-31738</v>
      </c>
      <c r="F1072" s="3" t="s">
        <v>2045</v>
      </c>
      <c r="G1072" s="3" t="s">
        <v>58</v>
      </c>
      <c r="H1072" s="2" t="s">
        <v>20</v>
      </c>
      <c r="I1072" s="2" t="s">
        <v>2599</v>
      </c>
      <c r="J1072" s="3" t="str">
        <f>HYPERLINK("https://www.boe.es/gazeta/dias/1813/02/06/pdfs/GMD-1813-37.pdf#page=2","Abrir facsímil")</f>
        <v>Abrir facsímil</v>
      </c>
      <c r="K1072" s="3" t="s">
        <v>22</v>
      </c>
    </row>
    <row r="1073" spans="1:11" ht="42" customHeight="1">
      <c r="A1073" s="2" t="s">
        <v>2600</v>
      </c>
      <c r="B1073" s="2" t="s">
        <v>2600</v>
      </c>
      <c r="C1073" s="2" t="s">
        <v>34</v>
      </c>
      <c r="D1073" s="2" t="s">
        <v>35</v>
      </c>
      <c r="E1073" s="5">
        <v>-31644</v>
      </c>
      <c r="F1073" s="3" t="s">
        <v>1979</v>
      </c>
      <c r="G1073" s="3" t="s">
        <v>54</v>
      </c>
      <c r="H1073" s="2" t="s">
        <v>20</v>
      </c>
      <c r="I1073" s="2" t="s">
        <v>2601</v>
      </c>
      <c r="J1073" s="3" t="str">
        <f>HYPERLINK("https://www.boe.es/gazeta/dias/1813/05/11/pdfs/GMD-1813-131.pdf#page=3","Abrir facsímil")</f>
        <v>Abrir facsímil</v>
      </c>
      <c r="K1073" s="3" t="s">
        <v>22</v>
      </c>
    </row>
    <row r="1074" spans="1:11" ht="42" customHeight="1">
      <c r="A1074" s="2" t="s">
        <v>2602</v>
      </c>
      <c r="B1074" s="2" t="s">
        <v>2602</v>
      </c>
      <c r="C1074" s="2" t="s">
        <v>16</v>
      </c>
      <c r="D1074" s="2" t="s">
        <v>17</v>
      </c>
      <c r="E1074" s="5">
        <v>-31719</v>
      </c>
      <c r="F1074" s="3" t="s">
        <v>251</v>
      </c>
      <c r="G1074" s="3" t="s">
        <v>58</v>
      </c>
      <c r="H1074" s="2" t="s">
        <v>20</v>
      </c>
      <c r="I1074" s="2" t="s">
        <v>2603</v>
      </c>
      <c r="J1074" s="3" t="str">
        <f>HYPERLINK("https://www.boe.es/gazeta/dias/1813/02/25/pdfs/GMD-1813-56.pdf#page=2","Abrir facsímil")</f>
        <v>Abrir facsímil</v>
      </c>
      <c r="K1074" s="3" t="s">
        <v>22</v>
      </c>
    </row>
    <row r="1075" spans="1:11" ht="42" customHeight="1">
      <c r="A1075" s="2" t="s">
        <v>2604</v>
      </c>
      <c r="B1075" s="2" t="s">
        <v>2604</v>
      </c>
      <c r="C1075" s="2" t="s">
        <v>16</v>
      </c>
      <c r="D1075" s="2" t="s">
        <v>17</v>
      </c>
      <c r="E1075" s="5">
        <v>-31689</v>
      </c>
      <c r="F1075" s="3" t="s">
        <v>1347</v>
      </c>
      <c r="G1075" s="3" t="s">
        <v>54</v>
      </c>
      <c r="H1075" s="2" t="s">
        <v>20</v>
      </c>
      <c r="I1075" s="2" t="s">
        <v>2605</v>
      </c>
      <c r="J1075" s="3" t="str">
        <f>HYPERLINK("https://www.boe.es/gazeta/dias/1813/03/27/pdfs/GMD-1813-86.pdf#page=3","Abrir facsímil")</f>
        <v>Abrir facsímil</v>
      </c>
      <c r="K1075" s="3" t="s">
        <v>22</v>
      </c>
    </row>
    <row r="1076" spans="1:11" ht="42" customHeight="1">
      <c r="A1076" s="2" t="s">
        <v>2606</v>
      </c>
      <c r="B1076" s="2" t="s">
        <v>2607</v>
      </c>
      <c r="C1076" s="2" t="s">
        <v>34</v>
      </c>
      <c r="D1076" s="2" t="s">
        <v>35</v>
      </c>
      <c r="E1076" s="5">
        <v>-31754</v>
      </c>
      <c r="F1076" s="3" t="s">
        <v>2608</v>
      </c>
      <c r="G1076" s="3" t="s">
        <v>54</v>
      </c>
      <c r="H1076" s="2" t="s">
        <v>20</v>
      </c>
      <c r="I1076" s="2" t="s">
        <v>2609</v>
      </c>
      <c r="J1076" s="3" t="str">
        <f>HYPERLINK("https://www.boe.es/gazeta/dias/1813/01/21/pdfs/GMD-1813-21.pdf#page=3","Abrir facsímil")</f>
        <v>Abrir facsímil</v>
      </c>
      <c r="K1076" s="3" t="s">
        <v>22</v>
      </c>
    </row>
    <row r="1077" spans="1:11" ht="42" customHeight="1">
      <c r="A1077" s="2" t="s">
        <v>2606</v>
      </c>
      <c r="B1077" s="2" t="s">
        <v>2607</v>
      </c>
      <c r="C1077" s="2" t="s">
        <v>34</v>
      </c>
      <c r="D1077" s="2" t="s">
        <v>35</v>
      </c>
      <c r="E1077" s="5">
        <v>-31643</v>
      </c>
      <c r="F1077" s="3" t="s">
        <v>2610</v>
      </c>
      <c r="G1077" s="3" t="s">
        <v>19</v>
      </c>
      <c r="H1077" s="2" t="s">
        <v>20</v>
      </c>
      <c r="I1077" s="2" t="s">
        <v>2611</v>
      </c>
      <c r="J1077" s="3" t="str">
        <f>HYPERLINK("https://www.boe.es/gazeta/dias/1813/05/12/pdfs/GMD-1813-132.pdf#page=4","Abrir facsímil")</f>
        <v>Abrir facsímil</v>
      </c>
      <c r="K1077" s="3" t="s">
        <v>22</v>
      </c>
    </row>
    <row r="1078" spans="1:11" ht="42" customHeight="1">
      <c r="A1078" s="2" t="s">
        <v>2606</v>
      </c>
      <c r="B1078" s="2" t="s">
        <v>2607</v>
      </c>
      <c r="C1078" s="2" t="s">
        <v>69</v>
      </c>
      <c r="D1078" s="2" t="s">
        <v>26</v>
      </c>
      <c r="E1078" s="5">
        <v>-31460</v>
      </c>
      <c r="F1078" s="3" t="s">
        <v>599</v>
      </c>
      <c r="G1078" s="3" t="s">
        <v>849</v>
      </c>
      <c r="H1078" s="2" t="s">
        <v>20</v>
      </c>
      <c r="I1078" s="2" t="s">
        <v>2612</v>
      </c>
      <c r="J1078" s="3" t="str">
        <f>HYPERLINK("https://www.boe.es/gazeta/dias/1813/11/11/pdfs/GMR-1813-72.pdf#page=12","Abrir facsímil")</f>
        <v>Abrir facsímil</v>
      </c>
      <c r="K1078" s="3" t="s">
        <v>22</v>
      </c>
    </row>
    <row r="1079" spans="1:11" ht="42" customHeight="1">
      <c r="A1079" s="2" t="s">
        <v>2613</v>
      </c>
      <c r="B1079" s="2" t="s">
        <v>2614</v>
      </c>
      <c r="C1079" s="2" t="s">
        <v>16</v>
      </c>
      <c r="D1079" s="2" t="s">
        <v>17</v>
      </c>
      <c r="E1079" s="5">
        <v>-31709</v>
      </c>
      <c r="F1079" s="3" t="s">
        <v>36</v>
      </c>
      <c r="G1079" s="3" t="s">
        <v>58</v>
      </c>
      <c r="H1079" s="2" t="s">
        <v>20</v>
      </c>
      <c r="I1079" s="2" t="s">
        <v>2615</v>
      </c>
      <c r="J1079" s="3" t="str">
        <f>HYPERLINK("https://www.boe.es/gazeta/dias/1813/03/07/pdfs/GMD-1813-66.pdf#page=2","Abrir facsímil")</f>
        <v>Abrir facsímil</v>
      </c>
      <c r="K1079" s="3" t="s">
        <v>22</v>
      </c>
    </row>
    <row r="1080" spans="1:11" ht="42" customHeight="1">
      <c r="A1080" s="2" t="s">
        <v>2616</v>
      </c>
      <c r="B1080" s="2" t="s">
        <v>2617</v>
      </c>
      <c r="C1080" s="2" t="s">
        <v>25</v>
      </c>
      <c r="D1080" s="2" t="s">
        <v>26</v>
      </c>
      <c r="E1080" s="5">
        <v>-31730</v>
      </c>
      <c r="F1080" s="3" t="s">
        <v>2497</v>
      </c>
      <c r="G1080" s="3" t="s">
        <v>2498</v>
      </c>
      <c r="H1080" s="2" t="s">
        <v>20</v>
      </c>
      <c r="I1080" s="2" t="s">
        <v>2618</v>
      </c>
      <c r="J1080" s="3" t="str">
        <f>HYPERLINK("https://www.boe.es/gazeta/dias/1813/02/14/pdfs/GMD-1813-45.pdf#page=2","Abrir facsímil")</f>
        <v>Abrir facsímil</v>
      </c>
      <c r="K1080" s="3" t="s">
        <v>22</v>
      </c>
    </row>
    <row r="1081" spans="1:11" ht="42" customHeight="1">
      <c r="A1081" s="2" t="s">
        <v>2619</v>
      </c>
      <c r="B1081" s="2" t="s">
        <v>2619</v>
      </c>
      <c r="C1081" s="2" t="s">
        <v>16</v>
      </c>
      <c r="D1081" s="2" t="s">
        <v>17</v>
      </c>
      <c r="E1081" s="5">
        <v>-31756</v>
      </c>
      <c r="F1081" s="3" t="s">
        <v>2620</v>
      </c>
      <c r="G1081" s="3" t="s">
        <v>58</v>
      </c>
      <c r="H1081" s="2" t="s">
        <v>20</v>
      </c>
      <c r="I1081" s="2" t="s">
        <v>2621</v>
      </c>
      <c r="J1081" s="3" t="str">
        <f>HYPERLINK("https://www.boe.es/gazeta/dias/1813/01/19/pdfs/GMD-1813-19.pdf#page=2","Abrir facsímil")</f>
        <v>Abrir facsímil</v>
      </c>
      <c r="K1081" s="3" t="s">
        <v>22</v>
      </c>
    </row>
    <row r="1082" spans="1:11" ht="42" customHeight="1">
      <c r="A1082" s="2" t="s">
        <v>2622</v>
      </c>
      <c r="B1082" s="2" t="s">
        <v>2622</v>
      </c>
      <c r="C1082" s="2" t="s">
        <v>16</v>
      </c>
      <c r="D1082" s="2" t="s">
        <v>17</v>
      </c>
      <c r="E1082" s="5">
        <v>-31511</v>
      </c>
      <c r="F1082" s="3" t="s">
        <v>2149</v>
      </c>
      <c r="G1082" s="3" t="s">
        <v>95</v>
      </c>
      <c r="H1082" s="2" t="s">
        <v>20</v>
      </c>
      <c r="I1082" s="2" t="s">
        <v>2623</v>
      </c>
      <c r="J1082" s="3" t="str">
        <f>HYPERLINK("https://www.boe.es/gazeta/dias/1813/09/21/pdfs/GRE-1813-122.pdf#page=6","Abrir facsímil")</f>
        <v>Abrir facsímil</v>
      </c>
      <c r="K1082" s="3" t="s">
        <v>22</v>
      </c>
    </row>
    <row r="1083" spans="1:11" ht="42" customHeight="1">
      <c r="A1083" s="2" t="s">
        <v>2624</v>
      </c>
      <c r="B1083" s="2" t="s">
        <v>2624</v>
      </c>
      <c r="C1083" s="2" t="s">
        <v>16</v>
      </c>
      <c r="D1083" s="2" t="s">
        <v>17</v>
      </c>
      <c r="E1083" s="5">
        <v>-31516</v>
      </c>
      <c r="F1083" s="3" t="s">
        <v>1685</v>
      </c>
      <c r="G1083" s="3" t="s">
        <v>2625</v>
      </c>
      <c r="H1083" s="2" t="s">
        <v>20</v>
      </c>
      <c r="I1083" s="2" t="s">
        <v>2626</v>
      </c>
      <c r="J1083" s="3" t="str">
        <f>HYPERLINK("https://www.boe.es/gazeta/dias/1813/09/16/pdfs/GRE-1813-120.pdf#page=8","Abrir facsímil")</f>
        <v>Abrir facsímil</v>
      </c>
      <c r="K1083" s="3" t="s">
        <v>22</v>
      </c>
    </row>
    <row r="1084" spans="1:11" ht="42" customHeight="1">
      <c r="A1084" s="2" t="s">
        <v>2627</v>
      </c>
      <c r="B1084" s="2" t="s">
        <v>2627</v>
      </c>
      <c r="C1084" s="2" t="s">
        <v>16</v>
      </c>
      <c r="D1084" s="2" t="s">
        <v>17</v>
      </c>
      <c r="E1084" s="5">
        <v>-31720</v>
      </c>
      <c r="F1084" s="3" t="s">
        <v>672</v>
      </c>
      <c r="G1084" s="3" t="s">
        <v>65</v>
      </c>
      <c r="H1084" s="2" t="s">
        <v>20</v>
      </c>
      <c r="I1084" s="2" t="s">
        <v>2628</v>
      </c>
      <c r="J1084" s="3" t="str">
        <f>HYPERLINK("https://www.boe.es/gazeta/dias/1813/02/24/pdfs/GMD-1813-55.pdf#page=1","Abrir facsímil")</f>
        <v>Abrir facsímil</v>
      </c>
      <c r="K1084" s="3" t="s">
        <v>22</v>
      </c>
    </row>
    <row r="1085" spans="1:11" ht="42" customHeight="1">
      <c r="A1085" s="2" t="s">
        <v>2629</v>
      </c>
      <c r="B1085" s="2" t="s">
        <v>2629</v>
      </c>
      <c r="C1085" s="2" t="s">
        <v>16</v>
      </c>
      <c r="D1085" s="2" t="s">
        <v>17</v>
      </c>
      <c r="E1085" s="5">
        <v>-31542</v>
      </c>
      <c r="F1085" s="3" t="s">
        <v>347</v>
      </c>
      <c r="G1085" s="3" t="s">
        <v>95</v>
      </c>
      <c r="H1085" s="2" t="s">
        <v>20</v>
      </c>
      <c r="I1085" s="2" t="s">
        <v>2630</v>
      </c>
      <c r="J1085" s="3" t="str">
        <f>HYPERLINK("https://www.boe.es/gazeta/dias/1813/08/21/pdfs/GMR-1813-31.pdf#page=6","Abrir facsímil")</f>
        <v>Abrir facsímil</v>
      </c>
      <c r="K1085" s="3" t="s">
        <v>22</v>
      </c>
    </row>
    <row r="1086" spans="1:11" ht="42" customHeight="1">
      <c r="A1086" s="2" t="s">
        <v>2631</v>
      </c>
      <c r="B1086" s="2" t="s">
        <v>2632</v>
      </c>
      <c r="C1086" s="2" t="s">
        <v>34</v>
      </c>
      <c r="D1086" s="2" t="s">
        <v>35</v>
      </c>
      <c r="E1086" s="5">
        <v>-31719</v>
      </c>
      <c r="F1086" s="3" t="s">
        <v>1770</v>
      </c>
      <c r="G1086" s="3" t="s">
        <v>2633</v>
      </c>
      <c r="H1086" s="2" t="s">
        <v>29</v>
      </c>
      <c r="I1086" s="2" t="s">
        <v>2634</v>
      </c>
      <c r="J1086" s="3" t="str">
        <f>HYPERLINK("https://www.boe.es/gazeta/dias/1813/02/25/pdfs/GRE-1813-24.pdf#page=4","Abrir facsímil")</f>
        <v>Abrir facsímil</v>
      </c>
      <c r="K1086" s="3" t="s">
        <v>31</v>
      </c>
    </row>
    <row r="1087" spans="1:11" ht="42" customHeight="1">
      <c r="A1087" s="2" t="s">
        <v>2635</v>
      </c>
      <c r="B1087" s="2" t="s">
        <v>2635</v>
      </c>
      <c r="C1087" s="2" t="s">
        <v>16</v>
      </c>
      <c r="D1087" s="2" t="s">
        <v>17</v>
      </c>
      <c r="E1087" s="5">
        <v>-31654</v>
      </c>
      <c r="F1087" s="3" t="s">
        <v>1519</v>
      </c>
      <c r="G1087" s="3" t="s">
        <v>1638</v>
      </c>
      <c r="H1087" s="2" t="s">
        <v>20</v>
      </c>
      <c r="I1087" s="2" t="s">
        <v>2636</v>
      </c>
      <c r="J1087" s="3" t="str">
        <f>HYPERLINK("https://www.boe.es/gazeta/dias/1813/05/01/pdfs/GRE-1813-54.pdf#page=6","Abrir facsímil")</f>
        <v>Abrir facsímil</v>
      </c>
      <c r="K1087" s="3" t="s">
        <v>22</v>
      </c>
    </row>
    <row r="1088" spans="1:11" ht="42" customHeight="1">
      <c r="A1088" s="2" t="s">
        <v>2637</v>
      </c>
      <c r="B1088" s="2" t="s">
        <v>2637</v>
      </c>
      <c r="C1088" s="2" t="s">
        <v>16</v>
      </c>
      <c r="D1088" s="2" t="s">
        <v>17</v>
      </c>
      <c r="E1088" s="5">
        <v>-31663</v>
      </c>
      <c r="F1088" s="3" t="s">
        <v>2638</v>
      </c>
      <c r="G1088" s="3" t="s">
        <v>2639</v>
      </c>
      <c r="H1088" s="2" t="s">
        <v>20</v>
      </c>
      <c r="I1088" s="2" t="s">
        <v>2640</v>
      </c>
      <c r="J1088" s="3" t="str">
        <f>HYPERLINK("https://www.boe.es/gazeta/dias/1813/04/22/pdfs/GRE-1813-50.pdf#page=4","Abrir facsímil")</f>
        <v>Abrir facsímil</v>
      </c>
      <c r="K1088" s="3" t="s">
        <v>22</v>
      </c>
    </row>
    <row r="1089" spans="1:11" ht="42" customHeight="1">
      <c r="A1089" s="2" t="s">
        <v>2641</v>
      </c>
      <c r="B1089" s="2" t="s">
        <v>2641</v>
      </c>
      <c r="C1089" s="2" t="s">
        <v>16</v>
      </c>
      <c r="D1089" s="2" t="s">
        <v>17</v>
      </c>
      <c r="E1089" s="5">
        <v>-31544</v>
      </c>
      <c r="F1089" s="3" t="s">
        <v>200</v>
      </c>
      <c r="G1089" s="3" t="s">
        <v>65</v>
      </c>
      <c r="H1089" s="2" t="s">
        <v>20</v>
      </c>
      <c r="I1089" s="2" t="s">
        <v>2642</v>
      </c>
      <c r="J1089" s="3" t="str">
        <f>HYPERLINK("https://www.boe.es/gazeta/dias/1813/08/19/pdfs/GRE-1813-106.pdf#page=1","Abrir facsímil")</f>
        <v>Abrir facsímil</v>
      </c>
      <c r="K1089" s="3" t="s">
        <v>22</v>
      </c>
    </row>
    <row r="1090" spans="1:11" ht="42" customHeight="1">
      <c r="A1090" s="2" t="s">
        <v>2643</v>
      </c>
      <c r="B1090" s="2" t="s">
        <v>2643</v>
      </c>
      <c r="C1090" s="2" t="s">
        <v>16</v>
      </c>
      <c r="D1090" s="2" t="s">
        <v>17</v>
      </c>
      <c r="E1090" s="5">
        <v>-31516</v>
      </c>
      <c r="F1090" s="3" t="s">
        <v>1685</v>
      </c>
      <c r="G1090" s="3" t="s">
        <v>1686</v>
      </c>
      <c r="H1090" s="2" t="s">
        <v>20</v>
      </c>
      <c r="I1090" s="2" t="s">
        <v>2644</v>
      </c>
      <c r="J1090" s="3" t="str">
        <f>HYPERLINK("https://www.boe.es/gazeta/dias/1813/09/16/pdfs/GRE-1813-120.pdf#page=7","Abrir facsímil")</f>
        <v>Abrir facsímil</v>
      </c>
      <c r="K1090" s="3" t="s">
        <v>22</v>
      </c>
    </row>
    <row r="1091" spans="1:11" ht="42" customHeight="1">
      <c r="A1091" s="2" t="s">
        <v>2645</v>
      </c>
      <c r="B1091" s="2" t="s">
        <v>2645</v>
      </c>
      <c r="C1091" s="2" t="s">
        <v>16</v>
      </c>
      <c r="D1091" s="2" t="s">
        <v>17</v>
      </c>
      <c r="E1091" s="5">
        <v>-31582</v>
      </c>
      <c r="F1091" s="3" t="s">
        <v>907</v>
      </c>
      <c r="G1091" s="3" t="s">
        <v>54</v>
      </c>
      <c r="H1091" s="2" t="s">
        <v>20</v>
      </c>
      <c r="I1091" s="2" t="s">
        <v>2646</v>
      </c>
      <c r="J1091" s="3" t="str">
        <f>HYPERLINK("https://www.boe.es/gazeta/dias/1813/07/12/pdfs/GRE-1813-87.pdf#page=3","Abrir facsímil")</f>
        <v>Abrir facsímil</v>
      </c>
      <c r="K1091" s="3" t="s">
        <v>22</v>
      </c>
    </row>
    <row r="1092" spans="1:11" ht="42" customHeight="1">
      <c r="A1092" s="2" t="s">
        <v>2647</v>
      </c>
      <c r="B1092" s="2" t="s">
        <v>2647</v>
      </c>
      <c r="C1092" s="2" t="s">
        <v>16</v>
      </c>
      <c r="D1092" s="2" t="s">
        <v>17</v>
      </c>
      <c r="E1092" s="5">
        <v>-31585</v>
      </c>
      <c r="F1092" s="3" t="s">
        <v>177</v>
      </c>
      <c r="G1092" s="3" t="s">
        <v>313</v>
      </c>
      <c r="H1092" s="2" t="s">
        <v>20</v>
      </c>
      <c r="I1092" s="2" t="s">
        <v>2648</v>
      </c>
      <c r="J1092" s="3" t="str">
        <f>HYPERLINK("https://www.boe.es/gazeta/dias/1813/07/09/pdfs/GMR-1813-16.pdf#page=9","Abrir facsímil")</f>
        <v>Abrir facsímil</v>
      </c>
      <c r="K1092" s="3" t="s">
        <v>22</v>
      </c>
    </row>
    <row r="1093" spans="1:11" ht="42" customHeight="1">
      <c r="A1093" s="2" t="s">
        <v>2647</v>
      </c>
      <c r="B1093" s="2" t="s">
        <v>2647</v>
      </c>
      <c r="C1093" s="2" t="s">
        <v>16</v>
      </c>
      <c r="D1093" s="2" t="s">
        <v>17</v>
      </c>
      <c r="E1093" s="5">
        <v>-31582</v>
      </c>
      <c r="F1093" s="3" t="s">
        <v>907</v>
      </c>
      <c r="G1093" s="3" t="s">
        <v>2210</v>
      </c>
      <c r="H1093" s="2" t="s">
        <v>20</v>
      </c>
      <c r="I1093" s="2" t="s">
        <v>2649</v>
      </c>
      <c r="J1093" s="3" t="str">
        <f>HYPERLINK("https://www.boe.es/gazeta/dias/1813/07/12/pdfs/GRE-1813-87.pdf#page=5","Abrir facsímil")</f>
        <v>Abrir facsímil</v>
      </c>
      <c r="K1093" s="3" t="s">
        <v>22</v>
      </c>
    </row>
    <row r="1094" spans="1:11" ht="42" customHeight="1">
      <c r="A1094" s="2" t="s">
        <v>2647</v>
      </c>
      <c r="B1094" s="2" t="s">
        <v>2647</v>
      </c>
      <c r="C1094" s="2" t="s">
        <v>16</v>
      </c>
      <c r="D1094" s="2" t="s">
        <v>17</v>
      </c>
      <c r="E1094" s="5">
        <v>-31582</v>
      </c>
      <c r="F1094" s="3" t="s">
        <v>907</v>
      </c>
      <c r="G1094" s="3" t="s">
        <v>19</v>
      </c>
      <c r="H1094" s="2" t="s">
        <v>20</v>
      </c>
      <c r="I1094" s="2" t="s">
        <v>2650</v>
      </c>
      <c r="J1094" s="3" t="str">
        <f>HYPERLINK("https://www.boe.es/gazeta/dias/1813/07/12/pdfs/GRE-1813-87.pdf#page=4","Abrir facsímil")</f>
        <v>Abrir facsímil</v>
      </c>
      <c r="K1094" s="3" t="s">
        <v>22</v>
      </c>
    </row>
    <row r="1095" spans="1:11" ht="42" customHeight="1">
      <c r="A1095" s="2" t="s">
        <v>2647</v>
      </c>
      <c r="B1095" s="2" t="s">
        <v>2647</v>
      </c>
      <c r="C1095" s="2" t="s">
        <v>16</v>
      </c>
      <c r="D1095" s="2" t="s">
        <v>17</v>
      </c>
      <c r="E1095" s="5">
        <v>-31571</v>
      </c>
      <c r="F1095" s="3" t="s">
        <v>788</v>
      </c>
      <c r="G1095" s="3" t="s">
        <v>910</v>
      </c>
      <c r="H1095" s="2" t="s">
        <v>20</v>
      </c>
      <c r="I1095" s="2" t="s">
        <v>2651</v>
      </c>
      <c r="J1095" s="3" t="str">
        <f>HYPERLINK("https://www.boe.es/gazeta/dias/1813/07/23/pdfs/GMR-1813-20.pdf#page=10","Abrir facsímil")</f>
        <v>Abrir facsímil</v>
      </c>
      <c r="K1095" s="3" t="s">
        <v>22</v>
      </c>
    </row>
    <row r="1096" spans="1:11" ht="42" customHeight="1">
      <c r="A1096" s="2" t="s">
        <v>2647</v>
      </c>
      <c r="B1096" s="2" t="s">
        <v>2647</v>
      </c>
      <c r="C1096" s="2" t="s">
        <v>16</v>
      </c>
      <c r="D1096" s="2" t="s">
        <v>17</v>
      </c>
      <c r="E1096" s="5">
        <v>-31542</v>
      </c>
      <c r="F1096" s="3" t="s">
        <v>347</v>
      </c>
      <c r="G1096" s="3" t="s">
        <v>54</v>
      </c>
      <c r="H1096" s="2" t="s">
        <v>20</v>
      </c>
      <c r="I1096" s="2" t="s">
        <v>2652</v>
      </c>
      <c r="J1096" s="3" t="str">
        <f>HYPERLINK("https://www.boe.es/gazeta/dias/1813/08/21/pdfs/GMR-1813-31.pdf#page=3","Abrir facsímil")</f>
        <v>Abrir facsímil</v>
      </c>
      <c r="K1096" s="3" t="s">
        <v>22</v>
      </c>
    </row>
    <row r="1097" spans="1:11" ht="42" customHeight="1">
      <c r="A1097" s="2" t="s">
        <v>2647</v>
      </c>
      <c r="B1097" s="2" t="s">
        <v>2647</v>
      </c>
      <c r="C1097" s="2" t="s">
        <v>16</v>
      </c>
      <c r="D1097" s="2" t="s">
        <v>17</v>
      </c>
      <c r="E1097" s="5">
        <v>-31516</v>
      </c>
      <c r="F1097" s="3" t="s">
        <v>1685</v>
      </c>
      <c r="G1097" s="3" t="s">
        <v>1797</v>
      </c>
      <c r="H1097" s="2" t="s">
        <v>20</v>
      </c>
      <c r="I1097" s="2" t="s">
        <v>2653</v>
      </c>
      <c r="J1097" s="3" t="str">
        <f>HYPERLINK("https://www.boe.es/gazeta/dias/1813/09/16/pdfs/GRE-1813-120.pdf#page=5","Abrir facsímil")</f>
        <v>Abrir facsímil</v>
      </c>
      <c r="K1097" s="3" t="s">
        <v>22</v>
      </c>
    </row>
    <row r="1098" spans="1:11" ht="42" customHeight="1">
      <c r="A1098" s="2" t="s">
        <v>2654</v>
      </c>
      <c r="B1098" s="2" t="s">
        <v>2654</v>
      </c>
      <c r="C1098" s="2" t="s">
        <v>16</v>
      </c>
      <c r="D1098" s="2" t="s">
        <v>17</v>
      </c>
      <c r="E1098" s="5">
        <v>-31516</v>
      </c>
      <c r="F1098" s="3" t="s">
        <v>1685</v>
      </c>
      <c r="G1098" s="3" t="s">
        <v>1797</v>
      </c>
      <c r="H1098" s="2" t="s">
        <v>20</v>
      </c>
      <c r="I1098" s="2" t="s">
        <v>2655</v>
      </c>
      <c r="J1098" s="3" t="str">
        <f>HYPERLINK("https://www.boe.es/gazeta/dias/1813/09/16/pdfs/GRE-1813-120.pdf#page=5","Abrir facsímil")</f>
        <v>Abrir facsímil</v>
      </c>
      <c r="K1098" s="3" t="s">
        <v>22</v>
      </c>
    </row>
    <row r="1099" spans="1:11" ht="42" customHeight="1">
      <c r="A1099" s="2" t="s">
        <v>2656</v>
      </c>
      <c r="B1099" s="2" t="s">
        <v>2656</v>
      </c>
      <c r="C1099" s="2" t="s">
        <v>16</v>
      </c>
      <c r="D1099" s="2" t="s">
        <v>17</v>
      </c>
      <c r="E1099" s="5">
        <v>-31571</v>
      </c>
      <c r="F1099" s="3" t="s">
        <v>788</v>
      </c>
      <c r="G1099" s="3" t="s">
        <v>2657</v>
      </c>
      <c r="H1099" s="2" t="s">
        <v>20</v>
      </c>
      <c r="I1099" s="2" t="s">
        <v>2658</v>
      </c>
      <c r="J1099" s="3" t="str">
        <f>HYPERLINK("https://www.boe.es/gazeta/dias/1813/07/23/pdfs/GMR-1813-20.pdf#page=11","Abrir facsímil")</f>
        <v>Abrir facsímil</v>
      </c>
      <c r="K1099" s="3" t="s">
        <v>22</v>
      </c>
    </row>
    <row r="1100" spans="1:11" ht="42" customHeight="1">
      <c r="A1100" s="2" t="s">
        <v>2659</v>
      </c>
      <c r="B1100" s="2" t="s">
        <v>2660</v>
      </c>
      <c r="C1100" s="2" t="s">
        <v>16</v>
      </c>
      <c r="D1100" s="2" t="s">
        <v>17</v>
      </c>
      <c r="E1100" s="5">
        <v>-31546</v>
      </c>
      <c r="F1100" s="3" t="s">
        <v>2057</v>
      </c>
      <c r="G1100" s="3" t="s">
        <v>95</v>
      </c>
      <c r="H1100" s="2" t="s">
        <v>20</v>
      </c>
      <c r="I1100" s="2" t="s">
        <v>2661</v>
      </c>
      <c r="J1100" s="3" t="str">
        <f>HYPERLINK("https://www.boe.es/gazeta/dias/1813/08/17/pdfs/GRE-1813-105.pdf#page=6","Abrir facsímil")</f>
        <v>Abrir facsímil</v>
      </c>
      <c r="K1100" s="3" t="s">
        <v>22</v>
      </c>
    </row>
    <row r="1101" spans="1:11" ht="42" customHeight="1">
      <c r="A1101" s="2" t="s">
        <v>2662</v>
      </c>
      <c r="B1101" s="2" t="s">
        <v>2662</v>
      </c>
      <c r="C1101" s="2" t="s">
        <v>16</v>
      </c>
      <c r="D1101" s="2" t="s">
        <v>17</v>
      </c>
      <c r="E1101" s="5">
        <v>-31532</v>
      </c>
      <c r="F1101" s="3" t="s">
        <v>215</v>
      </c>
      <c r="G1101" s="3" t="s">
        <v>65</v>
      </c>
      <c r="H1101" s="2" t="s">
        <v>20</v>
      </c>
      <c r="I1101" s="2" t="s">
        <v>2663</v>
      </c>
      <c r="J1101" s="3" t="str">
        <f>HYPERLINK("https://www.boe.es/gazeta/dias/1813/08/31/pdfs/GRE-1813-111.pdf#page=1","Abrir facsímil")</f>
        <v>Abrir facsímil</v>
      </c>
      <c r="K1101" s="3" t="s">
        <v>22</v>
      </c>
    </row>
    <row r="1102" spans="1:11" ht="42" customHeight="1">
      <c r="A1102" s="2" t="s">
        <v>2664</v>
      </c>
      <c r="B1102" s="2" t="s">
        <v>2664</v>
      </c>
      <c r="C1102" s="2" t="s">
        <v>16</v>
      </c>
      <c r="D1102" s="2" t="s">
        <v>17</v>
      </c>
      <c r="E1102" s="5">
        <v>-31629</v>
      </c>
      <c r="F1102" s="3" t="s">
        <v>1146</v>
      </c>
      <c r="G1102" s="3" t="s">
        <v>65</v>
      </c>
      <c r="H1102" s="2" t="s">
        <v>20</v>
      </c>
      <c r="I1102" s="2" t="s">
        <v>2665</v>
      </c>
      <c r="J1102" s="3" t="str">
        <f>HYPERLINK("https://www.boe.es/gazeta/dias/1813/05/26/pdfs/GMD-1813-146.pdf#page=1","Abrir facsímil")</f>
        <v>Abrir facsímil</v>
      </c>
      <c r="K1102" s="3" t="s">
        <v>22</v>
      </c>
    </row>
    <row r="1103" spans="1:11" ht="42" customHeight="1">
      <c r="A1103" s="2" t="s">
        <v>2666</v>
      </c>
      <c r="B1103" s="2" t="s">
        <v>2666</v>
      </c>
      <c r="C1103" s="2" t="s">
        <v>16</v>
      </c>
      <c r="D1103" s="2" t="s">
        <v>17</v>
      </c>
      <c r="E1103" s="5">
        <v>-31742</v>
      </c>
      <c r="F1103" s="3" t="s">
        <v>2667</v>
      </c>
      <c r="G1103" s="3" t="s">
        <v>2668</v>
      </c>
      <c r="H1103" s="2" t="s">
        <v>20</v>
      </c>
      <c r="I1103" s="2" t="s">
        <v>2669</v>
      </c>
      <c r="J1103" s="3" t="str">
        <f>HYPERLINK("https://www.boe.es/gazeta/dias/1813/02/02/pdfs/GRE-1813-14.pdf#page=4","Abrir facsímil")</f>
        <v>Abrir facsímil</v>
      </c>
      <c r="K1103" s="3" t="s">
        <v>22</v>
      </c>
    </row>
    <row r="1104" spans="1:11" ht="42" customHeight="1">
      <c r="A1104" s="2" t="s">
        <v>2670</v>
      </c>
      <c r="B1104" s="2" t="s">
        <v>2670</v>
      </c>
      <c r="C1104" s="2" t="s">
        <v>16</v>
      </c>
      <c r="D1104" s="2" t="s">
        <v>17</v>
      </c>
      <c r="E1104" s="5">
        <v>-31685</v>
      </c>
      <c r="F1104" s="3" t="s">
        <v>2671</v>
      </c>
      <c r="G1104" s="3" t="s">
        <v>58</v>
      </c>
      <c r="H1104" s="2" t="s">
        <v>20</v>
      </c>
      <c r="I1104" s="2" t="s">
        <v>2672</v>
      </c>
      <c r="J1104" s="3" t="str">
        <f>HYPERLINK("https://www.boe.es/gazeta/dias/1813/03/31/pdfs/GMD-1813-90.pdf#page=2","Abrir facsímil")</f>
        <v>Abrir facsímil</v>
      </c>
      <c r="K1104" s="3" t="s">
        <v>22</v>
      </c>
    </row>
    <row r="1105" spans="1:11" ht="42" customHeight="1">
      <c r="A1105" s="2" t="s">
        <v>2673</v>
      </c>
      <c r="B1105" s="2" t="s">
        <v>2674</v>
      </c>
      <c r="C1105" s="2" t="s">
        <v>16</v>
      </c>
      <c r="D1105" s="2" t="s">
        <v>17</v>
      </c>
      <c r="E1105" s="5">
        <v>-31637</v>
      </c>
      <c r="F1105" s="3" t="s">
        <v>855</v>
      </c>
      <c r="G1105" s="3" t="s">
        <v>65</v>
      </c>
      <c r="H1105" s="2" t="s">
        <v>20</v>
      </c>
      <c r="I1105" s="2" t="s">
        <v>2675</v>
      </c>
      <c r="J1105" s="3" t="str">
        <f>HYPERLINK("https://www.boe.es/gazeta/dias/1813/05/18/pdfs/GMD-1813-138.pdf#page=1","Abrir facsímil")</f>
        <v>Abrir facsímil</v>
      </c>
      <c r="K1105" s="3" t="s">
        <v>22</v>
      </c>
    </row>
    <row r="1106" spans="1:11" ht="42" customHeight="1">
      <c r="A1106" s="2" t="s">
        <v>2676</v>
      </c>
      <c r="B1106" s="2" t="s">
        <v>2676</v>
      </c>
      <c r="C1106" s="2" t="s">
        <v>25</v>
      </c>
      <c r="D1106" s="2" t="s">
        <v>26</v>
      </c>
      <c r="E1106" s="5">
        <v>-31764</v>
      </c>
      <c r="F1106" s="3" t="s">
        <v>2677</v>
      </c>
      <c r="G1106" s="3" t="s">
        <v>19</v>
      </c>
      <c r="H1106" s="2" t="s">
        <v>20</v>
      </c>
      <c r="I1106" s="2" t="s">
        <v>2678</v>
      </c>
      <c r="J1106" s="3" t="str">
        <f>HYPERLINK("https://www.boe.es/gazeta/dias/1813/01/11/pdfs/GMD-1813-11.pdf#page=4","Abrir facsímil")</f>
        <v>Abrir facsímil</v>
      </c>
      <c r="K1106" s="3" t="s">
        <v>22</v>
      </c>
    </row>
    <row r="1107" spans="1:11" ht="42" customHeight="1">
      <c r="A1107" s="2" t="s">
        <v>2679</v>
      </c>
      <c r="B1107" s="2" t="s">
        <v>2679</v>
      </c>
      <c r="C1107" s="2" t="s">
        <v>16</v>
      </c>
      <c r="D1107" s="2" t="s">
        <v>17</v>
      </c>
      <c r="E1107" s="5">
        <v>-31759</v>
      </c>
      <c r="F1107" s="3" t="s">
        <v>419</v>
      </c>
      <c r="G1107" s="3" t="s">
        <v>2680</v>
      </c>
      <c r="H1107" s="2" t="s">
        <v>20</v>
      </c>
      <c r="I1107" s="2" t="s">
        <v>2681</v>
      </c>
      <c r="J1107" s="3" t="str">
        <f>HYPERLINK("https://www.boe.es/gazeta/dias/1813/01/16/pdfs/GRE-1813-7.pdf#page=5","Abrir facsímil")</f>
        <v>Abrir facsímil</v>
      </c>
      <c r="K1107" s="3" t="s">
        <v>22</v>
      </c>
    </row>
    <row r="1108" spans="1:11" ht="42" customHeight="1">
      <c r="A1108" s="2" t="s">
        <v>2682</v>
      </c>
      <c r="B1108" s="2" t="s">
        <v>2683</v>
      </c>
      <c r="C1108" s="2" t="s">
        <v>16</v>
      </c>
      <c r="D1108" s="2" t="s">
        <v>17</v>
      </c>
      <c r="E1108" s="5">
        <v>-31657</v>
      </c>
      <c r="F1108" s="3" t="s">
        <v>988</v>
      </c>
      <c r="G1108" s="3" t="s">
        <v>54</v>
      </c>
      <c r="H1108" s="2" t="s">
        <v>20</v>
      </c>
      <c r="I1108" s="2" t="s">
        <v>2684</v>
      </c>
      <c r="J1108" s="3" t="str">
        <f>HYPERLINK("https://www.boe.es/gazeta/dias/1813/04/28/pdfs/GMD-1813-118.pdf#page=3","Abrir facsímil")</f>
        <v>Abrir facsímil</v>
      </c>
      <c r="K1108" s="3" t="s">
        <v>22</v>
      </c>
    </row>
    <row r="1109" spans="1:11" ht="42" customHeight="1">
      <c r="A1109" s="2" t="s">
        <v>2685</v>
      </c>
      <c r="B1109" s="2" t="s">
        <v>2685</v>
      </c>
      <c r="C1109" s="2" t="s">
        <v>16</v>
      </c>
      <c r="D1109" s="2" t="s">
        <v>17</v>
      </c>
      <c r="E1109" s="5">
        <v>-31469</v>
      </c>
      <c r="F1109" s="3" t="s">
        <v>1452</v>
      </c>
      <c r="G1109" s="3" t="s">
        <v>54</v>
      </c>
      <c r="H1109" s="2" t="s">
        <v>20</v>
      </c>
      <c r="I1109" s="2" t="s">
        <v>2686</v>
      </c>
      <c r="J1109" s="3" t="str">
        <f>HYPERLINK("https://www.boe.es/gazeta/dias/1813/11/02/pdfs/GRE-1813-143.pdf#page=3","Abrir facsímil")</f>
        <v>Abrir facsímil</v>
      </c>
      <c r="K1109" s="3" t="s">
        <v>22</v>
      </c>
    </row>
    <row r="1110" spans="1:11" ht="42" customHeight="1">
      <c r="A1110" s="2" t="s">
        <v>2687</v>
      </c>
      <c r="B1110" s="2" t="s">
        <v>2688</v>
      </c>
      <c r="C1110" s="2" t="s">
        <v>25</v>
      </c>
      <c r="D1110" s="2" t="s">
        <v>26</v>
      </c>
      <c r="E1110" s="5">
        <v>-31710</v>
      </c>
      <c r="F1110" s="3" t="s">
        <v>2689</v>
      </c>
      <c r="G1110" s="3" t="s">
        <v>2690</v>
      </c>
      <c r="H1110" s="2" t="s">
        <v>20</v>
      </c>
      <c r="I1110" s="2" t="s">
        <v>2691</v>
      </c>
      <c r="J1110" s="3" t="str">
        <f>HYPERLINK("https://www.boe.es/gazeta/dias/1813/03/06/pdfs/GRE-1813-29.pdf#page=4","Abrir facsímil")</f>
        <v>Abrir facsímil</v>
      </c>
      <c r="K1110" s="3" t="s">
        <v>22</v>
      </c>
    </row>
    <row r="1111" spans="1:11" ht="42" customHeight="1">
      <c r="A1111" s="2" t="s">
        <v>2692</v>
      </c>
      <c r="B1111" s="2" t="s">
        <v>2692</v>
      </c>
      <c r="C1111" s="2" t="s">
        <v>25</v>
      </c>
      <c r="D1111" s="2" t="s">
        <v>26</v>
      </c>
      <c r="E1111" s="5">
        <v>-31563</v>
      </c>
      <c r="F1111" s="3" t="s">
        <v>1267</v>
      </c>
      <c r="G1111" s="3" t="s">
        <v>82</v>
      </c>
      <c r="H1111" s="2" t="s">
        <v>20</v>
      </c>
      <c r="I1111" s="2" t="s">
        <v>2693</v>
      </c>
      <c r="J1111" s="3" t="str">
        <f>HYPERLINK("https://www.boe.es/gazeta/dias/1813/07/31/pdfs/GRE-1813-97.pdf#page=5","Abrir facsímil")</f>
        <v>Abrir facsímil</v>
      </c>
      <c r="K1111" s="3" t="s">
        <v>22</v>
      </c>
    </row>
    <row r="1112" spans="1:11" ht="42" customHeight="1">
      <c r="A1112" s="2" t="s">
        <v>2692</v>
      </c>
      <c r="B1112" s="2" t="s">
        <v>2692</v>
      </c>
      <c r="C1112" s="2" t="s">
        <v>16</v>
      </c>
      <c r="D1112" s="2" t="s">
        <v>17</v>
      </c>
      <c r="E1112" s="5">
        <v>-31560</v>
      </c>
      <c r="F1112" s="3" t="s">
        <v>590</v>
      </c>
      <c r="G1112" s="3" t="s">
        <v>19</v>
      </c>
      <c r="H1112" s="2" t="s">
        <v>20</v>
      </c>
      <c r="I1112" s="2" t="s">
        <v>2694</v>
      </c>
      <c r="J1112" s="3" t="str">
        <f>HYPERLINK("https://www.boe.es/gazeta/dias/1813/08/03/pdfs/GRE-1813-98.pdf#page=4","Abrir facsímil")</f>
        <v>Abrir facsímil</v>
      </c>
      <c r="K1112" s="3" t="s">
        <v>22</v>
      </c>
    </row>
    <row r="1113" spans="1:11" ht="42" customHeight="1">
      <c r="A1113" s="2" t="s">
        <v>2695</v>
      </c>
      <c r="B1113" s="2" t="s">
        <v>2696</v>
      </c>
      <c r="C1113" s="2" t="s">
        <v>16</v>
      </c>
      <c r="D1113" s="2" t="s">
        <v>17</v>
      </c>
      <c r="E1113" s="5">
        <v>-31560</v>
      </c>
      <c r="F1113" s="3" t="s">
        <v>590</v>
      </c>
      <c r="G1113" s="3" t="s">
        <v>54</v>
      </c>
      <c r="H1113" s="2" t="s">
        <v>20</v>
      </c>
      <c r="I1113" s="2" t="s">
        <v>2697</v>
      </c>
      <c r="J1113" s="3" t="str">
        <f>HYPERLINK("https://www.boe.es/gazeta/dias/1813/08/03/pdfs/GRE-1813-98.pdf#page=3","Abrir facsímil")</f>
        <v>Abrir facsímil</v>
      </c>
      <c r="K1113" s="3" t="s">
        <v>22</v>
      </c>
    </row>
    <row r="1114" spans="1:11" ht="42" customHeight="1">
      <c r="A1114" s="2" t="s">
        <v>2695</v>
      </c>
      <c r="B1114" s="2" t="s">
        <v>2696</v>
      </c>
      <c r="C1114" s="2" t="s">
        <v>16</v>
      </c>
      <c r="D1114" s="2" t="s">
        <v>17</v>
      </c>
      <c r="E1114" s="5">
        <v>-31553</v>
      </c>
      <c r="F1114" s="3" t="s">
        <v>592</v>
      </c>
      <c r="G1114" s="3" t="s">
        <v>95</v>
      </c>
      <c r="H1114" s="2" t="s">
        <v>20</v>
      </c>
      <c r="I1114" s="2" t="s">
        <v>2698</v>
      </c>
      <c r="J1114" s="3" t="str">
        <f>HYPERLINK("https://www.boe.es/gazeta/dias/1813/08/10/pdfs/GRE-1813-101.pdf#page=6","Abrir facsímil")</f>
        <v>Abrir facsímil</v>
      </c>
      <c r="K1114" s="3" t="s">
        <v>22</v>
      </c>
    </row>
    <row r="1115" spans="1:11" ht="42" customHeight="1">
      <c r="A1115" s="2" t="s">
        <v>2699</v>
      </c>
      <c r="B1115" s="2" t="s">
        <v>2700</v>
      </c>
      <c r="C1115" s="2" t="s">
        <v>16</v>
      </c>
      <c r="D1115" s="2" t="s">
        <v>17</v>
      </c>
      <c r="E1115" s="5">
        <v>-31563</v>
      </c>
      <c r="F1115" s="3" t="s">
        <v>1267</v>
      </c>
      <c r="G1115" s="3" t="s">
        <v>19</v>
      </c>
      <c r="H1115" s="2" t="s">
        <v>20</v>
      </c>
      <c r="I1115" s="2" t="s">
        <v>2701</v>
      </c>
      <c r="J1115" s="3" t="str">
        <f>HYPERLINK("https://www.boe.es/gazeta/dias/1813/07/31/pdfs/GRE-1813-97.pdf#page=4","Abrir facsímil")</f>
        <v>Abrir facsímil</v>
      </c>
      <c r="K1115" s="3" t="s">
        <v>22</v>
      </c>
    </row>
    <row r="1116" spans="1:11" ht="42" customHeight="1">
      <c r="A1116" s="2" t="s">
        <v>2702</v>
      </c>
      <c r="B1116" s="2" t="s">
        <v>2703</v>
      </c>
      <c r="C1116" s="2" t="s">
        <v>435</v>
      </c>
      <c r="D1116" s="2" t="s">
        <v>26</v>
      </c>
      <c r="E1116" s="5">
        <v>-31560</v>
      </c>
      <c r="F1116" s="3" t="s">
        <v>590</v>
      </c>
      <c r="G1116" s="3" t="s">
        <v>87</v>
      </c>
      <c r="H1116" s="2" t="s">
        <v>20</v>
      </c>
      <c r="I1116" s="2" t="s">
        <v>2704</v>
      </c>
      <c r="J1116" s="3" t="str">
        <f>HYPERLINK("https://www.boe.es/gazeta/dias/1813/08/03/pdfs/GRE-1813-98.pdf#page=7","Abrir facsímil")</f>
        <v>Abrir facsímil</v>
      </c>
      <c r="K1116" s="3" t="s">
        <v>22</v>
      </c>
    </row>
    <row r="1117" spans="1:11" ht="42" customHeight="1">
      <c r="A1117" s="2" t="s">
        <v>2705</v>
      </c>
      <c r="B1117" s="2" t="s">
        <v>2706</v>
      </c>
      <c r="C1117" s="2" t="s">
        <v>25</v>
      </c>
      <c r="D1117" s="2" t="s">
        <v>26</v>
      </c>
      <c r="E1117" s="5">
        <v>-31530</v>
      </c>
      <c r="F1117" s="3" t="s">
        <v>133</v>
      </c>
      <c r="G1117" s="3" t="s">
        <v>95</v>
      </c>
      <c r="H1117" s="2" t="s">
        <v>20</v>
      </c>
      <c r="I1117" s="2" t="s">
        <v>2707</v>
      </c>
      <c r="J1117" s="3" t="str">
        <f>HYPERLINK("https://www.boe.es/gazeta/dias/1813/09/02/pdfs/GMR-1813-36.pdf#page=6","Abrir facsímil")</f>
        <v>Abrir facsímil</v>
      </c>
      <c r="K1117" s="3" t="s">
        <v>22</v>
      </c>
    </row>
    <row r="1118" spans="1:11" ht="42" customHeight="1">
      <c r="A1118" s="2" t="s">
        <v>2708</v>
      </c>
      <c r="B1118" s="2" t="s">
        <v>2708</v>
      </c>
      <c r="C1118" s="2" t="s">
        <v>16</v>
      </c>
      <c r="D1118" s="2" t="s">
        <v>17</v>
      </c>
      <c r="E1118" s="5">
        <v>-31770</v>
      </c>
      <c r="F1118" s="3" t="s">
        <v>1738</v>
      </c>
      <c r="G1118" s="3" t="s">
        <v>2709</v>
      </c>
      <c r="H1118" s="2" t="s">
        <v>20</v>
      </c>
      <c r="I1118" s="2" t="s">
        <v>2710</v>
      </c>
      <c r="J1118" s="3" t="str">
        <f>HYPERLINK("https://www.boe.es/gazeta/dias/1813/01/05/pdfs/GRE-1813-2.pdf#page=3","Abrir facsímil")</f>
        <v>Abrir facsímil</v>
      </c>
      <c r="K1118" s="3" t="s">
        <v>22</v>
      </c>
    </row>
    <row r="1119" spans="1:11" ht="42" customHeight="1">
      <c r="A1119" s="2" t="s">
        <v>2708</v>
      </c>
      <c r="B1119" s="2" t="s">
        <v>2708</v>
      </c>
      <c r="C1119" s="2" t="s">
        <v>16</v>
      </c>
      <c r="D1119" s="2" t="s">
        <v>17</v>
      </c>
      <c r="E1119" s="5">
        <v>-31743</v>
      </c>
      <c r="F1119" s="3" t="s">
        <v>2711</v>
      </c>
      <c r="G1119" s="3" t="s">
        <v>58</v>
      </c>
      <c r="H1119" s="2" t="s">
        <v>20</v>
      </c>
      <c r="I1119" s="2" t="s">
        <v>2712</v>
      </c>
      <c r="J1119" s="3" t="str">
        <f>HYPERLINK("https://www.boe.es/gazeta/dias/1813/02/01/pdfs/GMD-1813-32.pdf#page=2","Abrir facsímil")</f>
        <v>Abrir facsímil</v>
      </c>
      <c r="K1119" s="3" t="s">
        <v>22</v>
      </c>
    </row>
    <row r="1120" spans="1:11" ht="42" customHeight="1">
      <c r="A1120" s="2" t="s">
        <v>2708</v>
      </c>
      <c r="B1120" s="2" t="s">
        <v>2708</v>
      </c>
      <c r="C1120" s="2" t="s">
        <v>16</v>
      </c>
      <c r="D1120" s="2" t="s">
        <v>17</v>
      </c>
      <c r="E1120" s="5">
        <v>-31542</v>
      </c>
      <c r="F1120" s="3" t="s">
        <v>347</v>
      </c>
      <c r="G1120" s="3" t="s">
        <v>95</v>
      </c>
      <c r="H1120" s="2" t="s">
        <v>20</v>
      </c>
      <c r="I1120" s="2" t="s">
        <v>2713</v>
      </c>
      <c r="J1120" s="3" t="str">
        <f>HYPERLINK("https://www.boe.es/gazeta/dias/1813/08/21/pdfs/GMR-1813-31.pdf#page=6","Abrir facsímil")</f>
        <v>Abrir facsímil</v>
      </c>
      <c r="K1120" s="3" t="s">
        <v>22</v>
      </c>
    </row>
    <row r="1121" spans="1:11" ht="42" customHeight="1">
      <c r="A1121" s="2" t="s">
        <v>2714</v>
      </c>
      <c r="B1121" s="2" t="s">
        <v>2715</v>
      </c>
      <c r="C1121" s="2" t="s">
        <v>16</v>
      </c>
      <c r="D1121" s="2" t="s">
        <v>17</v>
      </c>
      <c r="E1121" s="5">
        <v>-31719</v>
      </c>
      <c r="F1121" s="3" t="s">
        <v>251</v>
      </c>
      <c r="G1121" s="3" t="s">
        <v>19</v>
      </c>
      <c r="H1121" s="2" t="s">
        <v>20</v>
      </c>
      <c r="I1121" s="2" t="s">
        <v>2716</v>
      </c>
      <c r="J1121" s="3" t="str">
        <f>HYPERLINK("https://www.boe.es/gazeta/dias/1813/02/25/pdfs/GMD-1813-56.pdf#page=4","Abrir facsímil")</f>
        <v>Abrir facsímil</v>
      </c>
      <c r="K1121" s="3" t="s">
        <v>22</v>
      </c>
    </row>
    <row r="1122" spans="1:11" ht="42" customHeight="1">
      <c r="A1122" s="2" t="s">
        <v>2717</v>
      </c>
      <c r="B1122" s="2" t="s">
        <v>2717</v>
      </c>
      <c r="C1122" s="2" t="s">
        <v>16</v>
      </c>
      <c r="D1122" s="2" t="s">
        <v>17</v>
      </c>
      <c r="E1122" s="5">
        <v>-31742</v>
      </c>
      <c r="F1122" s="3" t="s">
        <v>2667</v>
      </c>
      <c r="G1122" s="3" t="s">
        <v>2668</v>
      </c>
      <c r="H1122" s="2" t="s">
        <v>20</v>
      </c>
      <c r="I1122" s="2" t="s">
        <v>2718</v>
      </c>
      <c r="J1122" s="3" t="str">
        <f>HYPERLINK("https://www.boe.es/gazeta/dias/1813/02/02/pdfs/GRE-1813-14.pdf#page=4","Abrir facsímil")</f>
        <v>Abrir facsímil</v>
      </c>
      <c r="K1122" s="3" t="s">
        <v>22</v>
      </c>
    </row>
    <row r="1123" spans="1:11" ht="42" customHeight="1">
      <c r="A1123" s="2" t="s">
        <v>2717</v>
      </c>
      <c r="B1123" s="2" t="s">
        <v>2717</v>
      </c>
      <c r="C1123" s="2" t="s">
        <v>16</v>
      </c>
      <c r="D1123" s="2" t="s">
        <v>17</v>
      </c>
      <c r="E1123" s="5">
        <v>-31570</v>
      </c>
      <c r="F1123" s="3" t="s">
        <v>1803</v>
      </c>
      <c r="G1123" s="3" t="s">
        <v>58</v>
      </c>
      <c r="H1123" s="2" t="s">
        <v>20</v>
      </c>
      <c r="I1123" s="2" t="s">
        <v>2719</v>
      </c>
      <c r="J1123" s="3" t="str">
        <f>HYPERLINK("https://www.boe.es/gazeta/dias/1813/07/24/pdfs/GRE-1813-94.pdf#page=2","Abrir facsímil")</f>
        <v>Abrir facsímil</v>
      </c>
      <c r="K1123" s="3" t="s">
        <v>22</v>
      </c>
    </row>
    <row r="1124" spans="1:11" ht="42" customHeight="1">
      <c r="A1124" s="2" t="s">
        <v>2720</v>
      </c>
      <c r="B1124" s="2" t="s">
        <v>2720</v>
      </c>
      <c r="C1124" s="2" t="s">
        <v>16</v>
      </c>
      <c r="D1124" s="2" t="s">
        <v>17</v>
      </c>
      <c r="E1124" s="5">
        <v>-31516</v>
      </c>
      <c r="F1124" s="3" t="s">
        <v>1685</v>
      </c>
      <c r="G1124" s="3" t="s">
        <v>19</v>
      </c>
      <c r="H1124" s="2" t="s">
        <v>20</v>
      </c>
      <c r="I1124" s="2" t="s">
        <v>2721</v>
      </c>
      <c r="J1124" s="3" t="str">
        <f>HYPERLINK("https://www.boe.es/gazeta/dias/1813/09/16/pdfs/GRE-1813-120.pdf#page=4","Abrir facsímil")</f>
        <v>Abrir facsímil</v>
      </c>
      <c r="K1124" s="3" t="s">
        <v>22</v>
      </c>
    </row>
    <row r="1125" spans="1:11" ht="42" customHeight="1">
      <c r="A1125" s="2" t="s">
        <v>2722</v>
      </c>
      <c r="B1125" s="2" t="s">
        <v>2722</v>
      </c>
      <c r="C1125" s="2" t="s">
        <v>16</v>
      </c>
      <c r="D1125" s="2" t="s">
        <v>17</v>
      </c>
      <c r="E1125" s="5">
        <v>-31687</v>
      </c>
      <c r="F1125" s="3" t="s">
        <v>2723</v>
      </c>
      <c r="G1125" s="3" t="s">
        <v>54</v>
      </c>
      <c r="H1125" s="2" t="s">
        <v>20</v>
      </c>
      <c r="I1125" s="2" t="s">
        <v>2724</v>
      </c>
      <c r="J1125" s="3" t="str">
        <f>HYPERLINK("https://www.boe.es/gazeta/dias/1813/03/29/pdfs/GMD-1813-88.pdf#page=3","Abrir facsímil")</f>
        <v>Abrir facsímil</v>
      </c>
      <c r="K1125" s="3" t="s">
        <v>22</v>
      </c>
    </row>
    <row r="1126" spans="1:11" ht="42" customHeight="1">
      <c r="A1126" s="2" t="s">
        <v>2725</v>
      </c>
      <c r="B1126" s="2" t="s">
        <v>2726</v>
      </c>
      <c r="C1126" s="2" t="s">
        <v>16</v>
      </c>
      <c r="D1126" s="2" t="s">
        <v>17</v>
      </c>
      <c r="E1126" s="5">
        <v>-31709</v>
      </c>
      <c r="F1126" s="3" t="s">
        <v>36</v>
      </c>
      <c r="G1126" s="3" t="s">
        <v>19</v>
      </c>
      <c r="H1126" s="2" t="s">
        <v>20</v>
      </c>
      <c r="I1126" s="2" t="s">
        <v>2727</v>
      </c>
      <c r="J1126" s="3" t="str">
        <f>HYPERLINK("https://www.boe.es/gazeta/dias/1813/03/07/pdfs/GMD-1813-66.pdf#page=4","Abrir facsímil")</f>
        <v>Abrir facsímil</v>
      </c>
      <c r="K1126" s="3" t="s">
        <v>22</v>
      </c>
    </row>
    <row r="1127" spans="1:11" ht="42" customHeight="1">
      <c r="A1127" s="2" t="s">
        <v>2728</v>
      </c>
      <c r="B1127" s="2" t="s">
        <v>2729</v>
      </c>
      <c r="C1127" s="2" t="s">
        <v>25</v>
      </c>
      <c r="D1127" s="2" t="s">
        <v>26</v>
      </c>
      <c r="E1127" s="5">
        <v>-31752</v>
      </c>
      <c r="F1127" s="3" t="s">
        <v>182</v>
      </c>
      <c r="G1127" s="3" t="s">
        <v>183</v>
      </c>
      <c r="H1127" s="2" t="s">
        <v>20</v>
      </c>
      <c r="I1127" s="2" t="s">
        <v>2730</v>
      </c>
      <c r="J1127" s="3" t="str">
        <f>HYPERLINK("https://www.boe.es/gazeta/dias/1813/01/23/pdfs/GRE-1813-10.pdf#page=8","Abrir facsímil")</f>
        <v>Abrir facsímil</v>
      </c>
      <c r="K1127" s="3" t="s">
        <v>22</v>
      </c>
    </row>
    <row r="1128" spans="1:11" ht="42" customHeight="1">
      <c r="A1128" s="2" t="s">
        <v>2731</v>
      </c>
      <c r="B1128" s="2" t="s">
        <v>2731</v>
      </c>
      <c r="C1128" s="2" t="s">
        <v>16</v>
      </c>
      <c r="D1128" s="2" t="s">
        <v>17</v>
      </c>
      <c r="E1128" s="5">
        <v>-31462</v>
      </c>
      <c r="F1128" s="3" t="s">
        <v>542</v>
      </c>
      <c r="G1128" s="3" t="s">
        <v>95</v>
      </c>
      <c r="H1128" s="2" t="s">
        <v>20</v>
      </c>
      <c r="I1128" s="2" t="s">
        <v>2732</v>
      </c>
      <c r="J1128" s="3" t="str">
        <f>HYPERLINK("https://www.boe.es/gazeta/dias/1813/11/09/pdfs/GRE-1813-146.pdf#page=6","Abrir facsímil")</f>
        <v>Abrir facsímil</v>
      </c>
      <c r="K1128" s="3" t="s">
        <v>22</v>
      </c>
    </row>
    <row r="1129" spans="1:11" ht="42" customHeight="1">
      <c r="A1129" s="2" t="s">
        <v>2733</v>
      </c>
      <c r="B1129" s="2" t="s">
        <v>2733</v>
      </c>
      <c r="C1129" s="2" t="s">
        <v>16</v>
      </c>
      <c r="D1129" s="2" t="s">
        <v>17</v>
      </c>
      <c r="E1129" s="5">
        <v>-31448</v>
      </c>
      <c r="F1129" s="3" t="s">
        <v>57</v>
      </c>
      <c r="G1129" s="3" t="s">
        <v>106</v>
      </c>
      <c r="H1129" s="2" t="s">
        <v>20</v>
      </c>
      <c r="I1129" s="2" t="s">
        <v>2734</v>
      </c>
      <c r="J1129" s="3" t="str">
        <f>HYPERLINK("https://www.boe.es/gazeta/dias/1813/11/23/pdfs/GRE-1813-153.pdf#page=1","Abrir facsímil")</f>
        <v>Abrir facsímil</v>
      </c>
      <c r="K1129" s="3" t="s">
        <v>22</v>
      </c>
    </row>
    <row r="1130" spans="1:11" ht="42" customHeight="1">
      <c r="A1130" s="2" t="s">
        <v>2733</v>
      </c>
      <c r="B1130" s="2" t="s">
        <v>2733</v>
      </c>
      <c r="C1130" s="2" t="s">
        <v>34</v>
      </c>
      <c r="D1130" s="2" t="s">
        <v>35</v>
      </c>
      <c r="E1130" s="5">
        <v>-31437</v>
      </c>
      <c r="F1130" s="3" t="s">
        <v>680</v>
      </c>
      <c r="G1130" s="3" t="s">
        <v>87</v>
      </c>
      <c r="H1130" s="2" t="s">
        <v>20</v>
      </c>
      <c r="I1130" s="2" t="s">
        <v>2735</v>
      </c>
      <c r="J1130" s="3" t="str">
        <f>HYPERLINK("https://www.boe.es/gazeta/dias/1813/12/04/pdfs/GMR-1813-83.pdf#page=7","Abrir facsímil")</f>
        <v>Abrir facsímil</v>
      </c>
      <c r="K1130" s="3" t="s">
        <v>22</v>
      </c>
    </row>
    <row r="1131" spans="1:11" ht="42" customHeight="1">
      <c r="A1131" s="2" t="s">
        <v>2736</v>
      </c>
      <c r="B1131" s="2" t="s">
        <v>2736</v>
      </c>
      <c r="C1131" s="2" t="s">
        <v>16</v>
      </c>
      <c r="D1131" s="2" t="s">
        <v>17</v>
      </c>
      <c r="E1131" s="5">
        <v>-31656</v>
      </c>
      <c r="F1131" s="3" t="s">
        <v>415</v>
      </c>
      <c r="G1131" s="3" t="s">
        <v>65</v>
      </c>
      <c r="H1131" s="2" t="s">
        <v>20</v>
      </c>
      <c r="I1131" s="2" t="s">
        <v>2737</v>
      </c>
      <c r="J1131" s="3" t="str">
        <f>HYPERLINK("https://www.boe.es/gazeta/dias/1813/04/29/pdfs/GMD-1813-119.pdf#page=1","Abrir facsímil")</f>
        <v>Abrir facsímil</v>
      </c>
      <c r="K1131" s="3" t="s">
        <v>22</v>
      </c>
    </row>
    <row r="1132" spans="1:11" ht="42" customHeight="1">
      <c r="A1132" s="2" t="s">
        <v>2738</v>
      </c>
      <c r="B1132" s="2" t="s">
        <v>2738</v>
      </c>
      <c r="C1132" s="2" t="s">
        <v>16</v>
      </c>
      <c r="D1132" s="2" t="s">
        <v>17</v>
      </c>
      <c r="E1132" s="5">
        <v>-31564</v>
      </c>
      <c r="F1132" s="3" t="s">
        <v>206</v>
      </c>
      <c r="G1132" s="3" t="s">
        <v>28</v>
      </c>
      <c r="H1132" s="2" t="s">
        <v>20</v>
      </c>
      <c r="I1132" s="2" t="s">
        <v>2739</v>
      </c>
      <c r="J1132" s="3" t="str">
        <f>HYPERLINK("https://www.boe.es/gazeta/dias/1813/07/30/pdfs/GMR-1813-22.pdf#page=8","Abrir facsímil")</f>
        <v>Abrir facsímil</v>
      </c>
      <c r="K1132" s="3" t="s">
        <v>22</v>
      </c>
    </row>
    <row r="1133" spans="1:11" ht="42" customHeight="1">
      <c r="A1133" s="2" t="s">
        <v>2740</v>
      </c>
      <c r="B1133" s="2" t="s">
        <v>2740</v>
      </c>
      <c r="C1133" s="2" t="s">
        <v>16</v>
      </c>
      <c r="D1133" s="2" t="s">
        <v>17</v>
      </c>
      <c r="E1133" s="5">
        <v>-31430</v>
      </c>
      <c r="F1133" s="3" t="s">
        <v>1731</v>
      </c>
      <c r="G1133" s="3" t="s">
        <v>54</v>
      </c>
      <c r="H1133" s="2" t="s">
        <v>20</v>
      </c>
      <c r="I1133" s="2" t="s">
        <v>2741</v>
      </c>
      <c r="J1133" s="3" t="str">
        <f>HYPERLINK("https://www.boe.es/gazeta/dias/1813/12/11/pdfs/GRE-1813-163.pdf#page=3","Abrir facsímil")</f>
        <v>Abrir facsímil</v>
      </c>
      <c r="K1133" s="3" t="s">
        <v>22</v>
      </c>
    </row>
    <row r="1134" spans="1:11" ht="42" customHeight="1">
      <c r="A1134" s="2" t="s">
        <v>2742</v>
      </c>
      <c r="B1134" s="2" t="s">
        <v>2742</v>
      </c>
      <c r="C1134" s="2" t="s">
        <v>435</v>
      </c>
      <c r="D1134" s="2" t="s">
        <v>26</v>
      </c>
      <c r="E1134" s="5">
        <v>-31626</v>
      </c>
      <c r="F1134" s="3" t="s">
        <v>64</v>
      </c>
      <c r="G1134" s="3" t="s">
        <v>65</v>
      </c>
      <c r="H1134" s="2" t="s">
        <v>20</v>
      </c>
      <c r="I1134" s="2" t="s">
        <v>2743</v>
      </c>
      <c r="J1134" s="3" t="str">
        <f>HYPERLINK("https://www.boe.es/gazeta/dias/1813/05/29/pdfs/GRE-1813-66.pdf#page=1","Abrir facsímil")</f>
        <v>Abrir facsímil</v>
      </c>
      <c r="K1134" s="3" t="s">
        <v>22</v>
      </c>
    </row>
    <row r="1135" spans="1:11" ht="42" customHeight="1">
      <c r="A1135" s="2" t="s">
        <v>2744</v>
      </c>
      <c r="B1135" s="2" t="s">
        <v>2744</v>
      </c>
      <c r="C1135" s="2" t="s">
        <v>16</v>
      </c>
      <c r="D1135" s="2" t="s">
        <v>17</v>
      </c>
      <c r="E1135" s="5">
        <v>-31559</v>
      </c>
      <c r="F1135" s="3" t="s">
        <v>1485</v>
      </c>
      <c r="G1135" s="3" t="s">
        <v>87</v>
      </c>
      <c r="H1135" s="2" t="s">
        <v>20</v>
      </c>
      <c r="I1135" s="2" t="s">
        <v>2745</v>
      </c>
      <c r="J1135" s="3" t="str">
        <f>HYPERLINK("https://www.boe.es/gazeta/dias/1813/08/04/pdfs/GRE-1813-113.pdf#page=7","Abrir facsímil")</f>
        <v>Abrir facsímil</v>
      </c>
      <c r="K1135" s="3" t="s">
        <v>22</v>
      </c>
    </row>
    <row r="1136" spans="1:11" ht="42" customHeight="1">
      <c r="A1136" s="2" t="s">
        <v>2744</v>
      </c>
      <c r="B1136" s="2" t="s">
        <v>2744</v>
      </c>
      <c r="C1136" s="2" t="s">
        <v>16</v>
      </c>
      <c r="D1136" s="2" t="s">
        <v>17</v>
      </c>
      <c r="E1136" s="5">
        <v>-31528</v>
      </c>
      <c r="F1136" s="3" t="s">
        <v>1485</v>
      </c>
      <c r="G1136" s="3" t="s">
        <v>87</v>
      </c>
      <c r="H1136" s="2" t="s">
        <v>20</v>
      </c>
      <c r="I1136" s="2" t="s">
        <v>2745</v>
      </c>
      <c r="J1136" s="3" t="str">
        <f>HYPERLINK("https://www.boe.es/gazeta/dias/1813/09/04/pdfs/GRE-1813-113.pdf#page=7","Abrir facsímil")</f>
        <v>Abrir facsímil</v>
      </c>
      <c r="K1136" s="3" t="s">
        <v>22</v>
      </c>
    </row>
    <row r="1137" spans="1:11" ht="42" customHeight="1">
      <c r="A1137" s="2" t="s">
        <v>2746</v>
      </c>
      <c r="B1137" s="2" t="s">
        <v>2746</v>
      </c>
      <c r="C1137" s="2" t="s">
        <v>16</v>
      </c>
      <c r="D1137" s="2" t="s">
        <v>17</v>
      </c>
      <c r="E1137" s="5">
        <v>-31619</v>
      </c>
      <c r="F1137" s="3" t="s">
        <v>1350</v>
      </c>
      <c r="G1137" s="3" t="s">
        <v>54</v>
      </c>
      <c r="H1137" s="2" t="s">
        <v>20</v>
      </c>
      <c r="I1137" s="2" t="s">
        <v>2747</v>
      </c>
      <c r="J1137" s="3" t="str">
        <f>HYPERLINK("https://www.boe.es/gazeta/dias/1813/06/05/pdfs/GMR-1813-2.pdf#page=3","Abrir facsímil")</f>
        <v>Abrir facsímil</v>
      </c>
      <c r="K1137" s="3" t="s">
        <v>22</v>
      </c>
    </row>
    <row r="1138" spans="1:11" ht="42" customHeight="1">
      <c r="A1138" s="2" t="s">
        <v>2748</v>
      </c>
      <c r="B1138" s="2" t="s">
        <v>2748</v>
      </c>
      <c r="C1138" s="2" t="s">
        <v>16</v>
      </c>
      <c r="D1138" s="2" t="s">
        <v>97</v>
      </c>
      <c r="E1138" s="5">
        <v>-31446</v>
      </c>
      <c r="F1138" s="3" t="s">
        <v>1877</v>
      </c>
      <c r="G1138" s="3" t="s">
        <v>19</v>
      </c>
      <c r="H1138" s="2" t="s">
        <v>20</v>
      </c>
      <c r="I1138" s="2" t="s">
        <v>2749</v>
      </c>
      <c r="J1138" s="3" t="str">
        <f>HYPERLINK("https://www.boe.es/gazeta/dias/1813/11/25/pdfs/GRE-1813-155E.pdf#page=4","Abrir facsímil")</f>
        <v>Abrir facsímil</v>
      </c>
      <c r="K1138" s="3" t="s">
        <v>22</v>
      </c>
    </row>
    <row r="1139" spans="1:11" ht="42" customHeight="1">
      <c r="A1139" s="2" t="s">
        <v>2750</v>
      </c>
      <c r="B1139" s="2" t="s">
        <v>2750</v>
      </c>
      <c r="C1139" s="2" t="s">
        <v>16</v>
      </c>
      <c r="D1139" s="2" t="s">
        <v>17</v>
      </c>
      <c r="E1139" s="5">
        <v>-31462</v>
      </c>
      <c r="F1139" s="3" t="s">
        <v>542</v>
      </c>
      <c r="G1139" s="3" t="s">
        <v>2156</v>
      </c>
      <c r="H1139" s="2" t="s">
        <v>20</v>
      </c>
      <c r="I1139" s="2" t="s">
        <v>2751</v>
      </c>
      <c r="J1139" s="3" t="str">
        <f>HYPERLINK("https://www.boe.es/gazeta/dias/1813/11/09/pdfs/GRE-1813-146.pdf#page=5","Abrir facsímil")</f>
        <v>Abrir facsímil</v>
      </c>
      <c r="K1139" s="3" t="s">
        <v>22</v>
      </c>
    </row>
    <row r="1140" spans="1:11" ht="42" customHeight="1">
      <c r="A1140" s="2" t="s">
        <v>2750</v>
      </c>
      <c r="B1140" s="2" t="s">
        <v>2750</v>
      </c>
      <c r="C1140" s="2" t="s">
        <v>16</v>
      </c>
      <c r="D1140" s="2" t="s">
        <v>17</v>
      </c>
      <c r="E1140" s="5">
        <v>-31448</v>
      </c>
      <c r="F1140" s="3" t="s">
        <v>57</v>
      </c>
      <c r="G1140" s="3" t="s">
        <v>58</v>
      </c>
      <c r="H1140" s="2" t="s">
        <v>20</v>
      </c>
      <c r="I1140" s="2" t="s">
        <v>2752</v>
      </c>
      <c r="J1140" s="3" t="str">
        <f>HYPERLINK("https://www.boe.es/gazeta/dias/1813/11/23/pdfs/GRE-1813-153.pdf#page=2","Abrir facsímil")</f>
        <v>Abrir facsímil</v>
      </c>
      <c r="K1140" s="3" t="s">
        <v>22</v>
      </c>
    </row>
    <row r="1141" spans="1:11" ht="42" customHeight="1">
      <c r="A1141" s="2" t="s">
        <v>2750</v>
      </c>
      <c r="B1141" s="2" t="s">
        <v>2750</v>
      </c>
      <c r="C1141" s="2" t="s">
        <v>16</v>
      </c>
      <c r="D1141" s="2" t="s">
        <v>17</v>
      </c>
      <c r="E1141" s="5">
        <v>-31441</v>
      </c>
      <c r="F1141" s="3" t="s">
        <v>1933</v>
      </c>
      <c r="G1141" s="3" t="s">
        <v>19</v>
      </c>
      <c r="H1141" s="2" t="s">
        <v>20</v>
      </c>
      <c r="I1141" s="2" t="s">
        <v>2753</v>
      </c>
      <c r="J1141" s="3" t="str">
        <f>HYPERLINK("https://www.boe.es/gazeta/dias/1813/11/30/pdfs/GMR-1813-81.pdf#page=4","Abrir facsímil")</f>
        <v>Abrir facsímil</v>
      </c>
      <c r="K1141" s="3" t="s">
        <v>22</v>
      </c>
    </row>
    <row r="1142" spans="1:11" ht="42" customHeight="1">
      <c r="A1142" s="2" t="s">
        <v>2750</v>
      </c>
      <c r="B1142" s="2" t="s">
        <v>2750</v>
      </c>
      <c r="C1142" s="2" t="s">
        <v>16</v>
      </c>
      <c r="D1142" s="2" t="s">
        <v>17</v>
      </c>
      <c r="E1142" s="5">
        <v>-31427</v>
      </c>
      <c r="F1142" s="3" t="s">
        <v>489</v>
      </c>
      <c r="G1142" s="3" t="s">
        <v>54</v>
      </c>
      <c r="H1142" s="2" t="s">
        <v>20</v>
      </c>
      <c r="I1142" s="2" t="s">
        <v>2754</v>
      </c>
      <c r="J1142" s="3" t="str">
        <f>HYPERLINK("https://www.boe.es/gazeta/dias/1813/12/14/pdfs/GMR-1813-87.pdf#page=3","Abrir facsímil")</f>
        <v>Abrir facsímil</v>
      </c>
      <c r="K1142" s="3" t="s">
        <v>22</v>
      </c>
    </row>
    <row r="1143" spans="1:11" ht="42" customHeight="1">
      <c r="A1143" s="2" t="s">
        <v>2755</v>
      </c>
      <c r="B1143" s="2" t="s">
        <v>2755</v>
      </c>
      <c r="C1143" s="2" t="s">
        <v>16</v>
      </c>
      <c r="D1143" s="2" t="s">
        <v>17</v>
      </c>
      <c r="E1143" s="5">
        <v>-31694</v>
      </c>
      <c r="F1143" s="3" t="s">
        <v>2756</v>
      </c>
      <c r="G1143" s="3" t="s">
        <v>58</v>
      </c>
      <c r="H1143" s="2" t="s">
        <v>20</v>
      </c>
      <c r="I1143" s="2" t="s">
        <v>2757</v>
      </c>
      <c r="J1143" s="3" t="str">
        <f>HYPERLINK("https://www.boe.es/gazeta/dias/1813/03/22/pdfs/GMD-1813-81.pdf#page=2","Abrir facsímil")</f>
        <v>Abrir facsímil</v>
      </c>
      <c r="K1143" s="3" t="s">
        <v>22</v>
      </c>
    </row>
    <row r="1144" spans="1:11" ht="42" customHeight="1">
      <c r="A1144" s="2" t="s">
        <v>2758</v>
      </c>
      <c r="B1144" s="2" t="s">
        <v>2758</v>
      </c>
      <c r="C1144" s="2" t="s">
        <v>16</v>
      </c>
      <c r="D1144" s="2" t="s">
        <v>17</v>
      </c>
      <c r="E1144" s="5">
        <v>-31560</v>
      </c>
      <c r="F1144" s="3" t="s">
        <v>590</v>
      </c>
      <c r="G1144" s="3" t="s">
        <v>19</v>
      </c>
      <c r="H1144" s="2" t="s">
        <v>20</v>
      </c>
      <c r="I1144" s="2" t="s">
        <v>2759</v>
      </c>
      <c r="J1144" s="3" t="str">
        <f>HYPERLINK("https://www.boe.es/gazeta/dias/1813/08/03/pdfs/GRE-1813-98.pdf#page=4","Abrir facsímil")</f>
        <v>Abrir facsímil</v>
      </c>
      <c r="K1144" s="3" t="s">
        <v>22</v>
      </c>
    </row>
    <row r="1145" spans="1:11" ht="42" customHeight="1">
      <c r="A1145" s="2" t="s">
        <v>2760</v>
      </c>
      <c r="B1145" s="2" t="s">
        <v>2760</v>
      </c>
      <c r="C1145" s="2" t="s">
        <v>25</v>
      </c>
      <c r="D1145" s="2" t="s">
        <v>26</v>
      </c>
      <c r="E1145" s="5">
        <v>-31697</v>
      </c>
      <c r="F1145" s="3" t="s">
        <v>2761</v>
      </c>
      <c r="G1145" s="3" t="s">
        <v>58</v>
      </c>
      <c r="H1145" s="2" t="s">
        <v>20</v>
      </c>
      <c r="I1145" s="2" t="s">
        <v>2762</v>
      </c>
      <c r="J1145" s="3" t="str">
        <f>HYPERLINK("https://www.boe.es/gazeta/dias/1813/03/19/pdfs/GMD-1813-78.pdf#page=2","Abrir facsímil")</f>
        <v>Abrir facsímil</v>
      </c>
      <c r="K1145" s="3" t="s">
        <v>22</v>
      </c>
    </row>
    <row r="1146" spans="1:11" ht="42" customHeight="1">
      <c r="A1146" s="2" t="s">
        <v>2763</v>
      </c>
      <c r="B1146" s="2" t="s">
        <v>2763</v>
      </c>
      <c r="C1146" s="2" t="s">
        <v>16</v>
      </c>
      <c r="D1146" s="2" t="s">
        <v>17</v>
      </c>
      <c r="E1146" s="5">
        <v>-31673</v>
      </c>
      <c r="F1146" s="3" t="s">
        <v>2764</v>
      </c>
      <c r="G1146" s="3" t="s">
        <v>2765</v>
      </c>
      <c r="H1146" s="2" t="s">
        <v>20</v>
      </c>
      <c r="I1146" s="2" t="s">
        <v>2766</v>
      </c>
      <c r="J1146" s="3" t="str">
        <f>HYPERLINK("https://www.boe.es/gazeta/dias/1813/04/12/pdfs/GMD-1813-102.pdf#page=1","Abrir facsímil")</f>
        <v>Abrir facsímil</v>
      </c>
      <c r="K1146" s="3" t="s">
        <v>22</v>
      </c>
    </row>
    <row r="1147" spans="1:11" ht="42" customHeight="1">
      <c r="A1147" s="2" t="s">
        <v>2767</v>
      </c>
      <c r="B1147" s="2" t="s">
        <v>2767</v>
      </c>
      <c r="C1147" s="2" t="s">
        <v>34</v>
      </c>
      <c r="D1147" s="2" t="s">
        <v>35</v>
      </c>
      <c r="E1147" s="5">
        <v>-31697</v>
      </c>
      <c r="F1147" s="3" t="s">
        <v>2761</v>
      </c>
      <c r="G1147" s="3" t="s">
        <v>65</v>
      </c>
      <c r="H1147" s="2" t="s">
        <v>20</v>
      </c>
      <c r="I1147" s="2" t="s">
        <v>2768</v>
      </c>
      <c r="J1147" s="3" t="str">
        <f>HYPERLINK("https://www.boe.es/gazeta/dias/1813/03/19/pdfs/GMD-1813-78.pdf#page=1","Abrir facsímil")</f>
        <v>Abrir facsímil</v>
      </c>
      <c r="K1147" s="3" t="s">
        <v>22</v>
      </c>
    </row>
    <row r="1148" spans="1:11" ht="42" customHeight="1">
      <c r="A1148" s="2" t="s">
        <v>2767</v>
      </c>
      <c r="B1148" s="2" t="s">
        <v>2767</v>
      </c>
      <c r="C1148" s="2" t="s">
        <v>34</v>
      </c>
      <c r="D1148" s="2" t="s">
        <v>35</v>
      </c>
      <c r="E1148" s="5">
        <v>-31697</v>
      </c>
      <c r="F1148" s="3" t="s">
        <v>2761</v>
      </c>
      <c r="G1148" s="3" t="s">
        <v>58</v>
      </c>
      <c r="H1148" s="2" t="s">
        <v>20</v>
      </c>
      <c r="I1148" s="2" t="s">
        <v>2769</v>
      </c>
      <c r="J1148" s="3" t="str">
        <f>HYPERLINK("https://www.boe.es/gazeta/dias/1813/03/19/pdfs/GMD-1813-78.pdf#page=2","Abrir facsímil")</f>
        <v>Abrir facsímil</v>
      </c>
      <c r="K1148" s="3" t="s">
        <v>22</v>
      </c>
    </row>
    <row r="1149" spans="1:11" ht="42" customHeight="1">
      <c r="A1149" s="2" t="s">
        <v>2767</v>
      </c>
      <c r="B1149" s="2" t="s">
        <v>2767</v>
      </c>
      <c r="C1149" s="2" t="s">
        <v>34</v>
      </c>
      <c r="D1149" s="2" t="s">
        <v>35</v>
      </c>
      <c r="E1149" s="5">
        <v>-31695</v>
      </c>
      <c r="F1149" s="3" t="s">
        <v>2770</v>
      </c>
      <c r="G1149" s="3" t="s">
        <v>58</v>
      </c>
      <c r="H1149" s="2" t="s">
        <v>20</v>
      </c>
      <c r="I1149" s="2" t="s">
        <v>2771</v>
      </c>
      <c r="J1149" s="3" t="str">
        <f>HYPERLINK("https://www.boe.es/gazeta/dias/1813/03/21/pdfs/GMD-1813-80.pdf#page=2","Abrir facsímil")</f>
        <v>Abrir facsímil</v>
      </c>
      <c r="K1149" s="3" t="s">
        <v>22</v>
      </c>
    </row>
    <row r="1150" spans="1:11" ht="42" customHeight="1">
      <c r="A1150" s="2" t="s">
        <v>2767</v>
      </c>
      <c r="B1150" s="2" t="s">
        <v>2767</v>
      </c>
      <c r="C1150" s="2" t="s">
        <v>16</v>
      </c>
      <c r="D1150" s="2" t="s">
        <v>17</v>
      </c>
      <c r="E1150" s="5">
        <v>-31694</v>
      </c>
      <c r="F1150" s="3" t="s">
        <v>2756</v>
      </c>
      <c r="G1150" s="3" t="s">
        <v>58</v>
      </c>
      <c r="H1150" s="2" t="s">
        <v>20</v>
      </c>
      <c r="I1150" s="2" t="s">
        <v>2772</v>
      </c>
      <c r="J1150" s="3" t="str">
        <f>HYPERLINK("https://www.boe.es/gazeta/dias/1813/03/22/pdfs/GMD-1813-81.pdf#page=2","Abrir facsímil")</f>
        <v>Abrir facsímil</v>
      </c>
      <c r="K1150" s="3" t="s">
        <v>22</v>
      </c>
    </row>
    <row r="1151" spans="1:11" ht="42" customHeight="1">
      <c r="A1151" s="2" t="s">
        <v>2767</v>
      </c>
      <c r="B1151" s="2" t="s">
        <v>2767</v>
      </c>
      <c r="C1151" s="2" t="s">
        <v>435</v>
      </c>
      <c r="D1151" s="2" t="s">
        <v>26</v>
      </c>
      <c r="E1151" s="5">
        <v>-31674</v>
      </c>
      <c r="F1151" s="3" t="s">
        <v>2773</v>
      </c>
      <c r="G1151" s="3" t="s">
        <v>58</v>
      </c>
      <c r="H1151" s="2" t="s">
        <v>20</v>
      </c>
      <c r="I1151" s="2" t="s">
        <v>2774</v>
      </c>
      <c r="J1151" s="3" t="str">
        <f>HYPERLINK("https://www.boe.es/gazeta/dias/1813/04/11/pdfs/GMD-1813-101.pdf#page=2","Abrir facsímil")</f>
        <v>Abrir facsímil</v>
      </c>
      <c r="K1151" s="3" t="s">
        <v>22</v>
      </c>
    </row>
    <row r="1152" spans="1:11" ht="42" customHeight="1">
      <c r="A1152" s="2" t="s">
        <v>2775</v>
      </c>
      <c r="B1152" s="2" t="s">
        <v>2775</v>
      </c>
      <c r="C1152" s="2" t="s">
        <v>34</v>
      </c>
      <c r="D1152" s="2" t="s">
        <v>35</v>
      </c>
      <c r="E1152" s="5">
        <v>-31697</v>
      </c>
      <c r="F1152" s="3" t="s">
        <v>2761</v>
      </c>
      <c r="G1152" s="3" t="s">
        <v>58</v>
      </c>
      <c r="H1152" s="2" t="s">
        <v>20</v>
      </c>
      <c r="I1152" s="2" t="s">
        <v>2776</v>
      </c>
      <c r="J1152" s="3" t="str">
        <f>HYPERLINK("https://www.boe.es/gazeta/dias/1813/03/19/pdfs/GMD-1813-78.pdf#page=2","Abrir facsímil")</f>
        <v>Abrir facsímil</v>
      </c>
      <c r="K1152" s="3" t="s">
        <v>22</v>
      </c>
    </row>
    <row r="1153" spans="1:11" ht="42" customHeight="1">
      <c r="A1153" s="2" t="s">
        <v>2777</v>
      </c>
      <c r="B1153" s="2" t="s">
        <v>2778</v>
      </c>
      <c r="C1153" s="2" t="s">
        <v>25</v>
      </c>
      <c r="D1153" s="2" t="s">
        <v>26</v>
      </c>
      <c r="E1153" s="5">
        <v>-31745</v>
      </c>
      <c r="F1153" s="3" t="s">
        <v>445</v>
      </c>
      <c r="G1153" s="3" t="s">
        <v>475</v>
      </c>
      <c r="H1153" s="2" t="s">
        <v>20</v>
      </c>
      <c r="I1153" s="2" t="s">
        <v>2779</v>
      </c>
      <c r="J1153" s="3" t="str">
        <f>HYPERLINK("https://www.boe.es/gazeta/dias/1813/01/30/pdfs/GRE-1813-13.pdf#page=7","Abrir facsímil")</f>
        <v>Abrir facsímil</v>
      </c>
      <c r="K1153" s="3" t="s">
        <v>22</v>
      </c>
    </row>
    <row r="1154" spans="1:11" ht="42" customHeight="1">
      <c r="A1154" s="2" t="s">
        <v>2780</v>
      </c>
      <c r="B1154" s="2" t="s">
        <v>2780</v>
      </c>
      <c r="C1154" s="2" t="s">
        <v>16</v>
      </c>
      <c r="D1154" s="2" t="s">
        <v>17</v>
      </c>
      <c r="E1154" s="5">
        <v>-31770</v>
      </c>
      <c r="F1154" s="3" t="s">
        <v>1738</v>
      </c>
      <c r="G1154" s="3" t="s">
        <v>2709</v>
      </c>
      <c r="H1154" s="2" t="s">
        <v>20</v>
      </c>
      <c r="I1154" s="2" t="s">
        <v>2781</v>
      </c>
      <c r="J1154" s="3" t="str">
        <f>HYPERLINK("https://www.boe.es/gazeta/dias/1813/01/05/pdfs/GRE-1813-2.pdf#page=3","Abrir facsímil")</f>
        <v>Abrir facsímil</v>
      </c>
      <c r="K1154" s="3" t="s">
        <v>22</v>
      </c>
    </row>
    <row r="1155" spans="1:11" ht="42" customHeight="1">
      <c r="A1155" s="2" t="s">
        <v>2782</v>
      </c>
      <c r="B1155" s="2" t="s">
        <v>2782</v>
      </c>
      <c r="C1155" s="2" t="s">
        <v>435</v>
      </c>
      <c r="D1155" s="2" t="s">
        <v>26</v>
      </c>
      <c r="E1155" s="5">
        <v>-31591</v>
      </c>
      <c r="F1155" s="3" t="s">
        <v>2123</v>
      </c>
      <c r="G1155" s="3" t="s">
        <v>54</v>
      </c>
      <c r="H1155" s="2" t="s">
        <v>20</v>
      </c>
      <c r="I1155" s="2" t="s">
        <v>2783</v>
      </c>
      <c r="J1155" s="3" t="str">
        <f>HYPERLINK("https://www.boe.es/gazeta/dias/1813/07/03/pdfs/GRE-1813-83.pdf#page=3","Abrir facsímil")</f>
        <v>Abrir facsímil</v>
      </c>
      <c r="K1155" s="3" t="s">
        <v>22</v>
      </c>
    </row>
    <row r="1156" spans="1:11" ht="42" customHeight="1">
      <c r="A1156" s="2" t="s">
        <v>2782</v>
      </c>
      <c r="B1156" s="2" t="s">
        <v>2782</v>
      </c>
      <c r="C1156" s="2" t="s">
        <v>16</v>
      </c>
      <c r="D1156" s="2" t="s">
        <v>17</v>
      </c>
      <c r="E1156" s="5">
        <v>-31572</v>
      </c>
      <c r="F1156" s="3" t="s">
        <v>317</v>
      </c>
      <c r="G1156" s="3" t="s">
        <v>54</v>
      </c>
      <c r="H1156" s="2" t="s">
        <v>20</v>
      </c>
      <c r="I1156" s="2" t="s">
        <v>2784</v>
      </c>
      <c r="J1156" s="3" t="str">
        <f>HYPERLINK("https://www.boe.es/gazeta/dias/1813/07/22/pdfs/GRE-1813-93.pdf#page=3","Abrir facsímil")</f>
        <v>Abrir facsímil</v>
      </c>
      <c r="K1156" s="3" t="s">
        <v>22</v>
      </c>
    </row>
    <row r="1157" spans="1:11" ht="42" customHeight="1">
      <c r="A1157" s="2" t="s">
        <v>2782</v>
      </c>
      <c r="B1157" s="2" t="s">
        <v>2782</v>
      </c>
      <c r="C1157" s="2" t="s">
        <v>16</v>
      </c>
      <c r="D1157" s="2" t="s">
        <v>17</v>
      </c>
      <c r="E1157" s="5">
        <v>-31514</v>
      </c>
      <c r="F1157" s="3" t="s">
        <v>1095</v>
      </c>
      <c r="G1157" s="3" t="s">
        <v>54</v>
      </c>
      <c r="H1157" s="2" t="s">
        <v>20</v>
      </c>
      <c r="I1157" s="2" t="s">
        <v>2785</v>
      </c>
      <c r="J1157" s="3" t="str">
        <f>HYPERLINK("https://www.boe.es/gazeta/dias/1813/09/18/pdfs/GRE-1813-121.pdf#page=3","Abrir facsímil")</f>
        <v>Abrir facsímil</v>
      </c>
      <c r="K1157" s="3" t="s">
        <v>22</v>
      </c>
    </row>
    <row r="1158" spans="1:11" ht="42" customHeight="1">
      <c r="A1158" s="2" t="s">
        <v>2782</v>
      </c>
      <c r="B1158" s="2" t="s">
        <v>2782</v>
      </c>
      <c r="C1158" s="2" t="s">
        <v>16</v>
      </c>
      <c r="D1158" s="2" t="s">
        <v>17</v>
      </c>
      <c r="E1158" s="5">
        <v>-31453</v>
      </c>
      <c r="F1158" s="3" t="s">
        <v>695</v>
      </c>
      <c r="G1158" s="3" t="s">
        <v>54</v>
      </c>
      <c r="H1158" s="2" t="s">
        <v>20</v>
      </c>
      <c r="I1158" s="2" t="s">
        <v>2786</v>
      </c>
      <c r="J1158" s="3" t="str">
        <f>HYPERLINK("https://www.boe.es/gazeta/dias/1813/11/18/pdfs/GRE-1813-151.pdf#page=3","Abrir facsímil")</f>
        <v>Abrir facsímil</v>
      </c>
      <c r="K1158" s="3" t="s">
        <v>22</v>
      </c>
    </row>
    <row r="1159" spans="1:11" ht="42" customHeight="1">
      <c r="A1159" s="2" t="s">
        <v>2782</v>
      </c>
      <c r="B1159" s="2" t="s">
        <v>2782</v>
      </c>
      <c r="C1159" s="2" t="s">
        <v>16</v>
      </c>
      <c r="D1159" s="2" t="s">
        <v>97</v>
      </c>
      <c r="E1159" s="5">
        <v>-31446</v>
      </c>
      <c r="F1159" s="3" t="s">
        <v>1877</v>
      </c>
      <c r="G1159" s="3" t="s">
        <v>58</v>
      </c>
      <c r="H1159" s="2" t="s">
        <v>20</v>
      </c>
      <c r="I1159" s="2" t="s">
        <v>2787</v>
      </c>
      <c r="J1159" s="3" t="str">
        <f>HYPERLINK("https://www.boe.es/gazeta/dias/1813/11/25/pdfs/GRE-1813-155E.pdf#page=2","Abrir facsímil")</f>
        <v>Abrir facsímil</v>
      </c>
      <c r="K1159" s="3" t="s">
        <v>22</v>
      </c>
    </row>
    <row r="1160" spans="1:11" ht="42" customHeight="1">
      <c r="A1160" s="2" t="s">
        <v>2788</v>
      </c>
      <c r="B1160" s="2" t="s">
        <v>2789</v>
      </c>
      <c r="C1160" s="2" t="s">
        <v>25</v>
      </c>
      <c r="D1160" s="2" t="s">
        <v>26</v>
      </c>
      <c r="E1160" s="5">
        <v>-31684</v>
      </c>
      <c r="F1160" s="3" t="s">
        <v>427</v>
      </c>
      <c r="G1160" s="3" t="s">
        <v>1123</v>
      </c>
      <c r="H1160" s="2" t="s">
        <v>20</v>
      </c>
      <c r="I1160" s="2" t="s">
        <v>2790</v>
      </c>
      <c r="J1160" s="3" t="str">
        <f>HYPERLINK("https://www.boe.es/gazeta/dias/1813/04/01/pdfs/GRE-1813-40.pdf#page=8","Abrir facsímil")</f>
        <v>Abrir facsímil</v>
      </c>
      <c r="K1160" s="3" t="s">
        <v>22</v>
      </c>
    </row>
    <row r="1161" spans="1:11" ht="42" customHeight="1">
      <c r="A1161" s="2" t="s">
        <v>2791</v>
      </c>
      <c r="B1161" s="2" t="s">
        <v>2791</v>
      </c>
      <c r="C1161" s="2" t="s">
        <v>16</v>
      </c>
      <c r="D1161" s="2" t="s">
        <v>17</v>
      </c>
      <c r="E1161" s="5">
        <v>-31631</v>
      </c>
      <c r="F1161" s="3" t="s">
        <v>2792</v>
      </c>
      <c r="G1161" s="3" t="s">
        <v>58</v>
      </c>
      <c r="H1161" s="2" t="s">
        <v>20</v>
      </c>
      <c r="I1161" s="2" t="s">
        <v>2793</v>
      </c>
      <c r="J1161" s="3" t="str">
        <f>HYPERLINK("https://www.boe.es/gazeta/dias/1813/05/24/pdfs/GMD-1813-144.pdf#page=2","Abrir facsímil")</f>
        <v>Abrir facsímil</v>
      </c>
      <c r="K1161" s="3" t="s">
        <v>22</v>
      </c>
    </row>
    <row r="1162" spans="1:11" ht="42" customHeight="1">
      <c r="A1162" s="2" t="s">
        <v>2794</v>
      </c>
      <c r="B1162" s="2" t="s">
        <v>2795</v>
      </c>
      <c r="C1162" s="2" t="s">
        <v>25</v>
      </c>
      <c r="D1162" s="2" t="s">
        <v>26</v>
      </c>
      <c r="E1162" s="5">
        <v>-31677</v>
      </c>
      <c r="F1162" s="3" t="s">
        <v>76</v>
      </c>
      <c r="G1162" s="3" t="s">
        <v>28</v>
      </c>
      <c r="H1162" s="2" t="s">
        <v>29</v>
      </c>
      <c r="I1162" s="2" t="s">
        <v>2796</v>
      </c>
      <c r="J1162" s="3" t="str">
        <f>HYPERLINK("https://www.boe.es/gazeta/dias/1813/04/08/pdfs/GRE-1813-43.pdf#page=8","Abrir facsímil")</f>
        <v>Abrir facsímil</v>
      </c>
      <c r="K1162" s="3" t="s">
        <v>31</v>
      </c>
    </row>
    <row r="1163" spans="1:11" ht="42" customHeight="1">
      <c r="A1163" s="2" t="s">
        <v>2797</v>
      </c>
      <c r="B1163" s="2" t="s">
        <v>2797</v>
      </c>
      <c r="C1163" s="2" t="s">
        <v>16</v>
      </c>
      <c r="D1163" s="2" t="s">
        <v>17</v>
      </c>
      <c r="E1163" s="5">
        <v>-31606</v>
      </c>
      <c r="F1163" s="3" t="s">
        <v>124</v>
      </c>
      <c r="G1163" s="3" t="s">
        <v>58</v>
      </c>
      <c r="H1163" s="2" t="s">
        <v>20</v>
      </c>
      <c r="I1163" s="2" t="s">
        <v>2798</v>
      </c>
      <c r="J1163" s="3" t="str">
        <f>HYPERLINK("https://www.boe.es/gazeta/dias/1813/06/18/pdfs/GMR-1813-7.pdf#page=2","Abrir facsímil")</f>
        <v>Abrir facsímil</v>
      </c>
      <c r="K1163" s="3" t="s">
        <v>22</v>
      </c>
    </row>
    <row r="1164" spans="1:11" ht="42" customHeight="1">
      <c r="A1164" s="2" t="s">
        <v>2799</v>
      </c>
      <c r="B1164" s="2" t="s">
        <v>2799</v>
      </c>
      <c r="C1164" s="2" t="s">
        <v>16</v>
      </c>
      <c r="D1164" s="2" t="s">
        <v>17</v>
      </c>
      <c r="E1164" s="5">
        <v>-31711</v>
      </c>
      <c r="F1164" s="3" t="s">
        <v>90</v>
      </c>
      <c r="G1164" s="3" t="s">
        <v>54</v>
      </c>
      <c r="H1164" s="2" t="s">
        <v>20</v>
      </c>
      <c r="I1164" s="2" t="s">
        <v>2800</v>
      </c>
      <c r="J1164" s="3" t="str">
        <f>HYPERLINK("https://www.boe.es/gazeta/dias/1813/03/05/pdfs/GMD-1813-64.pdf#page=3","Abrir facsímil")</f>
        <v>Abrir facsímil</v>
      </c>
      <c r="K1164" s="3" t="s">
        <v>22</v>
      </c>
    </row>
    <row r="1165" spans="1:11" ht="42" customHeight="1">
      <c r="A1165" s="2" t="s">
        <v>2801</v>
      </c>
      <c r="B1165" s="2" t="s">
        <v>2801</v>
      </c>
      <c r="C1165" s="2" t="s">
        <v>16</v>
      </c>
      <c r="D1165" s="2" t="s">
        <v>17</v>
      </c>
      <c r="E1165" s="5">
        <v>-31614</v>
      </c>
      <c r="F1165" s="3" t="s">
        <v>498</v>
      </c>
      <c r="G1165" s="3" t="s">
        <v>82</v>
      </c>
      <c r="H1165" s="2" t="s">
        <v>20</v>
      </c>
      <c r="I1165" s="2" t="s">
        <v>2802</v>
      </c>
      <c r="J1165" s="3" t="str">
        <f>HYPERLINK("https://www.boe.es/gazeta/dias/1813/06/10/pdfs/GRE-1813-72.pdf#page=5","Abrir facsímil")</f>
        <v>Abrir facsímil</v>
      </c>
      <c r="K1165" s="3" t="s">
        <v>22</v>
      </c>
    </row>
    <row r="1166" spans="1:11" ht="42" customHeight="1">
      <c r="A1166" s="2" t="s">
        <v>2801</v>
      </c>
      <c r="B1166" s="2" t="s">
        <v>2801</v>
      </c>
      <c r="C1166" s="2" t="s">
        <v>16</v>
      </c>
      <c r="D1166" s="2" t="s">
        <v>17</v>
      </c>
      <c r="E1166" s="5">
        <v>-31606</v>
      </c>
      <c r="F1166" s="3" t="s">
        <v>124</v>
      </c>
      <c r="G1166" s="3" t="s">
        <v>65</v>
      </c>
      <c r="H1166" s="2" t="s">
        <v>20</v>
      </c>
      <c r="I1166" s="2" t="s">
        <v>2803</v>
      </c>
      <c r="J1166" s="3" t="str">
        <f>HYPERLINK("https://www.boe.es/gazeta/dias/1813/06/18/pdfs/GMR-1813-7.pdf#page=1","Abrir facsímil")</f>
        <v>Abrir facsímil</v>
      </c>
      <c r="K1166" s="3" t="s">
        <v>22</v>
      </c>
    </row>
    <row r="1167" spans="1:11" ht="42" customHeight="1">
      <c r="A1167" s="2" t="s">
        <v>2804</v>
      </c>
      <c r="B1167" s="2" t="s">
        <v>2804</v>
      </c>
      <c r="C1167" s="2" t="s">
        <v>16</v>
      </c>
      <c r="D1167" s="2" t="s">
        <v>17</v>
      </c>
      <c r="E1167" s="5">
        <v>-31483</v>
      </c>
      <c r="F1167" s="3" t="s">
        <v>1292</v>
      </c>
      <c r="G1167" s="3" t="s">
        <v>58</v>
      </c>
      <c r="H1167" s="2" t="s">
        <v>20</v>
      </c>
      <c r="I1167" s="2" t="s">
        <v>2805</v>
      </c>
      <c r="J1167" s="3" t="str">
        <f>HYPERLINK("https://www.boe.es/gazeta/dias/1813/10/19/pdfs/GMR-1813-61.pdf#page=2","Abrir facsímil")</f>
        <v>Abrir facsímil</v>
      </c>
      <c r="K1167" s="3" t="s">
        <v>22</v>
      </c>
    </row>
    <row r="1168" spans="1:11" ht="42" customHeight="1">
      <c r="A1168" s="2" t="s">
        <v>2806</v>
      </c>
      <c r="B1168" s="2" t="s">
        <v>2806</v>
      </c>
      <c r="C1168" s="2" t="s">
        <v>16</v>
      </c>
      <c r="D1168" s="2" t="s">
        <v>17</v>
      </c>
      <c r="E1168" s="5">
        <v>-31586</v>
      </c>
      <c r="F1168" s="3" t="s">
        <v>2807</v>
      </c>
      <c r="G1168" s="3" t="s">
        <v>58</v>
      </c>
      <c r="H1168" s="2" t="s">
        <v>20</v>
      </c>
      <c r="I1168" s="2" t="s">
        <v>2808</v>
      </c>
      <c r="J1168" s="3" t="str">
        <f>HYPERLINK("https://www.boe.es/gazeta/dias/1813/07/08/pdfs/GRE-1813-85.pdf#page=2","Abrir facsímil")</f>
        <v>Abrir facsímil</v>
      </c>
      <c r="K1168" s="3" t="s">
        <v>22</v>
      </c>
    </row>
    <row r="1169" spans="1:11" ht="42" customHeight="1">
      <c r="A1169" s="2" t="s">
        <v>2809</v>
      </c>
      <c r="B1169" s="2" t="s">
        <v>2809</v>
      </c>
      <c r="C1169" s="2" t="s">
        <v>16</v>
      </c>
      <c r="D1169" s="2" t="s">
        <v>17</v>
      </c>
      <c r="E1169" s="5">
        <v>-31420</v>
      </c>
      <c r="F1169" s="3" t="s">
        <v>145</v>
      </c>
      <c r="G1169" s="3" t="s">
        <v>19</v>
      </c>
      <c r="H1169" s="2" t="s">
        <v>20</v>
      </c>
      <c r="I1169" s="2" t="s">
        <v>2810</v>
      </c>
      <c r="J1169" s="3" t="str">
        <f>HYPERLINK("https://www.boe.es/gazeta/dias/1813/12/21/pdfs/GMR-1813-90.pdf#page=4","Abrir facsímil")</f>
        <v>Abrir facsímil</v>
      </c>
      <c r="K1169" s="3" t="s">
        <v>22</v>
      </c>
    </row>
    <row r="1170" spans="1:11" ht="42" customHeight="1">
      <c r="A1170" s="2" t="s">
        <v>2811</v>
      </c>
      <c r="B1170" s="2" t="s">
        <v>2811</v>
      </c>
      <c r="C1170" s="2" t="s">
        <v>16</v>
      </c>
      <c r="D1170" s="2" t="s">
        <v>17</v>
      </c>
      <c r="E1170" s="5">
        <v>-31446</v>
      </c>
      <c r="F1170" s="3" t="s">
        <v>1078</v>
      </c>
      <c r="G1170" s="3" t="s">
        <v>95</v>
      </c>
      <c r="H1170" s="2" t="s">
        <v>20</v>
      </c>
      <c r="I1170" s="2" t="s">
        <v>2812</v>
      </c>
      <c r="J1170" s="3" t="str">
        <f>HYPERLINK("https://www.boe.es/gazeta/dias/1813/11/25/pdfs/GRE-1813-154.pdf#page=6","Abrir facsímil")</f>
        <v>Abrir facsímil</v>
      </c>
      <c r="K1170" s="3" t="s">
        <v>22</v>
      </c>
    </row>
    <row r="1171" spans="1:11" ht="42" customHeight="1">
      <c r="A1171" s="2" t="s">
        <v>2813</v>
      </c>
      <c r="B1171" s="2" t="s">
        <v>2813</v>
      </c>
      <c r="C1171" s="2" t="s">
        <v>16</v>
      </c>
      <c r="D1171" s="2" t="s">
        <v>17</v>
      </c>
      <c r="E1171" s="5">
        <v>-31629</v>
      </c>
      <c r="F1171" s="3" t="s">
        <v>1146</v>
      </c>
      <c r="G1171" s="3" t="s">
        <v>58</v>
      </c>
      <c r="H1171" s="2" t="s">
        <v>20</v>
      </c>
      <c r="I1171" s="2" t="s">
        <v>2814</v>
      </c>
      <c r="J1171" s="3" t="str">
        <f>HYPERLINK("https://www.boe.es/gazeta/dias/1813/05/26/pdfs/GMD-1813-146.pdf#page=2","Abrir facsímil")</f>
        <v>Abrir facsímil</v>
      </c>
      <c r="K1171" s="3" t="s">
        <v>22</v>
      </c>
    </row>
    <row r="1172" spans="1:11" ht="42" customHeight="1">
      <c r="A1172" s="2" t="s">
        <v>2815</v>
      </c>
      <c r="B1172" s="2" t="s">
        <v>2815</v>
      </c>
      <c r="C1172" s="2" t="s">
        <v>16</v>
      </c>
      <c r="D1172" s="2" t="s">
        <v>17</v>
      </c>
      <c r="E1172" s="5">
        <v>-31619</v>
      </c>
      <c r="F1172" s="3" t="s">
        <v>1350</v>
      </c>
      <c r="G1172" s="3" t="s">
        <v>58</v>
      </c>
      <c r="H1172" s="2" t="s">
        <v>20</v>
      </c>
      <c r="I1172" s="2" t="s">
        <v>2816</v>
      </c>
      <c r="J1172" s="3" t="str">
        <f>HYPERLINK("https://www.boe.es/gazeta/dias/1813/06/05/pdfs/GMR-1813-2.pdf#page=2","Abrir facsímil")</f>
        <v>Abrir facsímil</v>
      </c>
      <c r="K1172" s="3" t="s">
        <v>22</v>
      </c>
    </row>
    <row r="1173" spans="1:11" ht="42" customHeight="1">
      <c r="A1173" s="2" t="s">
        <v>2817</v>
      </c>
      <c r="B1173" s="2" t="s">
        <v>2817</v>
      </c>
      <c r="C1173" s="2" t="s">
        <v>16</v>
      </c>
      <c r="D1173" s="2" t="s">
        <v>17</v>
      </c>
      <c r="E1173" s="5">
        <v>-31474</v>
      </c>
      <c r="F1173" s="3" t="s">
        <v>130</v>
      </c>
      <c r="G1173" s="3" t="s">
        <v>87</v>
      </c>
      <c r="H1173" s="2" t="s">
        <v>20</v>
      </c>
      <c r="I1173" s="2" t="s">
        <v>2818</v>
      </c>
      <c r="J1173" s="3" t="str">
        <f>HYPERLINK("https://www.boe.es/gazeta/dias/1813/10/28/pdfs/GRE-1813-141.pdf#page=7","Abrir facsímil")</f>
        <v>Abrir facsímil</v>
      </c>
      <c r="K1173" s="3" t="s">
        <v>22</v>
      </c>
    </row>
    <row r="1174" spans="1:11" ht="42" customHeight="1">
      <c r="A1174" s="2" t="s">
        <v>2817</v>
      </c>
      <c r="B1174" s="2" t="s">
        <v>2817</v>
      </c>
      <c r="C1174" s="2" t="s">
        <v>16</v>
      </c>
      <c r="D1174" s="2" t="s">
        <v>97</v>
      </c>
      <c r="E1174" s="5">
        <v>-31446</v>
      </c>
      <c r="F1174" s="3" t="s">
        <v>1877</v>
      </c>
      <c r="G1174" s="3" t="s">
        <v>19</v>
      </c>
      <c r="H1174" s="2" t="s">
        <v>20</v>
      </c>
      <c r="I1174" s="2" t="s">
        <v>2819</v>
      </c>
      <c r="J1174" s="3" t="str">
        <f>HYPERLINK("https://www.boe.es/gazeta/dias/1813/11/25/pdfs/GRE-1813-155E.pdf#page=4","Abrir facsímil")</f>
        <v>Abrir facsímil</v>
      </c>
      <c r="K1174" s="3" t="s">
        <v>22</v>
      </c>
    </row>
    <row r="1175" spans="1:11" ht="42" customHeight="1">
      <c r="A1175" s="2" t="s">
        <v>2820</v>
      </c>
      <c r="B1175" s="2" t="s">
        <v>2820</v>
      </c>
      <c r="C1175" s="2" t="s">
        <v>16</v>
      </c>
      <c r="D1175" s="2" t="s">
        <v>17</v>
      </c>
      <c r="E1175" s="5">
        <v>-31423</v>
      </c>
      <c r="F1175" s="3" t="s">
        <v>2465</v>
      </c>
      <c r="G1175" s="3" t="s">
        <v>54</v>
      </c>
      <c r="H1175" s="2" t="s">
        <v>20</v>
      </c>
      <c r="I1175" s="2" t="s">
        <v>2821</v>
      </c>
      <c r="J1175" s="3" t="str">
        <f>HYPERLINK("https://www.boe.es/gazeta/dias/1813/12/18/pdfs/GMR-1813-89.pdf#page=3","Abrir facsímil")</f>
        <v>Abrir facsímil</v>
      </c>
      <c r="K1175" s="3" t="s">
        <v>22</v>
      </c>
    </row>
    <row r="1176" spans="1:11" ht="42" customHeight="1">
      <c r="A1176" s="2" t="s">
        <v>2822</v>
      </c>
      <c r="B1176" s="2" t="s">
        <v>2822</v>
      </c>
      <c r="C1176" s="2" t="s">
        <v>16</v>
      </c>
      <c r="D1176" s="2" t="s">
        <v>17</v>
      </c>
      <c r="E1176" s="5">
        <v>-31462</v>
      </c>
      <c r="F1176" s="3" t="s">
        <v>1028</v>
      </c>
      <c r="G1176" s="3" t="s">
        <v>65</v>
      </c>
      <c r="H1176" s="2" t="s">
        <v>20</v>
      </c>
      <c r="I1176" s="2" t="s">
        <v>2823</v>
      </c>
      <c r="J1176" s="3" t="str">
        <f>HYPERLINK("https://www.boe.es/gazeta/dias/1813/11/09/pdfs/GMR-1813-71.pdf#page=1","Abrir facsímil")</f>
        <v>Abrir facsímil</v>
      </c>
      <c r="K1176" s="3" t="s">
        <v>22</v>
      </c>
    </row>
    <row r="1177" spans="1:11" ht="42" customHeight="1">
      <c r="A1177" s="2" t="s">
        <v>2822</v>
      </c>
      <c r="B1177" s="2" t="s">
        <v>2822</v>
      </c>
      <c r="C1177" s="2" t="s">
        <v>16</v>
      </c>
      <c r="D1177" s="2" t="s">
        <v>17</v>
      </c>
      <c r="E1177" s="5">
        <v>-31448</v>
      </c>
      <c r="F1177" s="3" t="s">
        <v>325</v>
      </c>
      <c r="G1177" s="3" t="s">
        <v>95</v>
      </c>
      <c r="H1177" s="2" t="s">
        <v>20</v>
      </c>
      <c r="I1177" s="2" t="s">
        <v>2824</v>
      </c>
      <c r="J1177" s="3" t="str">
        <f>HYPERLINK("https://www.boe.es/gazeta/dias/1813/11/23/pdfs/GMR-1813-78.pdf#page=6","Abrir facsímil")</f>
        <v>Abrir facsímil</v>
      </c>
      <c r="K1177" s="3" t="s">
        <v>22</v>
      </c>
    </row>
    <row r="1178" spans="1:11" ht="42" customHeight="1">
      <c r="A1178" s="2" t="s">
        <v>2822</v>
      </c>
      <c r="B1178" s="2" t="s">
        <v>2822</v>
      </c>
      <c r="C1178" s="2" t="s">
        <v>16</v>
      </c>
      <c r="D1178" s="2" t="s">
        <v>17</v>
      </c>
      <c r="E1178" s="5">
        <v>-31416</v>
      </c>
      <c r="F1178" s="3" t="s">
        <v>110</v>
      </c>
      <c r="G1178" s="3" t="s">
        <v>58</v>
      </c>
      <c r="H1178" s="2" t="s">
        <v>20</v>
      </c>
      <c r="I1178" s="2" t="s">
        <v>2825</v>
      </c>
      <c r="J1178" s="3" t="str">
        <f>HYPERLINK("https://www.boe.es/gazeta/dias/1813/12/25/pdfs/GRE-1813-169.pdf#page=2","Abrir facsímil")</f>
        <v>Abrir facsímil</v>
      </c>
      <c r="K1178" s="3" t="s">
        <v>22</v>
      </c>
    </row>
    <row r="1179" spans="1:11" ht="42" customHeight="1">
      <c r="A1179" s="2" t="s">
        <v>2826</v>
      </c>
      <c r="B1179" s="2" t="s">
        <v>2826</v>
      </c>
      <c r="C1179" s="2" t="s">
        <v>16</v>
      </c>
      <c r="D1179" s="2" t="s">
        <v>17</v>
      </c>
      <c r="E1179" s="5">
        <v>-31711</v>
      </c>
      <c r="F1179" s="3" t="s">
        <v>385</v>
      </c>
      <c r="G1179" s="3" t="s">
        <v>65</v>
      </c>
      <c r="H1179" s="2" t="s">
        <v>20</v>
      </c>
      <c r="I1179" s="2" t="s">
        <v>2827</v>
      </c>
      <c r="J1179" s="3" t="str">
        <f>HYPERLINK("https://www.boe.es/gazeta/dias/1813/03/05/pdfs/GRE-1813-99.pdf#page=1","Abrir facsímil")</f>
        <v>Abrir facsímil</v>
      </c>
      <c r="K1179" s="3" t="s">
        <v>22</v>
      </c>
    </row>
    <row r="1180" spans="1:11" ht="42" customHeight="1">
      <c r="A1180" s="2" t="s">
        <v>2826</v>
      </c>
      <c r="B1180" s="2" t="s">
        <v>2826</v>
      </c>
      <c r="C1180" s="2" t="s">
        <v>16</v>
      </c>
      <c r="D1180" s="2" t="s">
        <v>17</v>
      </c>
      <c r="E1180" s="5">
        <v>-31651</v>
      </c>
      <c r="F1180" s="3" t="s">
        <v>579</v>
      </c>
      <c r="G1180" s="3" t="s">
        <v>580</v>
      </c>
      <c r="H1180" s="2" t="s">
        <v>20</v>
      </c>
      <c r="I1180" s="2" t="s">
        <v>2828</v>
      </c>
      <c r="J1180" s="3" t="str">
        <f>HYPERLINK("https://www.boe.es/gazeta/dias/1813/05/04/pdfs/GRE-1813-55.pdf#page=5","Abrir facsímil")</f>
        <v>Abrir facsímil</v>
      </c>
      <c r="K1180" s="3" t="s">
        <v>22</v>
      </c>
    </row>
    <row r="1181" spans="1:11" ht="42" customHeight="1">
      <c r="A1181" s="2" t="s">
        <v>2826</v>
      </c>
      <c r="B1181" s="2" t="s">
        <v>2826</v>
      </c>
      <c r="C1181" s="2" t="s">
        <v>16</v>
      </c>
      <c r="D1181" s="2" t="s">
        <v>17</v>
      </c>
      <c r="E1181" s="5">
        <v>-31644</v>
      </c>
      <c r="F1181" s="3" t="s">
        <v>1979</v>
      </c>
      <c r="G1181" s="3" t="s">
        <v>19</v>
      </c>
      <c r="H1181" s="2" t="s">
        <v>20</v>
      </c>
      <c r="I1181" s="2" t="s">
        <v>2829</v>
      </c>
      <c r="J1181" s="3" t="str">
        <f>HYPERLINK("https://www.boe.es/gazeta/dias/1813/05/11/pdfs/GMD-1813-131.pdf#page=4","Abrir facsímil")</f>
        <v>Abrir facsímil</v>
      </c>
      <c r="K1181" s="3" t="s">
        <v>22</v>
      </c>
    </row>
    <row r="1182" spans="1:11" ht="42" customHeight="1">
      <c r="A1182" s="2" t="s">
        <v>2826</v>
      </c>
      <c r="B1182" s="2" t="s">
        <v>2826</v>
      </c>
      <c r="C1182" s="2" t="s">
        <v>16</v>
      </c>
      <c r="D1182" s="2" t="s">
        <v>17</v>
      </c>
      <c r="E1182" s="5">
        <v>-31630</v>
      </c>
      <c r="F1182" s="3" t="s">
        <v>972</v>
      </c>
      <c r="G1182" s="3" t="s">
        <v>54</v>
      </c>
      <c r="H1182" s="2" t="s">
        <v>20</v>
      </c>
      <c r="I1182" s="2" t="s">
        <v>2830</v>
      </c>
      <c r="J1182" s="3" t="str">
        <f>HYPERLINK("https://www.boe.es/gazeta/dias/1813/05/25/pdfs/GMD-1813-145.pdf#page=3","Abrir facsímil")</f>
        <v>Abrir facsímil</v>
      </c>
      <c r="K1182" s="3" t="s">
        <v>22</v>
      </c>
    </row>
    <row r="1183" spans="1:11" ht="42" customHeight="1">
      <c r="A1183" s="2" t="s">
        <v>2826</v>
      </c>
      <c r="B1183" s="2" t="s">
        <v>2826</v>
      </c>
      <c r="C1183" s="2" t="s">
        <v>16</v>
      </c>
      <c r="D1183" s="2" t="s">
        <v>17</v>
      </c>
      <c r="E1183" s="5">
        <v>-31616</v>
      </c>
      <c r="F1183" s="3" t="s">
        <v>545</v>
      </c>
      <c r="G1183" s="3" t="s">
        <v>54</v>
      </c>
      <c r="H1183" s="2" t="s">
        <v>20</v>
      </c>
      <c r="I1183" s="2" t="s">
        <v>2831</v>
      </c>
      <c r="J1183" s="3" t="str">
        <f>HYPERLINK("https://www.boe.es/gazeta/dias/1813/06/08/pdfs/GRE-1813-71.pdf#page=3","Abrir facsímil")</f>
        <v>Abrir facsímil</v>
      </c>
      <c r="K1183" s="3" t="s">
        <v>22</v>
      </c>
    </row>
    <row r="1184" spans="1:11" ht="42" customHeight="1">
      <c r="A1184" s="2" t="s">
        <v>2826</v>
      </c>
      <c r="B1184" s="2" t="s">
        <v>2826</v>
      </c>
      <c r="C1184" s="2" t="s">
        <v>16</v>
      </c>
      <c r="D1184" s="2" t="s">
        <v>17</v>
      </c>
      <c r="E1184" s="5">
        <v>-31616</v>
      </c>
      <c r="F1184" s="3" t="s">
        <v>545</v>
      </c>
      <c r="G1184" s="3" t="s">
        <v>19</v>
      </c>
      <c r="H1184" s="2" t="s">
        <v>20</v>
      </c>
      <c r="I1184" s="2" t="s">
        <v>2832</v>
      </c>
      <c r="J1184" s="3" t="str">
        <f>HYPERLINK("https://www.boe.es/gazeta/dias/1813/06/08/pdfs/GRE-1813-71.pdf#page=4","Abrir facsímil")</f>
        <v>Abrir facsímil</v>
      </c>
      <c r="K1184" s="3" t="s">
        <v>22</v>
      </c>
    </row>
    <row r="1185" spans="1:11" ht="42" customHeight="1">
      <c r="A1185" s="2" t="s">
        <v>2826</v>
      </c>
      <c r="B1185" s="2" t="s">
        <v>2826</v>
      </c>
      <c r="C1185" s="2" t="s">
        <v>16</v>
      </c>
      <c r="D1185" s="2" t="s">
        <v>17</v>
      </c>
      <c r="E1185" s="5">
        <v>-31616</v>
      </c>
      <c r="F1185" s="3" t="s">
        <v>545</v>
      </c>
      <c r="G1185" s="3" t="s">
        <v>95</v>
      </c>
      <c r="H1185" s="2" t="s">
        <v>20</v>
      </c>
      <c r="I1185" s="2" t="s">
        <v>2833</v>
      </c>
      <c r="J1185" s="3" t="str">
        <f>HYPERLINK("https://www.boe.es/gazeta/dias/1813/06/08/pdfs/GRE-1813-71.pdf#page=6","Abrir facsímil")</f>
        <v>Abrir facsímil</v>
      </c>
      <c r="K1185" s="3" t="s">
        <v>22</v>
      </c>
    </row>
    <row r="1186" spans="1:11" ht="42" customHeight="1">
      <c r="A1186" s="2" t="s">
        <v>2826</v>
      </c>
      <c r="B1186" s="2" t="s">
        <v>2826</v>
      </c>
      <c r="C1186" s="2" t="s">
        <v>16</v>
      </c>
      <c r="D1186" s="2" t="s">
        <v>17</v>
      </c>
      <c r="E1186" s="5">
        <v>-31595</v>
      </c>
      <c r="F1186" s="3" t="s">
        <v>70</v>
      </c>
      <c r="G1186" s="3" t="s">
        <v>54</v>
      </c>
      <c r="H1186" s="2" t="s">
        <v>20</v>
      </c>
      <c r="I1186" s="2" t="s">
        <v>2834</v>
      </c>
      <c r="J1186" s="3" t="str">
        <f>HYPERLINK("https://www.boe.es/gazeta/dias/1813/06/29/pdfs/GMR-1813-13.pdf#page=3","Abrir facsímil")</f>
        <v>Abrir facsímil</v>
      </c>
      <c r="K1186" s="3" t="s">
        <v>22</v>
      </c>
    </row>
    <row r="1187" spans="1:11" ht="42" customHeight="1">
      <c r="A1187" s="2" t="s">
        <v>2826</v>
      </c>
      <c r="B1187" s="2" t="s">
        <v>2826</v>
      </c>
      <c r="C1187" s="2" t="s">
        <v>16</v>
      </c>
      <c r="D1187" s="2" t="s">
        <v>17</v>
      </c>
      <c r="E1187" s="5">
        <v>-31588</v>
      </c>
      <c r="F1187" s="3" t="s">
        <v>2402</v>
      </c>
      <c r="G1187" s="3" t="s">
        <v>58</v>
      </c>
      <c r="H1187" s="2" t="s">
        <v>20</v>
      </c>
      <c r="I1187" s="2" t="s">
        <v>2835</v>
      </c>
      <c r="J1187" s="3" t="str">
        <f>HYPERLINK("https://www.boe.es/gazeta/dias/1813/07/06/pdfs/GRE-1813-84.pdf#page=2","Abrir facsímil")</f>
        <v>Abrir facsímil</v>
      </c>
      <c r="K1187" s="3" t="s">
        <v>22</v>
      </c>
    </row>
    <row r="1188" spans="1:11" ht="42" customHeight="1">
      <c r="A1188" s="2" t="s">
        <v>2826</v>
      </c>
      <c r="B1188" s="2" t="s">
        <v>2826</v>
      </c>
      <c r="C1188" s="2" t="s">
        <v>16</v>
      </c>
      <c r="D1188" s="2" t="s">
        <v>17</v>
      </c>
      <c r="E1188" s="5">
        <v>-31581</v>
      </c>
      <c r="F1188" s="3" t="s">
        <v>1321</v>
      </c>
      <c r="G1188" s="3" t="s">
        <v>207</v>
      </c>
      <c r="H1188" s="2" t="s">
        <v>20</v>
      </c>
      <c r="I1188" s="2" t="s">
        <v>2836</v>
      </c>
      <c r="J1188" s="3" t="str">
        <f>HYPERLINK("https://www.boe.es/gazeta/dias/1813/07/13/pdfs/GMR-1813-17.pdf#page=10","Abrir facsímil")</f>
        <v>Abrir facsímil</v>
      </c>
      <c r="K1188" s="3" t="s">
        <v>22</v>
      </c>
    </row>
    <row r="1189" spans="1:11" ht="42" customHeight="1">
      <c r="A1189" s="2" t="s">
        <v>2826</v>
      </c>
      <c r="B1189" s="2" t="s">
        <v>2826</v>
      </c>
      <c r="C1189" s="2" t="s">
        <v>16</v>
      </c>
      <c r="D1189" s="2" t="s">
        <v>17</v>
      </c>
      <c r="E1189" s="5">
        <v>-31581</v>
      </c>
      <c r="F1189" s="3" t="s">
        <v>1321</v>
      </c>
      <c r="G1189" s="3" t="s">
        <v>28</v>
      </c>
      <c r="H1189" s="2" t="s">
        <v>20</v>
      </c>
      <c r="I1189" s="2" t="s">
        <v>2837</v>
      </c>
      <c r="J1189" s="3" t="str">
        <f>HYPERLINK("https://www.boe.es/gazeta/dias/1813/07/13/pdfs/GMR-1813-17.pdf#page=8","Abrir facsímil")</f>
        <v>Abrir facsímil</v>
      </c>
      <c r="K1189" s="3" t="s">
        <v>22</v>
      </c>
    </row>
    <row r="1190" spans="1:11" ht="42" customHeight="1">
      <c r="A1190" s="2" t="s">
        <v>2826</v>
      </c>
      <c r="B1190" s="2" t="s">
        <v>2826</v>
      </c>
      <c r="C1190" s="2" t="s">
        <v>16</v>
      </c>
      <c r="D1190" s="2" t="s">
        <v>17</v>
      </c>
      <c r="E1190" s="5">
        <v>-31578</v>
      </c>
      <c r="F1190" s="3" t="s">
        <v>974</v>
      </c>
      <c r="G1190" s="3" t="s">
        <v>1148</v>
      </c>
      <c r="H1190" s="2" t="s">
        <v>20</v>
      </c>
      <c r="I1190" s="2" t="s">
        <v>2838</v>
      </c>
      <c r="J1190" s="3" t="str">
        <f>HYPERLINK("https://www.boe.es/gazeta/dias/1813/07/16/pdfs/GMR-1813-18.pdf#page=7","Abrir facsímil")</f>
        <v>Abrir facsímil</v>
      </c>
      <c r="K1190" s="3" t="s">
        <v>22</v>
      </c>
    </row>
    <row r="1191" spans="1:11" ht="42" customHeight="1">
      <c r="A1191" s="2" t="s">
        <v>2826</v>
      </c>
      <c r="B1191" s="2" t="s">
        <v>2826</v>
      </c>
      <c r="C1191" s="2" t="s">
        <v>16</v>
      </c>
      <c r="D1191" s="2" t="s">
        <v>17</v>
      </c>
      <c r="E1191" s="5">
        <v>-31567</v>
      </c>
      <c r="F1191" s="3" t="s">
        <v>820</v>
      </c>
      <c r="G1191" s="3" t="s">
        <v>2839</v>
      </c>
      <c r="H1191" s="2" t="s">
        <v>20</v>
      </c>
      <c r="I1191" s="2" t="s">
        <v>2840</v>
      </c>
      <c r="J1191" s="3" t="str">
        <f>HYPERLINK("https://www.boe.es/gazeta/dias/1813/07/27/pdfs/GMR-1813-21.pdf#page=3","Abrir facsímil")</f>
        <v>Abrir facsímil</v>
      </c>
      <c r="K1191" s="3" t="s">
        <v>22</v>
      </c>
    </row>
    <row r="1192" spans="1:11" ht="42" customHeight="1">
      <c r="A1192" s="2" t="s">
        <v>2826</v>
      </c>
      <c r="B1192" s="2" t="s">
        <v>2826</v>
      </c>
      <c r="C1192" s="2" t="s">
        <v>16</v>
      </c>
      <c r="D1192" s="2" t="s">
        <v>17</v>
      </c>
      <c r="E1192" s="5">
        <v>-31567</v>
      </c>
      <c r="F1192" s="3" t="s">
        <v>820</v>
      </c>
      <c r="G1192" s="3" t="s">
        <v>19</v>
      </c>
      <c r="H1192" s="2" t="s">
        <v>20</v>
      </c>
      <c r="I1192" s="2" t="s">
        <v>2841</v>
      </c>
      <c r="J1192" s="3" t="str">
        <f>HYPERLINK("https://www.boe.es/gazeta/dias/1813/07/27/pdfs/GMR-1813-21.pdf#page=4","Abrir facsímil")</f>
        <v>Abrir facsímil</v>
      </c>
      <c r="K1192" s="3" t="s">
        <v>22</v>
      </c>
    </row>
    <row r="1193" spans="1:11" ht="42" customHeight="1">
      <c r="A1193" s="2" t="s">
        <v>2826</v>
      </c>
      <c r="B1193" s="2" t="s">
        <v>2826</v>
      </c>
      <c r="C1193" s="2" t="s">
        <v>16</v>
      </c>
      <c r="D1193" s="2" t="s">
        <v>17</v>
      </c>
      <c r="E1193" s="5">
        <v>-31564</v>
      </c>
      <c r="F1193" s="3" t="s">
        <v>206</v>
      </c>
      <c r="G1193" s="3" t="s">
        <v>65</v>
      </c>
      <c r="H1193" s="2" t="s">
        <v>20</v>
      </c>
      <c r="I1193" s="2" t="s">
        <v>2842</v>
      </c>
      <c r="J1193" s="3" t="str">
        <f>HYPERLINK("https://www.boe.es/gazeta/dias/1813/07/30/pdfs/GMR-1813-22.pdf#page=1","Abrir facsímil")</f>
        <v>Abrir facsímil</v>
      </c>
      <c r="K1193" s="3" t="s">
        <v>22</v>
      </c>
    </row>
    <row r="1194" spans="1:11" ht="42" customHeight="1">
      <c r="A1194" s="2" t="s">
        <v>2826</v>
      </c>
      <c r="B1194" s="2" t="s">
        <v>2826</v>
      </c>
      <c r="C1194" s="2" t="s">
        <v>16</v>
      </c>
      <c r="D1194" s="2" t="s">
        <v>17</v>
      </c>
      <c r="E1194" s="5">
        <v>-31558</v>
      </c>
      <c r="F1194" s="3" t="s">
        <v>385</v>
      </c>
      <c r="G1194" s="3" t="s">
        <v>65</v>
      </c>
      <c r="H1194" s="2" t="s">
        <v>20</v>
      </c>
      <c r="I1194" s="2" t="s">
        <v>2827</v>
      </c>
      <c r="J1194" s="3" t="str">
        <f>HYPERLINK("https://www.boe.es/gazeta/dias/1813/08/05/pdfs/GRE-1813-99.pdf#page=1","Abrir facsímil")</f>
        <v>Abrir facsímil</v>
      </c>
      <c r="K1194" s="3" t="s">
        <v>22</v>
      </c>
    </row>
    <row r="1195" spans="1:11" ht="42" customHeight="1">
      <c r="A1195" s="2" t="s">
        <v>2826</v>
      </c>
      <c r="B1195" s="2" t="s">
        <v>2826</v>
      </c>
      <c r="C1195" s="2" t="s">
        <v>16</v>
      </c>
      <c r="D1195" s="2" t="s">
        <v>17</v>
      </c>
      <c r="E1195" s="5">
        <v>-31523</v>
      </c>
      <c r="F1195" s="3" t="s">
        <v>2140</v>
      </c>
      <c r="G1195" s="3" t="s">
        <v>58</v>
      </c>
      <c r="H1195" s="2" t="s">
        <v>20</v>
      </c>
      <c r="I1195" s="2" t="s">
        <v>2843</v>
      </c>
      <c r="J1195" s="3" t="str">
        <f>HYPERLINK("https://www.boe.es/gazeta/dias/1813/09/09/pdfs/GMR-1813-40.pdf#page=2","Abrir facsímil")</f>
        <v>Abrir facsímil</v>
      </c>
      <c r="K1195" s="3" t="s">
        <v>22</v>
      </c>
    </row>
    <row r="1196" spans="1:11" ht="42" customHeight="1">
      <c r="A1196" s="2" t="s">
        <v>2826</v>
      </c>
      <c r="B1196" s="2" t="s">
        <v>2826</v>
      </c>
      <c r="C1196" s="2" t="s">
        <v>16</v>
      </c>
      <c r="D1196" s="2" t="s">
        <v>97</v>
      </c>
      <c r="E1196" s="5">
        <v>-31499</v>
      </c>
      <c r="F1196" s="3" t="s">
        <v>220</v>
      </c>
      <c r="G1196" s="3" t="s">
        <v>58</v>
      </c>
      <c r="H1196" s="2" t="s">
        <v>20</v>
      </c>
      <c r="I1196" s="2" t="s">
        <v>2844</v>
      </c>
      <c r="J1196" s="3" t="str">
        <f>HYPERLINK("https://www.boe.es/gazeta/dias/1813/10/03/pdfs/GMR-1813-53E.pdf#page=2","Abrir facsímil")</f>
        <v>Abrir facsímil</v>
      </c>
      <c r="K1196" s="3" t="s">
        <v>22</v>
      </c>
    </row>
    <row r="1197" spans="1:11" ht="42" customHeight="1">
      <c r="A1197" s="2" t="s">
        <v>2826</v>
      </c>
      <c r="B1197" s="2" t="s">
        <v>2826</v>
      </c>
      <c r="C1197" s="2" t="s">
        <v>16</v>
      </c>
      <c r="D1197" s="2" t="s">
        <v>97</v>
      </c>
      <c r="E1197" s="5">
        <v>-31499</v>
      </c>
      <c r="F1197" s="3" t="s">
        <v>220</v>
      </c>
      <c r="G1197" s="3" t="s">
        <v>54</v>
      </c>
      <c r="H1197" s="2" t="s">
        <v>20</v>
      </c>
      <c r="I1197" s="2" t="s">
        <v>2845</v>
      </c>
      <c r="J1197" s="3" t="str">
        <f>HYPERLINK("https://www.boe.es/gazeta/dias/1813/10/03/pdfs/GMR-1813-53E.pdf#page=3","Abrir facsímil")</f>
        <v>Abrir facsímil</v>
      </c>
      <c r="K1197" s="3" t="s">
        <v>22</v>
      </c>
    </row>
    <row r="1198" spans="1:11" ht="42" customHeight="1">
      <c r="A1198" s="2" t="s">
        <v>2826</v>
      </c>
      <c r="B1198" s="2" t="s">
        <v>2826</v>
      </c>
      <c r="C1198" s="2" t="s">
        <v>16</v>
      </c>
      <c r="D1198" s="2" t="s">
        <v>17</v>
      </c>
      <c r="E1198" s="5">
        <v>-31497</v>
      </c>
      <c r="F1198" s="3" t="s">
        <v>223</v>
      </c>
      <c r="G1198" s="3" t="s">
        <v>82</v>
      </c>
      <c r="H1198" s="2" t="s">
        <v>20</v>
      </c>
      <c r="I1198" s="2" t="s">
        <v>2846</v>
      </c>
      <c r="J1198" s="3" t="str">
        <f>HYPERLINK("https://www.boe.es/gazeta/dias/1813/10/05/pdfs/GRE-1813-130.pdf#page=5","Abrir facsímil")</f>
        <v>Abrir facsímil</v>
      </c>
      <c r="K1198" s="3" t="s">
        <v>22</v>
      </c>
    </row>
    <row r="1199" spans="1:11" ht="42" customHeight="1">
      <c r="A1199" s="2" t="s">
        <v>2826</v>
      </c>
      <c r="B1199" s="2" t="s">
        <v>2826</v>
      </c>
      <c r="C1199" s="2" t="s">
        <v>16</v>
      </c>
      <c r="D1199" s="2" t="s">
        <v>17</v>
      </c>
      <c r="E1199" s="5">
        <v>-31481</v>
      </c>
      <c r="F1199" s="3" t="s">
        <v>40</v>
      </c>
      <c r="G1199" s="3" t="s">
        <v>1894</v>
      </c>
      <c r="H1199" s="2" t="s">
        <v>20</v>
      </c>
      <c r="I1199" s="2" t="s">
        <v>2847</v>
      </c>
      <c r="J1199" s="3" t="str">
        <f>HYPERLINK("https://www.boe.es/gazeta/dias/1813/10/21/pdfs/GMR-1813-62.pdf#page=4","Abrir facsímil")</f>
        <v>Abrir facsímil</v>
      </c>
      <c r="K1199" s="3" t="s">
        <v>22</v>
      </c>
    </row>
    <row r="1200" spans="1:11" ht="42" customHeight="1">
      <c r="A1200" s="2" t="s">
        <v>2826</v>
      </c>
      <c r="B1200" s="2" t="s">
        <v>2826</v>
      </c>
      <c r="C1200" s="2" t="s">
        <v>16</v>
      </c>
      <c r="D1200" s="2" t="s">
        <v>17</v>
      </c>
      <c r="E1200" s="5">
        <v>-31481</v>
      </c>
      <c r="F1200" s="3" t="s">
        <v>380</v>
      </c>
      <c r="G1200" s="3" t="s">
        <v>58</v>
      </c>
      <c r="H1200" s="2" t="s">
        <v>20</v>
      </c>
      <c r="I1200" s="2" t="s">
        <v>2848</v>
      </c>
      <c r="J1200" s="3" t="str">
        <f>HYPERLINK("https://www.boe.es/gazeta/dias/1813/10/21/pdfs/GRE-1813-137.pdf#page=2","Abrir facsímil")</f>
        <v>Abrir facsímil</v>
      </c>
      <c r="K1200" s="3" t="s">
        <v>22</v>
      </c>
    </row>
    <row r="1201" spans="1:11" ht="42" customHeight="1">
      <c r="A1201" s="2" t="s">
        <v>2826</v>
      </c>
      <c r="B1201" s="2" t="s">
        <v>2826</v>
      </c>
      <c r="C1201" s="2" t="s">
        <v>16</v>
      </c>
      <c r="D1201" s="2" t="s">
        <v>17</v>
      </c>
      <c r="E1201" s="5">
        <v>-31479</v>
      </c>
      <c r="F1201" s="3" t="s">
        <v>322</v>
      </c>
      <c r="G1201" s="3" t="s">
        <v>58</v>
      </c>
      <c r="H1201" s="2" t="s">
        <v>20</v>
      </c>
      <c r="I1201" s="2" t="s">
        <v>2849</v>
      </c>
      <c r="J1201" s="3" t="str">
        <f>HYPERLINK("https://www.boe.es/gazeta/dias/1813/10/23/pdfs/GMR-1813-63.pdf#page=2","Abrir facsímil")</f>
        <v>Abrir facsímil</v>
      </c>
      <c r="K1201" s="3" t="s">
        <v>22</v>
      </c>
    </row>
    <row r="1202" spans="1:11" ht="42" customHeight="1">
      <c r="A1202" s="2" t="s">
        <v>2826</v>
      </c>
      <c r="B1202" s="2" t="s">
        <v>2826</v>
      </c>
      <c r="C1202" s="2" t="s">
        <v>16</v>
      </c>
      <c r="D1202" s="2" t="s">
        <v>17</v>
      </c>
      <c r="E1202" s="5">
        <v>-31462</v>
      </c>
      <c r="F1202" s="3" t="s">
        <v>1028</v>
      </c>
      <c r="G1202" s="3" t="s">
        <v>19</v>
      </c>
      <c r="H1202" s="2" t="s">
        <v>20</v>
      </c>
      <c r="I1202" s="2" t="s">
        <v>2850</v>
      </c>
      <c r="J1202" s="3" t="str">
        <f>HYPERLINK("https://www.boe.es/gazeta/dias/1813/11/09/pdfs/GMR-1813-71.pdf#page=4","Abrir facsímil")</f>
        <v>Abrir facsímil</v>
      </c>
      <c r="K1202" s="3" t="s">
        <v>22</v>
      </c>
    </row>
    <row r="1203" spans="1:11" ht="42" customHeight="1">
      <c r="A1203" s="2" t="s">
        <v>2826</v>
      </c>
      <c r="B1203" s="2" t="s">
        <v>2826</v>
      </c>
      <c r="C1203" s="2" t="s">
        <v>16</v>
      </c>
      <c r="D1203" s="2" t="s">
        <v>17</v>
      </c>
      <c r="E1203" s="5">
        <v>-31451</v>
      </c>
      <c r="F1203" s="3" t="s">
        <v>2325</v>
      </c>
      <c r="G1203" s="3" t="s">
        <v>58</v>
      </c>
      <c r="H1203" s="2" t="s">
        <v>20</v>
      </c>
      <c r="I1203" s="2" t="s">
        <v>2851</v>
      </c>
      <c r="J1203" s="3" t="str">
        <f>HYPERLINK("https://www.boe.es/gazeta/dias/1813/11/20/pdfs/GMR-1813-77.pdf#page=2","Abrir facsímil")</f>
        <v>Abrir facsímil</v>
      </c>
      <c r="K1203" s="3" t="s">
        <v>22</v>
      </c>
    </row>
    <row r="1204" spans="1:11" ht="42" customHeight="1">
      <c r="A1204" s="2" t="s">
        <v>2826</v>
      </c>
      <c r="B1204" s="2" t="s">
        <v>2826</v>
      </c>
      <c r="C1204" s="2" t="s">
        <v>16</v>
      </c>
      <c r="D1204" s="2" t="s">
        <v>17</v>
      </c>
      <c r="E1204" s="5">
        <v>-31448</v>
      </c>
      <c r="F1204" s="3" t="s">
        <v>325</v>
      </c>
      <c r="G1204" s="3" t="s">
        <v>54</v>
      </c>
      <c r="H1204" s="2" t="s">
        <v>20</v>
      </c>
      <c r="I1204" s="2" t="s">
        <v>2852</v>
      </c>
      <c r="J1204" s="3" t="str">
        <f>HYPERLINK("https://www.boe.es/gazeta/dias/1813/11/23/pdfs/GMR-1813-78.pdf#page=3","Abrir facsímil")</f>
        <v>Abrir facsímil</v>
      </c>
      <c r="K1204" s="3" t="s">
        <v>22</v>
      </c>
    </row>
    <row r="1205" spans="1:11" ht="42" customHeight="1">
      <c r="A1205" s="2" t="s">
        <v>2853</v>
      </c>
      <c r="B1205" s="2" t="s">
        <v>2853</v>
      </c>
      <c r="C1205" s="2" t="s">
        <v>16</v>
      </c>
      <c r="D1205" s="2" t="s">
        <v>17</v>
      </c>
      <c r="E1205" s="5">
        <v>-31448</v>
      </c>
      <c r="F1205" s="3" t="s">
        <v>325</v>
      </c>
      <c r="G1205" s="3" t="s">
        <v>28</v>
      </c>
      <c r="H1205" s="2" t="s">
        <v>20</v>
      </c>
      <c r="I1205" s="2" t="s">
        <v>2854</v>
      </c>
      <c r="J1205" s="3" t="str">
        <f>HYPERLINK("https://www.boe.es/gazeta/dias/1813/11/23/pdfs/GMR-1813-78.pdf#page=8","Abrir facsímil")</f>
        <v>Abrir facsímil</v>
      </c>
      <c r="K1205" s="3" t="s">
        <v>22</v>
      </c>
    </row>
    <row r="1206" spans="1:11" ht="42" customHeight="1">
      <c r="A1206" s="2" t="s">
        <v>2826</v>
      </c>
      <c r="B1206" s="2" t="s">
        <v>2826</v>
      </c>
      <c r="C1206" s="2" t="s">
        <v>16</v>
      </c>
      <c r="D1206" s="2" t="s">
        <v>17</v>
      </c>
      <c r="E1206" s="5">
        <v>-31446</v>
      </c>
      <c r="F1206" s="3" t="s">
        <v>1078</v>
      </c>
      <c r="G1206" s="3" t="s">
        <v>65</v>
      </c>
      <c r="H1206" s="2" t="s">
        <v>20</v>
      </c>
      <c r="I1206" s="2" t="s">
        <v>2855</v>
      </c>
      <c r="J1206" s="3" t="str">
        <f>HYPERLINK("https://www.boe.es/gazeta/dias/1813/11/25/pdfs/GRE-1813-154.pdf#page=1","Abrir facsímil")</f>
        <v>Abrir facsímil</v>
      </c>
      <c r="K1206" s="3" t="s">
        <v>22</v>
      </c>
    </row>
    <row r="1207" spans="1:11" ht="42" customHeight="1">
      <c r="A1207" s="2" t="s">
        <v>2826</v>
      </c>
      <c r="B1207" s="2" t="s">
        <v>2826</v>
      </c>
      <c r="C1207" s="2" t="s">
        <v>16</v>
      </c>
      <c r="D1207" s="2" t="s">
        <v>17</v>
      </c>
      <c r="E1207" s="5">
        <v>-31446</v>
      </c>
      <c r="F1207" s="3" t="s">
        <v>1078</v>
      </c>
      <c r="G1207" s="3" t="s">
        <v>19</v>
      </c>
      <c r="H1207" s="2" t="s">
        <v>20</v>
      </c>
      <c r="I1207" s="2" t="s">
        <v>2856</v>
      </c>
      <c r="J1207" s="3" t="str">
        <f>HYPERLINK("https://www.boe.es/gazeta/dias/1813/11/25/pdfs/GRE-1813-154.pdf#page=4","Abrir facsímil")</f>
        <v>Abrir facsímil</v>
      </c>
      <c r="K1207" s="3" t="s">
        <v>22</v>
      </c>
    </row>
    <row r="1208" spans="1:11" ht="42" customHeight="1">
      <c r="A1208" s="2" t="s">
        <v>2826</v>
      </c>
      <c r="B1208" s="2" t="s">
        <v>2826</v>
      </c>
      <c r="C1208" s="2" t="s">
        <v>16</v>
      </c>
      <c r="D1208" s="2" t="s">
        <v>17</v>
      </c>
      <c r="E1208" s="5">
        <v>-31441</v>
      </c>
      <c r="F1208" s="3" t="s">
        <v>1933</v>
      </c>
      <c r="G1208" s="3" t="s">
        <v>54</v>
      </c>
      <c r="H1208" s="2" t="s">
        <v>20</v>
      </c>
      <c r="I1208" s="2" t="s">
        <v>2857</v>
      </c>
      <c r="J1208" s="3" t="str">
        <f>HYPERLINK("https://www.boe.es/gazeta/dias/1813/11/30/pdfs/GMR-1813-81.pdf#page=3","Abrir facsímil")</f>
        <v>Abrir facsímil</v>
      </c>
      <c r="K1208" s="3" t="s">
        <v>22</v>
      </c>
    </row>
    <row r="1209" spans="1:11" ht="42" customHeight="1">
      <c r="A1209" s="2" t="s">
        <v>2826</v>
      </c>
      <c r="B1209" s="2" t="s">
        <v>2826</v>
      </c>
      <c r="C1209" s="2" t="s">
        <v>16</v>
      </c>
      <c r="D1209" s="2" t="s">
        <v>17</v>
      </c>
      <c r="E1209" s="5">
        <v>-31437</v>
      </c>
      <c r="F1209" s="3" t="s">
        <v>217</v>
      </c>
      <c r="G1209" s="3" t="s">
        <v>65</v>
      </c>
      <c r="H1209" s="2" t="s">
        <v>20</v>
      </c>
      <c r="I1209" s="2" t="s">
        <v>2858</v>
      </c>
      <c r="J1209" s="3" t="str">
        <f>HYPERLINK("https://www.boe.es/gazeta/dias/1813/12/04/pdfs/GRE-1813-160.pdf#page=1","Abrir facsímil")</f>
        <v>Abrir facsímil</v>
      </c>
      <c r="K1209" s="3" t="s">
        <v>22</v>
      </c>
    </row>
    <row r="1210" spans="1:11" ht="42" customHeight="1">
      <c r="A1210" s="2" t="s">
        <v>2826</v>
      </c>
      <c r="B1210" s="2" t="s">
        <v>2826</v>
      </c>
      <c r="C1210" s="2" t="s">
        <v>16</v>
      </c>
      <c r="D1210" s="2" t="s">
        <v>17</v>
      </c>
      <c r="E1210" s="5">
        <v>-31434</v>
      </c>
      <c r="F1210" s="3" t="s">
        <v>18</v>
      </c>
      <c r="G1210" s="3" t="s">
        <v>87</v>
      </c>
      <c r="H1210" s="2" t="s">
        <v>20</v>
      </c>
      <c r="I1210" s="2" t="s">
        <v>2859</v>
      </c>
      <c r="J1210" s="3" t="str">
        <f>HYPERLINK("https://www.boe.es/gazeta/dias/1813/12/07/pdfs/GRE-1813-161.pdf#page=7","Abrir facsímil")</f>
        <v>Abrir facsímil</v>
      </c>
      <c r="K1210" s="3" t="s">
        <v>22</v>
      </c>
    </row>
    <row r="1211" spans="1:11" ht="42" customHeight="1">
      <c r="A1211" s="2" t="s">
        <v>2826</v>
      </c>
      <c r="B1211" s="2" t="s">
        <v>2826</v>
      </c>
      <c r="C1211" s="2" t="s">
        <v>16</v>
      </c>
      <c r="D1211" s="2" t="s">
        <v>17</v>
      </c>
      <c r="E1211" s="5">
        <v>-31427</v>
      </c>
      <c r="F1211" s="3" t="s">
        <v>489</v>
      </c>
      <c r="G1211" s="3" t="s">
        <v>54</v>
      </c>
      <c r="H1211" s="2" t="s">
        <v>20</v>
      </c>
      <c r="I1211" s="2" t="s">
        <v>2860</v>
      </c>
      <c r="J1211" s="3" t="str">
        <f>HYPERLINK("https://www.boe.es/gazeta/dias/1813/12/14/pdfs/GMR-1813-87.pdf#page=3","Abrir facsímil")</f>
        <v>Abrir facsímil</v>
      </c>
      <c r="K1211" s="3" t="s">
        <v>22</v>
      </c>
    </row>
    <row r="1212" spans="1:11" ht="42" customHeight="1">
      <c r="A1212" s="2" t="s">
        <v>2826</v>
      </c>
      <c r="B1212" s="2" t="s">
        <v>2826</v>
      </c>
      <c r="C1212" s="2" t="s">
        <v>16</v>
      </c>
      <c r="D1212" s="2" t="s">
        <v>17</v>
      </c>
      <c r="E1212" s="5">
        <v>-31427</v>
      </c>
      <c r="F1212" s="3" t="s">
        <v>489</v>
      </c>
      <c r="G1212" s="3" t="s">
        <v>19</v>
      </c>
      <c r="H1212" s="2" t="s">
        <v>20</v>
      </c>
      <c r="I1212" s="2" t="s">
        <v>2861</v>
      </c>
      <c r="J1212" s="3" t="str">
        <f>HYPERLINK("https://www.boe.es/gazeta/dias/1813/12/14/pdfs/GMR-1813-87.pdf#page=4","Abrir facsímil")</f>
        <v>Abrir facsímil</v>
      </c>
      <c r="K1212" s="3" t="s">
        <v>22</v>
      </c>
    </row>
    <row r="1213" spans="1:11" ht="42" customHeight="1">
      <c r="A1213" s="2" t="s">
        <v>2826</v>
      </c>
      <c r="B1213" s="2" t="s">
        <v>2826</v>
      </c>
      <c r="C1213" s="2" t="s">
        <v>16</v>
      </c>
      <c r="D1213" s="2" t="s">
        <v>17</v>
      </c>
      <c r="E1213" s="5">
        <v>-31425</v>
      </c>
      <c r="F1213" s="3" t="s">
        <v>1955</v>
      </c>
      <c r="G1213" s="3" t="s">
        <v>82</v>
      </c>
      <c r="H1213" s="2" t="s">
        <v>20</v>
      </c>
      <c r="I1213" s="2" t="s">
        <v>2862</v>
      </c>
      <c r="J1213" s="3" t="str">
        <f>HYPERLINK("https://www.boe.es/gazeta/dias/1813/12/16/pdfs/GMR-1813-88.pdf#page=5","Abrir facsímil")</f>
        <v>Abrir facsímil</v>
      </c>
      <c r="K1213" s="3" t="s">
        <v>22</v>
      </c>
    </row>
    <row r="1214" spans="1:11" ht="42" customHeight="1">
      <c r="A1214" s="2" t="s">
        <v>2826</v>
      </c>
      <c r="B1214" s="2" t="s">
        <v>2826</v>
      </c>
      <c r="C1214" s="2" t="s">
        <v>16</v>
      </c>
      <c r="D1214" s="2" t="s">
        <v>17</v>
      </c>
      <c r="E1214" s="5">
        <v>-31420</v>
      </c>
      <c r="F1214" s="3" t="s">
        <v>145</v>
      </c>
      <c r="G1214" s="3" t="s">
        <v>2863</v>
      </c>
      <c r="H1214" s="2" t="s">
        <v>20</v>
      </c>
      <c r="I1214" s="2" t="s">
        <v>2864</v>
      </c>
      <c r="J1214" s="3" t="str">
        <f>HYPERLINK("https://www.boe.es/gazeta/dias/1813/12/21/pdfs/GMR-1813-90.pdf#page=6","Abrir facsímil")</f>
        <v>Abrir facsímil</v>
      </c>
      <c r="K1214" s="3" t="s">
        <v>22</v>
      </c>
    </row>
    <row r="1215" spans="1:11" ht="42" customHeight="1">
      <c r="A1215" s="2" t="s">
        <v>2826</v>
      </c>
      <c r="B1215" s="2" t="s">
        <v>2826</v>
      </c>
      <c r="C1215" s="2" t="s">
        <v>16</v>
      </c>
      <c r="D1215" s="2" t="s">
        <v>17</v>
      </c>
      <c r="E1215" s="5">
        <v>-31420</v>
      </c>
      <c r="F1215" s="3" t="s">
        <v>145</v>
      </c>
      <c r="G1215" s="3" t="s">
        <v>58</v>
      </c>
      <c r="H1215" s="2" t="s">
        <v>20</v>
      </c>
      <c r="I1215" s="2" t="s">
        <v>2865</v>
      </c>
      <c r="J1215" s="3" t="str">
        <f>HYPERLINK("https://www.boe.es/gazeta/dias/1813/12/21/pdfs/GMR-1813-90.pdf#page=2","Abrir facsímil")</f>
        <v>Abrir facsímil</v>
      </c>
      <c r="K1215" s="3" t="s">
        <v>22</v>
      </c>
    </row>
    <row r="1216" spans="1:11" ht="42" customHeight="1">
      <c r="A1216" s="2" t="s">
        <v>2826</v>
      </c>
      <c r="B1216" s="2" t="s">
        <v>2826</v>
      </c>
      <c r="C1216" s="2" t="s">
        <v>16</v>
      </c>
      <c r="D1216" s="2" t="s">
        <v>17</v>
      </c>
      <c r="E1216" s="5">
        <v>-31420</v>
      </c>
      <c r="F1216" s="3" t="s">
        <v>210</v>
      </c>
      <c r="G1216" s="3" t="s">
        <v>82</v>
      </c>
      <c r="H1216" s="2" t="s">
        <v>20</v>
      </c>
      <c r="I1216" s="2" t="s">
        <v>2866</v>
      </c>
      <c r="J1216" s="3" t="str">
        <f>HYPERLINK("https://www.boe.es/gazeta/dias/1813/12/21/pdfs/GRE-1813-167.pdf#page=5","Abrir facsímil")</f>
        <v>Abrir facsímil</v>
      </c>
      <c r="K1216" s="3" t="s">
        <v>22</v>
      </c>
    </row>
    <row r="1217" spans="1:11" ht="42" customHeight="1">
      <c r="A1217" s="2" t="s">
        <v>2826</v>
      </c>
      <c r="B1217" s="2" t="s">
        <v>2826</v>
      </c>
      <c r="C1217" s="2" t="s">
        <v>16</v>
      </c>
      <c r="D1217" s="2" t="s">
        <v>17</v>
      </c>
      <c r="E1217" s="5">
        <v>-31418</v>
      </c>
      <c r="F1217" s="3" t="s">
        <v>147</v>
      </c>
      <c r="G1217" s="3" t="s">
        <v>58</v>
      </c>
      <c r="H1217" s="2" t="s">
        <v>20</v>
      </c>
      <c r="I1217" s="2" t="s">
        <v>2867</v>
      </c>
      <c r="J1217" s="3" t="str">
        <f>HYPERLINK("https://www.boe.es/gazeta/dias/1813/12/23/pdfs/GRE-1813-168.pdf#page=2","Abrir facsímil")</f>
        <v>Abrir facsímil</v>
      </c>
      <c r="K1217" s="3" t="s">
        <v>22</v>
      </c>
    </row>
    <row r="1218" spans="1:11" ht="42" customHeight="1">
      <c r="A1218" s="2" t="s">
        <v>2868</v>
      </c>
      <c r="B1218" s="2" t="s">
        <v>2869</v>
      </c>
      <c r="C1218" s="2" t="s">
        <v>16</v>
      </c>
      <c r="D1218" s="2" t="s">
        <v>17</v>
      </c>
      <c r="E1218" s="5">
        <v>-31770</v>
      </c>
      <c r="F1218" s="3" t="s">
        <v>641</v>
      </c>
      <c r="G1218" s="3" t="s">
        <v>54</v>
      </c>
      <c r="H1218" s="2" t="s">
        <v>20</v>
      </c>
      <c r="I1218" s="2" t="s">
        <v>2870</v>
      </c>
      <c r="J1218" s="3" t="str">
        <f>HYPERLINK("https://www.boe.es/gazeta/dias/1813/01/05/pdfs/GMD-1813-5.pdf#page=3","Abrir facsímil")</f>
        <v>Abrir facsímil</v>
      </c>
      <c r="K1218" s="3" t="s">
        <v>22</v>
      </c>
    </row>
    <row r="1219" spans="1:11" ht="42" customHeight="1">
      <c r="A1219" s="2" t="s">
        <v>2871</v>
      </c>
      <c r="B1219" s="2" t="s">
        <v>2871</v>
      </c>
      <c r="C1219" s="2" t="s">
        <v>16</v>
      </c>
      <c r="D1219" s="2" t="s">
        <v>17</v>
      </c>
      <c r="E1219" s="5">
        <v>-31504</v>
      </c>
      <c r="F1219" s="3" t="s">
        <v>1361</v>
      </c>
      <c r="G1219" s="3" t="s">
        <v>19</v>
      </c>
      <c r="H1219" s="2" t="s">
        <v>20</v>
      </c>
      <c r="I1219" s="2" t="s">
        <v>2872</v>
      </c>
      <c r="J1219" s="3" t="str">
        <f>HYPERLINK("https://www.boe.es/gazeta/dias/1813/09/28/pdfs/GMR-1813-50.pdf#page=4","Abrir facsímil")</f>
        <v>Abrir facsímil</v>
      </c>
      <c r="K1219" s="3" t="s">
        <v>22</v>
      </c>
    </row>
    <row r="1220" spans="1:11" ht="42" customHeight="1">
      <c r="A1220" s="2" t="s">
        <v>2873</v>
      </c>
      <c r="B1220" s="2" t="s">
        <v>2873</v>
      </c>
      <c r="C1220" s="2" t="s">
        <v>16</v>
      </c>
      <c r="D1220" s="2" t="s">
        <v>17</v>
      </c>
      <c r="E1220" s="5">
        <v>-31472</v>
      </c>
      <c r="F1220" s="3" t="s">
        <v>1942</v>
      </c>
      <c r="G1220" s="3" t="s">
        <v>19</v>
      </c>
      <c r="H1220" s="2" t="s">
        <v>20</v>
      </c>
      <c r="I1220" s="2" t="s">
        <v>2874</v>
      </c>
      <c r="J1220" s="3" t="str">
        <f>HYPERLINK("https://www.boe.es/gazeta/dias/1813/10/30/pdfs/GRE-1813-142.pdf#page=4","Abrir facsímil")</f>
        <v>Abrir facsímil</v>
      </c>
      <c r="K1220" s="3" t="s">
        <v>22</v>
      </c>
    </row>
    <row r="1221" spans="1:11" ht="42" customHeight="1">
      <c r="A1221" s="2" t="s">
        <v>2875</v>
      </c>
      <c r="B1221" s="2" t="s">
        <v>2876</v>
      </c>
      <c r="C1221" s="2" t="s">
        <v>16</v>
      </c>
      <c r="D1221" s="2" t="s">
        <v>17</v>
      </c>
      <c r="E1221" s="5">
        <v>-31767</v>
      </c>
      <c r="F1221" s="3" t="s">
        <v>1915</v>
      </c>
      <c r="G1221" s="3" t="s">
        <v>19</v>
      </c>
      <c r="H1221" s="2" t="s">
        <v>20</v>
      </c>
      <c r="I1221" s="2" t="s">
        <v>2877</v>
      </c>
      <c r="J1221" s="3" t="str">
        <f>HYPERLINK("https://www.boe.es/gazeta/dias/1813/01/08/pdfs/GMD-1813-8.pdf#page=4","Abrir facsímil")</f>
        <v>Abrir facsímil</v>
      </c>
      <c r="K1221" s="3" t="s">
        <v>22</v>
      </c>
    </row>
    <row r="1222" spans="1:11" ht="42" customHeight="1">
      <c r="A1222" s="2" t="s">
        <v>2878</v>
      </c>
      <c r="B1222" s="2" t="s">
        <v>2878</v>
      </c>
      <c r="C1222" s="2" t="s">
        <v>16</v>
      </c>
      <c r="D1222" s="2" t="s">
        <v>17</v>
      </c>
      <c r="E1222" s="5">
        <v>-31495</v>
      </c>
      <c r="F1222" s="3" t="s">
        <v>194</v>
      </c>
      <c r="G1222" s="3" t="s">
        <v>65</v>
      </c>
      <c r="H1222" s="2" t="s">
        <v>20</v>
      </c>
      <c r="I1222" s="2" t="s">
        <v>2879</v>
      </c>
      <c r="J1222" s="3" t="str">
        <f>HYPERLINK("https://www.boe.es/gazeta/dias/1813/10/07/pdfs/GMR-1813-55.pdf#page=1","Abrir facsímil")</f>
        <v>Abrir facsímil</v>
      </c>
      <c r="K1222" s="3" t="s">
        <v>22</v>
      </c>
    </row>
    <row r="1223" spans="1:11" ht="42" customHeight="1">
      <c r="A1223" s="2" t="s">
        <v>2880</v>
      </c>
      <c r="B1223" s="2" t="s">
        <v>2880</v>
      </c>
      <c r="C1223" s="2" t="s">
        <v>16</v>
      </c>
      <c r="D1223" s="2" t="s">
        <v>17</v>
      </c>
      <c r="E1223" s="5">
        <v>-31763</v>
      </c>
      <c r="F1223" s="3" t="s">
        <v>668</v>
      </c>
      <c r="G1223" s="3" t="s">
        <v>669</v>
      </c>
      <c r="H1223" s="2" t="s">
        <v>20</v>
      </c>
      <c r="I1223" s="2" t="s">
        <v>2881</v>
      </c>
      <c r="J1223" s="3" t="str">
        <f>HYPERLINK("https://www.boe.es/gazeta/dias/1813/01/12/pdfs/GRE-1813-5.pdf#page=6","Abrir facsímil")</f>
        <v>Abrir facsímil</v>
      </c>
      <c r="K1223" s="3" t="s">
        <v>22</v>
      </c>
    </row>
    <row r="1224" spans="1:11" ht="42" customHeight="1">
      <c r="A1224" s="2" t="s">
        <v>2882</v>
      </c>
      <c r="B1224" s="2" t="s">
        <v>2883</v>
      </c>
      <c r="C1224" s="2" t="s">
        <v>16</v>
      </c>
      <c r="D1224" s="2" t="s">
        <v>17</v>
      </c>
      <c r="E1224" s="5">
        <v>-31679</v>
      </c>
      <c r="F1224" s="3" t="s">
        <v>571</v>
      </c>
      <c r="G1224" s="3" t="s">
        <v>2884</v>
      </c>
      <c r="H1224" s="2" t="s">
        <v>20</v>
      </c>
      <c r="I1224" s="2" t="s">
        <v>2885</v>
      </c>
      <c r="J1224" s="3" t="str">
        <f>HYPERLINK("https://www.boe.es/gazeta/dias/1813/04/06/pdfs/GRE-1813-42.pdf#page=7","Abrir facsímil")</f>
        <v>Abrir facsímil</v>
      </c>
      <c r="K1224" s="3" t="s">
        <v>22</v>
      </c>
    </row>
    <row r="1225" spans="1:11" ht="42" customHeight="1">
      <c r="A1225" s="2" t="s">
        <v>2886</v>
      </c>
      <c r="B1225" s="2" t="s">
        <v>2886</v>
      </c>
      <c r="C1225" s="2" t="s">
        <v>187</v>
      </c>
      <c r="D1225" s="2" t="s">
        <v>26</v>
      </c>
      <c r="E1225" s="5">
        <v>-31728</v>
      </c>
      <c r="F1225" s="3" t="s">
        <v>2887</v>
      </c>
      <c r="G1225" s="3" t="s">
        <v>58</v>
      </c>
      <c r="H1225" s="2" t="s">
        <v>20</v>
      </c>
      <c r="I1225" s="2" t="s">
        <v>2888</v>
      </c>
      <c r="J1225" s="3" t="str">
        <f>HYPERLINK("https://www.boe.es/gazeta/dias/1813/02/16/pdfs/GMD-1813-47.pdf#page=2","Abrir facsímil")</f>
        <v>Abrir facsímil</v>
      </c>
      <c r="K1225" s="3" t="s">
        <v>22</v>
      </c>
    </row>
    <row r="1226" spans="1:11" ht="42" customHeight="1">
      <c r="A1226" s="2" t="s">
        <v>2889</v>
      </c>
      <c r="B1226" s="2" t="s">
        <v>2889</v>
      </c>
      <c r="C1226" s="2" t="s">
        <v>25</v>
      </c>
      <c r="D1226" s="2" t="s">
        <v>26</v>
      </c>
      <c r="E1226" s="5">
        <v>-31728</v>
      </c>
      <c r="F1226" s="3" t="s">
        <v>2887</v>
      </c>
      <c r="G1226" s="3" t="s">
        <v>65</v>
      </c>
      <c r="H1226" s="2" t="s">
        <v>20</v>
      </c>
      <c r="I1226" s="2" t="s">
        <v>2890</v>
      </c>
      <c r="J1226" s="3" t="str">
        <f>HYPERLINK("https://www.boe.es/gazeta/dias/1813/02/16/pdfs/GMD-1813-47.pdf#page=1","Abrir facsímil")</f>
        <v>Abrir facsímil</v>
      </c>
      <c r="K1226" s="3" t="s">
        <v>22</v>
      </c>
    </row>
    <row r="1227" spans="1:11" ht="42" customHeight="1">
      <c r="A1227" s="2" t="s">
        <v>2891</v>
      </c>
      <c r="B1227" s="2" t="s">
        <v>2892</v>
      </c>
      <c r="C1227" s="2" t="s">
        <v>187</v>
      </c>
      <c r="D1227" s="2" t="s">
        <v>26</v>
      </c>
      <c r="E1227" s="5">
        <v>-31469</v>
      </c>
      <c r="F1227" s="3" t="s">
        <v>1452</v>
      </c>
      <c r="G1227" s="3" t="s">
        <v>2893</v>
      </c>
      <c r="H1227" s="2" t="s">
        <v>29</v>
      </c>
      <c r="I1227" s="2" t="s">
        <v>2894</v>
      </c>
      <c r="J1227" s="3" t="str">
        <f>HYPERLINK("https://www.boe.es/gazeta/dias/1813/11/02/pdfs/GRE-1813-143.pdf#page=8","Abrir facsímil")</f>
        <v>Abrir facsímil</v>
      </c>
      <c r="K1227" s="3" t="s">
        <v>31</v>
      </c>
    </row>
    <row r="1228" spans="1:11" ht="42" customHeight="1">
      <c r="A1228" s="2" t="s">
        <v>2895</v>
      </c>
      <c r="B1228" s="2" t="s">
        <v>2896</v>
      </c>
      <c r="C1228" s="2" t="s">
        <v>16</v>
      </c>
      <c r="D1228" s="2" t="s">
        <v>17</v>
      </c>
      <c r="E1228" s="5">
        <v>-31738</v>
      </c>
      <c r="F1228" s="3" t="s">
        <v>556</v>
      </c>
      <c r="G1228" s="3" t="s">
        <v>28</v>
      </c>
      <c r="H1228" s="2" t="s">
        <v>20</v>
      </c>
      <c r="I1228" s="2" t="s">
        <v>2897</v>
      </c>
      <c r="J1228" s="3" t="str">
        <f>HYPERLINK("https://www.boe.es/gazeta/dias/1813/02/06/pdfs/GRE-1813-16.pdf#page=8","Abrir facsímil")</f>
        <v>Abrir facsímil</v>
      </c>
      <c r="K1228" s="3" t="s">
        <v>22</v>
      </c>
    </row>
    <row r="1229" spans="1:11" ht="42" customHeight="1">
      <c r="A1229" s="2" t="s">
        <v>2898</v>
      </c>
      <c r="B1229" s="2" t="s">
        <v>2899</v>
      </c>
      <c r="C1229" s="2" t="s">
        <v>16</v>
      </c>
      <c r="D1229" s="2" t="s">
        <v>17</v>
      </c>
      <c r="E1229" s="5">
        <v>-31549</v>
      </c>
      <c r="F1229" s="3" t="s">
        <v>294</v>
      </c>
      <c r="G1229" s="3" t="s">
        <v>54</v>
      </c>
      <c r="H1229" s="2" t="s">
        <v>29</v>
      </c>
      <c r="I1229" s="2" t="s">
        <v>2900</v>
      </c>
      <c r="J1229" s="3" t="str">
        <f>HYPERLINK("https://www.boe.es/gazeta/dias/1813/08/14/pdfs/GRE-1813-103.pdf#page=3","Abrir facsímil")</f>
        <v>Abrir facsímil</v>
      </c>
      <c r="K1229" s="3" t="s">
        <v>31</v>
      </c>
    </row>
    <row r="1230" spans="1:11" ht="42" customHeight="1">
      <c r="A1230" s="2" t="s">
        <v>2901</v>
      </c>
      <c r="B1230" s="2" t="s">
        <v>2902</v>
      </c>
      <c r="C1230" s="2" t="s">
        <v>16</v>
      </c>
      <c r="D1230" s="2" t="s">
        <v>17</v>
      </c>
      <c r="E1230" s="5">
        <v>-31546</v>
      </c>
      <c r="F1230" s="3" t="s">
        <v>2057</v>
      </c>
      <c r="G1230" s="3" t="s">
        <v>95</v>
      </c>
      <c r="H1230" s="2" t="s">
        <v>29</v>
      </c>
      <c r="I1230" s="2" t="s">
        <v>2903</v>
      </c>
      <c r="J1230" s="3" t="str">
        <f>HYPERLINK("https://www.boe.es/gazeta/dias/1813/08/17/pdfs/GRE-1813-105.pdf#page=6","Abrir facsímil")</f>
        <v>Abrir facsímil</v>
      </c>
      <c r="K1230" s="3" t="s">
        <v>31</v>
      </c>
    </row>
    <row r="1231" spans="1:11" ht="42" customHeight="1">
      <c r="A1231" s="2" t="s">
        <v>2904</v>
      </c>
      <c r="B1231" s="2" t="s">
        <v>2905</v>
      </c>
      <c r="C1231" s="2" t="s">
        <v>187</v>
      </c>
      <c r="D1231" s="2" t="s">
        <v>26</v>
      </c>
      <c r="E1231" s="5">
        <v>-31549</v>
      </c>
      <c r="F1231" s="3" t="s">
        <v>294</v>
      </c>
      <c r="G1231" s="3" t="s">
        <v>28</v>
      </c>
      <c r="H1231" s="2" t="s">
        <v>20</v>
      </c>
      <c r="I1231" s="2" t="s">
        <v>2906</v>
      </c>
      <c r="J1231" s="3" t="str">
        <f>HYPERLINK("https://www.boe.es/gazeta/dias/1813/08/14/pdfs/GRE-1813-103.pdf#page=8","Abrir facsímil")</f>
        <v>Abrir facsímil</v>
      </c>
      <c r="K1231" s="3" t="s">
        <v>22</v>
      </c>
    </row>
    <row r="1232" spans="1:11" ht="42" customHeight="1">
      <c r="A1232" s="2" t="s">
        <v>2907</v>
      </c>
      <c r="B1232" s="2" t="s">
        <v>2908</v>
      </c>
      <c r="C1232" s="2" t="s">
        <v>187</v>
      </c>
      <c r="D1232" s="2" t="s">
        <v>26</v>
      </c>
      <c r="E1232" s="5">
        <v>-31490</v>
      </c>
      <c r="F1232" s="3" t="s">
        <v>2909</v>
      </c>
      <c r="G1232" s="3" t="s">
        <v>258</v>
      </c>
      <c r="H1232" s="2" t="s">
        <v>20</v>
      </c>
      <c r="I1232" s="2" t="s">
        <v>2910</v>
      </c>
      <c r="J1232" s="3" t="str">
        <f>HYPERLINK("https://www.boe.es/gazeta/dias/1813/10/12/pdfs/GMR-1813-57.pdf#page=12","Abrir facsímil")</f>
        <v>Abrir facsímil</v>
      </c>
      <c r="K1232" s="3" t="s">
        <v>22</v>
      </c>
    </row>
    <row r="1233" spans="1:11" ht="42" customHeight="1">
      <c r="A1233" s="2" t="s">
        <v>2911</v>
      </c>
      <c r="B1233" s="2" t="s">
        <v>2911</v>
      </c>
      <c r="C1233" s="2" t="s">
        <v>16</v>
      </c>
      <c r="D1233" s="2" t="s">
        <v>17</v>
      </c>
      <c r="E1233" s="5">
        <v>-31525</v>
      </c>
      <c r="F1233" s="3" t="s">
        <v>135</v>
      </c>
      <c r="G1233" s="3" t="s">
        <v>65</v>
      </c>
      <c r="H1233" s="2" t="s">
        <v>20</v>
      </c>
      <c r="I1233" s="2" t="s">
        <v>2912</v>
      </c>
      <c r="J1233" s="3" t="str">
        <f>HYPERLINK("https://www.boe.es/gazeta/dias/1813/09/07/pdfs/GMR-1813-38.pdf#page=1","Abrir facsímil")</f>
        <v>Abrir facsímil</v>
      </c>
      <c r="K1233" s="3" t="s">
        <v>22</v>
      </c>
    </row>
    <row r="1234" spans="1:11" ht="42" customHeight="1">
      <c r="A1234" s="2" t="s">
        <v>2913</v>
      </c>
      <c r="B1234" s="2" t="s">
        <v>2914</v>
      </c>
      <c r="C1234" s="2" t="s">
        <v>16</v>
      </c>
      <c r="D1234" s="2" t="s">
        <v>17</v>
      </c>
      <c r="E1234" s="5">
        <v>-31523</v>
      </c>
      <c r="F1234" s="3" t="s">
        <v>81</v>
      </c>
      <c r="G1234" s="3" t="s">
        <v>82</v>
      </c>
      <c r="H1234" s="2" t="s">
        <v>20</v>
      </c>
      <c r="I1234" s="2" t="s">
        <v>2915</v>
      </c>
      <c r="J1234" s="3" t="str">
        <f>HYPERLINK("https://www.boe.es/gazeta/dias/1813/09/09/pdfs/GRE-1813-115.pdf#page=5","Abrir facsímil")</f>
        <v>Abrir facsímil</v>
      </c>
      <c r="K1234" s="3" t="s">
        <v>22</v>
      </c>
    </row>
    <row r="1235" spans="1:11" ht="42" customHeight="1">
      <c r="A1235" s="2" t="s">
        <v>2916</v>
      </c>
      <c r="B1235" s="2" t="s">
        <v>2917</v>
      </c>
      <c r="C1235" s="2" t="s">
        <v>25</v>
      </c>
      <c r="D1235" s="2" t="s">
        <v>26</v>
      </c>
      <c r="E1235" s="5">
        <v>-31747</v>
      </c>
      <c r="F1235" s="3" t="s">
        <v>86</v>
      </c>
      <c r="G1235" s="3" t="s">
        <v>87</v>
      </c>
      <c r="H1235" s="2" t="s">
        <v>29</v>
      </c>
      <c r="I1235" s="2" t="s">
        <v>2918</v>
      </c>
      <c r="J1235" s="3" t="str">
        <f>HYPERLINK("https://www.boe.es/gazeta/dias/1813/01/28/pdfs/GRE-1813-12.pdf#page=7","Abrir facsímil")</f>
        <v>Abrir facsímil</v>
      </c>
      <c r="K1235" s="3" t="s">
        <v>31</v>
      </c>
    </row>
    <row r="1236" spans="1:11" ht="42" customHeight="1">
      <c r="A1236" s="2" t="s">
        <v>2919</v>
      </c>
      <c r="B1236" s="2" t="s">
        <v>2920</v>
      </c>
      <c r="C1236" s="2" t="s">
        <v>25</v>
      </c>
      <c r="D1236" s="2" t="s">
        <v>26</v>
      </c>
      <c r="E1236" s="5">
        <v>-31663</v>
      </c>
      <c r="F1236" s="3" t="s">
        <v>871</v>
      </c>
      <c r="G1236" s="3" t="s">
        <v>54</v>
      </c>
      <c r="H1236" s="2" t="s">
        <v>29</v>
      </c>
      <c r="I1236" s="2" t="s">
        <v>2921</v>
      </c>
      <c r="J1236" s="3" t="str">
        <f>HYPERLINK("https://www.boe.es/gazeta/dias/1813/04/22/pdfs/GMD-1813-112.pdf#page=3","Abrir facsímil")</f>
        <v>Abrir facsímil</v>
      </c>
      <c r="K1236" s="3" t="s">
        <v>31</v>
      </c>
    </row>
    <row r="1237" spans="1:11" ht="42" customHeight="1">
      <c r="A1237" s="2" t="s">
        <v>2922</v>
      </c>
      <c r="B1237" s="2" t="s">
        <v>2923</v>
      </c>
      <c r="C1237" s="2" t="s">
        <v>16</v>
      </c>
      <c r="D1237" s="2" t="s">
        <v>17</v>
      </c>
      <c r="E1237" s="5">
        <v>-31668</v>
      </c>
      <c r="F1237" s="3" t="s">
        <v>574</v>
      </c>
      <c r="G1237" s="3" t="s">
        <v>82</v>
      </c>
      <c r="H1237" s="2" t="s">
        <v>20</v>
      </c>
      <c r="I1237" s="2" t="s">
        <v>2924</v>
      </c>
      <c r="J1237" s="3" t="str">
        <f>HYPERLINK("https://www.boe.es/gazeta/dias/1813/04/17/pdfs/GRE-1813-48.pdf#page=5","Abrir facsímil")</f>
        <v>Abrir facsímil</v>
      </c>
      <c r="K1237" s="3" t="s">
        <v>22</v>
      </c>
    </row>
    <row r="1238" spans="1:11" ht="42" customHeight="1">
      <c r="A1238" s="2" t="s">
        <v>2925</v>
      </c>
      <c r="B1238" s="2" t="s">
        <v>2925</v>
      </c>
      <c r="C1238" s="2" t="s">
        <v>16</v>
      </c>
      <c r="D1238" s="2" t="s">
        <v>17</v>
      </c>
      <c r="E1238" s="5">
        <v>-31706</v>
      </c>
      <c r="F1238" s="3" t="s">
        <v>2256</v>
      </c>
      <c r="G1238" s="3" t="s">
        <v>58</v>
      </c>
      <c r="H1238" s="2" t="s">
        <v>20</v>
      </c>
      <c r="I1238" s="2" t="s">
        <v>2926</v>
      </c>
      <c r="J1238" s="3" t="str">
        <f>HYPERLINK("https://www.boe.es/gazeta/dias/1813/03/10/pdfs/GMD-1813-69.pdf#page=2","Abrir facsímil")</f>
        <v>Abrir facsímil</v>
      </c>
      <c r="K1238" s="3" t="s">
        <v>22</v>
      </c>
    </row>
    <row r="1239" spans="1:11" ht="42" customHeight="1">
      <c r="A1239" s="2" t="s">
        <v>2925</v>
      </c>
      <c r="B1239" s="2" t="s">
        <v>2925</v>
      </c>
      <c r="C1239" s="2" t="s">
        <v>25</v>
      </c>
      <c r="D1239" s="2" t="s">
        <v>26</v>
      </c>
      <c r="E1239" s="5">
        <v>-31453</v>
      </c>
      <c r="F1239" s="3" t="s">
        <v>887</v>
      </c>
      <c r="G1239" s="3" t="s">
        <v>929</v>
      </c>
      <c r="H1239" s="2" t="s">
        <v>20</v>
      </c>
      <c r="I1239" s="2" t="s">
        <v>2927</v>
      </c>
      <c r="J1239" s="3" t="str">
        <f>HYPERLINK("https://www.boe.es/gazeta/dias/1813/11/18/pdfs/GMR-1813-76.pdf#page=11","Abrir facsímil")</f>
        <v>Abrir facsímil</v>
      </c>
      <c r="K1239" s="3" t="s">
        <v>22</v>
      </c>
    </row>
    <row r="1240" spans="1:11" ht="42" customHeight="1">
      <c r="A1240" s="2" t="s">
        <v>2928</v>
      </c>
      <c r="B1240" s="2" t="s">
        <v>2929</v>
      </c>
      <c r="C1240" s="2" t="s">
        <v>16</v>
      </c>
      <c r="D1240" s="2" t="s">
        <v>17</v>
      </c>
      <c r="E1240" s="5">
        <v>-31465</v>
      </c>
      <c r="F1240" s="3" t="s">
        <v>2930</v>
      </c>
      <c r="G1240" s="3" t="s">
        <v>2931</v>
      </c>
      <c r="H1240" s="2" t="s">
        <v>20</v>
      </c>
      <c r="I1240" s="2" t="s">
        <v>2932</v>
      </c>
      <c r="J1240" s="3" t="str">
        <f>HYPERLINK("https://www.boe.es/gazeta/dias/1813/11/06/pdfs/GRE-1813-145.pdf#page=4","Abrir facsímil")</f>
        <v>Abrir facsímil</v>
      </c>
      <c r="K1240" s="3" t="s">
        <v>22</v>
      </c>
    </row>
    <row r="1241" spans="1:11" ht="42" customHeight="1">
      <c r="A1241" s="2" t="s">
        <v>2933</v>
      </c>
      <c r="B1241" s="2" t="s">
        <v>2934</v>
      </c>
      <c r="C1241" s="2" t="s">
        <v>25</v>
      </c>
      <c r="D1241" s="2" t="s">
        <v>26</v>
      </c>
      <c r="E1241" s="5">
        <v>-31483</v>
      </c>
      <c r="F1241" s="3" t="s">
        <v>308</v>
      </c>
      <c r="G1241" s="3" t="s">
        <v>87</v>
      </c>
      <c r="H1241" s="2" t="s">
        <v>20</v>
      </c>
      <c r="I1241" s="2" t="s">
        <v>2935</v>
      </c>
      <c r="J1241" s="3" t="str">
        <f>HYPERLINK("https://www.boe.es/gazeta/dias/1813/10/19/pdfs/GRE-1813-136.pdf#page=7","Abrir facsímil")</f>
        <v>Abrir facsímil</v>
      </c>
      <c r="K1241" s="3" t="s">
        <v>22</v>
      </c>
    </row>
    <row r="1242" spans="1:11" ht="42" customHeight="1">
      <c r="A1242" s="2" t="s">
        <v>2936</v>
      </c>
      <c r="B1242" s="2" t="s">
        <v>2937</v>
      </c>
      <c r="C1242" s="2" t="s">
        <v>16</v>
      </c>
      <c r="D1242" s="2" t="s">
        <v>97</v>
      </c>
      <c r="E1242" s="5">
        <v>-31519</v>
      </c>
      <c r="F1242" s="3" t="s">
        <v>312</v>
      </c>
      <c r="G1242" s="3" t="s">
        <v>313</v>
      </c>
      <c r="H1242" s="2" t="s">
        <v>20</v>
      </c>
      <c r="I1242" s="2" t="s">
        <v>2938</v>
      </c>
      <c r="J1242" s="3" t="str">
        <f>HYPERLINK("https://www.boe.es/gazeta/dias/1813/09/13/pdfs/GRE-1813-118E.pdf#page=9","Abrir facsímil")</f>
        <v>Abrir facsímil</v>
      </c>
      <c r="K1242" s="3" t="s">
        <v>22</v>
      </c>
    </row>
    <row r="1243" spans="1:11" ht="42" customHeight="1">
      <c r="A1243" s="2" t="s">
        <v>2939</v>
      </c>
      <c r="B1243" s="2" t="s">
        <v>2940</v>
      </c>
      <c r="C1243" s="2" t="s">
        <v>16</v>
      </c>
      <c r="D1243" s="2" t="s">
        <v>17</v>
      </c>
      <c r="E1243" s="5">
        <v>-31483</v>
      </c>
      <c r="F1243" s="3" t="s">
        <v>308</v>
      </c>
      <c r="G1243" s="3" t="s">
        <v>19</v>
      </c>
      <c r="H1243" s="2" t="s">
        <v>20</v>
      </c>
      <c r="I1243" s="2" t="s">
        <v>2941</v>
      </c>
      <c r="J1243" s="3" t="str">
        <f>HYPERLINK("https://www.boe.es/gazeta/dias/1813/10/19/pdfs/GRE-1813-136.pdf#page=4","Abrir facsímil")</f>
        <v>Abrir facsímil</v>
      </c>
      <c r="K1243" s="3" t="s">
        <v>22</v>
      </c>
    </row>
    <row r="1244" spans="1:11" ht="42" customHeight="1">
      <c r="A1244" s="2" t="s">
        <v>2942</v>
      </c>
      <c r="B1244" s="2" t="s">
        <v>2943</v>
      </c>
      <c r="C1244" s="2" t="s">
        <v>16</v>
      </c>
      <c r="D1244" s="2" t="s">
        <v>97</v>
      </c>
      <c r="E1244" s="5">
        <v>-31479</v>
      </c>
      <c r="F1244" s="3" t="s">
        <v>290</v>
      </c>
      <c r="G1244" s="3" t="s">
        <v>87</v>
      </c>
      <c r="H1244" s="2" t="s">
        <v>20</v>
      </c>
      <c r="I1244" s="2" t="s">
        <v>2944</v>
      </c>
      <c r="J1244" s="3" t="str">
        <f>HYPERLINK("https://www.boe.es/gazeta/dias/1813/10/23/pdfs/GRE-1813-139E.pdf#page=7","Abrir facsímil")</f>
        <v>Abrir facsímil</v>
      </c>
      <c r="K1244" s="3" t="s">
        <v>22</v>
      </c>
    </row>
    <row r="1245" spans="1:11" ht="42" customHeight="1">
      <c r="A1245" s="2" t="s">
        <v>2945</v>
      </c>
      <c r="B1245" s="2" t="s">
        <v>2946</v>
      </c>
      <c r="C1245" s="2" t="s">
        <v>16</v>
      </c>
      <c r="D1245" s="2" t="s">
        <v>17</v>
      </c>
      <c r="E1245" s="5">
        <v>-31738</v>
      </c>
      <c r="F1245" s="3" t="s">
        <v>556</v>
      </c>
      <c r="G1245" s="3" t="s">
        <v>28</v>
      </c>
      <c r="H1245" s="2" t="s">
        <v>20</v>
      </c>
      <c r="I1245" s="2" t="s">
        <v>2947</v>
      </c>
      <c r="J1245" s="3" t="str">
        <f>HYPERLINK("https://www.boe.es/gazeta/dias/1813/02/06/pdfs/GRE-1813-16.pdf#page=8","Abrir facsímil")</f>
        <v>Abrir facsímil</v>
      </c>
      <c r="K1245" s="3" t="s">
        <v>22</v>
      </c>
    </row>
    <row r="1246" spans="1:11" ht="42" customHeight="1">
      <c r="A1246" s="2" t="s">
        <v>2948</v>
      </c>
      <c r="B1246" s="2" t="s">
        <v>2949</v>
      </c>
      <c r="C1246" s="2" t="s">
        <v>16</v>
      </c>
      <c r="D1246" s="2" t="s">
        <v>17</v>
      </c>
      <c r="E1246" s="5">
        <v>-31560</v>
      </c>
      <c r="F1246" s="3" t="s">
        <v>1233</v>
      </c>
      <c r="G1246" s="3" t="s">
        <v>87</v>
      </c>
      <c r="H1246" s="2" t="s">
        <v>20</v>
      </c>
      <c r="I1246" s="2" t="s">
        <v>2950</v>
      </c>
      <c r="J1246" s="3" t="str">
        <f>HYPERLINK("https://www.boe.es/gazeta/dias/1813/08/03/pdfs/GMR-1813-23.pdf#page=7","Abrir facsímil")</f>
        <v>Abrir facsímil</v>
      </c>
      <c r="K1246" s="3" t="s">
        <v>22</v>
      </c>
    </row>
    <row r="1247" spans="1:11" ht="42" customHeight="1">
      <c r="A1247" s="2" t="s">
        <v>2951</v>
      </c>
      <c r="B1247" s="2" t="s">
        <v>2952</v>
      </c>
      <c r="C1247" s="2" t="s">
        <v>34</v>
      </c>
      <c r="D1247" s="2" t="s">
        <v>35</v>
      </c>
      <c r="E1247" s="5">
        <v>-31637</v>
      </c>
      <c r="F1247" s="3" t="s">
        <v>234</v>
      </c>
      <c r="G1247" s="3" t="s">
        <v>58</v>
      </c>
      <c r="H1247" s="2" t="s">
        <v>29</v>
      </c>
      <c r="I1247" s="2" t="s">
        <v>2953</v>
      </c>
      <c r="J1247" s="3" t="str">
        <f>HYPERLINK("https://www.boe.es/gazeta/dias/1813/05/18/pdfs/GRE-1813-61.pdf#page=2","Abrir facsímil")</f>
        <v>Abrir facsímil</v>
      </c>
      <c r="K1247" s="3" t="s">
        <v>31</v>
      </c>
    </row>
    <row r="1248" spans="1:11" ht="42" customHeight="1">
      <c r="A1248" s="2" t="s">
        <v>2954</v>
      </c>
      <c r="B1248" s="2" t="s">
        <v>2954</v>
      </c>
      <c r="C1248" s="2" t="s">
        <v>16</v>
      </c>
      <c r="D1248" s="2" t="s">
        <v>17</v>
      </c>
      <c r="E1248" s="5">
        <v>-31605</v>
      </c>
      <c r="F1248" s="3" t="s">
        <v>884</v>
      </c>
      <c r="G1248" s="3" t="s">
        <v>19</v>
      </c>
      <c r="H1248" s="2" t="s">
        <v>20</v>
      </c>
      <c r="I1248" s="2" t="s">
        <v>2955</v>
      </c>
      <c r="J1248" s="3" t="str">
        <f>HYPERLINK("https://www.boe.es/gazeta/dias/1813/06/19/pdfs/GRE-1813-76.pdf#page=4","Abrir facsímil")</f>
        <v>Abrir facsímil</v>
      </c>
      <c r="K1248" s="3" t="s">
        <v>22</v>
      </c>
    </row>
    <row r="1249" spans="1:11" ht="42" customHeight="1">
      <c r="A1249" s="2" t="s">
        <v>2956</v>
      </c>
      <c r="B1249" s="2" t="s">
        <v>2956</v>
      </c>
      <c r="C1249" s="2" t="s">
        <v>34</v>
      </c>
      <c r="D1249" s="2" t="s">
        <v>35</v>
      </c>
      <c r="E1249" s="5">
        <v>-31742</v>
      </c>
      <c r="F1249" s="3" t="s">
        <v>2667</v>
      </c>
      <c r="G1249" s="3" t="s">
        <v>58</v>
      </c>
      <c r="H1249" s="2" t="s">
        <v>20</v>
      </c>
      <c r="I1249" s="2" t="s">
        <v>2957</v>
      </c>
      <c r="J1249" s="3" t="str">
        <f>HYPERLINK("https://www.boe.es/gazeta/dias/1813/02/02/pdfs/GRE-1813-14.pdf#page=2","Abrir facsímil")</f>
        <v>Abrir facsímil</v>
      </c>
      <c r="K1249" s="3" t="s">
        <v>22</v>
      </c>
    </row>
    <row r="1250" spans="1:11" ht="42" customHeight="1">
      <c r="A1250" s="2" t="s">
        <v>2958</v>
      </c>
      <c r="B1250" s="2" t="s">
        <v>2959</v>
      </c>
      <c r="C1250" s="2" t="s">
        <v>25</v>
      </c>
      <c r="D1250" s="2" t="s">
        <v>26</v>
      </c>
      <c r="E1250" s="5">
        <v>-31675</v>
      </c>
      <c r="F1250" s="3" t="s">
        <v>27</v>
      </c>
      <c r="G1250" s="3" t="s">
        <v>28</v>
      </c>
      <c r="H1250" s="2" t="s">
        <v>20</v>
      </c>
      <c r="I1250" s="2" t="s">
        <v>2960</v>
      </c>
      <c r="J1250" s="3" t="str">
        <f>HYPERLINK("https://www.boe.es/gazeta/dias/1813/04/10/pdfs/GRE-1813-44.pdf#page=8","Abrir facsímil")</f>
        <v>Abrir facsímil</v>
      </c>
      <c r="K1250" s="3" t="s">
        <v>22</v>
      </c>
    </row>
    <row r="1251" spans="1:11" ht="42" customHeight="1">
      <c r="A1251" s="2" t="s">
        <v>2961</v>
      </c>
      <c r="B1251" s="2" t="s">
        <v>2962</v>
      </c>
      <c r="C1251" s="2" t="s">
        <v>16</v>
      </c>
      <c r="D1251" s="2" t="s">
        <v>17</v>
      </c>
      <c r="E1251" s="5">
        <v>-31532</v>
      </c>
      <c r="F1251" s="3" t="s">
        <v>1728</v>
      </c>
      <c r="G1251" s="3" t="s">
        <v>207</v>
      </c>
      <c r="H1251" s="2" t="s">
        <v>20</v>
      </c>
      <c r="I1251" s="2" t="s">
        <v>2963</v>
      </c>
      <c r="J1251" s="3" t="str">
        <f>HYPERLINK("https://www.boe.es/gazeta/dias/1813/08/31/pdfs/GMR-1813-35.pdf#page=10","Abrir facsímil")</f>
        <v>Abrir facsímil</v>
      </c>
      <c r="K1251" s="3" t="s">
        <v>22</v>
      </c>
    </row>
    <row r="1252" spans="1:11" ht="42" customHeight="1">
      <c r="A1252" s="2" t="s">
        <v>2964</v>
      </c>
      <c r="B1252" s="2" t="s">
        <v>2965</v>
      </c>
      <c r="C1252" s="2" t="s">
        <v>277</v>
      </c>
      <c r="D1252" s="2" t="s">
        <v>26</v>
      </c>
      <c r="E1252" s="5">
        <v>-31486</v>
      </c>
      <c r="F1252" s="3" t="s">
        <v>1284</v>
      </c>
      <c r="G1252" s="3" t="s">
        <v>28</v>
      </c>
      <c r="H1252" s="2" t="s">
        <v>20</v>
      </c>
      <c r="I1252" s="2" t="s">
        <v>2966</v>
      </c>
      <c r="J1252" s="3" t="str">
        <f>HYPERLINK("https://www.boe.es/gazeta/dias/1813/10/16/pdfs/GMR-1813-60.pdf#page=8","Abrir facsímil")</f>
        <v>Abrir facsímil</v>
      </c>
      <c r="K1252" s="3" t="s">
        <v>22</v>
      </c>
    </row>
    <row r="1253" spans="1:11" ht="42" customHeight="1">
      <c r="A1253" s="2" t="s">
        <v>2967</v>
      </c>
      <c r="B1253" s="2" t="s">
        <v>2968</v>
      </c>
      <c r="C1253" s="2" t="s">
        <v>34</v>
      </c>
      <c r="D1253" s="2" t="s">
        <v>35</v>
      </c>
      <c r="E1253" s="5">
        <v>-31665</v>
      </c>
      <c r="F1253" s="3" t="s">
        <v>966</v>
      </c>
      <c r="G1253" s="3" t="s">
        <v>54</v>
      </c>
      <c r="H1253" s="2" t="s">
        <v>20</v>
      </c>
      <c r="I1253" s="2" t="s">
        <v>2969</v>
      </c>
      <c r="J1253" s="3" t="str">
        <f>HYPERLINK("https://www.boe.es/gazeta/dias/1813/04/20/pdfs/GMD-1813-110.pdf#page=3","Abrir facsímil")</f>
        <v>Abrir facsímil</v>
      </c>
      <c r="K1253" s="3" t="s">
        <v>22</v>
      </c>
    </row>
    <row r="1254" spans="1:11" ht="42" customHeight="1">
      <c r="A1254" s="2" t="s">
        <v>2970</v>
      </c>
      <c r="B1254" s="2" t="s">
        <v>2971</v>
      </c>
      <c r="C1254" s="2" t="s">
        <v>34</v>
      </c>
      <c r="D1254" s="2" t="s">
        <v>35</v>
      </c>
      <c r="E1254" s="5">
        <v>-31560</v>
      </c>
      <c r="F1254" s="3" t="s">
        <v>1233</v>
      </c>
      <c r="G1254" s="3" t="s">
        <v>87</v>
      </c>
      <c r="H1254" s="2" t="s">
        <v>20</v>
      </c>
      <c r="I1254" s="2" t="s">
        <v>2972</v>
      </c>
      <c r="J1254" s="3" t="str">
        <f>HYPERLINK("https://www.boe.es/gazeta/dias/1813/08/03/pdfs/GMR-1813-23.pdf#page=7","Abrir facsímil")</f>
        <v>Abrir facsímil</v>
      </c>
      <c r="K1254" s="3" t="s">
        <v>22</v>
      </c>
    </row>
    <row r="1255" spans="1:11" ht="42" customHeight="1">
      <c r="A1255" s="2" t="s">
        <v>2973</v>
      </c>
      <c r="B1255" s="2" t="s">
        <v>2974</v>
      </c>
      <c r="C1255" s="2" t="s">
        <v>277</v>
      </c>
      <c r="D1255" s="2" t="s">
        <v>26</v>
      </c>
      <c r="E1255" s="5">
        <v>-31458</v>
      </c>
      <c r="F1255" s="3" t="s">
        <v>2315</v>
      </c>
      <c r="G1255" s="3" t="s">
        <v>2975</v>
      </c>
      <c r="H1255" s="2" t="s">
        <v>20</v>
      </c>
      <c r="I1255" s="2" t="s">
        <v>2976</v>
      </c>
      <c r="J1255" s="3" t="str">
        <f>HYPERLINK("https://www.boe.es/gazeta/dias/1813/11/13/pdfs/GMR-1813-73.pdf#page=6","Abrir facsímil")</f>
        <v>Abrir facsímil</v>
      </c>
      <c r="K1255" s="3" t="s">
        <v>22</v>
      </c>
    </row>
    <row r="1256" spans="1:11" ht="42" customHeight="1">
      <c r="A1256" s="2" t="s">
        <v>2977</v>
      </c>
      <c r="B1256" s="2" t="s">
        <v>2977</v>
      </c>
      <c r="C1256" s="2" t="s">
        <v>16</v>
      </c>
      <c r="D1256" s="2" t="s">
        <v>17</v>
      </c>
      <c r="E1256" s="5">
        <v>-31530</v>
      </c>
      <c r="F1256" s="3" t="s">
        <v>319</v>
      </c>
      <c r="G1256" s="3" t="s">
        <v>19</v>
      </c>
      <c r="H1256" s="2" t="s">
        <v>20</v>
      </c>
      <c r="I1256" s="2" t="s">
        <v>2978</v>
      </c>
      <c r="J1256" s="3" t="str">
        <f>HYPERLINK("https://www.boe.es/gazeta/dias/1813/09/02/pdfs/GRE-1813-112.pdf#page=4","Abrir facsímil")</f>
        <v>Abrir facsímil</v>
      </c>
      <c r="K1256" s="3" t="s">
        <v>22</v>
      </c>
    </row>
    <row r="1257" spans="1:11" ht="42" customHeight="1">
      <c r="A1257" s="2" t="s">
        <v>2979</v>
      </c>
      <c r="B1257" s="2" t="s">
        <v>2980</v>
      </c>
      <c r="C1257" s="2" t="s">
        <v>16</v>
      </c>
      <c r="D1257" s="2" t="s">
        <v>17</v>
      </c>
      <c r="E1257" s="5">
        <v>-31465</v>
      </c>
      <c r="F1257" s="3" t="s">
        <v>2930</v>
      </c>
      <c r="G1257" s="3" t="s">
        <v>2931</v>
      </c>
      <c r="H1257" s="2" t="s">
        <v>20</v>
      </c>
      <c r="I1257" s="2" t="s">
        <v>2981</v>
      </c>
      <c r="J1257" s="3" t="str">
        <f>HYPERLINK("https://www.boe.es/gazeta/dias/1813/11/06/pdfs/GRE-1813-145.pdf#page=4","Abrir facsímil")</f>
        <v>Abrir facsímil</v>
      </c>
      <c r="K1257" s="3" t="s">
        <v>22</v>
      </c>
    </row>
    <row r="1258" spans="1:11" ht="42" customHeight="1">
      <c r="A1258" s="2" t="s">
        <v>2982</v>
      </c>
      <c r="B1258" s="2" t="s">
        <v>2983</v>
      </c>
      <c r="C1258" s="2" t="s">
        <v>16</v>
      </c>
      <c r="D1258" s="2" t="s">
        <v>17</v>
      </c>
      <c r="E1258" s="5">
        <v>-31619</v>
      </c>
      <c r="F1258" s="3" t="s">
        <v>1350</v>
      </c>
      <c r="G1258" s="3" t="s">
        <v>2984</v>
      </c>
      <c r="H1258" s="2" t="s">
        <v>20</v>
      </c>
      <c r="I1258" s="2" t="s">
        <v>2985</v>
      </c>
      <c r="J1258" s="3" t="str">
        <f>HYPERLINK("https://www.boe.es/gazeta/dias/1813/06/05/pdfs/GMR-1813-2.pdf#page=4","Abrir facsímil")</f>
        <v>Abrir facsímil</v>
      </c>
      <c r="K1258" s="3" t="s">
        <v>22</v>
      </c>
    </row>
    <row r="1259" spans="1:11" ht="42" customHeight="1">
      <c r="A1259" s="2" t="s">
        <v>2986</v>
      </c>
      <c r="B1259" s="2" t="s">
        <v>2987</v>
      </c>
      <c r="C1259" s="2" t="s">
        <v>16</v>
      </c>
      <c r="D1259" s="2" t="s">
        <v>17</v>
      </c>
      <c r="E1259" s="5">
        <v>-31709</v>
      </c>
      <c r="F1259" s="3" t="s">
        <v>36</v>
      </c>
      <c r="G1259" s="3" t="s">
        <v>19</v>
      </c>
      <c r="H1259" s="2" t="s">
        <v>20</v>
      </c>
      <c r="I1259" s="2" t="s">
        <v>2988</v>
      </c>
      <c r="J1259" s="3" t="str">
        <f>HYPERLINK("https://www.boe.es/gazeta/dias/1813/03/07/pdfs/GMD-1813-66.pdf#page=4","Abrir facsímil")</f>
        <v>Abrir facsímil</v>
      </c>
      <c r="K1259" s="3" t="s">
        <v>22</v>
      </c>
    </row>
    <row r="1260" spans="1:11" ht="42" customHeight="1">
      <c r="A1260" s="2" t="s">
        <v>2989</v>
      </c>
      <c r="B1260" s="2" t="s">
        <v>2990</v>
      </c>
      <c r="C1260" s="2" t="s">
        <v>34</v>
      </c>
      <c r="D1260" s="2" t="s">
        <v>35</v>
      </c>
      <c r="E1260" s="5">
        <v>-31689</v>
      </c>
      <c r="F1260" s="3" t="s">
        <v>48</v>
      </c>
      <c r="G1260" s="3" t="s">
        <v>49</v>
      </c>
      <c r="H1260" s="2" t="s">
        <v>20</v>
      </c>
      <c r="I1260" s="2" t="s">
        <v>2991</v>
      </c>
      <c r="J1260" s="3" t="str">
        <f>HYPERLINK("https://www.boe.es/gazeta/dias/1813/03/27/pdfs/GRE-1813-38.pdf#page=7","Abrir facsímil")</f>
        <v>Abrir facsímil</v>
      </c>
      <c r="K1260" s="3" t="s">
        <v>22</v>
      </c>
    </row>
    <row r="1261" spans="1:11" ht="42" customHeight="1">
      <c r="A1261" s="2" t="s">
        <v>2992</v>
      </c>
      <c r="B1261" s="2" t="s">
        <v>2993</v>
      </c>
      <c r="C1261" s="2" t="s">
        <v>16</v>
      </c>
      <c r="D1261" s="2" t="s">
        <v>17</v>
      </c>
      <c r="E1261" s="5">
        <v>-31578</v>
      </c>
      <c r="F1261" s="3" t="s">
        <v>974</v>
      </c>
      <c r="G1261" s="3" t="s">
        <v>207</v>
      </c>
      <c r="H1261" s="2" t="s">
        <v>20</v>
      </c>
      <c r="I1261" s="2" t="s">
        <v>2994</v>
      </c>
      <c r="J1261" s="3" t="str">
        <f>HYPERLINK("https://www.boe.es/gazeta/dias/1813/07/16/pdfs/GMR-1813-18.pdf#page=10","Abrir facsímil")</f>
        <v>Abrir facsímil</v>
      </c>
      <c r="K1261" s="3" t="s">
        <v>22</v>
      </c>
    </row>
    <row r="1262" spans="1:11" ht="42" customHeight="1">
      <c r="A1262" s="2" t="s">
        <v>2995</v>
      </c>
      <c r="B1262" s="2" t="s">
        <v>2996</v>
      </c>
      <c r="C1262" s="2" t="s">
        <v>16</v>
      </c>
      <c r="D1262" s="2" t="s">
        <v>97</v>
      </c>
      <c r="E1262" s="5">
        <v>-31479</v>
      </c>
      <c r="F1262" s="3" t="s">
        <v>290</v>
      </c>
      <c r="G1262" s="3" t="s">
        <v>82</v>
      </c>
      <c r="H1262" s="2" t="s">
        <v>20</v>
      </c>
      <c r="I1262" s="2" t="s">
        <v>2997</v>
      </c>
      <c r="J1262" s="3" t="str">
        <f>HYPERLINK("https://www.boe.es/gazeta/dias/1813/10/23/pdfs/GRE-1813-139E.pdf#page=5","Abrir facsímil")</f>
        <v>Abrir facsímil</v>
      </c>
      <c r="K1262" s="3" t="s">
        <v>22</v>
      </c>
    </row>
    <row r="1263" spans="1:11" ht="42" customHeight="1">
      <c r="A1263" s="2" t="s">
        <v>2995</v>
      </c>
      <c r="B1263" s="2" t="s">
        <v>2996</v>
      </c>
      <c r="C1263" s="2" t="s">
        <v>16</v>
      </c>
      <c r="D1263" s="2" t="s">
        <v>97</v>
      </c>
      <c r="E1263" s="5">
        <v>-31479</v>
      </c>
      <c r="F1263" s="3" t="s">
        <v>290</v>
      </c>
      <c r="G1263" s="3" t="s">
        <v>95</v>
      </c>
      <c r="H1263" s="2" t="s">
        <v>20</v>
      </c>
      <c r="I1263" s="2" t="s">
        <v>2998</v>
      </c>
      <c r="J1263" s="3" t="str">
        <f>HYPERLINK("https://www.boe.es/gazeta/dias/1813/10/23/pdfs/GRE-1813-139E.pdf#page=6","Abrir facsímil")</f>
        <v>Abrir facsímil</v>
      </c>
      <c r="K1263" s="3" t="s">
        <v>22</v>
      </c>
    </row>
    <row r="1264" spans="1:11" ht="42" customHeight="1">
      <c r="A1264" s="2" t="s">
        <v>2995</v>
      </c>
      <c r="B1264" s="2" t="s">
        <v>2996</v>
      </c>
      <c r="C1264" s="2" t="s">
        <v>16</v>
      </c>
      <c r="D1264" s="2" t="s">
        <v>17</v>
      </c>
      <c r="E1264" s="5">
        <v>-31476</v>
      </c>
      <c r="F1264" s="3" t="s">
        <v>158</v>
      </c>
      <c r="G1264" s="3" t="s">
        <v>95</v>
      </c>
      <c r="H1264" s="2" t="s">
        <v>20</v>
      </c>
      <c r="I1264" s="2" t="s">
        <v>2999</v>
      </c>
      <c r="J1264" s="3" t="str">
        <f>HYPERLINK("https://www.boe.es/gazeta/dias/1813/10/26/pdfs/GMR-1813-64.pdf#page=6","Abrir facsímil")</f>
        <v>Abrir facsímil</v>
      </c>
      <c r="K1264" s="3" t="s">
        <v>22</v>
      </c>
    </row>
    <row r="1265" spans="1:11" ht="42" customHeight="1">
      <c r="A1265" s="2" t="s">
        <v>2995</v>
      </c>
      <c r="B1265" s="2" t="s">
        <v>2996</v>
      </c>
      <c r="C1265" s="2" t="s">
        <v>16</v>
      </c>
      <c r="D1265" s="2" t="s">
        <v>17</v>
      </c>
      <c r="E1265" s="5">
        <v>-31465</v>
      </c>
      <c r="F1265" s="3" t="s">
        <v>407</v>
      </c>
      <c r="G1265" s="3" t="s">
        <v>19</v>
      </c>
      <c r="H1265" s="2" t="s">
        <v>20</v>
      </c>
      <c r="I1265" s="2" t="s">
        <v>3000</v>
      </c>
      <c r="J1265" s="3" t="str">
        <f>HYPERLINK("https://www.boe.es/gazeta/dias/1813/11/06/pdfs/GMR-1813-70.pdf#page=4","Abrir facsímil")</f>
        <v>Abrir facsímil</v>
      </c>
      <c r="K1265" s="3" t="s">
        <v>22</v>
      </c>
    </row>
    <row r="1266" spans="1:11" ht="42" customHeight="1">
      <c r="A1266" s="2" t="s">
        <v>2995</v>
      </c>
      <c r="B1266" s="2" t="s">
        <v>2996</v>
      </c>
      <c r="C1266" s="2" t="s">
        <v>16</v>
      </c>
      <c r="D1266" s="2" t="s">
        <v>17</v>
      </c>
      <c r="E1266" s="5">
        <v>-31465</v>
      </c>
      <c r="F1266" s="3" t="s">
        <v>407</v>
      </c>
      <c r="G1266" s="3" t="s">
        <v>82</v>
      </c>
      <c r="H1266" s="2" t="s">
        <v>20</v>
      </c>
      <c r="I1266" s="2" t="s">
        <v>3001</v>
      </c>
      <c r="J1266" s="3" t="str">
        <f>HYPERLINK("https://www.boe.es/gazeta/dias/1813/11/06/pdfs/GMR-1813-70.pdf#page=5","Abrir facsímil")</f>
        <v>Abrir facsímil</v>
      </c>
      <c r="K1266" s="3" t="s">
        <v>22</v>
      </c>
    </row>
    <row r="1267" spans="1:11" ht="42" customHeight="1">
      <c r="A1267" s="2" t="s">
        <v>2995</v>
      </c>
      <c r="B1267" s="2" t="s">
        <v>2996</v>
      </c>
      <c r="C1267" s="2" t="s">
        <v>16</v>
      </c>
      <c r="D1267" s="2" t="s">
        <v>17</v>
      </c>
      <c r="E1267" s="5">
        <v>-31465</v>
      </c>
      <c r="F1267" s="3" t="s">
        <v>407</v>
      </c>
      <c r="G1267" s="3" t="s">
        <v>87</v>
      </c>
      <c r="H1267" s="2" t="s">
        <v>20</v>
      </c>
      <c r="I1267" s="2" t="s">
        <v>3002</v>
      </c>
      <c r="J1267" s="3" t="str">
        <f>HYPERLINK("https://www.boe.es/gazeta/dias/1813/11/06/pdfs/GMR-1813-70.pdf#page=7","Abrir facsímil")</f>
        <v>Abrir facsímil</v>
      </c>
      <c r="K1267" s="3" t="s">
        <v>22</v>
      </c>
    </row>
    <row r="1268" spans="1:11" ht="42" customHeight="1">
      <c r="A1268" s="2" t="s">
        <v>3003</v>
      </c>
      <c r="B1268" s="2" t="s">
        <v>3004</v>
      </c>
      <c r="C1268" s="2" t="s">
        <v>16</v>
      </c>
      <c r="D1268" s="2" t="s">
        <v>97</v>
      </c>
      <c r="E1268" s="5">
        <v>-31519</v>
      </c>
      <c r="F1268" s="3" t="s">
        <v>312</v>
      </c>
      <c r="G1268" s="3" t="s">
        <v>87</v>
      </c>
      <c r="H1268" s="2" t="s">
        <v>20</v>
      </c>
      <c r="I1268" s="2" t="s">
        <v>3005</v>
      </c>
      <c r="J1268" s="3" t="str">
        <f>HYPERLINK("https://www.boe.es/gazeta/dias/1813/09/13/pdfs/GRE-1813-118E.pdf#page=7","Abrir facsímil")</f>
        <v>Abrir facsímil</v>
      </c>
      <c r="K1268" s="3" t="s">
        <v>22</v>
      </c>
    </row>
    <row r="1269" spans="1:11" ht="42" customHeight="1">
      <c r="A1269" s="2" t="s">
        <v>3003</v>
      </c>
      <c r="B1269" s="2" t="s">
        <v>3004</v>
      </c>
      <c r="C1269" s="2" t="s">
        <v>16</v>
      </c>
      <c r="D1269" s="2" t="s">
        <v>97</v>
      </c>
      <c r="E1269" s="5">
        <v>-31479</v>
      </c>
      <c r="F1269" s="3" t="s">
        <v>290</v>
      </c>
      <c r="G1269" s="3" t="s">
        <v>3006</v>
      </c>
      <c r="H1269" s="2" t="s">
        <v>20</v>
      </c>
      <c r="I1269" s="2" t="s">
        <v>3007</v>
      </c>
      <c r="J1269" s="3" t="str">
        <f>HYPERLINK("https://www.boe.es/gazeta/dias/1813/10/23/pdfs/GRE-1813-139E.pdf#page=15","Abrir facsímil")</f>
        <v>Abrir facsímil</v>
      </c>
      <c r="K1269" s="3" t="s">
        <v>22</v>
      </c>
    </row>
    <row r="1270" spans="1:11" ht="42" customHeight="1">
      <c r="A1270" s="2" t="s">
        <v>3008</v>
      </c>
      <c r="B1270" s="2" t="s">
        <v>3009</v>
      </c>
      <c r="C1270" s="2" t="s">
        <v>16</v>
      </c>
      <c r="D1270" s="2" t="s">
        <v>17</v>
      </c>
      <c r="E1270" s="5">
        <v>-31481</v>
      </c>
      <c r="F1270" s="3" t="s">
        <v>40</v>
      </c>
      <c r="G1270" s="3" t="s">
        <v>87</v>
      </c>
      <c r="H1270" s="2" t="s">
        <v>20</v>
      </c>
      <c r="I1270" s="2" t="s">
        <v>3010</v>
      </c>
      <c r="J1270" s="3" t="str">
        <f>HYPERLINK("https://www.boe.es/gazeta/dias/1813/10/21/pdfs/GMR-1813-62.pdf#page=7","Abrir facsímil")</f>
        <v>Abrir facsímil</v>
      </c>
      <c r="K1270" s="3" t="s">
        <v>22</v>
      </c>
    </row>
    <row r="1271" spans="1:11" ht="42" customHeight="1">
      <c r="A1271" s="2" t="s">
        <v>3011</v>
      </c>
      <c r="B1271" s="2" t="s">
        <v>3012</v>
      </c>
      <c r="C1271" s="2" t="s">
        <v>25</v>
      </c>
      <c r="D1271" s="2" t="s">
        <v>26</v>
      </c>
      <c r="E1271" s="5">
        <v>-31677</v>
      </c>
      <c r="F1271" s="3" t="s">
        <v>76</v>
      </c>
      <c r="G1271" s="3" t="s">
        <v>28</v>
      </c>
      <c r="H1271" s="2" t="s">
        <v>20</v>
      </c>
      <c r="I1271" s="2" t="s">
        <v>3013</v>
      </c>
      <c r="J1271" s="3" t="str">
        <f>HYPERLINK("https://www.boe.es/gazeta/dias/1813/04/08/pdfs/GRE-1813-43.pdf#page=8","Abrir facsímil")</f>
        <v>Abrir facsímil</v>
      </c>
      <c r="K1271" s="3" t="s">
        <v>22</v>
      </c>
    </row>
    <row r="1272" spans="1:11" ht="42" customHeight="1">
      <c r="A1272" s="2" t="s">
        <v>3014</v>
      </c>
      <c r="B1272" s="2" t="s">
        <v>3014</v>
      </c>
      <c r="C1272" s="2" t="s">
        <v>16</v>
      </c>
      <c r="D1272" s="2" t="s">
        <v>17</v>
      </c>
      <c r="E1272" s="5">
        <v>-31592</v>
      </c>
      <c r="F1272" s="3" t="s">
        <v>175</v>
      </c>
      <c r="G1272" s="3" t="s">
        <v>58</v>
      </c>
      <c r="H1272" s="2" t="s">
        <v>20</v>
      </c>
      <c r="I1272" s="2" t="s">
        <v>3015</v>
      </c>
      <c r="J1272" s="3" t="str">
        <f>HYPERLINK("https://www.boe.es/gazeta/dias/1813/07/02/pdfs/GRE-1813-82.pdf#page=2","Abrir facsímil")</f>
        <v>Abrir facsímil</v>
      </c>
      <c r="K1272" s="3" t="s">
        <v>22</v>
      </c>
    </row>
    <row r="1273" spans="1:11" ht="42" customHeight="1">
      <c r="A1273" s="2" t="s">
        <v>3014</v>
      </c>
      <c r="B1273" s="2" t="s">
        <v>3014</v>
      </c>
      <c r="C1273" s="2" t="s">
        <v>16</v>
      </c>
      <c r="D1273" s="2" t="s">
        <v>17</v>
      </c>
      <c r="E1273" s="5">
        <v>-31585</v>
      </c>
      <c r="F1273" s="3" t="s">
        <v>177</v>
      </c>
      <c r="G1273" s="3" t="s">
        <v>87</v>
      </c>
      <c r="H1273" s="2" t="s">
        <v>20</v>
      </c>
      <c r="I1273" s="2" t="s">
        <v>3016</v>
      </c>
      <c r="J1273" s="3" t="str">
        <f>HYPERLINK("https://www.boe.es/gazeta/dias/1813/07/09/pdfs/GMR-1813-16.pdf#page=7","Abrir facsímil")</f>
        <v>Abrir facsímil</v>
      </c>
      <c r="K1273" s="3" t="s">
        <v>22</v>
      </c>
    </row>
    <row r="1274" spans="1:11" ht="42" customHeight="1">
      <c r="A1274" s="2" t="s">
        <v>3014</v>
      </c>
      <c r="B1274" s="2" t="s">
        <v>3014</v>
      </c>
      <c r="C1274" s="2" t="s">
        <v>16</v>
      </c>
      <c r="D1274" s="2" t="s">
        <v>17</v>
      </c>
      <c r="E1274" s="5">
        <v>-31544</v>
      </c>
      <c r="F1274" s="3" t="s">
        <v>200</v>
      </c>
      <c r="G1274" s="3" t="s">
        <v>3017</v>
      </c>
      <c r="H1274" s="2" t="s">
        <v>20</v>
      </c>
      <c r="I1274" s="2" t="s">
        <v>3018</v>
      </c>
      <c r="J1274" s="3" t="str">
        <f>HYPERLINK("https://www.boe.es/gazeta/dias/1813/08/19/pdfs/GRE-1813-106.pdf#page=4","Abrir facsímil")</f>
        <v>Abrir facsímil</v>
      </c>
      <c r="K1274" s="3" t="s">
        <v>22</v>
      </c>
    </row>
    <row r="1275" spans="1:11" ht="42" customHeight="1">
      <c r="A1275" s="2" t="s">
        <v>3014</v>
      </c>
      <c r="B1275" s="2" t="s">
        <v>3014</v>
      </c>
      <c r="C1275" s="2" t="s">
        <v>16</v>
      </c>
      <c r="D1275" s="2" t="s">
        <v>17</v>
      </c>
      <c r="E1275" s="5">
        <v>-31542</v>
      </c>
      <c r="F1275" s="3" t="s">
        <v>347</v>
      </c>
      <c r="G1275" s="3" t="s">
        <v>95</v>
      </c>
      <c r="H1275" s="2" t="s">
        <v>20</v>
      </c>
      <c r="I1275" s="2" t="s">
        <v>3019</v>
      </c>
      <c r="J1275" s="3" t="str">
        <f>HYPERLINK("https://www.boe.es/gazeta/dias/1813/08/21/pdfs/GMR-1813-31.pdf#page=6","Abrir facsímil")</f>
        <v>Abrir facsímil</v>
      </c>
      <c r="K1275" s="3" t="s">
        <v>22</v>
      </c>
    </row>
    <row r="1276" spans="1:11" ht="42" customHeight="1">
      <c r="A1276" s="2" t="s">
        <v>3020</v>
      </c>
      <c r="B1276" s="2" t="s">
        <v>3020</v>
      </c>
      <c r="C1276" s="2" t="s">
        <v>16</v>
      </c>
      <c r="D1276" s="2" t="s">
        <v>17</v>
      </c>
      <c r="E1276" s="5">
        <v>-31769</v>
      </c>
      <c r="F1276" s="3" t="s">
        <v>431</v>
      </c>
      <c r="G1276" s="3" t="s">
        <v>58</v>
      </c>
      <c r="H1276" s="2" t="s">
        <v>20</v>
      </c>
      <c r="I1276" s="2" t="s">
        <v>3021</v>
      </c>
      <c r="J1276" s="3" t="str">
        <f>HYPERLINK("https://www.boe.es/gazeta/dias/1813/01/06/pdfs/GMD-1813-6.pdf#page=2","Abrir facsímil")</f>
        <v>Abrir facsímil</v>
      </c>
      <c r="K1276" s="3" t="s">
        <v>22</v>
      </c>
    </row>
    <row r="1277" spans="1:11" ht="42" customHeight="1">
      <c r="A1277" s="2" t="s">
        <v>3022</v>
      </c>
      <c r="B1277" s="2" t="s">
        <v>3022</v>
      </c>
      <c r="C1277" s="2" t="s">
        <v>16</v>
      </c>
      <c r="D1277" s="2" t="s">
        <v>17</v>
      </c>
      <c r="E1277" s="5">
        <v>-31684</v>
      </c>
      <c r="F1277" s="3" t="s">
        <v>427</v>
      </c>
      <c r="G1277" s="3" t="s">
        <v>3023</v>
      </c>
      <c r="H1277" s="2" t="s">
        <v>20</v>
      </c>
      <c r="I1277" s="2" t="s">
        <v>3024</v>
      </c>
      <c r="J1277" s="3" t="str">
        <f>HYPERLINK("https://www.boe.es/gazeta/dias/1813/04/01/pdfs/GRE-1813-40.pdf#page=5","Abrir facsímil")</f>
        <v>Abrir facsímil</v>
      </c>
      <c r="K1277" s="3" t="s">
        <v>22</v>
      </c>
    </row>
    <row r="1278" spans="1:11" ht="42" customHeight="1">
      <c r="A1278" s="2" t="s">
        <v>3025</v>
      </c>
      <c r="B1278" s="2" t="s">
        <v>3025</v>
      </c>
      <c r="C1278" s="2" t="s">
        <v>16</v>
      </c>
      <c r="D1278" s="2" t="s">
        <v>17</v>
      </c>
      <c r="E1278" s="5">
        <v>-31695</v>
      </c>
      <c r="F1278" s="3" t="s">
        <v>2770</v>
      </c>
      <c r="G1278" s="3" t="s">
        <v>19</v>
      </c>
      <c r="H1278" s="2" t="s">
        <v>20</v>
      </c>
      <c r="I1278" s="2" t="s">
        <v>3026</v>
      </c>
      <c r="J1278" s="3" t="str">
        <f>HYPERLINK("https://www.boe.es/gazeta/dias/1813/03/21/pdfs/GMD-1813-80.pdf#page=4","Abrir facsímil")</f>
        <v>Abrir facsímil</v>
      </c>
      <c r="K1278" s="3" t="s">
        <v>22</v>
      </c>
    </row>
    <row r="1279" spans="1:11" ht="42" customHeight="1">
      <c r="A1279" s="2" t="s">
        <v>3027</v>
      </c>
      <c r="B1279" s="2" t="s">
        <v>3027</v>
      </c>
      <c r="C1279" s="2" t="s">
        <v>16</v>
      </c>
      <c r="D1279" s="2" t="s">
        <v>17</v>
      </c>
      <c r="E1279" s="5">
        <v>-31441</v>
      </c>
      <c r="F1279" s="3" t="s">
        <v>1933</v>
      </c>
      <c r="G1279" s="3" t="s">
        <v>65</v>
      </c>
      <c r="H1279" s="2" t="s">
        <v>20</v>
      </c>
      <c r="I1279" s="2" t="s">
        <v>3028</v>
      </c>
      <c r="J1279" s="3" t="str">
        <f>HYPERLINK("https://www.boe.es/gazeta/dias/1813/11/30/pdfs/GMR-1813-81.pdf#page=1","Abrir facsímil")</f>
        <v>Abrir facsímil</v>
      </c>
      <c r="K1279" s="3" t="s">
        <v>22</v>
      </c>
    </row>
    <row r="1280" spans="1:11" ht="42" customHeight="1">
      <c r="A1280" s="2" t="s">
        <v>3029</v>
      </c>
      <c r="B1280" s="2" t="s">
        <v>3029</v>
      </c>
      <c r="C1280" s="2" t="s">
        <v>16</v>
      </c>
      <c r="D1280" s="2" t="s">
        <v>17</v>
      </c>
      <c r="E1280" s="5">
        <v>-31539</v>
      </c>
      <c r="F1280" s="3" t="s">
        <v>1220</v>
      </c>
      <c r="G1280" s="3" t="s">
        <v>58</v>
      </c>
      <c r="H1280" s="2" t="s">
        <v>20</v>
      </c>
      <c r="I1280" s="2" t="s">
        <v>3030</v>
      </c>
      <c r="J1280" s="3" t="str">
        <f>HYPERLINK("https://www.boe.es/gazeta/dias/1813/08/24/pdfs/GRE-1813-108.pdf#page=2","Abrir facsímil")</f>
        <v>Abrir facsímil</v>
      </c>
      <c r="K1280" s="3" t="s">
        <v>22</v>
      </c>
    </row>
    <row r="1281" spans="1:11" ht="42" customHeight="1">
      <c r="A1281" s="2" t="s">
        <v>3031</v>
      </c>
      <c r="B1281" s="2" t="s">
        <v>3031</v>
      </c>
      <c r="C1281" s="2" t="s">
        <v>16</v>
      </c>
      <c r="D1281" s="2" t="s">
        <v>17</v>
      </c>
      <c r="E1281" s="5">
        <v>-31685</v>
      </c>
      <c r="F1281" s="3" t="s">
        <v>2671</v>
      </c>
      <c r="G1281" s="3" t="s">
        <v>58</v>
      </c>
      <c r="H1281" s="2" t="s">
        <v>20</v>
      </c>
      <c r="I1281" s="2" t="s">
        <v>3032</v>
      </c>
      <c r="J1281" s="3" t="str">
        <f>HYPERLINK("https://www.boe.es/gazeta/dias/1813/03/31/pdfs/GMD-1813-90.pdf#page=2","Abrir facsímil")</f>
        <v>Abrir facsímil</v>
      </c>
      <c r="K1281" s="3" t="s">
        <v>22</v>
      </c>
    </row>
    <row r="1282" spans="1:11" ht="42" customHeight="1">
      <c r="A1282" s="2" t="s">
        <v>3033</v>
      </c>
      <c r="B1282" s="2" t="s">
        <v>3033</v>
      </c>
      <c r="C1282" s="2" t="s">
        <v>16</v>
      </c>
      <c r="D1282" s="2" t="s">
        <v>17</v>
      </c>
      <c r="E1282" s="5">
        <v>-31695</v>
      </c>
      <c r="F1282" s="3" t="s">
        <v>2770</v>
      </c>
      <c r="G1282" s="3" t="s">
        <v>19</v>
      </c>
      <c r="H1282" s="2" t="s">
        <v>20</v>
      </c>
      <c r="I1282" s="2" t="s">
        <v>3034</v>
      </c>
      <c r="J1282" s="3" t="str">
        <f>HYPERLINK("https://www.boe.es/gazeta/dias/1813/03/21/pdfs/GMD-1813-80.pdf#page=4","Abrir facsímil")</f>
        <v>Abrir facsímil</v>
      </c>
      <c r="K1282" s="3" t="s">
        <v>22</v>
      </c>
    </row>
    <row r="1283" spans="1:11" ht="42" customHeight="1">
      <c r="A1283" s="2" t="s">
        <v>3035</v>
      </c>
      <c r="B1283" s="2" t="s">
        <v>3035</v>
      </c>
      <c r="C1283" s="2" t="s">
        <v>187</v>
      </c>
      <c r="D1283" s="2" t="s">
        <v>26</v>
      </c>
      <c r="E1283" s="5">
        <v>-31733</v>
      </c>
      <c r="F1283" s="3" t="s">
        <v>3036</v>
      </c>
      <c r="G1283" s="3" t="s">
        <v>82</v>
      </c>
      <c r="H1283" s="2" t="s">
        <v>20</v>
      </c>
      <c r="I1283" s="2" t="s">
        <v>3037</v>
      </c>
      <c r="J1283" s="3" t="str">
        <f>HYPERLINK("https://www.boe.es/gazeta/dias/1813/02/11/pdfs/GRE-1813-18.pdf#page=5","Abrir facsímil")</f>
        <v>Abrir facsímil</v>
      </c>
      <c r="K1283" s="3" t="s">
        <v>22</v>
      </c>
    </row>
    <row r="1284" spans="1:11" ht="42" customHeight="1">
      <c r="A1284" s="2" t="s">
        <v>3038</v>
      </c>
      <c r="B1284" s="2" t="s">
        <v>3038</v>
      </c>
      <c r="C1284" s="2" t="s">
        <v>16</v>
      </c>
      <c r="D1284" s="2" t="s">
        <v>17</v>
      </c>
      <c r="E1284" s="5">
        <v>-31516</v>
      </c>
      <c r="F1284" s="3" t="s">
        <v>1685</v>
      </c>
      <c r="G1284" s="3" t="s">
        <v>2625</v>
      </c>
      <c r="H1284" s="2" t="s">
        <v>20</v>
      </c>
      <c r="I1284" s="2" t="s">
        <v>3039</v>
      </c>
      <c r="J1284" s="3" t="str">
        <f>HYPERLINK("https://www.boe.es/gazeta/dias/1813/09/16/pdfs/GRE-1813-120.pdf#page=8","Abrir facsímil")</f>
        <v>Abrir facsímil</v>
      </c>
      <c r="K1284" s="3" t="s">
        <v>22</v>
      </c>
    </row>
    <row r="1285" spans="1:11" ht="42" customHeight="1">
      <c r="A1285" s="2" t="s">
        <v>3040</v>
      </c>
      <c r="B1285" s="2" t="s">
        <v>3040</v>
      </c>
      <c r="C1285" s="2" t="s">
        <v>435</v>
      </c>
      <c r="D1285" s="2" t="s">
        <v>26</v>
      </c>
      <c r="E1285" s="5">
        <v>-31659</v>
      </c>
      <c r="F1285" s="3" t="s">
        <v>3041</v>
      </c>
      <c r="G1285" s="3" t="s">
        <v>54</v>
      </c>
      <c r="H1285" s="2" t="s">
        <v>20</v>
      </c>
      <c r="I1285" s="2" t="s">
        <v>3042</v>
      </c>
      <c r="J1285" s="3" t="str">
        <f>HYPERLINK("https://www.boe.es/gazeta/dias/1813/04/26/pdfs/GMD-1813-116.pdf#page=3","Abrir facsímil")</f>
        <v>Abrir facsímil</v>
      </c>
      <c r="K1285" s="3" t="s">
        <v>22</v>
      </c>
    </row>
    <row r="1286" spans="1:11" ht="42" customHeight="1">
      <c r="A1286" s="2" t="s">
        <v>3043</v>
      </c>
      <c r="B1286" s="2" t="s">
        <v>3043</v>
      </c>
      <c r="C1286" s="2" t="s">
        <v>16</v>
      </c>
      <c r="D1286" s="2" t="s">
        <v>17</v>
      </c>
      <c r="E1286" s="5">
        <v>-31659</v>
      </c>
      <c r="F1286" s="3" t="s">
        <v>3041</v>
      </c>
      <c r="G1286" s="3" t="s">
        <v>54</v>
      </c>
      <c r="H1286" s="2" t="s">
        <v>20</v>
      </c>
      <c r="I1286" s="2" t="s">
        <v>3044</v>
      </c>
      <c r="J1286" s="3" t="str">
        <f>HYPERLINK("https://www.boe.es/gazeta/dias/1813/04/26/pdfs/GMD-1813-116.pdf#page=3","Abrir facsímil")</f>
        <v>Abrir facsímil</v>
      </c>
      <c r="K1286" s="3" t="s">
        <v>22</v>
      </c>
    </row>
    <row r="1287" spans="1:11" ht="42" customHeight="1">
      <c r="A1287" s="2" t="s">
        <v>3045</v>
      </c>
      <c r="B1287" s="2" t="s">
        <v>3046</v>
      </c>
      <c r="C1287" s="2" t="s">
        <v>34</v>
      </c>
      <c r="D1287" s="2" t="s">
        <v>35</v>
      </c>
      <c r="E1287" s="5">
        <v>-31749</v>
      </c>
      <c r="F1287" s="3" t="s">
        <v>1515</v>
      </c>
      <c r="G1287" s="3" t="s">
        <v>1516</v>
      </c>
      <c r="H1287" s="2" t="s">
        <v>20</v>
      </c>
      <c r="I1287" s="2" t="s">
        <v>3047</v>
      </c>
      <c r="J1287" s="3" t="str">
        <f>HYPERLINK("https://www.boe.es/gazeta/dias/1813/01/26/pdfs/GRE-1813-11.pdf#page=5","Abrir facsímil")</f>
        <v>Abrir facsímil</v>
      </c>
      <c r="K1287" s="3" t="s">
        <v>22</v>
      </c>
    </row>
    <row r="1288" spans="1:11" ht="42" customHeight="1">
      <c r="A1288" s="2" t="s">
        <v>3048</v>
      </c>
      <c r="B1288" s="2" t="s">
        <v>3048</v>
      </c>
      <c r="C1288" s="2" t="s">
        <v>25</v>
      </c>
      <c r="D1288" s="2" t="s">
        <v>26</v>
      </c>
      <c r="E1288" s="5">
        <v>-31663</v>
      </c>
      <c r="F1288" s="3" t="s">
        <v>871</v>
      </c>
      <c r="G1288" s="3" t="s">
        <v>19</v>
      </c>
      <c r="H1288" s="2" t="s">
        <v>20</v>
      </c>
      <c r="I1288" s="2" t="s">
        <v>3049</v>
      </c>
      <c r="J1288" s="3" t="str">
        <f>HYPERLINK("https://www.boe.es/gazeta/dias/1813/04/22/pdfs/GMD-1813-112.pdf#page=4","Abrir facsímil")</f>
        <v>Abrir facsímil</v>
      </c>
      <c r="K1288" s="3" t="s">
        <v>22</v>
      </c>
    </row>
    <row r="1289" spans="1:11" ht="42" customHeight="1">
      <c r="A1289" s="2" t="s">
        <v>3048</v>
      </c>
      <c r="B1289" s="2" t="s">
        <v>3048</v>
      </c>
      <c r="C1289" s="2" t="s">
        <v>16</v>
      </c>
      <c r="D1289" s="2" t="s">
        <v>17</v>
      </c>
      <c r="E1289" s="5">
        <v>-31657</v>
      </c>
      <c r="F1289" s="3" t="s">
        <v>988</v>
      </c>
      <c r="G1289" s="3" t="s">
        <v>54</v>
      </c>
      <c r="H1289" s="2" t="s">
        <v>20</v>
      </c>
      <c r="I1289" s="2" t="s">
        <v>3050</v>
      </c>
      <c r="J1289" s="3" t="str">
        <f>HYPERLINK("https://www.boe.es/gazeta/dias/1813/04/28/pdfs/GMD-1813-118.pdf#page=3","Abrir facsímil")</f>
        <v>Abrir facsímil</v>
      </c>
      <c r="K1289" s="3" t="s">
        <v>22</v>
      </c>
    </row>
    <row r="1290" spans="1:11" ht="42" customHeight="1">
      <c r="A1290" s="2" t="s">
        <v>3051</v>
      </c>
      <c r="B1290" s="2" t="s">
        <v>3052</v>
      </c>
      <c r="C1290" s="2" t="s">
        <v>435</v>
      </c>
      <c r="D1290" s="2" t="s">
        <v>26</v>
      </c>
      <c r="E1290" s="5">
        <v>-31560</v>
      </c>
      <c r="F1290" s="3" t="s">
        <v>590</v>
      </c>
      <c r="G1290" s="3" t="s">
        <v>87</v>
      </c>
      <c r="H1290" s="2" t="s">
        <v>20</v>
      </c>
      <c r="I1290" s="2" t="s">
        <v>3053</v>
      </c>
      <c r="J1290" s="3" t="str">
        <f>HYPERLINK("https://www.boe.es/gazeta/dias/1813/08/03/pdfs/GRE-1813-98.pdf#page=7","Abrir facsímil")</f>
        <v>Abrir facsímil</v>
      </c>
      <c r="K1290" s="3" t="s">
        <v>22</v>
      </c>
    </row>
    <row r="1291" spans="1:11" ht="42" customHeight="1">
      <c r="A1291" s="2" t="s">
        <v>3054</v>
      </c>
      <c r="B1291" s="2" t="s">
        <v>3055</v>
      </c>
      <c r="C1291" s="2" t="s">
        <v>16</v>
      </c>
      <c r="D1291" s="2" t="s">
        <v>17</v>
      </c>
      <c r="E1291" s="5">
        <v>-31631</v>
      </c>
      <c r="F1291" s="3" t="s">
        <v>2792</v>
      </c>
      <c r="G1291" s="3" t="s">
        <v>54</v>
      </c>
      <c r="H1291" s="2" t="s">
        <v>20</v>
      </c>
      <c r="I1291" s="2" t="s">
        <v>3056</v>
      </c>
      <c r="J1291" s="3" t="str">
        <f>HYPERLINK("https://www.boe.es/gazeta/dias/1813/05/24/pdfs/GMD-1813-144.pdf#page=3","Abrir facsímil")</f>
        <v>Abrir facsímil</v>
      </c>
      <c r="K1291" s="3" t="s">
        <v>22</v>
      </c>
    </row>
    <row r="1292" spans="1:11" ht="42" customHeight="1">
      <c r="A1292" s="2" t="s">
        <v>3054</v>
      </c>
      <c r="B1292" s="2" t="s">
        <v>3055</v>
      </c>
      <c r="C1292" s="2" t="s">
        <v>435</v>
      </c>
      <c r="D1292" s="2" t="s">
        <v>26</v>
      </c>
      <c r="E1292" s="5">
        <v>-31631</v>
      </c>
      <c r="F1292" s="3" t="s">
        <v>2792</v>
      </c>
      <c r="G1292" s="3" t="s">
        <v>19</v>
      </c>
      <c r="H1292" s="2" t="s">
        <v>20</v>
      </c>
      <c r="I1292" s="2" t="s">
        <v>3057</v>
      </c>
      <c r="J1292" s="3" t="str">
        <f>HYPERLINK("https://www.boe.es/gazeta/dias/1813/05/24/pdfs/GMD-1813-144.pdf#page=4","Abrir facsímil")</f>
        <v>Abrir facsímil</v>
      </c>
      <c r="K1292" s="3" t="s">
        <v>22</v>
      </c>
    </row>
    <row r="1293" spans="1:11" ht="42" customHeight="1">
      <c r="A1293" s="2" t="s">
        <v>3058</v>
      </c>
      <c r="B1293" s="2" t="s">
        <v>3059</v>
      </c>
      <c r="C1293" s="2" t="s">
        <v>16</v>
      </c>
      <c r="D1293" s="2" t="s">
        <v>17</v>
      </c>
      <c r="E1293" s="5">
        <v>-31539</v>
      </c>
      <c r="F1293" s="3" t="s">
        <v>1220</v>
      </c>
      <c r="G1293" s="3" t="s">
        <v>82</v>
      </c>
      <c r="H1293" s="2" t="s">
        <v>20</v>
      </c>
      <c r="I1293" s="2" t="s">
        <v>3060</v>
      </c>
      <c r="J1293" s="3" t="str">
        <f>HYPERLINK("https://www.boe.es/gazeta/dias/1813/08/24/pdfs/GRE-1813-108.pdf#page=5","Abrir facsímil")</f>
        <v>Abrir facsímil</v>
      </c>
      <c r="K1293" s="3" t="s">
        <v>22</v>
      </c>
    </row>
    <row r="1294" spans="1:11" ht="42" customHeight="1">
      <c r="A1294" s="2" t="s">
        <v>3061</v>
      </c>
      <c r="B1294" s="2" t="s">
        <v>3061</v>
      </c>
      <c r="C1294" s="2" t="s">
        <v>16</v>
      </c>
      <c r="D1294" s="2" t="s">
        <v>17</v>
      </c>
      <c r="E1294" s="5">
        <v>-31652</v>
      </c>
      <c r="F1294" s="3" t="s">
        <v>3062</v>
      </c>
      <c r="G1294" s="3" t="s">
        <v>58</v>
      </c>
      <c r="H1294" s="2" t="s">
        <v>20</v>
      </c>
      <c r="I1294" s="2" t="s">
        <v>3063</v>
      </c>
      <c r="J1294" s="3" t="str">
        <f>HYPERLINK("https://www.boe.es/gazeta/dias/1813/05/03/pdfs/GMD-1813-123.pdf#page=2","Abrir facsímil")</f>
        <v>Abrir facsímil</v>
      </c>
      <c r="K1294" s="3" t="s">
        <v>22</v>
      </c>
    </row>
    <row r="1295" spans="1:11" ht="42" customHeight="1">
      <c r="A1295" s="2" t="s">
        <v>3064</v>
      </c>
      <c r="B1295" s="2" t="s">
        <v>3065</v>
      </c>
      <c r="C1295" s="2" t="s">
        <v>16</v>
      </c>
      <c r="D1295" s="2" t="s">
        <v>17</v>
      </c>
      <c r="E1295" s="5">
        <v>-31592</v>
      </c>
      <c r="F1295" s="3" t="s">
        <v>175</v>
      </c>
      <c r="G1295" s="3" t="s">
        <v>19</v>
      </c>
      <c r="H1295" s="2" t="s">
        <v>29</v>
      </c>
      <c r="I1295" s="2" t="s">
        <v>3066</v>
      </c>
      <c r="J1295" s="3" t="str">
        <f>HYPERLINK("https://www.boe.es/gazeta/dias/1813/07/02/pdfs/GRE-1813-82.pdf#page=4","Abrir facsímil")</f>
        <v>Abrir facsímil</v>
      </c>
      <c r="K1295" s="3" t="s">
        <v>31</v>
      </c>
    </row>
    <row r="1296" spans="1:11" ht="42" customHeight="1">
      <c r="A1296" s="2" t="s">
        <v>3067</v>
      </c>
      <c r="B1296" s="2" t="s">
        <v>3068</v>
      </c>
      <c r="C1296" s="2" t="s">
        <v>25</v>
      </c>
      <c r="D1296" s="2" t="s">
        <v>26</v>
      </c>
      <c r="E1296" s="5">
        <v>-31675</v>
      </c>
      <c r="F1296" s="3" t="s">
        <v>27</v>
      </c>
      <c r="G1296" s="3" t="s">
        <v>28</v>
      </c>
      <c r="H1296" s="2" t="s">
        <v>20</v>
      </c>
      <c r="I1296" s="2" t="s">
        <v>3069</v>
      </c>
      <c r="J1296" s="3" t="str">
        <f>HYPERLINK("https://www.boe.es/gazeta/dias/1813/04/10/pdfs/GRE-1813-44.pdf#page=8","Abrir facsímil")</f>
        <v>Abrir facsímil</v>
      </c>
      <c r="K1296" s="3" t="s">
        <v>22</v>
      </c>
    </row>
    <row r="1297" spans="1:11" ht="42" customHeight="1">
      <c r="A1297" s="2" t="s">
        <v>3070</v>
      </c>
      <c r="B1297" s="2" t="s">
        <v>3071</v>
      </c>
      <c r="C1297" s="2" t="s">
        <v>25</v>
      </c>
      <c r="D1297" s="2" t="s">
        <v>26</v>
      </c>
      <c r="E1297" s="5">
        <v>-31451</v>
      </c>
      <c r="F1297" s="3" t="s">
        <v>127</v>
      </c>
      <c r="G1297" s="3" t="s">
        <v>87</v>
      </c>
      <c r="H1297" s="2" t="s">
        <v>20</v>
      </c>
      <c r="I1297" s="2" t="s">
        <v>3072</v>
      </c>
      <c r="J1297" s="3" t="str">
        <f>HYPERLINK("https://www.boe.es/gazeta/dias/1813/11/20/pdfs/GRE-1813-152.pdf#page=7","Abrir facsímil")</f>
        <v>Abrir facsímil</v>
      </c>
      <c r="K1297" s="3" t="s">
        <v>22</v>
      </c>
    </row>
    <row r="1298" spans="1:11" ht="42" customHeight="1">
      <c r="A1298" s="2" t="s">
        <v>3073</v>
      </c>
      <c r="B1298" s="2" t="s">
        <v>3074</v>
      </c>
      <c r="C1298" s="2" t="s">
        <v>16</v>
      </c>
      <c r="D1298" s="2" t="s">
        <v>17</v>
      </c>
      <c r="E1298" s="5">
        <v>-31483</v>
      </c>
      <c r="F1298" s="3" t="s">
        <v>308</v>
      </c>
      <c r="G1298" s="3" t="s">
        <v>95</v>
      </c>
      <c r="H1298" s="2" t="s">
        <v>20</v>
      </c>
      <c r="I1298" s="2" t="s">
        <v>3075</v>
      </c>
      <c r="J1298" s="3" t="str">
        <f>HYPERLINK("https://www.boe.es/gazeta/dias/1813/10/19/pdfs/GRE-1813-136.pdf#page=6","Abrir facsímil")</f>
        <v>Abrir facsímil</v>
      </c>
      <c r="K1298" s="3" t="s">
        <v>22</v>
      </c>
    </row>
    <row r="1299" spans="1:11" ht="42" customHeight="1">
      <c r="A1299" s="2" t="s">
        <v>3076</v>
      </c>
      <c r="B1299" s="2" t="s">
        <v>3077</v>
      </c>
      <c r="C1299" s="2" t="s">
        <v>25</v>
      </c>
      <c r="D1299" s="2" t="s">
        <v>26</v>
      </c>
      <c r="E1299" s="5">
        <v>-31451</v>
      </c>
      <c r="F1299" s="3" t="s">
        <v>127</v>
      </c>
      <c r="G1299" s="3" t="s">
        <v>82</v>
      </c>
      <c r="H1299" s="2" t="s">
        <v>20</v>
      </c>
      <c r="I1299" s="2" t="s">
        <v>3078</v>
      </c>
      <c r="J1299" s="3" t="str">
        <f>HYPERLINK("https://www.boe.es/gazeta/dias/1813/11/20/pdfs/GRE-1813-152.pdf#page=5","Abrir facsímil")</f>
        <v>Abrir facsímil</v>
      </c>
      <c r="K1299" s="3" t="s">
        <v>22</v>
      </c>
    </row>
    <row r="1300" spans="1:11" ht="42" customHeight="1">
      <c r="A1300" s="2" t="s">
        <v>3079</v>
      </c>
      <c r="B1300" s="2" t="s">
        <v>3080</v>
      </c>
      <c r="C1300" s="2" t="s">
        <v>16</v>
      </c>
      <c r="D1300" s="2" t="s">
        <v>17</v>
      </c>
      <c r="E1300" s="5">
        <v>-31546</v>
      </c>
      <c r="F1300" s="3" t="s">
        <v>2057</v>
      </c>
      <c r="G1300" s="3" t="s">
        <v>87</v>
      </c>
      <c r="H1300" s="2" t="s">
        <v>20</v>
      </c>
      <c r="I1300" s="2" t="s">
        <v>3081</v>
      </c>
      <c r="J1300" s="3" t="str">
        <f>HYPERLINK("https://www.boe.es/gazeta/dias/1813/08/17/pdfs/GRE-1813-105.pdf#page=7","Abrir facsímil")</f>
        <v>Abrir facsímil</v>
      </c>
      <c r="K1300" s="3" t="s">
        <v>22</v>
      </c>
    </row>
    <row r="1301" spans="1:11" ht="42" customHeight="1">
      <c r="A1301" s="2" t="s">
        <v>3082</v>
      </c>
      <c r="B1301" s="2" t="s">
        <v>3082</v>
      </c>
      <c r="C1301" s="2" t="s">
        <v>277</v>
      </c>
      <c r="D1301" s="2" t="s">
        <v>26</v>
      </c>
      <c r="E1301" s="5">
        <v>-31716</v>
      </c>
      <c r="F1301" s="3" t="s">
        <v>1652</v>
      </c>
      <c r="G1301" s="3" t="s">
        <v>65</v>
      </c>
      <c r="H1301" s="2" t="s">
        <v>20</v>
      </c>
      <c r="I1301" s="2" t="s">
        <v>3083</v>
      </c>
      <c r="J1301" s="3" t="str">
        <f>HYPERLINK("https://www.boe.es/gazeta/dias/1813/02/28/pdfs/GMD-1813-59.pdf#page=1","Abrir facsímil")</f>
        <v>Abrir facsímil</v>
      </c>
      <c r="K1301" s="3" t="s">
        <v>22</v>
      </c>
    </row>
    <row r="1302" spans="1:11" ht="42" customHeight="1">
      <c r="A1302" s="2" t="s">
        <v>3084</v>
      </c>
      <c r="B1302" s="2" t="s">
        <v>3085</v>
      </c>
      <c r="C1302" s="2" t="s">
        <v>16</v>
      </c>
      <c r="D1302" s="2" t="s">
        <v>17</v>
      </c>
      <c r="E1302" s="5">
        <v>-31584</v>
      </c>
      <c r="F1302" s="3" t="s">
        <v>114</v>
      </c>
      <c r="G1302" s="3" t="s">
        <v>3086</v>
      </c>
      <c r="H1302" s="2" t="s">
        <v>20</v>
      </c>
      <c r="I1302" s="2" t="s">
        <v>3087</v>
      </c>
      <c r="J1302" s="3" t="str">
        <f>HYPERLINK("https://www.boe.es/gazeta/dias/1813/07/10/pdfs/GRE-1813-86.pdf#page=4","Abrir facsímil")</f>
        <v>Abrir facsímil</v>
      </c>
      <c r="K1302" s="3" t="s">
        <v>22</v>
      </c>
    </row>
    <row r="1303" spans="1:11" ht="42" customHeight="1">
      <c r="A1303" s="2" t="s">
        <v>3088</v>
      </c>
      <c r="B1303" s="2" t="s">
        <v>3088</v>
      </c>
      <c r="C1303" s="2" t="s">
        <v>34</v>
      </c>
      <c r="D1303" s="2" t="s">
        <v>35</v>
      </c>
      <c r="E1303" s="5">
        <v>-31472</v>
      </c>
      <c r="F1303" s="3" t="s">
        <v>143</v>
      </c>
      <c r="G1303" s="3" t="s">
        <v>82</v>
      </c>
      <c r="H1303" s="2" t="s">
        <v>20</v>
      </c>
      <c r="I1303" s="2" t="s">
        <v>3089</v>
      </c>
      <c r="J1303" s="3" t="str">
        <f>HYPERLINK("https://www.boe.es/gazeta/dias/1813/10/30/pdfs/GMR-1813-66.pdf#page=5","Abrir facsímil")</f>
        <v>Abrir facsímil</v>
      </c>
      <c r="K1303" s="3" t="s">
        <v>22</v>
      </c>
    </row>
    <row r="1304" spans="1:11" ht="42" customHeight="1">
      <c r="A1304" s="2" t="s">
        <v>3090</v>
      </c>
      <c r="B1304" s="2" t="s">
        <v>3091</v>
      </c>
      <c r="C1304" s="2" t="s">
        <v>25</v>
      </c>
      <c r="D1304" s="2" t="s">
        <v>26</v>
      </c>
      <c r="E1304" s="5">
        <v>-31752</v>
      </c>
      <c r="F1304" s="3" t="s">
        <v>182</v>
      </c>
      <c r="G1304" s="3" t="s">
        <v>183</v>
      </c>
      <c r="H1304" s="2" t="s">
        <v>20</v>
      </c>
      <c r="I1304" s="2" t="s">
        <v>3092</v>
      </c>
      <c r="J1304" s="3" t="str">
        <f>HYPERLINK("https://www.boe.es/gazeta/dias/1813/01/23/pdfs/GRE-1813-10.pdf#page=8","Abrir facsímil")</f>
        <v>Abrir facsímil</v>
      </c>
      <c r="K1304" s="3" t="s">
        <v>22</v>
      </c>
    </row>
    <row r="1305" spans="1:11" ht="42" customHeight="1">
      <c r="A1305" s="2" t="s">
        <v>3093</v>
      </c>
      <c r="B1305" s="2" t="s">
        <v>3094</v>
      </c>
      <c r="C1305" s="2" t="s">
        <v>25</v>
      </c>
      <c r="D1305" s="2" t="s">
        <v>26</v>
      </c>
      <c r="E1305" s="5">
        <v>-31677</v>
      </c>
      <c r="F1305" s="3" t="s">
        <v>76</v>
      </c>
      <c r="G1305" s="3" t="s">
        <v>28</v>
      </c>
      <c r="H1305" s="2" t="s">
        <v>20</v>
      </c>
      <c r="I1305" s="2" t="s">
        <v>3095</v>
      </c>
      <c r="J1305" s="3" t="str">
        <f>HYPERLINK("https://www.boe.es/gazeta/dias/1813/04/08/pdfs/GRE-1813-43.pdf#page=8","Abrir facsímil")</f>
        <v>Abrir facsímil</v>
      </c>
      <c r="K1305" s="3" t="s">
        <v>22</v>
      </c>
    </row>
    <row r="1306" spans="1:11" ht="42" customHeight="1">
      <c r="A1306" s="2" t="s">
        <v>3096</v>
      </c>
      <c r="B1306" s="2" t="s">
        <v>3097</v>
      </c>
      <c r="C1306" s="2" t="s">
        <v>16</v>
      </c>
      <c r="D1306" s="2" t="s">
        <v>17</v>
      </c>
      <c r="E1306" s="5">
        <v>-31467</v>
      </c>
      <c r="F1306" s="3" t="s">
        <v>1464</v>
      </c>
      <c r="G1306" s="3" t="s">
        <v>95</v>
      </c>
      <c r="H1306" s="2" t="s">
        <v>20</v>
      </c>
      <c r="I1306" s="2" t="s">
        <v>3098</v>
      </c>
      <c r="J1306" s="3" t="str">
        <f>HYPERLINK("https://www.boe.es/gazeta/dias/1813/11/04/pdfs/GRE-1813-144.pdf#page=6","Abrir facsímil")</f>
        <v>Abrir facsímil</v>
      </c>
      <c r="K1306" s="3" t="s">
        <v>22</v>
      </c>
    </row>
    <row r="1307" spans="1:11" ht="42" customHeight="1">
      <c r="A1307" s="2" t="s">
        <v>3099</v>
      </c>
      <c r="B1307" s="2" t="s">
        <v>3100</v>
      </c>
      <c r="C1307" s="2" t="s">
        <v>16</v>
      </c>
      <c r="D1307" s="2" t="s">
        <v>17</v>
      </c>
      <c r="E1307" s="5">
        <v>-31514</v>
      </c>
      <c r="F1307" s="3" t="s">
        <v>2099</v>
      </c>
      <c r="G1307" s="3" t="s">
        <v>19</v>
      </c>
      <c r="H1307" s="2" t="s">
        <v>20</v>
      </c>
      <c r="I1307" s="2" t="s">
        <v>3101</v>
      </c>
      <c r="J1307" s="3" t="str">
        <f>HYPERLINK("https://www.boe.es/gazeta/dias/1813/09/18/pdfs/GMR-1813-45.pdf#page=4","Abrir facsímil")</f>
        <v>Abrir facsímil</v>
      </c>
      <c r="K1307" s="3" t="s">
        <v>22</v>
      </c>
    </row>
    <row r="1308" spans="1:11" ht="42" customHeight="1">
      <c r="A1308" s="2" t="s">
        <v>3102</v>
      </c>
      <c r="B1308" s="2" t="s">
        <v>3103</v>
      </c>
      <c r="C1308" s="2" t="s">
        <v>16</v>
      </c>
      <c r="D1308" s="2" t="s">
        <v>17</v>
      </c>
      <c r="E1308" s="5">
        <v>-31479</v>
      </c>
      <c r="F1308" s="3" t="s">
        <v>2383</v>
      </c>
      <c r="G1308" s="3" t="s">
        <v>87</v>
      </c>
      <c r="H1308" s="2" t="s">
        <v>20</v>
      </c>
      <c r="I1308" s="2" t="s">
        <v>3104</v>
      </c>
      <c r="J1308" s="3" t="str">
        <f>HYPERLINK("https://www.boe.es/gazeta/dias/1813/10/23/pdfs/GRE-1813-138.pdf#page=7","Abrir facsímil")</f>
        <v>Abrir facsímil</v>
      </c>
      <c r="K1308" s="3" t="s">
        <v>22</v>
      </c>
    </row>
    <row r="1309" spans="1:11" ht="42" customHeight="1">
      <c r="A1309" s="2" t="s">
        <v>3105</v>
      </c>
      <c r="B1309" s="2" t="s">
        <v>3106</v>
      </c>
      <c r="C1309" s="2" t="s">
        <v>187</v>
      </c>
      <c r="D1309" s="2" t="s">
        <v>26</v>
      </c>
      <c r="E1309" s="5">
        <v>-31465</v>
      </c>
      <c r="F1309" s="3" t="s">
        <v>407</v>
      </c>
      <c r="G1309" s="3" t="s">
        <v>28</v>
      </c>
      <c r="H1309" s="2" t="s">
        <v>20</v>
      </c>
      <c r="I1309" s="2" t="s">
        <v>3107</v>
      </c>
      <c r="J1309" s="3" t="str">
        <f>HYPERLINK("https://www.boe.es/gazeta/dias/1813/11/06/pdfs/GMR-1813-70.pdf#page=8","Abrir facsímil")</f>
        <v>Abrir facsímil</v>
      </c>
      <c r="K1309" s="3" t="s">
        <v>22</v>
      </c>
    </row>
    <row r="1310" spans="1:11" ht="42" customHeight="1">
      <c r="A1310" s="2" t="s">
        <v>3108</v>
      </c>
      <c r="B1310" s="2" t="s">
        <v>3109</v>
      </c>
      <c r="C1310" s="2" t="s">
        <v>25</v>
      </c>
      <c r="D1310" s="2" t="s">
        <v>26</v>
      </c>
      <c r="E1310" s="5">
        <v>-31677</v>
      </c>
      <c r="F1310" s="3" t="s">
        <v>76</v>
      </c>
      <c r="G1310" s="3" t="s">
        <v>28</v>
      </c>
      <c r="H1310" s="2" t="s">
        <v>29</v>
      </c>
      <c r="I1310" s="2" t="s">
        <v>3110</v>
      </c>
      <c r="J1310" s="3" t="str">
        <f>HYPERLINK("https://www.boe.es/gazeta/dias/1813/04/08/pdfs/GRE-1813-43.pdf#page=8","Abrir facsímil")</f>
        <v>Abrir facsímil</v>
      </c>
      <c r="K1310" s="3" t="s">
        <v>31</v>
      </c>
    </row>
    <row r="1311" spans="1:11" ht="42" customHeight="1">
      <c r="A1311" s="2" t="s">
        <v>3111</v>
      </c>
      <c r="B1311" s="2" t="s">
        <v>3111</v>
      </c>
      <c r="C1311" s="2" t="s">
        <v>16</v>
      </c>
      <c r="D1311" s="2" t="s">
        <v>17</v>
      </c>
      <c r="E1311" s="5">
        <v>-31465</v>
      </c>
      <c r="F1311" s="3" t="s">
        <v>407</v>
      </c>
      <c r="G1311" s="3" t="s">
        <v>3112</v>
      </c>
      <c r="H1311" s="2" t="s">
        <v>20</v>
      </c>
      <c r="I1311" s="2" t="s">
        <v>3113</v>
      </c>
      <c r="J1311" s="3" t="str">
        <f>HYPERLINK("https://www.boe.es/gazeta/dias/1813/11/06/pdfs/GMR-1813-70.pdf#page=6","Abrir facsímil")</f>
        <v>Abrir facsímil</v>
      </c>
      <c r="K1311" s="3" t="s">
        <v>22</v>
      </c>
    </row>
    <row r="1312" spans="1:11" ht="42" customHeight="1">
      <c r="A1312" s="2" t="s">
        <v>3114</v>
      </c>
      <c r="B1312" s="2" t="s">
        <v>3115</v>
      </c>
      <c r="C1312" s="2" t="s">
        <v>16</v>
      </c>
      <c r="D1312" s="2" t="s">
        <v>17</v>
      </c>
      <c r="E1312" s="5">
        <v>-31724</v>
      </c>
      <c r="F1312" s="3" t="s">
        <v>626</v>
      </c>
      <c r="G1312" s="3" t="s">
        <v>627</v>
      </c>
      <c r="H1312" s="2" t="s">
        <v>20</v>
      </c>
      <c r="I1312" s="2" t="s">
        <v>3116</v>
      </c>
      <c r="J1312" s="3" t="str">
        <f>HYPERLINK("https://www.boe.es/gazeta/dias/1813/02/20/pdfs/GRE-1813-22.pdf#page=8","Abrir facsímil")</f>
        <v>Abrir facsímil</v>
      </c>
      <c r="K1312" s="3" t="s">
        <v>22</v>
      </c>
    </row>
    <row r="1313" spans="1:11" ht="42" customHeight="1">
      <c r="A1313" s="2" t="s">
        <v>3117</v>
      </c>
      <c r="B1313" s="2" t="s">
        <v>3117</v>
      </c>
      <c r="C1313" s="2" t="s">
        <v>34</v>
      </c>
      <c r="D1313" s="2" t="s">
        <v>35</v>
      </c>
      <c r="E1313" s="5">
        <v>-31675</v>
      </c>
      <c r="F1313" s="3" t="s">
        <v>2552</v>
      </c>
      <c r="G1313" s="3" t="s">
        <v>779</v>
      </c>
      <c r="H1313" s="2" t="s">
        <v>20</v>
      </c>
      <c r="I1313" s="2" t="s">
        <v>3118</v>
      </c>
      <c r="J1313" s="3" t="str">
        <f>HYPERLINK("https://www.boe.es/gazeta/dias/1813/04/10/pdfs/GMD-1813-100.pdf#page=3","Abrir facsímil")</f>
        <v>Abrir facsímil</v>
      </c>
      <c r="K1313" s="3" t="s">
        <v>22</v>
      </c>
    </row>
    <row r="1314" spans="1:11" ht="42" customHeight="1">
      <c r="A1314" s="2" t="s">
        <v>3119</v>
      </c>
      <c r="B1314" s="2" t="s">
        <v>3120</v>
      </c>
      <c r="C1314" s="2" t="s">
        <v>25</v>
      </c>
      <c r="D1314" s="2" t="s">
        <v>26</v>
      </c>
      <c r="E1314" s="5">
        <v>-31653</v>
      </c>
      <c r="F1314" s="3" t="s">
        <v>3121</v>
      </c>
      <c r="G1314" s="3" t="s">
        <v>3122</v>
      </c>
      <c r="H1314" s="2" t="s">
        <v>20</v>
      </c>
      <c r="I1314" s="2" t="s">
        <v>3123</v>
      </c>
      <c r="J1314" s="3" t="str">
        <f>HYPERLINK("https://www.boe.es/gazeta/dias/1813/05/02/pdfs/GMD-1813-122.pdf#page=2","Abrir facsímil")</f>
        <v>Abrir facsímil</v>
      </c>
      <c r="K1314" s="3" t="s">
        <v>22</v>
      </c>
    </row>
    <row r="1315" spans="1:11" ht="42" customHeight="1">
      <c r="A1315" s="2" t="s">
        <v>3124</v>
      </c>
      <c r="B1315" s="2" t="s">
        <v>3125</v>
      </c>
      <c r="C1315" s="2" t="s">
        <v>277</v>
      </c>
      <c r="D1315" s="2" t="s">
        <v>26</v>
      </c>
      <c r="E1315" s="5">
        <v>-31719</v>
      </c>
      <c r="F1315" s="3" t="s">
        <v>251</v>
      </c>
      <c r="G1315" s="3" t="s">
        <v>19</v>
      </c>
      <c r="H1315" s="2" t="s">
        <v>20</v>
      </c>
      <c r="I1315" s="2" t="s">
        <v>3126</v>
      </c>
      <c r="J1315" s="3" t="str">
        <f>HYPERLINK("https://www.boe.es/gazeta/dias/1813/02/25/pdfs/GMD-1813-56.pdf#page=4","Abrir facsímil")</f>
        <v>Abrir facsímil</v>
      </c>
      <c r="K1315" s="3" t="s">
        <v>22</v>
      </c>
    </row>
    <row r="1316" spans="1:11" ht="42" customHeight="1">
      <c r="A1316" s="2" t="s">
        <v>3127</v>
      </c>
      <c r="B1316" s="2" t="s">
        <v>3127</v>
      </c>
      <c r="C1316" s="2" t="s">
        <v>16</v>
      </c>
      <c r="D1316" s="2" t="s">
        <v>17</v>
      </c>
      <c r="E1316" s="5">
        <v>-31567</v>
      </c>
      <c r="F1316" s="3" t="s">
        <v>820</v>
      </c>
      <c r="G1316" s="3" t="s">
        <v>3128</v>
      </c>
      <c r="H1316" s="2" t="s">
        <v>20</v>
      </c>
      <c r="I1316" s="2" t="s">
        <v>3129</v>
      </c>
      <c r="J1316" s="3" t="str">
        <f>HYPERLINK("https://www.boe.es/gazeta/dias/1813/07/27/pdfs/GMR-1813-21.pdf#page=6","Abrir facsímil")</f>
        <v>Abrir facsímil</v>
      </c>
      <c r="K1316" s="3" t="s">
        <v>22</v>
      </c>
    </row>
    <row r="1317" spans="1:11" ht="42" customHeight="1">
      <c r="A1317" s="2" t="s">
        <v>3130</v>
      </c>
      <c r="B1317" s="2" t="s">
        <v>3130</v>
      </c>
      <c r="C1317" s="2" t="s">
        <v>16</v>
      </c>
      <c r="D1317" s="2" t="s">
        <v>17</v>
      </c>
      <c r="E1317" s="5">
        <v>-31542</v>
      </c>
      <c r="F1317" s="3" t="s">
        <v>347</v>
      </c>
      <c r="G1317" s="3" t="s">
        <v>54</v>
      </c>
      <c r="H1317" s="2" t="s">
        <v>20</v>
      </c>
      <c r="I1317" s="2" t="s">
        <v>3131</v>
      </c>
      <c r="J1317" s="3" t="str">
        <f>HYPERLINK("https://www.boe.es/gazeta/dias/1813/08/21/pdfs/GMR-1813-31.pdf#page=3","Abrir facsímil")</f>
        <v>Abrir facsímil</v>
      </c>
      <c r="K1317" s="3" t="s">
        <v>22</v>
      </c>
    </row>
    <row r="1318" spans="1:11" ht="42" customHeight="1">
      <c r="A1318" s="2" t="s">
        <v>3130</v>
      </c>
      <c r="B1318" s="2" t="s">
        <v>3130</v>
      </c>
      <c r="C1318" s="2" t="s">
        <v>16</v>
      </c>
      <c r="D1318" s="2" t="s">
        <v>17</v>
      </c>
      <c r="E1318" s="5">
        <v>-31516</v>
      </c>
      <c r="F1318" s="3" t="s">
        <v>1685</v>
      </c>
      <c r="G1318" s="3" t="s">
        <v>1686</v>
      </c>
      <c r="H1318" s="2" t="s">
        <v>20</v>
      </c>
      <c r="I1318" s="2" t="s">
        <v>3132</v>
      </c>
      <c r="J1318" s="3" t="str">
        <f>HYPERLINK("https://www.boe.es/gazeta/dias/1813/09/16/pdfs/GRE-1813-120.pdf#page=7","Abrir facsímil")</f>
        <v>Abrir facsímil</v>
      </c>
      <c r="K1318" s="3" t="s">
        <v>22</v>
      </c>
    </row>
    <row r="1319" spans="1:11" ht="42" customHeight="1">
      <c r="A1319" s="2" t="s">
        <v>3130</v>
      </c>
      <c r="B1319" s="2" t="s">
        <v>3130</v>
      </c>
      <c r="C1319" s="2" t="s">
        <v>16</v>
      </c>
      <c r="D1319" s="2" t="s">
        <v>17</v>
      </c>
      <c r="E1319" s="5">
        <v>-31511</v>
      </c>
      <c r="F1319" s="3" t="s">
        <v>2149</v>
      </c>
      <c r="G1319" s="3" t="s">
        <v>95</v>
      </c>
      <c r="H1319" s="2" t="s">
        <v>20</v>
      </c>
      <c r="I1319" s="2" t="s">
        <v>3133</v>
      </c>
      <c r="J1319" s="3" t="str">
        <f>HYPERLINK("https://www.boe.es/gazeta/dias/1813/09/21/pdfs/GRE-1813-122.pdf#page=6","Abrir facsímil")</f>
        <v>Abrir facsímil</v>
      </c>
      <c r="K1319" s="3" t="s">
        <v>22</v>
      </c>
    </row>
    <row r="1320" spans="1:11" ht="42" customHeight="1">
      <c r="A1320" s="2" t="s">
        <v>3134</v>
      </c>
      <c r="B1320" s="2" t="s">
        <v>3135</v>
      </c>
      <c r="C1320" s="2" t="s">
        <v>16</v>
      </c>
      <c r="D1320" s="2" t="s">
        <v>97</v>
      </c>
      <c r="E1320" s="5">
        <v>-31519</v>
      </c>
      <c r="F1320" s="3" t="s">
        <v>312</v>
      </c>
      <c r="G1320" s="3" t="s">
        <v>65</v>
      </c>
      <c r="H1320" s="2" t="s">
        <v>29</v>
      </c>
      <c r="I1320" s="2" t="s">
        <v>3136</v>
      </c>
      <c r="J1320" s="3" t="str">
        <f>HYPERLINK("https://www.boe.es/gazeta/dias/1813/09/13/pdfs/GRE-1813-118E.pdf#page=1","Abrir facsímil")</f>
        <v>Abrir facsímil</v>
      </c>
      <c r="K1320" s="3" t="s">
        <v>31</v>
      </c>
    </row>
    <row r="1321" spans="1:11" ht="42" customHeight="1">
      <c r="A1321" s="2" t="s">
        <v>3137</v>
      </c>
      <c r="B1321" s="2" t="s">
        <v>3138</v>
      </c>
      <c r="C1321" s="2" t="s">
        <v>25</v>
      </c>
      <c r="D1321" s="2" t="s">
        <v>26</v>
      </c>
      <c r="E1321" s="5">
        <v>-31677</v>
      </c>
      <c r="F1321" s="3" t="s">
        <v>76</v>
      </c>
      <c r="G1321" s="3" t="s">
        <v>28</v>
      </c>
      <c r="H1321" s="2" t="s">
        <v>20</v>
      </c>
      <c r="I1321" s="2" t="s">
        <v>3139</v>
      </c>
      <c r="J1321" s="3" t="str">
        <f>HYPERLINK("https://www.boe.es/gazeta/dias/1813/04/08/pdfs/GRE-1813-43.pdf#page=8","Abrir facsímil")</f>
        <v>Abrir facsímil</v>
      </c>
      <c r="K1321" s="3" t="s">
        <v>22</v>
      </c>
    </row>
    <row r="1322" spans="1:11" ht="42" customHeight="1">
      <c r="A1322" s="2" t="s">
        <v>3140</v>
      </c>
      <c r="B1322" s="2" t="s">
        <v>3141</v>
      </c>
      <c r="C1322" s="2" t="s">
        <v>187</v>
      </c>
      <c r="D1322" s="2" t="s">
        <v>26</v>
      </c>
      <c r="E1322" s="5">
        <v>-31710</v>
      </c>
      <c r="F1322" s="3" t="s">
        <v>2689</v>
      </c>
      <c r="G1322" s="3" t="s">
        <v>3142</v>
      </c>
      <c r="H1322" s="2" t="s">
        <v>20</v>
      </c>
      <c r="I1322" s="2" t="s">
        <v>3143</v>
      </c>
      <c r="J1322" s="3" t="str">
        <f>HYPERLINK("https://www.boe.es/gazeta/dias/1813/03/06/pdfs/GRE-1813-29.pdf#page=6","Abrir facsímil")</f>
        <v>Abrir facsímil</v>
      </c>
      <c r="K1322" s="3" t="s">
        <v>22</v>
      </c>
    </row>
    <row r="1323" spans="1:11" ht="42" customHeight="1">
      <c r="A1323" s="2" t="s">
        <v>3144</v>
      </c>
      <c r="B1323" s="2" t="s">
        <v>3145</v>
      </c>
      <c r="C1323" s="2" t="s">
        <v>16</v>
      </c>
      <c r="D1323" s="2" t="s">
        <v>17</v>
      </c>
      <c r="E1323" s="5">
        <v>-31481</v>
      </c>
      <c r="F1323" s="3" t="s">
        <v>380</v>
      </c>
      <c r="G1323" s="3" t="s">
        <v>794</v>
      </c>
      <c r="H1323" s="2" t="s">
        <v>20</v>
      </c>
      <c r="I1323" s="2" t="s">
        <v>3146</v>
      </c>
      <c r="J1323" s="3" t="str">
        <f>HYPERLINK("https://www.boe.es/gazeta/dias/1813/10/21/pdfs/GRE-1813-137.pdf#page=7","Abrir facsímil")</f>
        <v>Abrir facsímil</v>
      </c>
      <c r="K1323" s="3" t="s">
        <v>22</v>
      </c>
    </row>
    <row r="1324" spans="1:11" ht="42" customHeight="1">
      <c r="A1324" s="2" t="s">
        <v>3147</v>
      </c>
      <c r="B1324" s="2" t="s">
        <v>3148</v>
      </c>
      <c r="C1324" s="2" t="s">
        <v>25</v>
      </c>
      <c r="D1324" s="2" t="s">
        <v>26</v>
      </c>
      <c r="E1324" s="5">
        <v>-31675</v>
      </c>
      <c r="F1324" s="3" t="s">
        <v>27</v>
      </c>
      <c r="G1324" s="3" t="s">
        <v>648</v>
      </c>
      <c r="H1324" s="2" t="s">
        <v>20</v>
      </c>
      <c r="I1324" s="2" t="s">
        <v>3149</v>
      </c>
      <c r="J1324" s="3" t="str">
        <f>HYPERLINK("https://www.boe.es/gazeta/dias/1813/04/10/pdfs/GRE-1813-44.pdf#page=7","Abrir facsímil")</f>
        <v>Abrir facsímil</v>
      </c>
      <c r="K1324" s="3" t="s">
        <v>22</v>
      </c>
    </row>
    <row r="1325" spans="1:11" ht="42" customHeight="1">
      <c r="A1325" s="2" t="s">
        <v>3150</v>
      </c>
      <c r="B1325" s="2" t="s">
        <v>3151</v>
      </c>
      <c r="C1325" s="2" t="s">
        <v>25</v>
      </c>
      <c r="D1325" s="2" t="s">
        <v>26</v>
      </c>
      <c r="E1325" s="5">
        <v>-31677</v>
      </c>
      <c r="F1325" s="3" t="s">
        <v>76</v>
      </c>
      <c r="G1325" s="3" t="s">
        <v>28</v>
      </c>
      <c r="H1325" s="2" t="s">
        <v>20</v>
      </c>
      <c r="I1325" s="2" t="s">
        <v>3152</v>
      </c>
      <c r="J1325" s="3" t="str">
        <f>HYPERLINK("https://www.boe.es/gazeta/dias/1813/04/08/pdfs/GRE-1813-43.pdf#page=8","Abrir facsímil")</f>
        <v>Abrir facsímil</v>
      </c>
      <c r="K1325" s="3" t="s">
        <v>22</v>
      </c>
    </row>
    <row r="1326" spans="1:11" ht="42" customHeight="1">
      <c r="A1326" s="2" t="s">
        <v>3153</v>
      </c>
      <c r="B1326" s="2" t="s">
        <v>3154</v>
      </c>
      <c r="C1326" s="2" t="s">
        <v>16</v>
      </c>
      <c r="D1326" s="2" t="s">
        <v>17</v>
      </c>
      <c r="E1326" s="5">
        <v>-31630</v>
      </c>
      <c r="F1326" s="3" t="s">
        <v>1324</v>
      </c>
      <c r="G1326" s="3" t="s">
        <v>3155</v>
      </c>
      <c r="H1326" s="2" t="s">
        <v>20</v>
      </c>
      <c r="I1326" s="2" t="s">
        <v>3156</v>
      </c>
      <c r="J1326" s="3" t="str">
        <f>HYPERLINK("https://www.boe.es/gazeta/dias/1813/05/25/pdfs/GRE-1813-64.pdf#page=8","Abrir facsímil")</f>
        <v>Abrir facsímil</v>
      </c>
      <c r="K1326" s="3" t="s">
        <v>22</v>
      </c>
    </row>
    <row r="1327" spans="1:11" ht="42" customHeight="1">
      <c r="A1327" s="2" t="s">
        <v>3157</v>
      </c>
      <c r="B1327" s="2" t="s">
        <v>3158</v>
      </c>
      <c r="C1327" s="2" t="s">
        <v>16</v>
      </c>
      <c r="D1327" s="2" t="s">
        <v>17</v>
      </c>
      <c r="E1327" s="5">
        <v>-31585</v>
      </c>
      <c r="F1327" s="3" t="s">
        <v>177</v>
      </c>
      <c r="G1327" s="3" t="s">
        <v>178</v>
      </c>
      <c r="H1327" s="2" t="s">
        <v>29</v>
      </c>
      <c r="I1327" s="2" t="s">
        <v>3159</v>
      </c>
      <c r="J1327" s="3" t="str">
        <f>HYPERLINK("https://www.boe.es/gazeta/dias/1813/07/09/pdfs/GMR-1813-16.pdf#page=11","Abrir facsímil")</f>
        <v>Abrir facsímil</v>
      </c>
      <c r="K1327" s="3" t="s">
        <v>31</v>
      </c>
    </row>
    <row r="1328" spans="1:11" ht="42" customHeight="1">
      <c r="A1328" s="2" t="s">
        <v>3160</v>
      </c>
      <c r="B1328" s="2" t="s">
        <v>3161</v>
      </c>
      <c r="C1328" s="2" t="s">
        <v>25</v>
      </c>
      <c r="D1328" s="2" t="s">
        <v>26</v>
      </c>
      <c r="E1328" s="5">
        <v>-31507</v>
      </c>
      <c r="F1328" s="3" t="s">
        <v>61</v>
      </c>
      <c r="G1328" s="3" t="s">
        <v>791</v>
      </c>
      <c r="H1328" s="2" t="s">
        <v>20</v>
      </c>
      <c r="I1328" s="2" t="s">
        <v>3162</v>
      </c>
      <c r="J1328" s="3" t="str">
        <f>HYPERLINK("https://www.boe.es/gazeta/dias/1813/09/25/pdfs/GMR-1813-48.pdf#page=7","Abrir facsímil")</f>
        <v>Abrir facsímil</v>
      </c>
      <c r="K1328" s="3" t="s">
        <v>22</v>
      </c>
    </row>
    <row r="1329" spans="1:11" ht="42" customHeight="1">
      <c r="A1329" s="2" t="s">
        <v>3163</v>
      </c>
      <c r="B1329" s="2" t="s">
        <v>3164</v>
      </c>
      <c r="C1329" s="2" t="s">
        <v>16</v>
      </c>
      <c r="D1329" s="2" t="s">
        <v>97</v>
      </c>
      <c r="E1329" s="5">
        <v>-31519</v>
      </c>
      <c r="F1329" s="3" t="s">
        <v>312</v>
      </c>
      <c r="G1329" s="3" t="s">
        <v>28</v>
      </c>
      <c r="H1329" s="2" t="s">
        <v>20</v>
      </c>
      <c r="I1329" s="2" t="s">
        <v>3165</v>
      </c>
      <c r="J1329" s="3" t="str">
        <f>HYPERLINK("https://www.boe.es/gazeta/dias/1813/09/13/pdfs/GRE-1813-118E.pdf#page=8","Abrir facsímil")</f>
        <v>Abrir facsímil</v>
      </c>
      <c r="K1329" s="3" t="s">
        <v>22</v>
      </c>
    </row>
    <row r="1330" spans="1:11" ht="42" customHeight="1">
      <c r="A1330" s="2" t="s">
        <v>3166</v>
      </c>
      <c r="B1330" s="2" t="s">
        <v>3166</v>
      </c>
      <c r="C1330" s="2" t="s">
        <v>16</v>
      </c>
      <c r="D1330" s="2" t="s">
        <v>17</v>
      </c>
      <c r="E1330" s="5">
        <v>-31647</v>
      </c>
      <c r="F1330" s="3" t="s">
        <v>1972</v>
      </c>
      <c r="G1330" s="3" t="s">
        <v>3167</v>
      </c>
      <c r="H1330" s="2" t="s">
        <v>20</v>
      </c>
      <c r="I1330" s="2" t="s">
        <v>3168</v>
      </c>
      <c r="J1330" s="3" t="str">
        <f>HYPERLINK("https://www.boe.es/gazeta/dias/1813/05/08/pdfs/GRE-1813-57.pdf#page=3","Abrir facsímil")</f>
        <v>Abrir facsímil</v>
      </c>
      <c r="K1330" s="3" t="s">
        <v>22</v>
      </c>
    </row>
    <row r="1331" spans="1:11" ht="42" customHeight="1">
      <c r="A1331" s="2" t="s">
        <v>3169</v>
      </c>
      <c r="B1331" s="2" t="s">
        <v>3169</v>
      </c>
      <c r="C1331" s="2" t="s">
        <v>16</v>
      </c>
      <c r="D1331" s="2" t="s">
        <v>17</v>
      </c>
      <c r="E1331" s="5">
        <v>-31537</v>
      </c>
      <c r="F1331" s="3" t="s">
        <v>138</v>
      </c>
      <c r="G1331" s="3" t="s">
        <v>313</v>
      </c>
      <c r="H1331" s="2" t="s">
        <v>20</v>
      </c>
      <c r="I1331" s="2" t="s">
        <v>3170</v>
      </c>
      <c r="J1331" s="3" t="str">
        <f>HYPERLINK("https://www.boe.es/gazeta/dias/1813/08/26/pdfs/GMR-1813-33.pdf#page=9","Abrir facsímil")</f>
        <v>Abrir facsímil</v>
      </c>
      <c r="K1331" s="3" t="s">
        <v>22</v>
      </c>
    </row>
    <row r="1332" spans="1:11" ht="42" customHeight="1">
      <c r="A1332" s="2" t="s">
        <v>3171</v>
      </c>
      <c r="B1332" s="2" t="s">
        <v>3171</v>
      </c>
      <c r="C1332" s="2" t="s">
        <v>16</v>
      </c>
      <c r="D1332" s="2" t="s">
        <v>17</v>
      </c>
      <c r="E1332" s="5">
        <v>-31679</v>
      </c>
      <c r="F1332" s="3" t="s">
        <v>571</v>
      </c>
      <c r="G1332" s="3" t="s">
        <v>3172</v>
      </c>
      <c r="H1332" s="2" t="s">
        <v>20</v>
      </c>
      <c r="I1332" s="2" t="s">
        <v>3173</v>
      </c>
      <c r="J1332" s="3" t="str">
        <f>HYPERLINK("https://www.boe.es/gazeta/dias/1813/04/06/pdfs/GRE-1813-42.pdf#page=8","Abrir facsímil")</f>
        <v>Abrir facsímil</v>
      </c>
      <c r="K1332" s="3" t="s">
        <v>22</v>
      </c>
    </row>
    <row r="1333" spans="1:11" ht="42" customHeight="1">
      <c r="A1333" s="2" t="s">
        <v>3171</v>
      </c>
      <c r="B1333" s="2" t="s">
        <v>3171</v>
      </c>
      <c r="C1333" s="2" t="s">
        <v>16</v>
      </c>
      <c r="D1333" s="2" t="s">
        <v>17</v>
      </c>
      <c r="E1333" s="5">
        <v>-31640</v>
      </c>
      <c r="F1333" s="3" t="s">
        <v>3174</v>
      </c>
      <c r="G1333" s="3" t="s">
        <v>58</v>
      </c>
      <c r="H1333" s="2" t="s">
        <v>20</v>
      </c>
      <c r="I1333" s="2" t="s">
        <v>3175</v>
      </c>
      <c r="J1333" s="3" t="str">
        <f>HYPERLINK("https://www.boe.es/gazeta/dias/1813/05/15/pdfs/GMD-1813-135.pdf#page=2","Abrir facsímil")</f>
        <v>Abrir facsímil</v>
      </c>
      <c r="K1333" s="3" t="s">
        <v>22</v>
      </c>
    </row>
    <row r="1334" spans="1:11" ht="42" customHeight="1">
      <c r="A1334" s="2" t="s">
        <v>3171</v>
      </c>
      <c r="B1334" s="2" t="s">
        <v>3171</v>
      </c>
      <c r="C1334" s="2" t="s">
        <v>16</v>
      </c>
      <c r="D1334" s="2" t="s">
        <v>97</v>
      </c>
      <c r="E1334" s="5">
        <v>-31548</v>
      </c>
      <c r="F1334" s="3" t="s">
        <v>1680</v>
      </c>
      <c r="G1334" s="3" t="s">
        <v>534</v>
      </c>
      <c r="H1334" s="2" t="s">
        <v>20</v>
      </c>
      <c r="I1334" s="2" t="s">
        <v>3176</v>
      </c>
      <c r="J1334" s="3" t="str">
        <f>HYPERLINK("https://www.boe.es/gazeta/dias/1813/08/15/pdfs/GRE-1813-104E.pdf#page=4","Abrir facsímil")</f>
        <v>Abrir facsímil</v>
      </c>
      <c r="K1334" s="3" t="s">
        <v>22</v>
      </c>
    </row>
    <row r="1335" spans="1:11" ht="42" customHeight="1">
      <c r="A1335" s="2" t="s">
        <v>3171</v>
      </c>
      <c r="B1335" s="2" t="s">
        <v>3171</v>
      </c>
      <c r="C1335" s="2" t="s">
        <v>16</v>
      </c>
      <c r="D1335" s="2" t="s">
        <v>97</v>
      </c>
      <c r="E1335" s="5">
        <v>-31548</v>
      </c>
      <c r="F1335" s="3" t="s">
        <v>1680</v>
      </c>
      <c r="G1335" s="3" t="s">
        <v>58</v>
      </c>
      <c r="H1335" s="2" t="s">
        <v>20</v>
      </c>
      <c r="I1335" s="2" t="s">
        <v>3177</v>
      </c>
      <c r="J1335" s="3" t="str">
        <f>HYPERLINK("https://www.boe.es/gazeta/dias/1813/08/15/pdfs/GRE-1813-104E.pdf#page=2","Abrir facsímil")</f>
        <v>Abrir facsímil</v>
      </c>
      <c r="K1335" s="3" t="s">
        <v>22</v>
      </c>
    </row>
    <row r="1336" spans="1:11" ht="42" customHeight="1">
      <c r="A1336" s="2" t="s">
        <v>3171</v>
      </c>
      <c r="B1336" s="2" t="s">
        <v>3171</v>
      </c>
      <c r="C1336" s="2" t="s">
        <v>25</v>
      </c>
      <c r="D1336" s="2" t="s">
        <v>97</v>
      </c>
      <c r="E1336" s="5">
        <v>-31548</v>
      </c>
      <c r="F1336" s="3" t="s">
        <v>1680</v>
      </c>
      <c r="G1336" s="3" t="s">
        <v>54</v>
      </c>
      <c r="H1336" s="2" t="s">
        <v>20</v>
      </c>
      <c r="I1336" s="2" t="s">
        <v>3178</v>
      </c>
      <c r="J1336" s="3" t="str">
        <f>HYPERLINK("https://www.boe.es/gazeta/dias/1813/08/15/pdfs/GRE-1813-104E.pdf#page=3","Abrir facsímil")</f>
        <v>Abrir facsímil</v>
      </c>
      <c r="K1336" s="3" t="s">
        <v>22</v>
      </c>
    </row>
    <row r="1337" spans="1:11" ht="42" customHeight="1">
      <c r="A1337" s="2" t="s">
        <v>3171</v>
      </c>
      <c r="B1337" s="2" t="s">
        <v>3171</v>
      </c>
      <c r="C1337" s="2" t="s">
        <v>16</v>
      </c>
      <c r="D1337" s="2" t="s">
        <v>97</v>
      </c>
      <c r="E1337" s="5">
        <v>-31548</v>
      </c>
      <c r="F1337" s="3" t="s">
        <v>1680</v>
      </c>
      <c r="G1337" s="3" t="s">
        <v>95</v>
      </c>
      <c r="H1337" s="2" t="s">
        <v>20</v>
      </c>
      <c r="I1337" s="2" t="s">
        <v>3179</v>
      </c>
      <c r="J1337" s="3" t="str">
        <f>HYPERLINK("https://www.boe.es/gazeta/dias/1813/08/15/pdfs/GRE-1813-104E.pdf#page=6","Abrir facsímil")</f>
        <v>Abrir facsímil</v>
      </c>
      <c r="K1337" s="3" t="s">
        <v>22</v>
      </c>
    </row>
    <row r="1338" spans="1:11" ht="42" customHeight="1">
      <c r="A1338" s="2" t="s">
        <v>3171</v>
      </c>
      <c r="B1338" s="2" t="s">
        <v>3171</v>
      </c>
      <c r="C1338" s="2" t="s">
        <v>16</v>
      </c>
      <c r="D1338" s="2" t="s">
        <v>97</v>
      </c>
      <c r="E1338" s="5">
        <v>-31548</v>
      </c>
      <c r="F1338" s="3" t="s">
        <v>1680</v>
      </c>
      <c r="G1338" s="3" t="s">
        <v>87</v>
      </c>
      <c r="H1338" s="2" t="s">
        <v>20</v>
      </c>
      <c r="I1338" s="2" t="s">
        <v>3180</v>
      </c>
      <c r="J1338" s="3" t="str">
        <f>HYPERLINK("https://www.boe.es/gazeta/dias/1813/08/15/pdfs/GRE-1813-104E.pdf#page=7","Abrir facsímil")</f>
        <v>Abrir facsímil</v>
      </c>
      <c r="K1338" s="3" t="s">
        <v>22</v>
      </c>
    </row>
    <row r="1339" spans="1:11" ht="42" customHeight="1">
      <c r="A1339" s="2" t="s">
        <v>3171</v>
      </c>
      <c r="B1339" s="2" t="s">
        <v>3171</v>
      </c>
      <c r="C1339" s="2" t="s">
        <v>16</v>
      </c>
      <c r="D1339" s="2" t="s">
        <v>17</v>
      </c>
      <c r="E1339" s="5">
        <v>-31537</v>
      </c>
      <c r="F1339" s="3" t="s">
        <v>138</v>
      </c>
      <c r="G1339" s="3" t="s">
        <v>3181</v>
      </c>
      <c r="H1339" s="2" t="s">
        <v>20</v>
      </c>
      <c r="I1339" s="2" t="s">
        <v>3182</v>
      </c>
      <c r="J1339" s="3" t="str">
        <f>HYPERLINK("https://www.boe.es/gazeta/dias/1813/08/26/pdfs/GMR-1813-33.pdf#page=10","Abrir facsímil")</f>
        <v>Abrir facsímil</v>
      </c>
      <c r="K1339" s="3" t="s">
        <v>22</v>
      </c>
    </row>
    <row r="1340" spans="1:11" ht="42" customHeight="1">
      <c r="A1340" s="2" t="s">
        <v>3171</v>
      </c>
      <c r="B1340" s="2" t="s">
        <v>3171</v>
      </c>
      <c r="C1340" s="2" t="s">
        <v>16</v>
      </c>
      <c r="D1340" s="2" t="s">
        <v>17</v>
      </c>
      <c r="E1340" s="5">
        <v>-31537</v>
      </c>
      <c r="F1340" s="3" t="s">
        <v>138</v>
      </c>
      <c r="G1340" s="3" t="s">
        <v>258</v>
      </c>
      <c r="H1340" s="2" t="s">
        <v>20</v>
      </c>
      <c r="I1340" s="2" t="s">
        <v>3183</v>
      </c>
      <c r="J1340" s="3" t="str">
        <f>HYPERLINK("https://www.boe.es/gazeta/dias/1813/08/26/pdfs/GMR-1813-33.pdf#page=12","Abrir facsímil")</f>
        <v>Abrir facsímil</v>
      </c>
      <c r="K1340" s="3" t="s">
        <v>22</v>
      </c>
    </row>
    <row r="1341" spans="1:11" ht="42" customHeight="1">
      <c r="A1341" s="2" t="s">
        <v>3171</v>
      </c>
      <c r="B1341" s="2" t="s">
        <v>3171</v>
      </c>
      <c r="C1341" s="2" t="s">
        <v>16</v>
      </c>
      <c r="D1341" s="2" t="s">
        <v>17</v>
      </c>
      <c r="E1341" s="5">
        <v>-31537</v>
      </c>
      <c r="F1341" s="3" t="s">
        <v>138</v>
      </c>
      <c r="G1341" s="3" t="s">
        <v>821</v>
      </c>
      <c r="H1341" s="2" t="s">
        <v>20</v>
      </c>
      <c r="I1341" s="2" t="s">
        <v>3184</v>
      </c>
      <c r="J1341" s="3" t="str">
        <f>HYPERLINK("https://www.boe.es/gazeta/dias/1813/08/26/pdfs/GMR-1813-33.pdf#page=13","Abrir facsímil")</f>
        <v>Abrir facsímil</v>
      </c>
      <c r="K1341" s="3" t="s">
        <v>22</v>
      </c>
    </row>
    <row r="1342" spans="1:11" ht="42" customHeight="1">
      <c r="A1342" s="2" t="s">
        <v>3171</v>
      </c>
      <c r="B1342" s="2" t="s">
        <v>3171</v>
      </c>
      <c r="C1342" s="2" t="s">
        <v>25</v>
      </c>
      <c r="D1342" s="2" t="s">
        <v>26</v>
      </c>
      <c r="E1342" s="5">
        <v>-31537</v>
      </c>
      <c r="F1342" s="3" t="s">
        <v>138</v>
      </c>
      <c r="G1342" s="3" t="s">
        <v>313</v>
      </c>
      <c r="H1342" s="2" t="s">
        <v>20</v>
      </c>
      <c r="I1342" s="2" t="s">
        <v>3185</v>
      </c>
      <c r="J1342" s="3" t="str">
        <f>HYPERLINK("https://www.boe.es/gazeta/dias/1813/08/26/pdfs/GMR-1813-33.pdf#page=9","Abrir facsímil")</f>
        <v>Abrir facsímil</v>
      </c>
      <c r="K1342" s="3" t="s">
        <v>22</v>
      </c>
    </row>
    <row r="1343" spans="1:11" ht="42" customHeight="1">
      <c r="A1343" s="2" t="s">
        <v>3171</v>
      </c>
      <c r="B1343" s="2" t="s">
        <v>3171</v>
      </c>
      <c r="C1343" s="2" t="s">
        <v>16</v>
      </c>
      <c r="D1343" s="2" t="s">
        <v>17</v>
      </c>
      <c r="E1343" s="5">
        <v>-31525</v>
      </c>
      <c r="F1343" s="3" t="s">
        <v>1131</v>
      </c>
      <c r="G1343" s="3" t="s">
        <v>95</v>
      </c>
      <c r="H1343" s="2" t="s">
        <v>20</v>
      </c>
      <c r="I1343" s="2" t="s">
        <v>3186</v>
      </c>
      <c r="J1343" s="3" t="str">
        <f>HYPERLINK("https://www.boe.es/gazeta/dias/1813/09/07/pdfs/GRE-1813-114.pdf#page=6","Abrir facsímil")</f>
        <v>Abrir facsímil</v>
      </c>
      <c r="K1343" s="3" t="s">
        <v>22</v>
      </c>
    </row>
    <row r="1344" spans="1:11" ht="42" customHeight="1">
      <c r="A1344" s="2" t="s">
        <v>3171</v>
      </c>
      <c r="B1344" s="2" t="s">
        <v>3171</v>
      </c>
      <c r="C1344" s="2" t="s">
        <v>16</v>
      </c>
      <c r="D1344" s="2" t="s">
        <v>17</v>
      </c>
      <c r="E1344" s="5">
        <v>-31525</v>
      </c>
      <c r="F1344" s="3" t="s">
        <v>1131</v>
      </c>
      <c r="G1344" s="3" t="s">
        <v>87</v>
      </c>
      <c r="H1344" s="2" t="s">
        <v>20</v>
      </c>
      <c r="I1344" s="2" t="s">
        <v>3187</v>
      </c>
      <c r="J1344" s="3" t="str">
        <f>HYPERLINK("https://www.boe.es/gazeta/dias/1813/09/07/pdfs/GRE-1813-114.pdf#page=7","Abrir facsímil")</f>
        <v>Abrir facsímil</v>
      </c>
      <c r="K1344" s="3" t="s">
        <v>22</v>
      </c>
    </row>
    <row r="1345" spans="1:11" ht="42" customHeight="1">
      <c r="A1345" s="2" t="s">
        <v>3171</v>
      </c>
      <c r="B1345" s="2" t="s">
        <v>3171</v>
      </c>
      <c r="C1345" s="2" t="s">
        <v>16</v>
      </c>
      <c r="D1345" s="2" t="s">
        <v>97</v>
      </c>
      <c r="E1345" s="5">
        <v>-31479</v>
      </c>
      <c r="F1345" s="3" t="s">
        <v>290</v>
      </c>
      <c r="G1345" s="3" t="s">
        <v>19</v>
      </c>
      <c r="H1345" s="2" t="s">
        <v>20</v>
      </c>
      <c r="I1345" s="2" t="s">
        <v>3188</v>
      </c>
      <c r="J1345" s="3" t="str">
        <f>HYPERLINK("https://www.boe.es/gazeta/dias/1813/10/23/pdfs/GRE-1813-139E.pdf#page=4","Abrir facsímil")</f>
        <v>Abrir facsímil</v>
      </c>
      <c r="K1345" s="3" t="s">
        <v>22</v>
      </c>
    </row>
    <row r="1346" spans="1:11" ht="42" customHeight="1">
      <c r="A1346" s="2" t="s">
        <v>3171</v>
      </c>
      <c r="B1346" s="2" t="s">
        <v>3171</v>
      </c>
      <c r="C1346" s="2" t="s">
        <v>16</v>
      </c>
      <c r="D1346" s="2" t="s">
        <v>17</v>
      </c>
      <c r="E1346" s="5">
        <v>-31467</v>
      </c>
      <c r="F1346" s="3" t="s">
        <v>120</v>
      </c>
      <c r="G1346" s="3" t="s">
        <v>95</v>
      </c>
      <c r="H1346" s="2" t="s">
        <v>20</v>
      </c>
      <c r="I1346" s="2" t="s">
        <v>3189</v>
      </c>
      <c r="J1346" s="3" t="str">
        <f>HYPERLINK("https://www.boe.es/gazeta/dias/1813/11/04/pdfs/GMR-1813-68.pdf#page=6","Abrir facsímil")</f>
        <v>Abrir facsímil</v>
      </c>
      <c r="K1346" s="3" t="s">
        <v>22</v>
      </c>
    </row>
    <row r="1347" spans="1:11" ht="42" customHeight="1">
      <c r="A1347" s="2" t="s">
        <v>3190</v>
      </c>
      <c r="B1347" s="2" t="s">
        <v>3191</v>
      </c>
      <c r="C1347" s="2" t="s">
        <v>16</v>
      </c>
      <c r="D1347" s="2" t="s">
        <v>17</v>
      </c>
      <c r="E1347" s="5">
        <v>-31542</v>
      </c>
      <c r="F1347" s="3" t="s">
        <v>347</v>
      </c>
      <c r="G1347" s="3" t="s">
        <v>19</v>
      </c>
      <c r="H1347" s="2" t="s">
        <v>29</v>
      </c>
      <c r="I1347" s="2" t="s">
        <v>3192</v>
      </c>
      <c r="J1347" s="3" t="str">
        <f>HYPERLINK("https://www.boe.es/gazeta/dias/1813/08/21/pdfs/GMR-1813-31.pdf#page=4","Abrir facsímil")</f>
        <v>Abrir facsímil</v>
      </c>
      <c r="K1347" s="3" t="s">
        <v>31</v>
      </c>
    </row>
    <row r="1348" spans="1:11" ht="42" customHeight="1">
      <c r="A1348" s="2" t="s">
        <v>3193</v>
      </c>
      <c r="B1348" s="2" t="s">
        <v>3194</v>
      </c>
      <c r="C1348" s="2" t="s">
        <v>16</v>
      </c>
      <c r="D1348" s="2" t="s">
        <v>17</v>
      </c>
      <c r="E1348" s="5">
        <v>-31592</v>
      </c>
      <c r="F1348" s="3" t="s">
        <v>175</v>
      </c>
      <c r="G1348" s="3" t="s">
        <v>82</v>
      </c>
      <c r="H1348" s="2" t="s">
        <v>29</v>
      </c>
      <c r="I1348" s="2" t="s">
        <v>3195</v>
      </c>
      <c r="J1348" s="3" t="str">
        <f>HYPERLINK("https://www.boe.es/gazeta/dias/1813/07/02/pdfs/GRE-1813-82.pdf#page=5","Abrir facsímil")</f>
        <v>Abrir facsímil</v>
      </c>
      <c r="K1348" s="3" t="s">
        <v>31</v>
      </c>
    </row>
    <row r="1349" spans="1:11" ht="42" customHeight="1">
      <c r="A1349" s="2" t="s">
        <v>3196</v>
      </c>
      <c r="B1349" s="2" t="s">
        <v>3197</v>
      </c>
      <c r="C1349" s="2" t="s">
        <v>16</v>
      </c>
      <c r="D1349" s="2" t="s">
        <v>17</v>
      </c>
      <c r="E1349" s="5">
        <v>-31733</v>
      </c>
      <c r="F1349" s="3" t="s">
        <v>3036</v>
      </c>
      <c r="G1349" s="3" t="s">
        <v>3198</v>
      </c>
      <c r="H1349" s="2" t="s">
        <v>20</v>
      </c>
      <c r="I1349" s="2" t="s">
        <v>3199</v>
      </c>
      <c r="J1349" s="3" t="str">
        <f>HYPERLINK("https://www.boe.es/gazeta/dias/1813/02/11/pdfs/GRE-1813-18.pdf#page=7","Abrir facsímil")</f>
        <v>Abrir facsímil</v>
      </c>
      <c r="K1349" s="3" t="s">
        <v>22</v>
      </c>
    </row>
    <row r="1350" spans="1:11" ht="42" customHeight="1">
      <c r="A1350" s="2" t="s">
        <v>3200</v>
      </c>
      <c r="B1350" s="2" t="s">
        <v>3201</v>
      </c>
      <c r="C1350" s="2" t="s">
        <v>25</v>
      </c>
      <c r="D1350" s="2" t="s">
        <v>26</v>
      </c>
      <c r="E1350" s="5">
        <v>-31677</v>
      </c>
      <c r="F1350" s="3" t="s">
        <v>76</v>
      </c>
      <c r="G1350" s="3" t="s">
        <v>28</v>
      </c>
      <c r="H1350" s="2" t="s">
        <v>20</v>
      </c>
      <c r="I1350" s="2" t="s">
        <v>3202</v>
      </c>
      <c r="J1350" s="3" t="str">
        <f>HYPERLINK("https://www.boe.es/gazeta/dias/1813/04/08/pdfs/GRE-1813-43.pdf#page=8","Abrir facsímil")</f>
        <v>Abrir facsímil</v>
      </c>
      <c r="K1350" s="3" t="s">
        <v>22</v>
      </c>
    </row>
    <row r="1351" spans="1:11" ht="42" customHeight="1">
      <c r="A1351" s="2" t="s">
        <v>3203</v>
      </c>
      <c r="B1351" s="2" t="s">
        <v>3204</v>
      </c>
      <c r="C1351" s="2" t="s">
        <v>16</v>
      </c>
      <c r="D1351" s="2" t="s">
        <v>17</v>
      </c>
      <c r="E1351" s="5">
        <v>-31465</v>
      </c>
      <c r="F1351" s="3" t="s">
        <v>407</v>
      </c>
      <c r="G1351" s="3" t="s">
        <v>87</v>
      </c>
      <c r="H1351" s="2" t="s">
        <v>20</v>
      </c>
      <c r="I1351" s="2" t="s">
        <v>3205</v>
      </c>
      <c r="J1351" s="3" t="str">
        <f>HYPERLINK("https://www.boe.es/gazeta/dias/1813/11/06/pdfs/GMR-1813-70.pdf#page=7","Abrir facsímil")</f>
        <v>Abrir facsímil</v>
      </c>
      <c r="K1351" s="3" t="s">
        <v>22</v>
      </c>
    </row>
    <row r="1352" spans="1:11" ht="42" customHeight="1">
      <c r="A1352" s="2" t="s">
        <v>3206</v>
      </c>
      <c r="B1352" s="2" t="s">
        <v>3207</v>
      </c>
      <c r="C1352" s="2" t="s">
        <v>25</v>
      </c>
      <c r="D1352" s="2" t="s">
        <v>26</v>
      </c>
      <c r="E1352" s="5">
        <v>-31675</v>
      </c>
      <c r="F1352" s="3" t="s">
        <v>27</v>
      </c>
      <c r="G1352" s="3" t="s">
        <v>28</v>
      </c>
      <c r="H1352" s="2" t="s">
        <v>20</v>
      </c>
      <c r="I1352" s="2" t="s">
        <v>3208</v>
      </c>
      <c r="J1352" s="3" t="str">
        <f>HYPERLINK("https://www.boe.es/gazeta/dias/1813/04/10/pdfs/GRE-1813-44.pdf#page=8","Abrir facsímil")</f>
        <v>Abrir facsímil</v>
      </c>
      <c r="K1352" s="3" t="s">
        <v>22</v>
      </c>
    </row>
    <row r="1353" spans="1:11" ht="42" customHeight="1">
      <c r="A1353" s="2" t="s">
        <v>3209</v>
      </c>
      <c r="B1353" s="2" t="s">
        <v>3210</v>
      </c>
      <c r="C1353" s="2" t="s">
        <v>435</v>
      </c>
      <c r="D1353" s="2" t="s">
        <v>26</v>
      </c>
      <c r="E1353" s="5">
        <v>-31560</v>
      </c>
      <c r="F1353" s="3" t="s">
        <v>590</v>
      </c>
      <c r="G1353" s="3" t="s">
        <v>87</v>
      </c>
      <c r="H1353" s="2" t="s">
        <v>20</v>
      </c>
      <c r="I1353" s="2" t="s">
        <v>3211</v>
      </c>
      <c r="J1353" s="3" t="str">
        <f>HYPERLINK("https://www.boe.es/gazeta/dias/1813/08/03/pdfs/GRE-1813-98.pdf#page=7","Abrir facsímil")</f>
        <v>Abrir facsímil</v>
      </c>
      <c r="K1353" s="3" t="s">
        <v>22</v>
      </c>
    </row>
    <row r="1354" spans="1:11" ht="42" customHeight="1">
      <c r="A1354" s="2" t="s">
        <v>3212</v>
      </c>
      <c r="B1354" s="2" t="s">
        <v>3213</v>
      </c>
      <c r="C1354" s="2" t="s">
        <v>25</v>
      </c>
      <c r="D1354" s="2" t="s">
        <v>26</v>
      </c>
      <c r="E1354" s="5">
        <v>-31416</v>
      </c>
      <c r="F1354" s="3" t="s">
        <v>278</v>
      </c>
      <c r="G1354" s="3" t="s">
        <v>207</v>
      </c>
      <c r="H1354" s="2" t="s">
        <v>20</v>
      </c>
      <c r="I1354" s="2" t="s">
        <v>3214</v>
      </c>
      <c r="J1354" s="3" t="str">
        <f>HYPERLINK("https://www.boe.es/gazeta/dias/1813/12/25/pdfs/GMR-1813-92.pdf#page=10","Abrir facsímil")</f>
        <v>Abrir facsímil</v>
      </c>
      <c r="K1354" s="3" t="s">
        <v>22</v>
      </c>
    </row>
    <row r="1355" spans="1:11" ht="42" customHeight="1">
      <c r="A1355" s="2" t="s">
        <v>3215</v>
      </c>
      <c r="B1355" s="2" t="s">
        <v>3216</v>
      </c>
      <c r="C1355" s="2" t="s">
        <v>34</v>
      </c>
      <c r="D1355" s="2" t="s">
        <v>35</v>
      </c>
      <c r="E1355" s="5">
        <v>-31762</v>
      </c>
      <c r="F1355" s="3" t="s">
        <v>604</v>
      </c>
      <c r="G1355" s="3" t="s">
        <v>19</v>
      </c>
      <c r="H1355" s="2" t="s">
        <v>20</v>
      </c>
      <c r="I1355" s="2" t="s">
        <v>3217</v>
      </c>
      <c r="J1355" s="3" t="str">
        <f>HYPERLINK("https://www.boe.es/gazeta/dias/1813/01/13/pdfs/GMD-1813-13.pdf#page=4","Abrir facsímil")</f>
        <v>Abrir facsímil</v>
      </c>
      <c r="K1355" s="3" t="s">
        <v>22</v>
      </c>
    </row>
    <row r="1356" spans="1:11" ht="42" customHeight="1">
      <c r="A1356" s="2" t="s">
        <v>3218</v>
      </c>
      <c r="B1356" s="2" t="s">
        <v>3218</v>
      </c>
      <c r="C1356" s="2" t="s">
        <v>16</v>
      </c>
      <c r="D1356" s="2" t="s">
        <v>17</v>
      </c>
      <c r="E1356" s="5">
        <v>-31656</v>
      </c>
      <c r="F1356" s="3" t="s">
        <v>415</v>
      </c>
      <c r="G1356" s="3" t="s">
        <v>65</v>
      </c>
      <c r="H1356" s="2" t="s">
        <v>20</v>
      </c>
      <c r="I1356" s="2" t="s">
        <v>3219</v>
      </c>
      <c r="J1356" s="3" t="str">
        <f>HYPERLINK("https://www.boe.es/gazeta/dias/1813/04/29/pdfs/GMD-1813-119.pdf#page=1","Abrir facsímil")</f>
        <v>Abrir facsímil</v>
      </c>
      <c r="K1356" s="3" t="s">
        <v>22</v>
      </c>
    </row>
    <row r="1357" spans="1:11" ht="42" customHeight="1">
      <c r="A1357" s="2" t="s">
        <v>3220</v>
      </c>
      <c r="B1357" s="2" t="s">
        <v>3220</v>
      </c>
      <c r="C1357" s="2" t="s">
        <v>16</v>
      </c>
      <c r="D1357" s="2" t="s">
        <v>17</v>
      </c>
      <c r="E1357" s="5">
        <v>-31532</v>
      </c>
      <c r="F1357" s="3" t="s">
        <v>215</v>
      </c>
      <c r="G1357" s="3" t="s">
        <v>65</v>
      </c>
      <c r="H1357" s="2" t="s">
        <v>20</v>
      </c>
      <c r="I1357" s="2" t="s">
        <v>3221</v>
      </c>
      <c r="J1357" s="3" t="str">
        <f>HYPERLINK("https://www.boe.es/gazeta/dias/1813/08/31/pdfs/GRE-1813-111.pdf#page=1","Abrir facsímil")</f>
        <v>Abrir facsímil</v>
      </c>
      <c r="K1357" s="3" t="s">
        <v>22</v>
      </c>
    </row>
    <row r="1358" spans="1:11" ht="42" customHeight="1">
      <c r="A1358" s="2" t="s">
        <v>3222</v>
      </c>
      <c r="B1358" s="2" t="s">
        <v>3222</v>
      </c>
      <c r="C1358" s="2" t="s">
        <v>25</v>
      </c>
      <c r="D1358" s="2" t="s">
        <v>26</v>
      </c>
      <c r="E1358" s="5">
        <v>-31745</v>
      </c>
      <c r="F1358" s="3" t="s">
        <v>445</v>
      </c>
      <c r="G1358" s="3" t="s">
        <v>28</v>
      </c>
      <c r="H1358" s="2" t="s">
        <v>20</v>
      </c>
      <c r="I1358" s="2" t="s">
        <v>3223</v>
      </c>
      <c r="J1358" s="3" t="str">
        <f>HYPERLINK("https://www.boe.es/gazeta/dias/1813/01/30/pdfs/GRE-1813-13.pdf#page=8","Abrir facsímil")</f>
        <v>Abrir facsímil</v>
      </c>
      <c r="K1358" s="3" t="s">
        <v>22</v>
      </c>
    </row>
    <row r="1359" spans="1:11" ht="42" customHeight="1">
      <c r="A1359" s="2" t="s">
        <v>3224</v>
      </c>
      <c r="B1359" s="2" t="s">
        <v>3225</v>
      </c>
      <c r="C1359" s="2" t="s">
        <v>16</v>
      </c>
      <c r="D1359" s="2" t="s">
        <v>17</v>
      </c>
      <c r="E1359" s="5">
        <v>-31418</v>
      </c>
      <c r="F1359" s="3" t="s">
        <v>1529</v>
      </c>
      <c r="G1359" s="3" t="s">
        <v>82</v>
      </c>
      <c r="H1359" s="2" t="s">
        <v>20</v>
      </c>
      <c r="I1359" s="2" t="s">
        <v>3226</v>
      </c>
      <c r="J1359" s="3" t="str">
        <f>HYPERLINK("https://www.boe.es/gazeta/dias/1813/12/23/pdfs/GMR-1813-91.pdf#page=5","Abrir facsímil")</f>
        <v>Abrir facsímil</v>
      </c>
      <c r="K1359" s="3" t="s">
        <v>22</v>
      </c>
    </row>
    <row r="1360" spans="1:11" ht="42" customHeight="1">
      <c r="A1360" s="2" t="s">
        <v>3227</v>
      </c>
      <c r="B1360" s="2" t="s">
        <v>3228</v>
      </c>
      <c r="C1360" s="2" t="s">
        <v>16</v>
      </c>
      <c r="D1360" s="2" t="s">
        <v>17</v>
      </c>
      <c r="E1360" s="5">
        <v>-31738</v>
      </c>
      <c r="F1360" s="3" t="s">
        <v>556</v>
      </c>
      <c r="G1360" s="3" t="s">
        <v>28</v>
      </c>
      <c r="H1360" s="2" t="s">
        <v>20</v>
      </c>
      <c r="I1360" s="2" t="s">
        <v>3229</v>
      </c>
      <c r="J1360" s="3" t="str">
        <f>HYPERLINK("https://www.boe.es/gazeta/dias/1813/02/06/pdfs/GRE-1813-16.pdf#page=8","Abrir facsímil")</f>
        <v>Abrir facsímil</v>
      </c>
      <c r="K1360" s="3" t="s">
        <v>22</v>
      </c>
    </row>
    <row r="1361" spans="1:11" ht="42" customHeight="1">
      <c r="A1361" s="2" t="s">
        <v>3230</v>
      </c>
      <c r="B1361" s="2" t="s">
        <v>3231</v>
      </c>
      <c r="C1361" s="2" t="s">
        <v>16</v>
      </c>
      <c r="D1361" s="2" t="s">
        <v>17</v>
      </c>
      <c r="E1361" s="5">
        <v>-31747</v>
      </c>
      <c r="F1361" s="3" t="s">
        <v>86</v>
      </c>
      <c r="G1361" s="3" t="s">
        <v>3232</v>
      </c>
      <c r="H1361" s="2" t="s">
        <v>20</v>
      </c>
      <c r="I1361" s="2" t="s">
        <v>3233</v>
      </c>
      <c r="J1361" s="3" t="str">
        <f>HYPERLINK("https://www.boe.es/gazeta/dias/1813/01/28/pdfs/GRE-1813-12.pdf#page=6","Abrir facsímil")</f>
        <v>Abrir facsímil</v>
      </c>
      <c r="K1361" s="3" t="s">
        <v>22</v>
      </c>
    </row>
    <row r="1362" spans="1:11" ht="42" customHeight="1">
      <c r="A1362" s="2" t="s">
        <v>3234</v>
      </c>
      <c r="B1362" s="2" t="s">
        <v>3235</v>
      </c>
      <c r="C1362" s="2" t="s">
        <v>16</v>
      </c>
      <c r="D1362" s="2" t="s">
        <v>17</v>
      </c>
      <c r="E1362" s="5">
        <v>-31507</v>
      </c>
      <c r="F1362" s="3" t="s">
        <v>61</v>
      </c>
      <c r="G1362" s="3" t="s">
        <v>28</v>
      </c>
      <c r="H1362" s="2" t="s">
        <v>20</v>
      </c>
      <c r="I1362" s="2" t="s">
        <v>3236</v>
      </c>
      <c r="J1362" s="3" t="str">
        <f>HYPERLINK("https://www.boe.es/gazeta/dias/1813/09/25/pdfs/GMR-1813-48.pdf#page=8","Abrir facsímil")</f>
        <v>Abrir facsímil</v>
      </c>
      <c r="K1362" s="3" t="s">
        <v>22</v>
      </c>
    </row>
    <row r="1363" spans="1:11" ht="42" customHeight="1">
      <c r="A1363" s="2" t="s">
        <v>3237</v>
      </c>
      <c r="B1363" s="2" t="s">
        <v>3238</v>
      </c>
      <c r="C1363" s="2" t="s">
        <v>16</v>
      </c>
      <c r="D1363" s="2" t="s">
        <v>17</v>
      </c>
      <c r="E1363" s="5">
        <v>-31684</v>
      </c>
      <c r="F1363" s="3" t="s">
        <v>427</v>
      </c>
      <c r="G1363" s="3" t="s">
        <v>1123</v>
      </c>
      <c r="H1363" s="2" t="s">
        <v>20</v>
      </c>
      <c r="I1363" s="2" t="s">
        <v>3239</v>
      </c>
      <c r="J1363" s="3" t="str">
        <f>HYPERLINK("https://www.boe.es/gazeta/dias/1813/04/01/pdfs/GRE-1813-40.pdf#page=8","Abrir facsímil")</f>
        <v>Abrir facsímil</v>
      </c>
      <c r="K1363" s="3" t="s">
        <v>22</v>
      </c>
    </row>
    <row r="1364" spans="1:11" ht="42" customHeight="1">
      <c r="A1364" s="2" t="s">
        <v>3240</v>
      </c>
      <c r="B1364" s="2" t="s">
        <v>3241</v>
      </c>
      <c r="C1364" s="2" t="s">
        <v>34</v>
      </c>
      <c r="D1364" s="2" t="s">
        <v>35</v>
      </c>
      <c r="E1364" s="5">
        <v>-31709</v>
      </c>
      <c r="F1364" s="3" t="s">
        <v>36</v>
      </c>
      <c r="G1364" s="3" t="s">
        <v>19</v>
      </c>
      <c r="H1364" s="2" t="s">
        <v>20</v>
      </c>
      <c r="I1364" s="2" t="s">
        <v>3242</v>
      </c>
      <c r="J1364" s="3" t="str">
        <f>HYPERLINK("https://www.boe.es/gazeta/dias/1813/03/07/pdfs/GMD-1813-66.pdf#page=4","Abrir facsímil")</f>
        <v>Abrir facsímil</v>
      </c>
      <c r="K1364" s="3" t="s">
        <v>22</v>
      </c>
    </row>
    <row r="1365" spans="1:11" ht="42" customHeight="1">
      <c r="A1365" s="2" t="s">
        <v>3243</v>
      </c>
      <c r="B1365" s="2" t="s">
        <v>3244</v>
      </c>
      <c r="C1365" s="2" t="s">
        <v>25</v>
      </c>
      <c r="D1365" s="2" t="s">
        <v>26</v>
      </c>
      <c r="E1365" s="5">
        <v>-31677</v>
      </c>
      <c r="F1365" s="3" t="s">
        <v>76</v>
      </c>
      <c r="G1365" s="3" t="s">
        <v>28</v>
      </c>
      <c r="H1365" s="2" t="s">
        <v>20</v>
      </c>
      <c r="I1365" s="2" t="s">
        <v>3245</v>
      </c>
      <c r="J1365" s="3" t="str">
        <f>HYPERLINK("https://www.boe.es/gazeta/dias/1813/04/08/pdfs/GRE-1813-43.pdf#page=8","Abrir facsímil")</f>
        <v>Abrir facsímil</v>
      </c>
      <c r="K1365" s="3" t="s">
        <v>22</v>
      </c>
    </row>
    <row r="1366" spans="1:11" ht="42" customHeight="1">
      <c r="A1366" s="2" t="s">
        <v>3246</v>
      </c>
      <c r="B1366" s="2" t="s">
        <v>3247</v>
      </c>
      <c r="C1366" s="2" t="s">
        <v>16</v>
      </c>
      <c r="D1366" s="2" t="s">
        <v>17</v>
      </c>
      <c r="E1366" s="5">
        <v>-31630</v>
      </c>
      <c r="F1366" s="3" t="s">
        <v>1324</v>
      </c>
      <c r="G1366" s="3" t="s">
        <v>3155</v>
      </c>
      <c r="H1366" s="2" t="s">
        <v>20</v>
      </c>
      <c r="I1366" s="2" t="s">
        <v>3248</v>
      </c>
      <c r="J1366" s="3" t="str">
        <f>HYPERLINK("https://www.boe.es/gazeta/dias/1813/05/25/pdfs/GRE-1813-64.pdf#page=8","Abrir facsímil")</f>
        <v>Abrir facsímil</v>
      </c>
      <c r="K1366" s="3" t="s">
        <v>22</v>
      </c>
    </row>
    <row r="1367" spans="1:11" ht="42" customHeight="1">
      <c r="A1367" s="2" t="s">
        <v>3249</v>
      </c>
      <c r="B1367" s="2" t="s">
        <v>3250</v>
      </c>
      <c r="C1367" s="2" t="s">
        <v>34</v>
      </c>
      <c r="D1367" s="2" t="s">
        <v>35</v>
      </c>
      <c r="E1367" s="5">
        <v>-31709</v>
      </c>
      <c r="F1367" s="3" t="s">
        <v>36</v>
      </c>
      <c r="G1367" s="3" t="s">
        <v>303</v>
      </c>
      <c r="H1367" s="2" t="s">
        <v>20</v>
      </c>
      <c r="I1367" s="2" t="s">
        <v>3251</v>
      </c>
      <c r="J1367" s="3" t="str">
        <f>HYPERLINK("https://www.boe.es/gazeta/dias/1813/03/07/pdfs/GMD-1813-66.pdf#page=3","Abrir facsímil")</f>
        <v>Abrir facsímil</v>
      </c>
      <c r="K1367" s="3" t="s">
        <v>22</v>
      </c>
    </row>
    <row r="1368" spans="1:11" ht="42" customHeight="1">
      <c r="A1368" s="2" t="s">
        <v>3252</v>
      </c>
      <c r="B1368" s="2" t="s">
        <v>3253</v>
      </c>
      <c r="C1368" s="2" t="s">
        <v>16</v>
      </c>
      <c r="D1368" s="2" t="s">
        <v>97</v>
      </c>
      <c r="E1368" s="5">
        <v>-31519</v>
      </c>
      <c r="F1368" s="3" t="s">
        <v>312</v>
      </c>
      <c r="G1368" s="3" t="s">
        <v>28</v>
      </c>
      <c r="H1368" s="2" t="s">
        <v>20</v>
      </c>
      <c r="I1368" s="2" t="s">
        <v>3254</v>
      </c>
      <c r="J1368" s="3" t="str">
        <f>HYPERLINK("https://www.boe.es/gazeta/dias/1813/09/13/pdfs/GRE-1813-118E.pdf#page=8","Abrir facsímil")</f>
        <v>Abrir facsímil</v>
      </c>
      <c r="K1368" s="3" t="s">
        <v>22</v>
      </c>
    </row>
    <row r="1369" spans="1:11" ht="42" customHeight="1">
      <c r="A1369" s="2" t="s">
        <v>3255</v>
      </c>
      <c r="B1369" s="2" t="s">
        <v>3256</v>
      </c>
      <c r="C1369" s="2" t="s">
        <v>16</v>
      </c>
      <c r="D1369" s="2" t="s">
        <v>17</v>
      </c>
      <c r="E1369" s="5">
        <v>-31747</v>
      </c>
      <c r="F1369" s="3" t="s">
        <v>86</v>
      </c>
      <c r="G1369" s="3" t="s">
        <v>3232</v>
      </c>
      <c r="H1369" s="2" t="s">
        <v>20</v>
      </c>
      <c r="I1369" s="2" t="s">
        <v>3257</v>
      </c>
      <c r="J1369" s="3" t="str">
        <f>HYPERLINK("https://www.boe.es/gazeta/dias/1813/01/28/pdfs/GRE-1813-12.pdf#page=6","Abrir facsímil")</f>
        <v>Abrir facsímil</v>
      </c>
      <c r="K1369" s="3" t="s">
        <v>22</v>
      </c>
    </row>
    <row r="1370" spans="1:11" ht="42" customHeight="1">
      <c r="A1370" s="2" t="s">
        <v>3258</v>
      </c>
      <c r="B1370" s="2" t="s">
        <v>3259</v>
      </c>
      <c r="C1370" s="2" t="s">
        <v>16</v>
      </c>
      <c r="D1370" s="2" t="s">
        <v>17</v>
      </c>
      <c r="E1370" s="5">
        <v>-31738</v>
      </c>
      <c r="F1370" s="3" t="s">
        <v>556</v>
      </c>
      <c r="G1370" s="3" t="s">
        <v>3260</v>
      </c>
      <c r="H1370" s="2" t="s">
        <v>20</v>
      </c>
      <c r="I1370" s="2" t="s">
        <v>3261</v>
      </c>
      <c r="J1370" s="3" t="str">
        <f>HYPERLINK("https://www.boe.es/gazeta/dias/1813/02/06/pdfs/GRE-1813-16.pdf#page=7","Abrir facsímil")</f>
        <v>Abrir facsímil</v>
      </c>
      <c r="K1370" s="3" t="s">
        <v>22</v>
      </c>
    </row>
    <row r="1371" spans="1:11" ht="42" customHeight="1">
      <c r="A1371" s="2" t="s">
        <v>3262</v>
      </c>
      <c r="B1371" s="2" t="s">
        <v>3262</v>
      </c>
      <c r="C1371" s="2" t="s">
        <v>34</v>
      </c>
      <c r="D1371" s="2" t="s">
        <v>35</v>
      </c>
      <c r="E1371" s="5">
        <v>-31648</v>
      </c>
      <c r="F1371" s="3" t="s">
        <v>3263</v>
      </c>
      <c r="G1371" s="3" t="s">
        <v>58</v>
      </c>
      <c r="H1371" s="2" t="s">
        <v>20</v>
      </c>
      <c r="I1371" s="2" t="s">
        <v>3264</v>
      </c>
      <c r="J1371" s="3" t="str">
        <f>HYPERLINK("https://www.boe.es/gazeta/dias/1813/05/07/pdfs/GMD-1813-127.pdf#page=2","Abrir facsímil")</f>
        <v>Abrir facsímil</v>
      </c>
      <c r="K1371" s="3" t="s">
        <v>22</v>
      </c>
    </row>
    <row r="1372" spans="1:11" ht="42" customHeight="1">
      <c r="A1372" s="2" t="s">
        <v>3265</v>
      </c>
      <c r="B1372" s="2" t="s">
        <v>3265</v>
      </c>
      <c r="C1372" s="2" t="s">
        <v>16</v>
      </c>
      <c r="D1372" s="2" t="s">
        <v>17</v>
      </c>
      <c r="E1372" s="5">
        <v>-31626</v>
      </c>
      <c r="F1372" s="3" t="s">
        <v>64</v>
      </c>
      <c r="G1372" s="3" t="s">
        <v>3266</v>
      </c>
      <c r="H1372" s="2" t="s">
        <v>20</v>
      </c>
      <c r="I1372" s="2" t="s">
        <v>3267</v>
      </c>
      <c r="J1372" s="3" t="str">
        <f>HYPERLINK("https://www.boe.es/gazeta/dias/1813/05/29/pdfs/GRE-1813-66.pdf#page=5","Abrir facsímil")</f>
        <v>Abrir facsímil</v>
      </c>
      <c r="K1372" s="3" t="s">
        <v>22</v>
      </c>
    </row>
    <row r="1373" spans="1:11" ht="42" customHeight="1">
      <c r="A1373" s="2" t="s">
        <v>3268</v>
      </c>
      <c r="B1373" s="2" t="s">
        <v>3269</v>
      </c>
      <c r="C1373" s="2" t="s">
        <v>16</v>
      </c>
      <c r="D1373" s="2" t="s">
        <v>17</v>
      </c>
      <c r="E1373" s="5">
        <v>-31585</v>
      </c>
      <c r="F1373" s="3" t="s">
        <v>177</v>
      </c>
      <c r="G1373" s="3" t="s">
        <v>3006</v>
      </c>
      <c r="H1373" s="2" t="s">
        <v>20</v>
      </c>
      <c r="I1373" s="2" t="s">
        <v>3270</v>
      </c>
      <c r="J1373" s="3" t="str">
        <f>HYPERLINK("https://www.boe.es/gazeta/dias/1813/07/09/pdfs/GMR-1813-16.pdf#page=15","Abrir facsímil")</f>
        <v>Abrir facsímil</v>
      </c>
      <c r="K1373" s="3" t="s">
        <v>22</v>
      </c>
    </row>
    <row r="1374" spans="1:11" ht="42" customHeight="1">
      <c r="A1374" s="2" t="s">
        <v>3268</v>
      </c>
      <c r="B1374" s="2" t="s">
        <v>3269</v>
      </c>
      <c r="C1374" s="2" t="s">
        <v>16</v>
      </c>
      <c r="D1374" s="2" t="s">
        <v>17</v>
      </c>
      <c r="E1374" s="5">
        <v>-31490</v>
      </c>
      <c r="F1374" s="3" t="s">
        <v>3271</v>
      </c>
      <c r="G1374" s="3" t="s">
        <v>87</v>
      </c>
      <c r="H1374" s="2" t="s">
        <v>20</v>
      </c>
      <c r="I1374" s="2" t="s">
        <v>3272</v>
      </c>
      <c r="J1374" s="3" t="str">
        <f>HYPERLINK("https://www.boe.es/gazeta/dias/1813/10/12/pdfs/GRE-1813-133.pdf#page=7","Abrir facsímil")</f>
        <v>Abrir facsímil</v>
      </c>
      <c r="K1374" s="3" t="s">
        <v>22</v>
      </c>
    </row>
    <row r="1375" spans="1:11" ht="42" customHeight="1">
      <c r="A1375" s="2" t="s">
        <v>3268</v>
      </c>
      <c r="B1375" s="2" t="s">
        <v>3269</v>
      </c>
      <c r="C1375" s="2" t="s">
        <v>25</v>
      </c>
      <c r="D1375" s="2" t="s">
        <v>26</v>
      </c>
      <c r="E1375" s="5">
        <v>-31458</v>
      </c>
      <c r="F1375" s="3" t="s">
        <v>1171</v>
      </c>
      <c r="G1375" s="3" t="s">
        <v>3273</v>
      </c>
      <c r="H1375" s="2" t="s">
        <v>20</v>
      </c>
      <c r="I1375" s="2" t="s">
        <v>3274</v>
      </c>
      <c r="J1375" s="3" t="str">
        <f>HYPERLINK("https://www.boe.es/gazeta/dias/1813/11/13/pdfs/GRE-1813-149.pdf#page=7","Abrir facsímil")</f>
        <v>Abrir facsímil</v>
      </c>
      <c r="K1375" s="3" t="s">
        <v>22</v>
      </c>
    </row>
    <row r="1376" spans="1:11" ht="42" customHeight="1">
      <c r="A1376" s="2" t="s">
        <v>3268</v>
      </c>
      <c r="B1376" s="2" t="s">
        <v>3269</v>
      </c>
      <c r="C1376" s="2" t="s">
        <v>16</v>
      </c>
      <c r="D1376" s="2" t="s">
        <v>17</v>
      </c>
      <c r="E1376" s="5">
        <v>-31416</v>
      </c>
      <c r="F1376" s="3" t="s">
        <v>110</v>
      </c>
      <c r="G1376" s="3" t="s">
        <v>28</v>
      </c>
      <c r="H1376" s="2" t="s">
        <v>20</v>
      </c>
      <c r="I1376" s="2" t="s">
        <v>3275</v>
      </c>
      <c r="J1376" s="3" t="str">
        <f>HYPERLINK("https://www.boe.es/gazeta/dias/1813/12/25/pdfs/GRE-1813-169.pdf#page=8","Abrir facsímil")</f>
        <v>Abrir facsímil</v>
      </c>
      <c r="K1376" s="3" t="s">
        <v>22</v>
      </c>
    </row>
    <row r="1377" spans="1:11" ht="42" customHeight="1">
      <c r="A1377" s="2" t="s">
        <v>3276</v>
      </c>
      <c r="B1377" s="2" t="s">
        <v>3277</v>
      </c>
      <c r="C1377" s="2" t="s">
        <v>16</v>
      </c>
      <c r="D1377" s="2" t="s">
        <v>17</v>
      </c>
      <c r="E1377" s="5">
        <v>-31626</v>
      </c>
      <c r="F1377" s="3" t="s">
        <v>64</v>
      </c>
      <c r="G1377" s="3" t="s">
        <v>95</v>
      </c>
      <c r="H1377" s="2" t="s">
        <v>20</v>
      </c>
      <c r="I1377" s="2" t="s">
        <v>3278</v>
      </c>
      <c r="J1377" s="3" t="str">
        <f>HYPERLINK("https://www.boe.es/gazeta/dias/1813/05/29/pdfs/GRE-1813-66.pdf#page=6","Abrir facsímil")</f>
        <v>Abrir facsímil</v>
      </c>
      <c r="K1377" s="3" t="s">
        <v>22</v>
      </c>
    </row>
    <row r="1378" spans="1:11" ht="42" customHeight="1">
      <c r="A1378" s="2" t="s">
        <v>3279</v>
      </c>
      <c r="B1378" s="2" t="s">
        <v>3280</v>
      </c>
      <c r="C1378" s="2" t="s">
        <v>25</v>
      </c>
      <c r="D1378" s="2" t="s">
        <v>26</v>
      </c>
      <c r="E1378" s="5">
        <v>-31742</v>
      </c>
      <c r="F1378" s="3" t="s">
        <v>2667</v>
      </c>
      <c r="G1378" s="3" t="s">
        <v>3281</v>
      </c>
      <c r="H1378" s="2" t="s">
        <v>20</v>
      </c>
      <c r="I1378" s="2" t="s">
        <v>3282</v>
      </c>
      <c r="J1378" s="3" t="str">
        <f>HYPERLINK("https://www.boe.es/gazeta/dias/1813/02/02/pdfs/GRE-1813-14.pdf#page=5","Abrir facsímil")</f>
        <v>Abrir facsímil</v>
      </c>
      <c r="K1378" s="3" t="s">
        <v>22</v>
      </c>
    </row>
    <row r="1379" spans="1:11" ht="42" customHeight="1">
      <c r="A1379" s="2" t="s">
        <v>3283</v>
      </c>
      <c r="B1379" s="2" t="s">
        <v>3284</v>
      </c>
      <c r="C1379" s="2" t="s">
        <v>25</v>
      </c>
      <c r="D1379" s="2" t="s">
        <v>26</v>
      </c>
      <c r="E1379" s="5">
        <v>-31745</v>
      </c>
      <c r="F1379" s="3" t="s">
        <v>445</v>
      </c>
      <c r="G1379" s="3" t="s">
        <v>28</v>
      </c>
      <c r="H1379" s="2" t="s">
        <v>20</v>
      </c>
      <c r="I1379" s="2" t="s">
        <v>3285</v>
      </c>
      <c r="J1379" s="3" t="str">
        <f>HYPERLINK("https://www.boe.es/gazeta/dias/1813/01/30/pdfs/GRE-1813-13.pdf#page=8","Abrir facsímil")</f>
        <v>Abrir facsímil</v>
      </c>
      <c r="K1379" s="3" t="s">
        <v>22</v>
      </c>
    </row>
    <row r="1380" spans="1:11" ht="42" customHeight="1">
      <c r="A1380" s="2" t="s">
        <v>3286</v>
      </c>
      <c r="B1380" s="2" t="s">
        <v>3287</v>
      </c>
      <c r="C1380" s="2" t="s">
        <v>34</v>
      </c>
      <c r="D1380" s="2" t="s">
        <v>35</v>
      </c>
      <c r="E1380" s="5">
        <v>-31558</v>
      </c>
      <c r="F1380" s="3" t="s">
        <v>1288</v>
      </c>
      <c r="G1380" s="3" t="s">
        <v>28</v>
      </c>
      <c r="H1380" s="2" t="s">
        <v>20</v>
      </c>
      <c r="I1380" s="2" t="s">
        <v>3288</v>
      </c>
      <c r="J1380" s="3" t="str">
        <f>HYPERLINK("https://www.boe.es/gazeta/dias/1813/08/05/pdfs/GMR-1813-24.pdf#page=8","Abrir facsímil")</f>
        <v>Abrir facsímil</v>
      </c>
      <c r="K1380" s="3" t="s">
        <v>22</v>
      </c>
    </row>
    <row r="1381" spans="1:11" ht="42" customHeight="1">
      <c r="A1381" s="2" t="s">
        <v>3286</v>
      </c>
      <c r="B1381" s="2" t="s">
        <v>3287</v>
      </c>
      <c r="C1381" s="2" t="s">
        <v>34</v>
      </c>
      <c r="D1381" s="2" t="s">
        <v>35</v>
      </c>
      <c r="E1381" s="5">
        <v>-31486</v>
      </c>
      <c r="F1381" s="3" t="s">
        <v>1284</v>
      </c>
      <c r="G1381" s="3" t="s">
        <v>28</v>
      </c>
      <c r="H1381" s="2" t="s">
        <v>20</v>
      </c>
      <c r="I1381" s="2" t="s">
        <v>3289</v>
      </c>
      <c r="J1381" s="3" t="str">
        <f>HYPERLINK("https://www.boe.es/gazeta/dias/1813/10/16/pdfs/GMR-1813-60.pdf#page=8","Abrir facsímil")</f>
        <v>Abrir facsímil</v>
      </c>
      <c r="K1381" s="3" t="s">
        <v>22</v>
      </c>
    </row>
    <row r="1382" spans="1:11" ht="42" customHeight="1">
      <c r="A1382" s="2" t="s">
        <v>3290</v>
      </c>
      <c r="B1382" s="2" t="s">
        <v>3290</v>
      </c>
      <c r="C1382" s="2" t="s">
        <v>69</v>
      </c>
      <c r="D1382" s="2" t="s">
        <v>26</v>
      </c>
      <c r="E1382" s="5">
        <v>-31656</v>
      </c>
      <c r="F1382" s="3" t="s">
        <v>415</v>
      </c>
      <c r="G1382" s="3" t="s">
        <v>58</v>
      </c>
      <c r="H1382" s="2" t="s">
        <v>20</v>
      </c>
      <c r="I1382" s="2" t="s">
        <v>3291</v>
      </c>
      <c r="J1382" s="3" t="str">
        <f>HYPERLINK("https://www.boe.es/gazeta/dias/1813/04/29/pdfs/GMD-1813-119.pdf#page=2","Abrir facsímil")</f>
        <v>Abrir facsímil</v>
      </c>
      <c r="K1382" s="3" t="s">
        <v>22</v>
      </c>
    </row>
    <row r="1383" spans="1:11" ht="42" customHeight="1">
      <c r="A1383" s="2" t="s">
        <v>3292</v>
      </c>
      <c r="B1383" s="2" t="s">
        <v>3293</v>
      </c>
      <c r="C1383" s="2" t="s">
        <v>16</v>
      </c>
      <c r="D1383" s="2" t="s">
        <v>17</v>
      </c>
      <c r="E1383" s="5">
        <v>-31559</v>
      </c>
      <c r="F1383" s="3" t="s">
        <v>1485</v>
      </c>
      <c r="G1383" s="3" t="s">
        <v>87</v>
      </c>
      <c r="H1383" s="2" t="s">
        <v>20</v>
      </c>
      <c r="I1383" s="2" t="s">
        <v>3294</v>
      </c>
      <c r="J1383" s="3" t="str">
        <f>HYPERLINK("https://www.boe.es/gazeta/dias/1813/08/04/pdfs/GRE-1813-113.pdf#page=7","Abrir facsímil")</f>
        <v>Abrir facsímil</v>
      </c>
      <c r="K1383" s="3" t="s">
        <v>22</v>
      </c>
    </row>
    <row r="1384" spans="1:11" ht="42" customHeight="1">
      <c r="A1384" s="2" t="s">
        <v>3292</v>
      </c>
      <c r="B1384" s="2" t="s">
        <v>3293</v>
      </c>
      <c r="C1384" s="2" t="s">
        <v>16</v>
      </c>
      <c r="D1384" s="2" t="s">
        <v>17</v>
      </c>
      <c r="E1384" s="5">
        <v>-31528</v>
      </c>
      <c r="F1384" s="3" t="s">
        <v>1485</v>
      </c>
      <c r="G1384" s="3" t="s">
        <v>87</v>
      </c>
      <c r="H1384" s="2" t="s">
        <v>20</v>
      </c>
      <c r="I1384" s="2" t="s">
        <v>3294</v>
      </c>
      <c r="J1384" s="3" t="str">
        <f>HYPERLINK("https://www.boe.es/gazeta/dias/1813/09/04/pdfs/GRE-1813-113.pdf#page=7","Abrir facsímil")</f>
        <v>Abrir facsímil</v>
      </c>
      <c r="K1384" s="3" t="s">
        <v>22</v>
      </c>
    </row>
    <row r="1385" spans="1:11" ht="42" customHeight="1">
      <c r="A1385" s="2" t="s">
        <v>3295</v>
      </c>
      <c r="B1385" s="2" t="s">
        <v>3296</v>
      </c>
      <c r="C1385" s="2" t="s">
        <v>16</v>
      </c>
      <c r="D1385" s="2" t="s">
        <v>17</v>
      </c>
      <c r="E1385" s="5">
        <v>-31559</v>
      </c>
      <c r="F1385" s="3" t="s">
        <v>1485</v>
      </c>
      <c r="G1385" s="3" t="s">
        <v>1486</v>
      </c>
      <c r="H1385" s="2" t="s">
        <v>20</v>
      </c>
      <c r="I1385" s="2" t="s">
        <v>3297</v>
      </c>
      <c r="J1385" s="3" t="str">
        <f>HYPERLINK("https://www.boe.es/gazeta/dias/1813/08/04/pdfs/GRE-1813-113.pdf#page=8","Abrir facsímil")</f>
        <v>Abrir facsímil</v>
      </c>
      <c r="K1385" s="3" t="s">
        <v>22</v>
      </c>
    </row>
    <row r="1386" spans="1:11" ht="42" customHeight="1">
      <c r="A1386" s="2" t="s">
        <v>3295</v>
      </c>
      <c r="B1386" s="2" t="s">
        <v>3296</v>
      </c>
      <c r="C1386" s="2" t="s">
        <v>16</v>
      </c>
      <c r="D1386" s="2" t="s">
        <v>17</v>
      </c>
      <c r="E1386" s="5">
        <v>-31537</v>
      </c>
      <c r="F1386" s="3" t="s">
        <v>138</v>
      </c>
      <c r="G1386" s="3" t="s">
        <v>65</v>
      </c>
      <c r="H1386" s="2" t="s">
        <v>20</v>
      </c>
      <c r="I1386" s="2" t="s">
        <v>3298</v>
      </c>
      <c r="J1386" s="3" t="str">
        <f>HYPERLINK("https://www.boe.es/gazeta/dias/1813/08/26/pdfs/GMR-1813-33.pdf#page=1","Abrir facsímil")</f>
        <v>Abrir facsímil</v>
      </c>
      <c r="K1386" s="3" t="s">
        <v>22</v>
      </c>
    </row>
    <row r="1387" spans="1:11" ht="42" customHeight="1">
      <c r="A1387" s="2" t="s">
        <v>3295</v>
      </c>
      <c r="B1387" s="2" t="s">
        <v>3296</v>
      </c>
      <c r="C1387" s="2" t="s">
        <v>16</v>
      </c>
      <c r="D1387" s="2" t="s">
        <v>17</v>
      </c>
      <c r="E1387" s="5">
        <v>-31530</v>
      </c>
      <c r="F1387" s="3" t="s">
        <v>319</v>
      </c>
      <c r="G1387" s="3" t="s">
        <v>58</v>
      </c>
      <c r="H1387" s="2" t="s">
        <v>20</v>
      </c>
      <c r="I1387" s="2" t="s">
        <v>3299</v>
      </c>
      <c r="J1387" s="3" t="str">
        <f>HYPERLINK("https://www.boe.es/gazeta/dias/1813/09/02/pdfs/GRE-1813-112.pdf#page=2","Abrir facsímil")</f>
        <v>Abrir facsímil</v>
      </c>
      <c r="K1387" s="3" t="s">
        <v>22</v>
      </c>
    </row>
    <row r="1388" spans="1:11" ht="42" customHeight="1">
      <c r="A1388" s="2" t="s">
        <v>3295</v>
      </c>
      <c r="B1388" s="2" t="s">
        <v>3296</v>
      </c>
      <c r="C1388" s="2" t="s">
        <v>16</v>
      </c>
      <c r="D1388" s="2" t="s">
        <v>17</v>
      </c>
      <c r="E1388" s="5">
        <v>-31528</v>
      </c>
      <c r="F1388" s="3" t="s">
        <v>1485</v>
      </c>
      <c r="G1388" s="3" t="s">
        <v>1486</v>
      </c>
      <c r="H1388" s="2" t="s">
        <v>20</v>
      </c>
      <c r="I1388" s="2" t="s">
        <v>3297</v>
      </c>
      <c r="J1388" s="3" t="str">
        <f>HYPERLINK("https://www.boe.es/gazeta/dias/1813/09/04/pdfs/GRE-1813-113.pdf#page=8","Abrir facsímil")</f>
        <v>Abrir facsímil</v>
      </c>
      <c r="K1388" s="3" t="s">
        <v>22</v>
      </c>
    </row>
    <row r="1389" spans="1:11" ht="42" customHeight="1">
      <c r="A1389" s="2" t="s">
        <v>3295</v>
      </c>
      <c r="B1389" s="2" t="s">
        <v>3296</v>
      </c>
      <c r="C1389" s="2" t="s">
        <v>16</v>
      </c>
      <c r="D1389" s="2" t="s">
        <v>17</v>
      </c>
      <c r="E1389" s="5">
        <v>-31523</v>
      </c>
      <c r="F1389" s="3" t="s">
        <v>81</v>
      </c>
      <c r="G1389" s="3" t="s">
        <v>807</v>
      </c>
      <c r="H1389" s="2" t="s">
        <v>20</v>
      </c>
      <c r="I1389" s="2" t="s">
        <v>3300</v>
      </c>
      <c r="J1389" s="3" t="str">
        <f>HYPERLINK("https://www.boe.es/gazeta/dias/1813/09/09/pdfs/GRE-1813-115.pdf#page=2","Abrir facsímil")</f>
        <v>Abrir facsímil</v>
      </c>
      <c r="K1389" s="3" t="s">
        <v>22</v>
      </c>
    </row>
    <row r="1390" spans="1:11" ht="42" customHeight="1">
      <c r="A1390" s="2" t="s">
        <v>3295</v>
      </c>
      <c r="B1390" s="2" t="s">
        <v>3296</v>
      </c>
      <c r="C1390" s="2" t="s">
        <v>16</v>
      </c>
      <c r="D1390" s="2" t="s">
        <v>17</v>
      </c>
      <c r="E1390" s="5">
        <v>-31486</v>
      </c>
      <c r="F1390" s="3" t="s">
        <v>597</v>
      </c>
      <c r="G1390" s="3" t="s">
        <v>54</v>
      </c>
      <c r="H1390" s="2" t="s">
        <v>20</v>
      </c>
      <c r="I1390" s="2" t="s">
        <v>3301</v>
      </c>
      <c r="J1390" s="3" t="str">
        <f>HYPERLINK("https://www.boe.es/gazeta/dias/1813/10/16/pdfs/GRE-1813-135.pdf#page=3","Abrir facsímil")</f>
        <v>Abrir facsímil</v>
      </c>
      <c r="K1390" s="3" t="s">
        <v>22</v>
      </c>
    </row>
    <row r="1391" spans="1:11" ht="42" customHeight="1">
      <c r="A1391" s="2" t="s">
        <v>3302</v>
      </c>
      <c r="B1391" s="2" t="s">
        <v>3302</v>
      </c>
      <c r="C1391" s="2" t="s">
        <v>34</v>
      </c>
      <c r="D1391" s="2" t="s">
        <v>35</v>
      </c>
      <c r="E1391" s="5">
        <v>-31472</v>
      </c>
      <c r="F1391" s="3" t="s">
        <v>143</v>
      </c>
      <c r="G1391" s="3" t="s">
        <v>998</v>
      </c>
      <c r="H1391" s="2" t="s">
        <v>20</v>
      </c>
      <c r="I1391" s="2" t="s">
        <v>3303</v>
      </c>
      <c r="J1391" s="3" t="str">
        <f>HYPERLINK("https://www.boe.es/gazeta/dias/1813/10/30/pdfs/GMR-1813-66.pdf#page=6","Abrir facsímil")</f>
        <v>Abrir facsímil</v>
      </c>
      <c r="K1391" s="3" t="s">
        <v>22</v>
      </c>
    </row>
    <row r="1392" spans="1:11" ht="42" customHeight="1">
      <c r="A1392" s="2" t="s">
        <v>3302</v>
      </c>
      <c r="B1392" s="2" t="s">
        <v>3302</v>
      </c>
      <c r="C1392" s="2" t="s">
        <v>25</v>
      </c>
      <c r="D1392" s="2" t="s">
        <v>26</v>
      </c>
      <c r="E1392" s="5">
        <v>-31453</v>
      </c>
      <c r="F1392" s="3" t="s">
        <v>887</v>
      </c>
      <c r="G1392" s="3" t="s">
        <v>929</v>
      </c>
      <c r="H1392" s="2" t="s">
        <v>20</v>
      </c>
      <c r="I1392" s="2" t="s">
        <v>3304</v>
      </c>
      <c r="J1392" s="3" t="str">
        <f>HYPERLINK("https://www.boe.es/gazeta/dias/1813/11/18/pdfs/GMR-1813-76.pdf#page=11","Abrir facsímil")</f>
        <v>Abrir facsímil</v>
      </c>
      <c r="K1392" s="3" t="s">
        <v>22</v>
      </c>
    </row>
    <row r="1393" spans="1:11" ht="42" customHeight="1">
      <c r="A1393" s="2" t="s">
        <v>3305</v>
      </c>
      <c r="B1393" s="2" t="s">
        <v>3305</v>
      </c>
      <c r="C1393" s="2" t="s">
        <v>34</v>
      </c>
      <c r="D1393" s="2" t="s">
        <v>35</v>
      </c>
      <c r="E1393" s="5">
        <v>-31546</v>
      </c>
      <c r="F1393" s="3" t="s">
        <v>461</v>
      </c>
      <c r="G1393" s="3" t="s">
        <v>82</v>
      </c>
      <c r="H1393" s="2" t="s">
        <v>20</v>
      </c>
      <c r="I1393" s="2" t="s">
        <v>3306</v>
      </c>
      <c r="J1393" s="3" t="str">
        <f>HYPERLINK("https://www.boe.es/gazeta/dias/1813/08/17/pdfs/GMR-1813-29.pdf#page=5","Abrir facsímil")</f>
        <v>Abrir facsímil</v>
      </c>
      <c r="K1393" s="3" t="s">
        <v>22</v>
      </c>
    </row>
    <row r="1394" spans="1:11" ht="42" customHeight="1">
      <c r="A1394" s="2" t="s">
        <v>3307</v>
      </c>
      <c r="B1394" s="2" t="s">
        <v>3307</v>
      </c>
      <c r="C1394" s="2" t="s">
        <v>16</v>
      </c>
      <c r="D1394" s="2" t="s">
        <v>17</v>
      </c>
      <c r="E1394" s="5">
        <v>-31691</v>
      </c>
      <c r="F1394" s="3" t="s">
        <v>1621</v>
      </c>
      <c r="G1394" s="3" t="s">
        <v>58</v>
      </c>
      <c r="H1394" s="2" t="s">
        <v>20</v>
      </c>
      <c r="I1394" s="2" t="s">
        <v>3308</v>
      </c>
      <c r="J1394" s="3" t="str">
        <f>HYPERLINK("https://www.boe.es/gazeta/dias/1813/03/25/pdfs/GMD-1813-84.pdf#page=2","Abrir facsímil")</f>
        <v>Abrir facsímil</v>
      </c>
      <c r="K1394" s="3" t="s">
        <v>22</v>
      </c>
    </row>
    <row r="1395" spans="1:11" ht="42" customHeight="1">
      <c r="A1395" s="2" t="s">
        <v>3309</v>
      </c>
      <c r="B1395" s="2" t="s">
        <v>3309</v>
      </c>
      <c r="C1395" s="2" t="s">
        <v>25</v>
      </c>
      <c r="D1395" s="2" t="s">
        <v>26</v>
      </c>
      <c r="E1395" s="5">
        <v>-31755</v>
      </c>
      <c r="F1395" s="3" t="s">
        <v>2592</v>
      </c>
      <c r="G1395" s="3" t="s">
        <v>58</v>
      </c>
      <c r="H1395" s="2" t="s">
        <v>20</v>
      </c>
      <c r="I1395" s="2" t="s">
        <v>3310</v>
      </c>
      <c r="J1395" s="3" t="str">
        <f>HYPERLINK("https://www.boe.es/gazeta/dias/1813/01/20/pdfs/GMD-1813-20.pdf#page=2","Abrir facsímil")</f>
        <v>Abrir facsímil</v>
      </c>
      <c r="K1395" s="3" t="s">
        <v>22</v>
      </c>
    </row>
    <row r="1396" spans="1:11" ht="42" customHeight="1">
      <c r="A1396" s="2" t="s">
        <v>3309</v>
      </c>
      <c r="B1396" s="2" t="s">
        <v>3309</v>
      </c>
      <c r="C1396" s="2" t="s">
        <v>16</v>
      </c>
      <c r="D1396" s="2" t="s">
        <v>17</v>
      </c>
      <c r="E1396" s="5">
        <v>-31525</v>
      </c>
      <c r="F1396" s="3" t="s">
        <v>1131</v>
      </c>
      <c r="G1396" s="3" t="s">
        <v>19</v>
      </c>
      <c r="H1396" s="2" t="s">
        <v>20</v>
      </c>
      <c r="I1396" s="2" t="s">
        <v>3311</v>
      </c>
      <c r="J1396" s="3" t="str">
        <f>HYPERLINK("https://www.boe.es/gazeta/dias/1813/09/07/pdfs/GRE-1813-114.pdf#page=4","Abrir facsímil")</f>
        <v>Abrir facsímil</v>
      </c>
      <c r="K1396" s="3" t="s">
        <v>22</v>
      </c>
    </row>
    <row r="1397" spans="1:11" ht="42" customHeight="1">
      <c r="A1397" s="2" t="s">
        <v>3312</v>
      </c>
      <c r="B1397" s="2" t="s">
        <v>3313</v>
      </c>
      <c r="C1397" s="2" t="s">
        <v>16</v>
      </c>
      <c r="D1397" s="2" t="s">
        <v>17</v>
      </c>
      <c r="E1397" s="5">
        <v>-31465</v>
      </c>
      <c r="F1397" s="3" t="s">
        <v>407</v>
      </c>
      <c r="G1397" s="3" t="s">
        <v>3112</v>
      </c>
      <c r="H1397" s="2" t="s">
        <v>20</v>
      </c>
      <c r="I1397" s="2" t="s">
        <v>3314</v>
      </c>
      <c r="J1397" s="3" t="str">
        <f>HYPERLINK("https://www.boe.es/gazeta/dias/1813/11/06/pdfs/GMR-1813-70.pdf#page=6","Abrir facsímil")</f>
        <v>Abrir facsímil</v>
      </c>
      <c r="K1397" s="3" t="s">
        <v>22</v>
      </c>
    </row>
    <row r="1398" spans="1:11" ht="42" customHeight="1">
      <c r="A1398" s="2" t="s">
        <v>3315</v>
      </c>
      <c r="B1398" s="2" t="s">
        <v>3316</v>
      </c>
      <c r="C1398" s="2" t="s">
        <v>34</v>
      </c>
      <c r="D1398" s="2" t="s">
        <v>35</v>
      </c>
      <c r="E1398" s="5">
        <v>-31416</v>
      </c>
      <c r="F1398" s="3" t="s">
        <v>110</v>
      </c>
      <c r="G1398" s="3" t="s">
        <v>95</v>
      </c>
      <c r="H1398" s="2" t="s">
        <v>20</v>
      </c>
      <c r="I1398" s="2" t="s">
        <v>3317</v>
      </c>
      <c r="J1398" s="3" t="str">
        <f>HYPERLINK("https://www.boe.es/gazeta/dias/1813/12/25/pdfs/GRE-1813-169.pdf#page=6","Abrir facsímil")</f>
        <v>Abrir facsímil</v>
      </c>
      <c r="K1398" s="3" t="s">
        <v>22</v>
      </c>
    </row>
    <row r="1399" spans="1:11" ht="42" customHeight="1">
      <c r="A1399" s="2" t="s">
        <v>3318</v>
      </c>
      <c r="B1399" s="2" t="s">
        <v>3319</v>
      </c>
      <c r="C1399" s="2" t="s">
        <v>16</v>
      </c>
      <c r="D1399" s="2" t="s">
        <v>17</v>
      </c>
      <c r="E1399" s="5">
        <v>-31600</v>
      </c>
      <c r="F1399" s="3" t="s">
        <v>2121</v>
      </c>
      <c r="G1399" s="3" t="s">
        <v>87</v>
      </c>
      <c r="H1399" s="2" t="s">
        <v>20</v>
      </c>
      <c r="I1399" s="2" t="s">
        <v>3320</v>
      </c>
      <c r="J1399" s="3" t="str">
        <f>HYPERLINK("https://www.boe.es/gazeta/dias/1813/06/24/pdfs/GRE-1813-78.pdf#page=7","Abrir facsímil")</f>
        <v>Abrir facsímil</v>
      </c>
      <c r="K1399" s="3" t="s">
        <v>22</v>
      </c>
    </row>
    <row r="1400" spans="1:11" ht="42" customHeight="1">
      <c r="A1400" s="2" t="s">
        <v>3321</v>
      </c>
      <c r="B1400" s="2" t="s">
        <v>3321</v>
      </c>
      <c r="C1400" s="2" t="s">
        <v>109</v>
      </c>
      <c r="D1400" s="2" t="s">
        <v>26</v>
      </c>
      <c r="E1400" s="5">
        <v>-31711</v>
      </c>
      <c r="F1400" s="3" t="s">
        <v>90</v>
      </c>
      <c r="G1400" s="3" t="s">
        <v>19</v>
      </c>
      <c r="H1400" s="2" t="s">
        <v>20</v>
      </c>
      <c r="I1400" s="2" t="s">
        <v>3322</v>
      </c>
      <c r="J1400" s="3" t="str">
        <f>HYPERLINK("https://www.boe.es/gazeta/dias/1813/03/05/pdfs/GMD-1813-64.pdf#page=4","Abrir facsímil")</f>
        <v>Abrir facsímil</v>
      </c>
      <c r="K1400" s="3" t="s">
        <v>22</v>
      </c>
    </row>
    <row r="1401" spans="1:11" ht="42" customHeight="1">
      <c r="A1401" s="2" t="s">
        <v>3323</v>
      </c>
      <c r="B1401" s="2" t="s">
        <v>3323</v>
      </c>
      <c r="C1401" s="2" t="s">
        <v>16</v>
      </c>
      <c r="D1401" s="2" t="s">
        <v>17</v>
      </c>
      <c r="E1401" s="5">
        <v>-31514</v>
      </c>
      <c r="F1401" s="3" t="s">
        <v>2099</v>
      </c>
      <c r="G1401" s="3" t="s">
        <v>65</v>
      </c>
      <c r="H1401" s="2" t="s">
        <v>20</v>
      </c>
      <c r="I1401" s="2" t="s">
        <v>3324</v>
      </c>
      <c r="J1401" s="3" t="str">
        <f>HYPERLINK("https://www.boe.es/gazeta/dias/1813/09/18/pdfs/GMR-1813-45.pdf#page=1","Abrir facsímil")</f>
        <v>Abrir facsímil</v>
      </c>
      <c r="K1401" s="3" t="s">
        <v>22</v>
      </c>
    </row>
    <row r="1402" spans="1:11" ht="42" customHeight="1">
      <c r="A1402" s="2" t="s">
        <v>3325</v>
      </c>
      <c r="B1402" s="2" t="s">
        <v>3326</v>
      </c>
      <c r="C1402" s="2" t="s">
        <v>34</v>
      </c>
      <c r="D1402" s="2" t="s">
        <v>35</v>
      </c>
      <c r="E1402" s="5">
        <v>-31719</v>
      </c>
      <c r="F1402" s="3" t="s">
        <v>251</v>
      </c>
      <c r="G1402" s="3" t="s">
        <v>19</v>
      </c>
      <c r="H1402" s="2" t="s">
        <v>20</v>
      </c>
      <c r="I1402" s="2" t="s">
        <v>3327</v>
      </c>
      <c r="J1402" s="3" t="str">
        <f>HYPERLINK("https://www.boe.es/gazeta/dias/1813/02/25/pdfs/GMD-1813-56.pdf#page=4","Abrir facsímil")</f>
        <v>Abrir facsímil</v>
      </c>
      <c r="K1402" s="3" t="s">
        <v>22</v>
      </c>
    </row>
    <row r="1403" spans="1:11" ht="42" customHeight="1">
      <c r="A1403" s="2" t="s">
        <v>3328</v>
      </c>
      <c r="B1403" s="2" t="s">
        <v>3329</v>
      </c>
      <c r="C1403" s="2" t="s">
        <v>25</v>
      </c>
      <c r="D1403" s="2" t="s">
        <v>26</v>
      </c>
      <c r="E1403" s="5">
        <v>-31714</v>
      </c>
      <c r="F1403" s="3" t="s">
        <v>479</v>
      </c>
      <c r="G1403" s="3" t="s">
        <v>1002</v>
      </c>
      <c r="H1403" s="2" t="s">
        <v>20</v>
      </c>
      <c r="I1403" s="2" t="s">
        <v>3330</v>
      </c>
      <c r="J1403" s="3" t="str">
        <f>HYPERLINK("https://www.boe.es/gazeta/dias/1813/03/02/pdfs/GRE-1813-27.pdf#page=7","Abrir facsímil")</f>
        <v>Abrir facsímil</v>
      </c>
      <c r="K1403" s="3" t="s">
        <v>22</v>
      </c>
    </row>
    <row r="1404" spans="1:11" ht="42" customHeight="1">
      <c r="A1404" s="2" t="s">
        <v>3331</v>
      </c>
      <c r="B1404" s="2" t="s">
        <v>3332</v>
      </c>
      <c r="C1404" s="2" t="s">
        <v>25</v>
      </c>
      <c r="D1404" s="2" t="s">
        <v>26</v>
      </c>
      <c r="E1404" s="5">
        <v>-31717</v>
      </c>
      <c r="F1404" s="3" t="s">
        <v>2338</v>
      </c>
      <c r="G1404" s="3" t="s">
        <v>2339</v>
      </c>
      <c r="H1404" s="2" t="s">
        <v>20</v>
      </c>
      <c r="I1404" s="2" t="s">
        <v>3333</v>
      </c>
      <c r="J1404" s="3" t="str">
        <f>HYPERLINK("https://www.boe.es/gazeta/dias/1813/02/27/pdfs/GRE-1813-25.pdf#page=7","Abrir facsímil")</f>
        <v>Abrir facsímil</v>
      </c>
      <c r="K1404" s="3" t="s">
        <v>22</v>
      </c>
    </row>
    <row r="1405" spans="1:11" ht="42" customHeight="1">
      <c r="A1405" s="2" t="s">
        <v>3334</v>
      </c>
      <c r="B1405" s="2" t="s">
        <v>3334</v>
      </c>
      <c r="C1405" s="2" t="s">
        <v>16</v>
      </c>
      <c r="D1405" s="2" t="s">
        <v>97</v>
      </c>
      <c r="E1405" s="5">
        <v>-31499</v>
      </c>
      <c r="F1405" s="3" t="s">
        <v>220</v>
      </c>
      <c r="G1405" s="3" t="s">
        <v>58</v>
      </c>
      <c r="H1405" s="2" t="s">
        <v>20</v>
      </c>
      <c r="I1405" s="2" t="s">
        <v>3335</v>
      </c>
      <c r="J1405" s="3" t="str">
        <f>HYPERLINK("https://www.boe.es/gazeta/dias/1813/10/03/pdfs/GMR-1813-53E.pdf#page=2","Abrir facsímil")</f>
        <v>Abrir facsímil</v>
      </c>
      <c r="K1405" s="3" t="s">
        <v>22</v>
      </c>
    </row>
    <row r="1406" spans="1:11" ht="42" customHeight="1">
      <c r="A1406" s="2" t="s">
        <v>3336</v>
      </c>
      <c r="B1406" s="2" t="s">
        <v>3336</v>
      </c>
      <c r="C1406" s="2" t="s">
        <v>16</v>
      </c>
      <c r="D1406" s="2" t="s">
        <v>17</v>
      </c>
      <c r="E1406" s="5">
        <v>-31497</v>
      </c>
      <c r="F1406" s="3" t="s">
        <v>223</v>
      </c>
      <c r="G1406" s="3" t="s">
        <v>19</v>
      </c>
      <c r="H1406" s="2" t="s">
        <v>20</v>
      </c>
      <c r="I1406" s="2" t="s">
        <v>3337</v>
      </c>
      <c r="J1406" s="3" t="str">
        <f>HYPERLINK("https://www.boe.es/gazeta/dias/1813/10/05/pdfs/GRE-1813-130.pdf#page=4","Abrir facsímil")</f>
        <v>Abrir facsímil</v>
      </c>
      <c r="K1406" s="3" t="s">
        <v>22</v>
      </c>
    </row>
    <row r="1407" spans="1:11" ht="42" customHeight="1">
      <c r="A1407" s="2" t="s">
        <v>3338</v>
      </c>
      <c r="B1407" s="2" t="s">
        <v>3338</v>
      </c>
      <c r="C1407" s="2" t="s">
        <v>16</v>
      </c>
      <c r="D1407" s="2" t="s">
        <v>17</v>
      </c>
      <c r="E1407" s="5">
        <v>-31560</v>
      </c>
      <c r="F1407" s="3" t="s">
        <v>590</v>
      </c>
      <c r="G1407" s="3" t="s">
        <v>54</v>
      </c>
      <c r="H1407" s="2" t="s">
        <v>20</v>
      </c>
      <c r="I1407" s="2" t="s">
        <v>3339</v>
      </c>
      <c r="J1407" s="3" t="str">
        <f>HYPERLINK("https://www.boe.es/gazeta/dias/1813/08/03/pdfs/GRE-1813-98.pdf#page=3","Abrir facsímil")</f>
        <v>Abrir facsímil</v>
      </c>
      <c r="K1407" s="3" t="s">
        <v>22</v>
      </c>
    </row>
    <row r="1408" spans="1:11" ht="42" customHeight="1">
      <c r="A1408" s="2" t="s">
        <v>3340</v>
      </c>
      <c r="B1408" s="2" t="s">
        <v>3341</v>
      </c>
      <c r="C1408" s="2" t="s">
        <v>25</v>
      </c>
      <c r="D1408" s="2" t="s">
        <v>26</v>
      </c>
      <c r="E1408" s="5">
        <v>-31677</v>
      </c>
      <c r="F1408" s="3" t="s">
        <v>76</v>
      </c>
      <c r="G1408" s="3" t="s">
        <v>28</v>
      </c>
      <c r="H1408" s="2" t="s">
        <v>20</v>
      </c>
      <c r="I1408" s="2" t="s">
        <v>3342</v>
      </c>
      <c r="J1408" s="3" t="str">
        <f>HYPERLINK("https://www.boe.es/gazeta/dias/1813/04/08/pdfs/GRE-1813-43.pdf#page=8","Abrir facsímil")</f>
        <v>Abrir facsímil</v>
      </c>
      <c r="K1408" s="3" t="s">
        <v>22</v>
      </c>
    </row>
    <row r="1409" spans="1:11" ht="42" customHeight="1">
      <c r="A1409" s="2" t="s">
        <v>3343</v>
      </c>
      <c r="B1409" s="2" t="s">
        <v>3344</v>
      </c>
      <c r="C1409" s="2" t="s">
        <v>25</v>
      </c>
      <c r="D1409" s="2" t="s">
        <v>26</v>
      </c>
      <c r="E1409" s="5">
        <v>-31411</v>
      </c>
      <c r="F1409" s="3" t="s">
        <v>2306</v>
      </c>
      <c r="G1409" s="3" t="s">
        <v>28</v>
      </c>
      <c r="H1409" s="2" t="s">
        <v>20</v>
      </c>
      <c r="I1409" s="2" t="s">
        <v>3345</v>
      </c>
      <c r="J1409" s="3" t="str">
        <f>HYPERLINK("https://www.boe.es/gazeta/dias/1813/12/30/pdfs/GMR-1813-94.pdf#page=8","Abrir facsímil")</f>
        <v>Abrir facsímil</v>
      </c>
      <c r="K1409" s="3" t="s">
        <v>22</v>
      </c>
    </row>
    <row r="1410" spans="1:11" ht="42" customHeight="1">
      <c r="A1410" s="2" t="s">
        <v>3346</v>
      </c>
      <c r="B1410" s="2" t="s">
        <v>3346</v>
      </c>
      <c r="C1410" s="2" t="s">
        <v>16</v>
      </c>
      <c r="D1410" s="2" t="s">
        <v>97</v>
      </c>
      <c r="E1410" s="5">
        <v>-31548</v>
      </c>
      <c r="F1410" s="3" t="s">
        <v>1680</v>
      </c>
      <c r="G1410" s="3" t="s">
        <v>28</v>
      </c>
      <c r="H1410" s="2" t="s">
        <v>20</v>
      </c>
      <c r="I1410" s="2" t="s">
        <v>3347</v>
      </c>
      <c r="J1410" s="3" t="str">
        <f>HYPERLINK("https://www.boe.es/gazeta/dias/1813/08/15/pdfs/GRE-1813-104E.pdf#page=8","Abrir facsímil")</f>
        <v>Abrir facsímil</v>
      </c>
      <c r="K1410" s="3" t="s">
        <v>22</v>
      </c>
    </row>
    <row r="1411" spans="1:11" ht="42" customHeight="1">
      <c r="A1411" s="2" t="s">
        <v>3348</v>
      </c>
      <c r="B1411" s="2" t="s">
        <v>3349</v>
      </c>
      <c r="C1411" s="2" t="s">
        <v>16</v>
      </c>
      <c r="D1411" s="2" t="s">
        <v>17</v>
      </c>
      <c r="E1411" s="5">
        <v>-31584</v>
      </c>
      <c r="F1411" s="3" t="s">
        <v>114</v>
      </c>
      <c r="G1411" s="3" t="s">
        <v>3086</v>
      </c>
      <c r="H1411" s="2" t="s">
        <v>20</v>
      </c>
      <c r="I1411" s="2" t="s">
        <v>3350</v>
      </c>
      <c r="J1411" s="3" t="str">
        <f>HYPERLINK("https://www.boe.es/gazeta/dias/1813/07/10/pdfs/GRE-1813-86.pdf#page=4","Abrir facsímil")</f>
        <v>Abrir facsímil</v>
      </c>
      <c r="K1411" s="3" t="s">
        <v>22</v>
      </c>
    </row>
    <row r="1412" spans="1:11" ht="42" customHeight="1">
      <c r="A1412" s="2" t="s">
        <v>3351</v>
      </c>
      <c r="B1412" s="2" t="s">
        <v>3352</v>
      </c>
      <c r="C1412" s="2" t="s">
        <v>16</v>
      </c>
      <c r="D1412" s="2" t="s">
        <v>17</v>
      </c>
      <c r="E1412" s="5">
        <v>-31530</v>
      </c>
      <c r="F1412" s="3" t="s">
        <v>319</v>
      </c>
      <c r="G1412" s="3" t="s">
        <v>19</v>
      </c>
      <c r="H1412" s="2" t="s">
        <v>20</v>
      </c>
      <c r="I1412" s="2" t="s">
        <v>3353</v>
      </c>
      <c r="J1412" s="3" t="str">
        <f>HYPERLINK("https://www.boe.es/gazeta/dias/1813/09/02/pdfs/GRE-1813-112.pdf#page=4","Abrir facsímil")</f>
        <v>Abrir facsímil</v>
      </c>
      <c r="K1412" s="3" t="s">
        <v>22</v>
      </c>
    </row>
    <row r="1413" spans="1:11" ht="42" customHeight="1">
      <c r="A1413" s="2" t="s">
        <v>3354</v>
      </c>
      <c r="B1413" s="2" t="s">
        <v>3355</v>
      </c>
      <c r="C1413" s="2" t="s">
        <v>16</v>
      </c>
      <c r="D1413" s="2" t="s">
        <v>17</v>
      </c>
      <c r="E1413" s="5">
        <v>-31535</v>
      </c>
      <c r="F1413" s="3" t="s">
        <v>894</v>
      </c>
      <c r="G1413" s="3" t="s">
        <v>895</v>
      </c>
      <c r="H1413" s="2" t="s">
        <v>20</v>
      </c>
      <c r="I1413" s="2" t="s">
        <v>3356</v>
      </c>
      <c r="J1413" s="3" t="str">
        <f>HYPERLINK("https://www.boe.es/gazeta/dias/1813/08/28/pdfs/GMR-1813-34.pdf#page=3","Abrir facsímil")</f>
        <v>Abrir facsímil</v>
      </c>
      <c r="K1413" s="3" t="s">
        <v>22</v>
      </c>
    </row>
    <row r="1414" spans="1:11" ht="42" customHeight="1">
      <c r="A1414" s="2" t="s">
        <v>3357</v>
      </c>
      <c r="B1414" s="2" t="s">
        <v>3357</v>
      </c>
      <c r="C1414" s="2" t="s">
        <v>277</v>
      </c>
      <c r="D1414" s="2" t="s">
        <v>26</v>
      </c>
      <c r="E1414" s="5">
        <v>-31715</v>
      </c>
      <c r="F1414" s="3" t="s">
        <v>3358</v>
      </c>
      <c r="G1414" s="3" t="s">
        <v>2055</v>
      </c>
      <c r="H1414" s="2" t="s">
        <v>20</v>
      </c>
      <c r="I1414" s="2" t="s">
        <v>3359</v>
      </c>
      <c r="J1414" s="3" t="str">
        <f>HYPERLINK("https://www.boe.es/gazeta/dias/1813/03/01/pdfs/GMD-1813-60.pdf#page=3","Abrir facsímil")</f>
        <v>Abrir facsímil</v>
      </c>
      <c r="K1414" s="3" t="s">
        <v>22</v>
      </c>
    </row>
    <row r="1415" spans="1:11" ht="42" customHeight="1">
      <c r="A1415" s="2" t="s">
        <v>3357</v>
      </c>
      <c r="B1415" s="2" t="s">
        <v>3357</v>
      </c>
      <c r="C1415" s="2" t="s">
        <v>187</v>
      </c>
      <c r="D1415" s="2" t="s">
        <v>26</v>
      </c>
      <c r="E1415" s="5">
        <v>-31511</v>
      </c>
      <c r="F1415" s="3" t="s">
        <v>935</v>
      </c>
      <c r="G1415" s="3" t="s">
        <v>1304</v>
      </c>
      <c r="H1415" s="2" t="s">
        <v>20</v>
      </c>
      <c r="I1415" s="2" t="s">
        <v>3360</v>
      </c>
      <c r="J1415" s="3" t="str">
        <f>HYPERLINK("https://www.boe.es/gazeta/dias/1813/09/21/pdfs/GMR-1813-46.pdf#page=12","Abrir facsímil")</f>
        <v>Abrir facsímil</v>
      </c>
      <c r="K1415" s="3" t="s">
        <v>22</v>
      </c>
    </row>
    <row r="1416" spans="1:11" ht="42" customHeight="1">
      <c r="A1416" s="2" t="s">
        <v>3361</v>
      </c>
      <c r="B1416" s="2" t="s">
        <v>3361</v>
      </c>
      <c r="C1416" s="2" t="s">
        <v>16</v>
      </c>
      <c r="D1416" s="2" t="s">
        <v>17</v>
      </c>
      <c r="E1416" s="5">
        <v>-31525</v>
      </c>
      <c r="F1416" s="3" t="s">
        <v>1131</v>
      </c>
      <c r="G1416" s="3" t="s">
        <v>1406</v>
      </c>
      <c r="H1416" s="2" t="s">
        <v>20</v>
      </c>
      <c r="I1416" s="2" t="s">
        <v>3362</v>
      </c>
      <c r="J1416" s="3" t="str">
        <f>HYPERLINK("https://www.boe.es/gazeta/dias/1813/09/07/pdfs/GRE-1813-114.pdf#page=5","Abrir facsímil")</f>
        <v>Abrir facsímil</v>
      </c>
      <c r="K1416" s="3" t="s">
        <v>22</v>
      </c>
    </row>
    <row r="1417" spans="1:11" ht="42" customHeight="1">
      <c r="A1417" s="2" t="s">
        <v>3363</v>
      </c>
      <c r="B1417" s="2" t="s">
        <v>3363</v>
      </c>
      <c r="C1417" s="2" t="s">
        <v>187</v>
      </c>
      <c r="D1417" s="2" t="s">
        <v>26</v>
      </c>
      <c r="E1417" s="5">
        <v>-31733</v>
      </c>
      <c r="F1417" s="3" t="s">
        <v>3364</v>
      </c>
      <c r="G1417" s="3" t="s">
        <v>3365</v>
      </c>
      <c r="H1417" s="2" t="s">
        <v>20</v>
      </c>
      <c r="I1417" s="2" t="s">
        <v>3366</v>
      </c>
      <c r="J1417" s="3" t="str">
        <f>HYPERLINK("https://www.boe.es/gazeta/dias/1813/02/11/pdfs/GMD-1813-42.pdf#page=2","Abrir facsímil")</f>
        <v>Abrir facsímil</v>
      </c>
      <c r="K1417" s="3" t="s">
        <v>22</v>
      </c>
    </row>
    <row r="1418" spans="1:11" ht="42" customHeight="1">
      <c r="A1418" s="2" t="s">
        <v>3363</v>
      </c>
      <c r="B1418" s="2" t="s">
        <v>3363</v>
      </c>
      <c r="C1418" s="2" t="s">
        <v>16</v>
      </c>
      <c r="D1418" s="2" t="s">
        <v>17</v>
      </c>
      <c r="E1418" s="5">
        <v>-31724</v>
      </c>
      <c r="F1418" s="3" t="s">
        <v>684</v>
      </c>
      <c r="G1418" s="3" t="s">
        <v>1495</v>
      </c>
      <c r="H1418" s="2" t="s">
        <v>20</v>
      </c>
      <c r="I1418" s="2" t="s">
        <v>3367</v>
      </c>
      <c r="J1418" s="3" t="str">
        <f>HYPERLINK("https://www.boe.es/gazeta/dias/1813/02/20/pdfs/GMD-1813-51.pdf#page=4","Abrir facsímil")</f>
        <v>Abrir facsímil</v>
      </c>
      <c r="K1418" s="3" t="s">
        <v>22</v>
      </c>
    </row>
    <row r="1419" spans="1:11" ht="42" customHeight="1">
      <c r="A1419" s="2" t="s">
        <v>3363</v>
      </c>
      <c r="B1419" s="2" t="s">
        <v>3363</v>
      </c>
      <c r="C1419" s="2" t="s">
        <v>435</v>
      </c>
      <c r="D1419" s="2" t="s">
        <v>26</v>
      </c>
      <c r="E1419" s="5">
        <v>-31703</v>
      </c>
      <c r="F1419" s="3" t="s">
        <v>526</v>
      </c>
      <c r="G1419" s="3" t="s">
        <v>54</v>
      </c>
      <c r="H1419" s="2" t="s">
        <v>20</v>
      </c>
      <c r="I1419" s="2" t="s">
        <v>3368</v>
      </c>
      <c r="J1419" s="3" t="str">
        <f>HYPERLINK("https://www.boe.es/gazeta/dias/1813/03/13/pdfs/GMD-1813-72.pdf#page=3","Abrir facsímil")</f>
        <v>Abrir facsímil</v>
      </c>
      <c r="K1419" s="3" t="s">
        <v>22</v>
      </c>
    </row>
    <row r="1420" spans="1:11" ht="42" customHeight="1">
      <c r="A1420" s="2" t="s">
        <v>3363</v>
      </c>
      <c r="B1420" s="2" t="s">
        <v>3363</v>
      </c>
      <c r="C1420" s="2" t="s">
        <v>16</v>
      </c>
      <c r="D1420" s="2" t="s">
        <v>17</v>
      </c>
      <c r="E1420" s="5">
        <v>-31686</v>
      </c>
      <c r="F1420" s="3" t="s">
        <v>372</v>
      </c>
      <c r="G1420" s="3" t="s">
        <v>28</v>
      </c>
      <c r="H1420" s="2" t="s">
        <v>20</v>
      </c>
      <c r="I1420" s="2" t="s">
        <v>3369</v>
      </c>
      <c r="J1420" s="3" t="str">
        <f>HYPERLINK("https://www.boe.es/gazeta/dias/1813/03/30/pdfs/GRE-1813-39.pdf#page=8","Abrir facsímil")</f>
        <v>Abrir facsímil</v>
      </c>
      <c r="K1420" s="3" t="s">
        <v>22</v>
      </c>
    </row>
    <row r="1421" spans="1:11" ht="42" customHeight="1">
      <c r="A1421" s="2" t="s">
        <v>3363</v>
      </c>
      <c r="B1421" s="2" t="s">
        <v>3363</v>
      </c>
      <c r="C1421" s="2" t="s">
        <v>16</v>
      </c>
      <c r="D1421" s="2" t="s">
        <v>17</v>
      </c>
      <c r="E1421" s="5">
        <v>-31607</v>
      </c>
      <c r="F1421" s="3" t="s">
        <v>3370</v>
      </c>
      <c r="G1421" s="3" t="s">
        <v>3371</v>
      </c>
      <c r="H1421" s="2" t="s">
        <v>20</v>
      </c>
      <c r="I1421" s="2" t="s">
        <v>3372</v>
      </c>
      <c r="J1421" s="3" t="str">
        <f>HYPERLINK("https://www.boe.es/gazeta/dias/1813/06/17/pdfs/GRE-1813-75.pdf#page=6","Abrir facsímil")</f>
        <v>Abrir facsímil</v>
      </c>
      <c r="K1421" s="3" t="s">
        <v>22</v>
      </c>
    </row>
    <row r="1422" spans="1:11" ht="42" customHeight="1">
      <c r="A1422" s="2" t="s">
        <v>3363</v>
      </c>
      <c r="B1422" s="2" t="s">
        <v>3363</v>
      </c>
      <c r="C1422" s="2" t="s">
        <v>16</v>
      </c>
      <c r="D1422" s="2" t="s">
        <v>17</v>
      </c>
      <c r="E1422" s="5">
        <v>-31560</v>
      </c>
      <c r="F1422" s="3" t="s">
        <v>590</v>
      </c>
      <c r="G1422" s="3" t="s">
        <v>82</v>
      </c>
      <c r="H1422" s="2" t="s">
        <v>20</v>
      </c>
      <c r="I1422" s="2" t="s">
        <v>3373</v>
      </c>
      <c r="J1422" s="3" t="str">
        <f>HYPERLINK("https://www.boe.es/gazeta/dias/1813/08/03/pdfs/GRE-1813-98.pdf#page=5","Abrir facsímil")</f>
        <v>Abrir facsímil</v>
      </c>
      <c r="K1422" s="3" t="s">
        <v>22</v>
      </c>
    </row>
    <row r="1423" spans="1:11" ht="42" customHeight="1">
      <c r="A1423" s="2" t="s">
        <v>3363</v>
      </c>
      <c r="B1423" s="2" t="s">
        <v>3363</v>
      </c>
      <c r="C1423" s="2" t="s">
        <v>16</v>
      </c>
      <c r="D1423" s="2" t="s">
        <v>17</v>
      </c>
      <c r="E1423" s="5">
        <v>-31537</v>
      </c>
      <c r="F1423" s="3" t="s">
        <v>138</v>
      </c>
      <c r="G1423" s="3" t="s">
        <v>1474</v>
      </c>
      <c r="H1423" s="2" t="s">
        <v>20</v>
      </c>
      <c r="I1423" s="2" t="s">
        <v>3374</v>
      </c>
      <c r="J1423" s="3" t="str">
        <f>HYPERLINK("https://www.boe.es/gazeta/dias/1813/08/26/pdfs/GMR-1813-33.pdf#page=14","Abrir facsímil")</f>
        <v>Abrir facsímil</v>
      </c>
      <c r="K1423" s="3" t="s">
        <v>22</v>
      </c>
    </row>
    <row r="1424" spans="1:11" ht="42" customHeight="1">
      <c r="A1424" s="2" t="s">
        <v>3363</v>
      </c>
      <c r="B1424" s="2" t="s">
        <v>3363</v>
      </c>
      <c r="C1424" s="2" t="s">
        <v>16</v>
      </c>
      <c r="D1424" s="2" t="s">
        <v>17</v>
      </c>
      <c r="E1424" s="5">
        <v>-31535</v>
      </c>
      <c r="F1424" s="3" t="s">
        <v>894</v>
      </c>
      <c r="G1424" s="3" t="s">
        <v>3375</v>
      </c>
      <c r="H1424" s="2" t="s">
        <v>20</v>
      </c>
      <c r="I1424" s="2" t="s">
        <v>3376</v>
      </c>
      <c r="J1424" s="3" t="str">
        <f>HYPERLINK("https://www.boe.es/gazeta/dias/1813/08/28/pdfs/GMR-1813-34.pdf#page=4","Abrir facsímil")</f>
        <v>Abrir facsímil</v>
      </c>
      <c r="K1424" s="3" t="s">
        <v>22</v>
      </c>
    </row>
    <row r="1425" spans="1:11" ht="42" customHeight="1">
      <c r="A1425" s="2" t="s">
        <v>3363</v>
      </c>
      <c r="B1425" s="2" t="s">
        <v>3363</v>
      </c>
      <c r="C1425" s="2" t="s">
        <v>16</v>
      </c>
      <c r="D1425" s="2" t="s">
        <v>17</v>
      </c>
      <c r="E1425" s="5">
        <v>-31525</v>
      </c>
      <c r="F1425" s="3" t="s">
        <v>1131</v>
      </c>
      <c r="G1425" s="3" t="s">
        <v>54</v>
      </c>
      <c r="H1425" s="2" t="s">
        <v>20</v>
      </c>
      <c r="I1425" s="2" t="s">
        <v>3377</v>
      </c>
      <c r="J1425" s="3" t="str">
        <f>HYPERLINK("https://www.boe.es/gazeta/dias/1813/09/07/pdfs/GRE-1813-114.pdf#page=3","Abrir facsímil")</f>
        <v>Abrir facsímil</v>
      </c>
      <c r="K1425" s="3" t="s">
        <v>22</v>
      </c>
    </row>
    <row r="1426" spans="1:11" ht="42" customHeight="1">
      <c r="A1426" s="2" t="s">
        <v>3363</v>
      </c>
      <c r="B1426" s="2" t="s">
        <v>3363</v>
      </c>
      <c r="C1426" s="2" t="s">
        <v>16</v>
      </c>
      <c r="D1426" s="2" t="s">
        <v>17</v>
      </c>
      <c r="E1426" s="5">
        <v>-31525</v>
      </c>
      <c r="F1426" s="3" t="s">
        <v>1131</v>
      </c>
      <c r="G1426" s="3" t="s">
        <v>19</v>
      </c>
      <c r="H1426" s="2" t="s">
        <v>20</v>
      </c>
      <c r="I1426" s="2" t="s">
        <v>3378</v>
      </c>
      <c r="J1426" s="3" t="str">
        <f>HYPERLINK("https://www.boe.es/gazeta/dias/1813/09/07/pdfs/GRE-1813-114.pdf#page=4","Abrir facsímil")</f>
        <v>Abrir facsímil</v>
      </c>
      <c r="K1426" s="3" t="s">
        <v>22</v>
      </c>
    </row>
    <row r="1427" spans="1:11" ht="42" customHeight="1">
      <c r="A1427" s="2" t="s">
        <v>3379</v>
      </c>
      <c r="B1427" s="2" t="s">
        <v>3379</v>
      </c>
      <c r="C1427" s="2" t="s">
        <v>16</v>
      </c>
      <c r="D1427" s="2" t="s">
        <v>17</v>
      </c>
      <c r="E1427" s="5">
        <v>-31525</v>
      </c>
      <c r="F1427" s="3" t="s">
        <v>1131</v>
      </c>
      <c r="G1427" s="3" t="s">
        <v>87</v>
      </c>
      <c r="H1427" s="2" t="s">
        <v>20</v>
      </c>
      <c r="I1427" s="2" t="s">
        <v>3380</v>
      </c>
      <c r="J1427" s="3" t="str">
        <f>HYPERLINK("https://www.boe.es/gazeta/dias/1813/09/07/pdfs/GRE-1813-114.pdf#page=7","Abrir facsímil")</f>
        <v>Abrir facsímil</v>
      </c>
      <c r="K1427" s="3" t="s">
        <v>22</v>
      </c>
    </row>
    <row r="1428" spans="1:11" ht="42" customHeight="1">
      <c r="A1428" s="2" t="s">
        <v>3363</v>
      </c>
      <c r="B1428" s="2" t="s">
        <v>3363</v>
      </c>
      <c r="C1428" s="2" t="s">
        <v>16</v>
      </c>
      <c r="D1428" s="2" t="s">
        <v>17</v>
      </c>
      <c r="E1428" s="5">
        <v>-31465</v>
      </c>
      <c r="F1428" s="3" t="s">
        <v>407</v>
      </c>
      <c r="G1428" s="3" t="s">
        <v>58</v>
      </c>
      <c r="H1428" s="2" t="s">
        <v>20</v>
      </c>
      <c r="I1428" s="2" t="s">
        <v>3381</v>
      </c>
      <c r="J1428" s="3" t="str">
        <f>HYPERLINK("https://www.boe.es/gazeta/dias/1813/11/06/pdfs/GMR-1813-70.pdf#page=2","Abrir facsímil")</f>
        <v>Abrir facsímil</v>
      </c>
      <c r="K1428" s="3" t="s">
        <v>22</v>
      </c>
    </row>
    <row r="1429" spans="1:11" ht="42" customHeight="1">
      <c r="A1429" s="2" t="s">
        <v>3363</v>
      </c>
      <c r="B1429" s="2" t="s">
        <v>3363</v>
      </c>
      <c r="C1429" s="2" t="s">
        <v>16</v>
      </c>
      <c r="D1429" s="2" t="s">
        <v>97</v>
      </c>
      <c r="E1429" s="5">
        <v>-31460</v>
      </c>
      <c r="F1429" s="3" t="s">
        <v>3382</v>
      </c>
      <c r="G1429" s="3" t="s">
        <v>65</v>
      </c>
      <c r="H1429" s="2" t="s">
        <v>20</v>
      </c>
      <c r="I1429" s="2" t="s">
        <v>3383</v>
      </c>
      <c r="J1429" s="3" t="str">
        <f>HYPERLINK("https://www.boe.es/gazeta/dias/1813/11/11/pdfs/GRE-1813-148E.pdf#page=1","Abrir facsímil")</f>
        <v>Abrir facsímil</v>
      </c>
      <c r="K1429" s="3" t="s">
        <v>22</v>
      </c>
    </row>
    <row r="1430" spans="1:11" ht="42" customHeight="1">
      <c r="A1430" s="2" t="s">
        <v>3363</v>
      </c>
      <c r="B1430" s="2" t="s">
        <v>3363</v>
      </c>
      <c r="C1430" s="2" t="s">
        <v>16</v>
      </c>
      <c r="D1430" s="2" t="s">
        <v>97</v>
      </c>
      <c r="E1430" s="5">
        <v>-31460</v>
      </c>
      <c r="F1430" s="3" t="s">
        <v>3382</v>
      </c>
      <c r="G1430" s="3" t="s">
        <v>58</v>
      </c>
      <c r="H1430" s="2" t="s">
        <v>20</v>
      </c>
      <c r="I1430" s="2" t="s">
        <v>3384</v>
      </c>
      <c r="J1430" s="3" t="str">
        <f>HYPERLINK("https://www.boe.es/gazeta/dias/1813/11/11/pdfs/GRE-1813-148E.pdf#page=2","Abrir facsímil")</f>
        <v>Abrir facsímil</v>
      </c>
      <c r="K1430" s="3" t="s">
        <v>22</v>
      </c>
    </row>
    <row r="1431" spans="1:11" ht="42" customHeight="1">
      <c r="A1431" s="2" t="s">
        <v>3363</v>
      </c>
      <c r="B1431" s="2" t="s">
        <v>3363</v>
      </c>
      <c r="C1431" s="2" t="s">
        <v>16</v>
      </c>
      <c r="D1431" s="2" t="s">
        <v>17</v>
      </c>
      <c r="E1431" s="5">
        <v>-31458</v>
      </c>
      <c r="F1431" s="3" t="s">
        <v>1171</v>
      </c>
      <c r="G1431" s="3" t="s">
        <v>28</v>
      </c>
      <c r="H1431" s="2" t="s">
        <v>20</v>
      </c>
      <c r="I1431" s="2" t="s">
        <v>3385</v>
      </c>
      <c r="J1431" s="3" t="str">
        <f>HYPERLINK("https://www.boe.es/gazeta/dias/1813/11/13/pdfs/GRE-1813-149.pdf#page=8","Abrir facsímil")</f>
        <v>Abrir facsímil</v>
      </c>
      <c r="K1431" s="3" t="s">
        <v>22</v>
      </c>
    </row>
    <row r="1432" spans="1:11" ht="42" customHeight="1">
      <c r="A1432" s="2" t="s">
        <v>3363</v>
      </c>
      <c r="B1432" s="2" t="s">
        <v>3363</v>
      </c>
      <c r="C1432" s="2" t="s">
        <v>16</v>
      </c>
      <c r="D1432" s="2" t="s">
        <v>17</v>
      </c>
      <c r="E1432" s="5">
        <v>-31451</v>
      </c>
      <c r="F1432" s="3" t="s">
        <v>2325</v>
      </c>
      <c r="G1432" s="3" t="s">
        <v>3386</v>
      </c>
      <c r="H1432" s="2" t="s">
        <v>20</v>
      </c>
      <c r="I1432" s="2" t="s">
        <v>3387</v>
      </c>
      <c r="J1432" s="3" t="str">
        <f>HYPERLINK("https://www.boe.es/gazeta/dias/1813/11/20/pdfs/GMR-1813-77.pdf#page=3","Abrir facsímil")</f>
        <v>Abrir facsímil</v>
      </c>
      <c r="K1432" s="3" t="s">
        <v>22</v>
      </c>
    </row>
    <row r="1433" spans="1:11" ht="42" customHeight="1">
      <c r="A1433" s="2" t="s">
        <v>3363</v>
      </c>
      <c r="B1433" s="2" t="s">
        <v>3363</v>
      </c>
      <c r="C1433" s="2" t="s">
        <v>16</v>
      </c>
      <c r="D1433" s="2" t="s">
        <v>17</v>
      </c>
      <c r="E1433" s="5">
        <v>-31451</v>
      </c>
      <c r="F1433" s="3" t="s">
        <v>2325</v>
      </c>
      <c r="G1433" s="3" t="s">
        <v>82</v>
      </c>
      <c r="H1433" s="2" t="s">
        <v>20</v>
      </c>
      <c r="I1433" s="2" t="s">
        <v>3388</v>
      </c>
      <c r="J1433" s="3" t="str">
        <f>HYPERLINK("https://www.boe.es/gazeta/dias/1813/11/20/pdfs/GMR-1813-77.pdf#page=5","Abrir facsímil")</f>
        <v>Abrir facsímil</v>
      </c>
      <c r="K1433" s="3" t="s">
        <v>22</v>
      </c>
    </row>
    <row r="1434" spans="1:11" ht="42" customHeight="1">
      <c r="A1434" s="2" t="s">
        <v>3363</v>
      </c>
      <c r="B1434" s="2" t="s">
        <v>3363</v>
      </c>
      <c r="C1434" s="2" t="s">
        <v>16</v>
      </c>
      <c r="D1434" s="2" t="s">
        <v>17</v>
      </c>
      <c r="E1434" s="5">
        <v>-31451</v>
      </c>
      <c r="F1434" s="3" t="s">
        <v>2325</v>
      </c>
      <c r="G1434" s="3" t="s">
        <v>95</v>
      </c>
      <c r="H1434" s="2" t="s">
        <v>20</v>
      </c>
      <c r="I1434" s="2" t="s">
        <v>3389</v>
      </c>
      <c r="J1434" s="3" t="str">
        <f>HYPERLINK("https://www.boe.es/gazeta/dias/1813/11/20/pdfs/GMR-1813-77.pdf#page=6","Abrir facsímil")</f>
        <v>Abrir facsímil</v>
      </c>
      <c r="K1434" s="3" t="s">
        <v>22</v>
      </c>
    </row>
    <row r="1435" spans="1:11" ht="42" customHeight="1">
      <c r="A1435" s="2" t="s">
        <v>3379</v>
      </c>
      <c r="B1435" s="2" t="s">
        <v>3379</v>
      </c>
      <c r="C1435" s="2" t="s">
        <v>16</v>
      </c>
      <c r="D1435" s="2" t="s">
        <v>17</v>
      </c>
      <c r="E1435" s="5">
        <v>-31427</v>
      </c>
      <c r="F1435" s="3" t="s">
        <v>489</v>
      </c>
      <c r="G1435" s="3" t="s">
        <v>1742</v>
      </c>
      <c r="H1435" s="2" t="s">
        <v>20</v>
      </c>
      <c r="I1435" s="2" t="s">
        <v>3390</v>
      </c>
      <c r="J1435" s="3" t="str">
        <f>HYPERLINK("https://www.boe.es/gazeta/dias/1813/12/14/pdfs/GMR-1813-87.pdf#page=9","Abrir facsímil")</f>
        <v>Abrir facsímil</v>
      </c>
      <c r="K1435" s="3" t="s">
        <v>22</v>
      </c>
    </row>
    <row r="1436" spans="1:11" ht="42" customHeight="1">
      <c r="A1436" s="2" t="s">
        <v>3363</v>
      </c>
      <c r="B1436" s="2" t="s">
        <v>3363</v>
      </c>
      <c r="C1436" s="2" t="s">
        <v>25</v>
      </c>
      <c r="D1436" s="2" t="s">
        <v>26</v>
      </c>
      <c r="E1436" s="5">
        <v>-31425</v>
      </c>
      <c r="F1436" s="3" t="s">
        <v>1669</v>
      </c>
      <c r="G1436" s="3" t="s">
        <v>1670</v>
      </c>
      <c r="H1436" s="2" t="s">
        <v>20</v>
      </c>
      <c r="I1436" s="2" t="s">
        <v>3391</v>
      </c>
      <c r="J1436" s="3" t="str">
        <f>HYPERLINK("https://www.boe.es/gazeta/dias/1813/12/16/pdfs/GRE-1813-165.pdf#page=7","Abrir facsímil")</f>
        <v>Abrir facsímil</v>
      </c>
      <c r="K1436" s="3" t="s">
        <v>22</v>
      </c>
    </row>
    <row r="1437" spans="1:11" ht="42" customHeight="1">
      <c r="A1437" s="2" t="s">
        <v>3363</v>
      </c>
      <c r="B1437" s="2" t="s">
        <v>3363</v>
      </c>
      <c r="C1437" s="2" t="s">
        <v>16</v>
      </c>
      <c r="D1437" s="2" t="s">
        <v>17</v>
      </c>
      <c r="E1437" s="5">
        <v>-31423</v>
      </c>
      <c r="F1437" s="3" t="s">
        <v>2465</v>
      </c>
      <c r="G1437" s="3" t="s">
        <v>82</v>
      </c>
      <c r="H1437" s="2" t="s">
        <v>20</v>
      </c>
      <c r="I1437" s="2" t="s">
        <v>3392</v>
      </c>
      <c r="J1437" s="3" t="str">
        <f>HYPERLINK("https://www.boe.es/gazeta/dias/1813/12/18/pdfs/GMR-1813-89.pdf#page=5","Abrir facsímil")</f>
        <v>Abrir facsímil</v>
      </c>
      <c r="K1437" s="3" t="s">
        <v>22</v>
      </c>
    </row>
    <row r="1438" spans="1:11" ht="42" customHeight="1">
      <c r="A1438" s="2" t="s">
        <v>3363</v>
      </c>
      <c r="B1438" s="2" t="s">
        <v>3363</v>
      </c>
      <c r="C1438" s="2" t="s">
        <v>16</v>
      </c>
      <c r="D1438" s="2" t="s">
        <v>17</v>
      </c>
      <c r="E1438" s="5">
        <v>-31418</v>
      </c>
      <c r="F1438" s="3" t="s">
        <v>147</v>
      </c>
      <c r="G1438" s="3" t="s">
        <v>82</v>
      </c>
      <c r="H1438" s="2" t="s">
        <v>20</v>
      </c>
      <c r="I1438" s="2" t="s">
        <v>3393</v>
      </c>
      <c r="J1438" s="3" t="str">
        <f>HYPERLINK("https://www.boe.es/gazeta/dias/1813/12/23/pdfs/GRE-1813-168.pdf#page=5","Abrir facsímil")</f>
        <v>Abrir facsímil</v>
      </c>
      <c r="K1438" s="3" t="s">
        <v>22</v>
      </c>
    </row>
    <row r="1439" spans="1:11" ht="42" customHeight="1">
      <c r="A1439" s="2" t="s">
        <v>3394</v>
      </c>
      <c r="B1439" s="2" t="s">
        <v>3395</v>
      </c>
      <c r="C1439" s="2" t="s">
        <v>16</v>
      </c>
      <c r="D1439" s="2" t="s">
        <v>17</v>
      </c>
      <c r="E1439" s="5">
        <v>-31458</v>
      </c>
      <c r="F1439" s="3" t="s">
        <v>1171</v>
      </c>
      <c r="G1439" s="3" t="s">
        <v>95</v>
      </c>
      <c r="H1439" s="2" t="s">
        <v>20</v>
      </c>
      <c r="I1439" s="2" t="s">
        <v>3396</v>
      </c>
      <c r="J1439" s="3" t="str">
        <f>HYPERLINK("https://www.boe.es/gazeta/dias/1813/11/13/pdfs/GRE-1813-149.pdf#page=6","Abrir facsímil")</f>
        <v>Abrir facsímil</v>
      </c>
      <c r="K1439" s="3" t="s">
        <v>22</v>
      </c>
    </row>
    <row r="1440" spans="1:11" ht="42" customHeight="1">
      <c r="A1440" s="2" t="s">
        <v>3397</v>
      </c>
      <c r="B1440" s="2" t="s">
        <v>3398</v>
      </c>
      <c r="C1440" s="2" t="s">
        <v>16</v>
      </c>
      <c r="D1440" s="2" t="s">
        <v>17</v>
      </c>
      <c r="E1440" s="5">
        <v>-31710</v>
      </c>
      <c r="F1440" s="3" t="s">
        <v>2689</v>
      </c>
      <c r="G1440" s="3" t="s">
        <v>58</v>
      </c>
      <c r="H1440" s="2" t="s">
        <v>20</v>
      </c>
      <c r="I1440" s="2" t="s">
        <v>3399</v>
      </c>
      <c r="J1440" s="3" t="str">
        <f>HYPERLINK("https://www.boe.es/gazeta/dias/1813/03/06/pdfs/GRE-1813-29.pdf#page=2","Abrir facsímil")</f>
        <v>Abrir facsímil</v>
      </c>
      <c r="K1440" s="3" t="s">
        <v>22</v>
      </c>
    </row>
    <row r="1441" spans="1:11" ht="42" customHeight="1">
      <c r="A1441" s="2" t="s">
        <v>3400</v>
      </c>
      <c r="B1441" s="2" t="s">
        <v>3400</v>
      </c>
      <c r="C1441" s="2" t="s">
        <v>16</v>
      </c>
      <c r="D1441" s="2" t="s">
        <v>17</v>
      </c>
      <c r="E1441" s="5">
        <v>-31528</v>
      </c>
      <c r="F1441" s="3" t="s">
        <v>141</v>
      </c>
      <c r="G1441" s="3" t="s">
        <v>58</v>
      </c>
      <c r="H1441" s="2" t="s">
        <v>20</v>
      </c>
      <c r="I1441" s="2" t="s">
        <v>3401</v>
      </c>
      <c r="J1441" s="3" t="str">
        <f>HYPERLINK("https://www.boe.es/gazeta/dias/1813/09/04/pdfs/GMR-1813-37.pdf#page=2","Abrir facsímil")</f>
        <v>Abrir facsímil</v>
      </c>
      <c r="K1441" s="3" t="s">
        <v>22</v>
      </c>
    </row>
    <row r="1442" spans="1:11" ht="42" customHeight="1">
      <c r="A1442" s="2" t="s">
        <v>3402</v>
      </c>
      <c r="B1442" s="2" t="s">
        <v>3402</v>
      </c>
      <c r="C1442" s="2" t="s">
        <v>16</v>
      </c>
      <c r="D1442" s="2" t="s">
        <v>17</v>
      </c>
      <c r="E1442" s="5">
        <v>-31650</v>
      </c>
      <c r="F1442" s="3" t="s">
        <v>3403</v>
      </c>
      <c r="G1442" s="3" t="s">
        <v>58</v>
      </c>
      <c r="H1442" s="2" t="s">
        <v>20</v>
      </c>
      <c r="I1442" s="2" t="s">
        <v>3404</v>
      </c>
      <c r="J1442" s="3" t="str">
        <f>HYPERLINK("https://www.boe.es/gazeta/dias/1813/05/05/pdfs/GMD-1813-125.pdf#page=2","Abrir facsímil")</f>
        <v>Abrir facsímil</v>
      </c>
      <c r="K1442" s="3" t="s">
        <v>22</v>
      </c>
    </row>
    <row r="1443" spans="1:11" ht="42" customHeight="1">
      <c r="A1443" s="2" t="s">
        <v>3405</v>
      </c>
      <c r="B1443" s="2" t="s">
        <v>3406</v>
      </c>
      <c r="C1443" s="2" t="s">
        <v>16</v>
      </c>
      <c r="D1443" s="2" t="s">
        <v>17</v>
      </c>
      <c r="E1443" s="5">
        <v>-31521</v>
      </c>
      <c r="F1443" s="3" t="s">
        <v>1256</v>
      </c>
      <c r="G1443" s="3" t="s">
        <v>3407</v>
      </c>
      <c r="H1443" s="2" t="s">
        <v>20</v>
      </c>
      <c r="I1443" s="2" t="s">
        <v>3408</v>
      </c>
      <c r="J1443" s="3" t="str">
        <f>HYPERLINK("https://www.boe.es/gazeta/dias/1813/09/11/pdfs/GRE-1813-116.pdf#page=6","Abrir facsímil")</f>
        <v>Abrir facsímil</v>
      </c>
      <c r="K1443" s="3" t="s">
        <v>22</v>
      </c>
    </row>
    <row r="1444" spans="1:11" ht="42" customHeight="1">
      <c r="A1444" s="2" t="s">
        <v>3409</v>
      </c>
      <c r="B1444" s="2" t="s">
        <v>3409</v>
      </c>
      <c r="C1444" s="2" t="s">
        <v>16</v>
      </c>
      <c r="D1444" s="2" t="s">
        <v>17</v>
      </c>
      <c r="E1444" s="5">
        <v>-31537</v>
      </c>
      <c r="F1444" s="3" t="s">
        <v>138</v>
      </c>
      <c r="G1444" s="3" t="s">
        <v>28</v>
      </c>
      <c r="H1444" s="2" t="s">
        <v>20</v>
      </c>
      <c r="I1444" s="2" t="s">
        <v>3410</v>
      </c>
      <c r="J1444" s="3" t="str">
        <f>HYPERLINK("https://www.boe.es/gazeta/dias/1813/08/26/pdfs/GMR-1813-33.pdf#page=8","Abrir facsímil")</f>
        <v>Abrir facsímil</v>
      </c>
      <c r="K1444" s="3" t="s">
        <v>22</v>
      </c>
    </row>
    <row r="1445" spans="1:11" ht="42" customHeight="1">
      <c r="A1445" s="2" t="s">
        <v>3411</v>
      </c>
      <c r="B1445" s="2" t="s">
        <v>3412</v>
      </c>
      <c r="C1445" s="2" t="s">
        <v>16</v>
      </c>
      <c r="D1445" s="2" t="s">
        <v>17</v>
      </c>
      <c r="E1445" s="5">
        <v>-31544</v>
      </c>
      <c r="F1445" s="3" t="s">
        <v>200</v>
      </c>
      <c r="G1445" s="3" t="s">
        <v>87</v>
      </c>
      <c r="H1445" s="2" t="s">
        <v>20</v>
      </c>
      <c r="I1445" s="2" t="s">
        <v>3413</v>
      </c>
      <c r="J1445" s="3" t="str">
        <f>HYPERLINK("https://www.boe.es/gazeta/dias/1813/08/19/pdfs/GRE-1813-106.pdf#page=7","Abrir facsímil")</f>
        <v>Abrir facsímil</v>
      </c>
      <c r="K1445" s="3" t="s">
        <v>22</v>
      </c>
    </row>
    <row r="1446" spans="1:11" ht="42" customHeight="1">
      <c r="A1446" s="2" t="s">
        <v>3414</v>
      </c>
      <c r="B1446" s="2" t="s">
        <v>3415</v>
      </c>
      <c r="C1446" s="2" t="s">
        <v>16</v>
      </c>
      <c r="D1446" s="2" t="s">
        <v>17</v>
      </c>
      <c r="E1446" s="5">
        <v>-31544</v>
      </c>
      <c r="F1446" s="3" t="s">
        <v>200</v>
      </c>
      <c r="G1446" s="3" t="s">
        <v>1863</v>
      </c>
      <c r="H1446" s="2" t="s">
        <v>20</v>
      </c>
      <c r="I1446" s="2" t="s">
        <v>3416</v>
      </c>
      <c r="J1446" s="3" t="str">
        <f>HYPERLINK("https://www.boe.es/gazeta/dias/1813/08/19/pdfs/GRE-1813-106.pdf#page=8","Abrir facsímil")</f>
        <v>Abrir facsímil</v>
      </c>
      <c r="K1446" s="3" t="s">
        <v>22</v>
      </c>
    </row>
    <row r="1447" spans="1:11" ht="42" customHeight="1">
      <c r="A1447" s="2" t="s">
        <v>3417</v>
      </c>
      <c r="B1447" s="2" t="s">
        <v>3417</v>
      </c>
      <c r="C1447" s="2" t="s">
        <v>16</v>
      </c>
      <c r="D1447" s="2" t="s">
        <v>17</v>
      </c>
      <c r="E1447" s="5">
        <v>-31763</v>
      </c>
      <c r="F1447" s="3" t="s">
        <v>668</v>
      </c>
      <c r="G1447" s="3" t="s">
        <v>82</v>
      </c>
      <c r="H1447" s="2" t="s">
        <v>20</v>
      </c>
      <c r="I1447" s="2" t="s">
        <v>3418</v>
      </c>
      <c r="J1447" s="3" t="str">
        <f>HYPERLINK("https://www.boe.es/gazeta/dias/1813/01/12/pdfs/GRE-1813-5.pdf#page=5","Abrir facsímil")</f>
        <v>Abrir facsímil</v>
      </c>
      <c r="K1447" s="3" t="s">
        <v>22</v>
      </c>
    </row>
    <row r="1448" spans="1:11" ht="42" customHeight="1">
      <c r="A1448" s="2" t="s">
        <v>3419</v>
      </c>
      <c r="B1448" s="2" t="s">
        <v>3419</v>
      </c>
      <c r="C1448" s="2" t="s">
        <v>16</v>
      </c>
      <c r="D1448" s="2" t="s">
        <v>17</v>
      </c>
      <c r="E1448" s="5">
        <v>-31659</v>
      </c>
      <c r="F1448" s="3" t="s">
        <v>3041</v>
      </c>
      <c r="G1448" s="3" t="s">
        <v>1304</v>
      </c>
      <c r="H1448" s="2" t="s">
        <v>20</v>
      </c>
      <c r="I1448" s="2" t="s">
        <v>3420</v>
      </c>
      <c r="J1448" s="3" t="str">
        <f>HYPERLINK("https://www.boe.es/gazeta/dias/1813/04/26/pdfs/GMD-1813-116.pdf#page=2","Abrir facsímil")</f>
        <v>Abrir facsímil</v>
      </c>
      <c r="K1448" s="3" t="s">
        <v>22</v>
      </c>
    </row>
    <row r="1449" spans="1:11" ht="42" customHeight="1">
      <c r="A1449" s="2" t="s">
        <v>3421</v>
      </c>
      <c r="B1449" s="2" t="s">
        <v>3421</v>
      </c>
      <c r="C1449" s="2" t="s">
        <v>16</v>
      </c>
      <c r="D1449" s="2" t="s">
        <v>17</v>
      </c>
      <c r="E1449" s="5">
        <v>-31659</v>
      </c>
      <c r="F1449" s="3" t="s">
        <v>3041</v>
      </c>
      <c r="G1449" s="3" t="s">
        <v>1304</v>
      </c>
      <c r="H1449" s="2" t="s">
        <v>20</v>
      </c>
      <c r="I1449" s="2" t="s">
        <v>3422</v>
      </c>
      <c r="J1449" s="3" t="str">
        <f>HYPERLINK("https://www.boe.es/gazeta/dias/1813/04/26/pdfs/GMD-1813-116.pdf#page=2","Abrir facsímil")</f>
        <v>Abrir facsímil</v>
      </c>
      <c r="K1449" s="3" t="s">
        <v>22</v>
      </c>
    </row>
    <row r="1450" spans="1:11" ht="42" customHeight="1">
      <c r="A1450" s="2" t="s">
        <v>3423</v>
      </c>
      <c r="B1450" s="2" t="s">
        <v>3423</v>
      </c>
      <c r="C1450" s="2" t="s">
        <v>16</v>
      </c>
      <c r="D1450" s="2" t="s">
        <v>17</v>
      </c>
      <c r="E1450" s="5">
        <v>-31711</v>
      </c>
      <c r="F1450" s="3" t="s">
        <v>385</v>
      </c>
      <c r="G1450" s="3" t="s">
        <v>747</v>
      </c>
      <c r="H1450" s="2" t="s">
        <v>20</v>
      </c>
      <c r="I1450" s="2" t="s">
        <v>3424</v>
      </c>
      <c r="J1450" s="3" t="str">
        <f>HYPERLINK("https://www.boe.es/gazeta/dias/1813/03/05/pdfs/GRE-1813-99.pdf#page=2","Abrir facsímil")</f>
        <v>Abrir facsímil</v>
      </c>
      <c r="K1450" s="3" t="s">
        <v>22</v>
      </c>
    </row>
    <row r="1451" spans="1:11" ht="42" customHeight="1">
      <c r="A1451" s="2" t="s">
        <v>3423</v>
      </c>
      <c r="B1451" s="2" t="s">
        <v>3423</v>
      </c>
      <c r="C1451" s="2" t="s">
        <v>16</v>
      </c>
      <c r="D1451" s="2" t="s">
        <v>17</v>
      </c>
      <c r="E1451" s="5">
        <v>-31558</v>
      </c>
      <c r="F1451" s="3" t="s">
        <v>385</v>
      </c>
      <c r="G1451" s="3" t="s">
        <v>747</v>
      </c>
      <c r="H1451" s="2" t="s">
        <v>20</v>
      </c>
      <c r="I1451" s="2" t="s">
        <v>3424</v>
      </c>
      <c r="J1451" s="3" t="str">
        <f>HYPERLINK("https://www.boe.es/gazeta/dias/1813/08/05/pdfs/GRE-1813-99.pdf#page=2","Abrir facsímil")</f>
        <v>Abrir facsímil</v>
      </c>
      <c r="K1451" s="3" t="s">
        <v>22</v>
      </c>
    </row>
    <row r="1452" spans="1:11" ht="42" customHeight="1">
      <c r="A1452" s="2" t="s">
        <v>3425</v>
      </c>
      <c r="B1452" s="2" t="s">
        <v>3426</v>
      </c>
      <c r="C1452" s="2" t="s">
        <v>34</v>
      </c>
      <c r="D1452" s="2" t="s">
        <v>35</v>
      </c>
      <c r="E1452" s="5">
        <v>-31709</v>
      </c>
      <c r="F1452" s="3" t="s">
        <v>36</v>
      </c>
      <c r="G1452" s="3" t="s">
        <v>303</v>
      </c>
      <c r="H1452" s="2" t="s">
        <v>20</v>
      </c>
      <c r="I1452" s="2" t="s">
        <v>3427</v>
      </c>
      <c r="J1452" s="3" t="str">
        <f>HYPERLINK("https://www.boe.es/gazeta/dias/1813/03/07/pdfs/GMD-1813-66.pdf#page=3","Abrir facsímil")</f>
        <v>Abrir facsímil</v>
      </c>
      <c r="K1452" s="3" t="s">
        <v>22</v>
      </c>
    </row>
    <row r="1453" spans="1:11" ht="42" customHeight="1">
      <c r="A1453" s="2" t="s">
        <v>3428</v>
      </c>
      <c r="B1453" s="2" t="s">
        <v>3429</v>
      </c>
      <c r="C1453" s="2" t="s">
        <v>16</v>
      </c>
      <c r="D1453" s="2" t="s">
        <v>17</v>
      </c>
      <c r="E1453" s="5">
        <v>-31560</v>
      </c>
      <c r="F1453" s="3" t="s">
        <v>590</v>
      </c>
      <c r="G1453" s="3" t="s">
        <v>87</v>
      </c>
      <c r="H1453" s="2" t="s">
        <v>20</v>
      </c>
      <c r="I1453" s="2" t="s">
        <v>3430</v>
      </c>
      <c r="J1453" s="3" t="str">
        <f>HYPERLINK("https://www.boe.es/gazeta/dias/1813/08/03/pdfs/GRE-1813-98.pdf#page=7","Abrir facsímil")</f>
        <v>Abrir facsímil</v>
      </c>
      <c r="K1453" s="3" t="s">
        <v>22</v>
      </c>
    </row>
    <row r="1454" spans="1:11" ht="42" customHeight="1">
      <c r="A1454" s="2" t="s">
        <v>3431</v>
      </c>
      <c r="B1454" s="2" t="s">
        <v>3432</v>
      </c>
      <c r="C1454" s="2" t="s">
        <v>25</v>
      </c>
      <c r="D1454" s="2" t="s">
        <v>26</v>
      </c>
      <c r="E1454" s="5">
        <v>-31437</v>
      </c>
      <c r="F1454" s="3" t="s">
        <v>680</v>
      </c>
      <c r="G1454" s="3" t="s">
        <v>28</v>
      </c>
      <c r="H1454" s="2" t="s">
        <v>29</v>
      </c>
      <c r="I1454" s="2" t="s">
        <v>3433</v>
      </c>
      <c r="J1454" s="3" t="str">
        <f>HYPERLINK("https://www.boe.es/gazeta/dias/1813/12/04/pdfs/GMR-1813-83.pdf#page=8","Abrir facsímil")</f>
        <v>Abrir facsímil</v>
      </c>
      <c r="K1454" s="3" t="s">
        <v>31</v>
      </c>
    </row>
    <row r="1455" spans="1:11" ht="42" customHeight="1">
      <c r="A1455" s="2" t="s">
        <v>3434</v>
      </c>
      <c r="B1455" s="2" t="s">
        <v>3435</v>
      </c>
      <c r="C1455" s="2" t="s">
        <v>25</v>
      </c>
      <c r="D1455" s="2" t="s">
        <v>26</v>
      </c>
      <c r="E1455" s="5">
        <v>-31747</v>
      </c>
      <c r="F1455" s="3" t="s">
        <v>86</v>
      </c>
      <c r="G1455" s="3" t="s">
        <v>28</v>
      </c>
      <c r="H1455" s="2" t="s">
        <v>20</v>
      </c>
      <c r="I1455" s="2" t="s">
        <v>3436</v>
      </c>
      <c r="J1455" s="3" t="str">
        <f>HYPERLINK("https://www.boe.es/gazeta/dias/1813/01/28/pdfs/GRE-1813-12.pdf#page=8","Abrir facsímil")</f>
        <v>Abrir facsímil</v>
      </c>
      <c r="K1455" s="3" t="s">
        <v>22</v>
      </c>
    </row>
    <row r="1456" spans="1:11" ht="42" customHeight="1">
      <c r="A1456" s="2" t="s">
        <v>3437</v>
      </c>
      <c r="B1456" s="2" t="s">
        <v>3438</v>
      </c>
      <c r="C1456" s="2" t="s">
        <v>16</v>
      </c>
      <c r="D1456" s="2" t="s">
        <v>97</v>
      </c>
      <c r="E1456" s="5">
        <v>-31519</v>
      </c>
      <c r="F1456" s="3" t="s">
        <v>312</v>
      </c>
      <c r="G1456" s="3" t="s">
        <v>28</v>
      </c>
      <c r="H1456" s="2" t="s">
        <v>20</v>
      </c>
      <c r="I1456" s="2" t="s">
        <v>3439</v>
      </c>
      <c r="J1456" s="3" t="str">
        <f>HYPERLINK("https://www.boe.es/gazeta/dias/1813/09/13/pdfs/GRE-1813-118E.pdf#page=8","Abrir facsímil")</f>
        <v>Abrir facsímil</v>
      </c>
      <c r="K1456" s="3" t="s">
        <v>22</v>
      </c>
    </row>
    <row r="1457" spans="1:11" ht="42" customHeight="1">
      <c r="A1457" s="2" t="s">
        <v>3440</v>
      </c>
      <c r="B1457" s="2" t="s">
        <v>3441</v>
      </c>
      <c r="C1457" s="2" t="s">
        <v>16</v>
      </c>
      <c r="D1457" s="2" t="s">
        <v>17</v>
      </c>
      <c r="E1457" s="5">
        <v>-31570</v>
      </c>
      <c r="F1457" s="3" t="s">
        <v>1803</v>
      </c>
      <c r="G1457" s="3" t="s">
        <v>82</v>
      </c>
      <c r="H1457" s="2" t="s">
        <v>20</v>
      </c>
      <c r="I1457" s="2" t="s">
        <v>3442</v>
      </c>
      <c r="J1457" s="3" t="str">
        <f>HYPERLINK("https://www.boe.es/gazeta/dias/1813/07/24/pdfs/GRE-1813-94.pdf#page=5","Abrir facsímil")</f>
        <v>Abrir facsímil</v>
      </c>
      <c r="K1457" s="3" t="s">
        <v>22</v>
      </c>
    </row>
    <row r="1458" spans="1:11" ht="42" customHeight="1">
      <c r="A1458" s="2" t="s">
        <v>3443</v>
      </c>
      <c r="B1458" s="2" t="s">
        <v>3444</v>
      </c>
      <c r="C1458" s="2" t="s">
        <v>25</v>
      </c>
      <c r="D1458" s="2" t="s">
        <v>26</v>
      </c>
      <c r="E1458" s="5">
        <v>-31675</v>
      </c>
      <c r="F1458" s="3" t="s">
        <v>27</v>
      </c>
      <c r="G1458" s="3" t="s">
        <v>648</v>
      </c>
      <c r="H1458" s="2" t="s">
        <v>20</v>
      </c>
      <c r="I1458" s="2" t="s">
        <v>3445</v>
      </c>
      <c r="J1458" s="3" t="str">
        <f>HYPERLINK("https://www.boe.es/gazeta/dias/1813/04/10/pdfs/GRE-1813-44.pdf#page=7","Abrir facsímil")</f>
        <v>Abrir facsímil</v>
      </c>
      <c r="K1458" s="3" t="s">
        <v>22</v>
      </c>
    </row>
    <row r="1459" spans="1:11" ht="42" customHeight="1">
      <c r="A1459" s="2" t="s">
        <v>3446</v>
      </c>
      <c r="B1459" s="2" t="s">
        <v>3447</v>
      </c>
      <c r="C1459" s="2" t="s">
        <v>16</v>
      </c>
      <c r="D1459" s="2" t="s">
        <v>17</v>
      </c>
      <c r="E1459" s="5">
        <v>-31507</v>
      </c>
      <c r="F1459" s="3" t="s">
        <v>61</v>
      </c>
      <c r="G1459" s="3" t="s">
        <v>28</v>
      </c>
      <c r="H1459" s="2" t="s">
        <v>20</v>
      </c>
      <c r="I1459" s="2" t="s">
        <v>3448</v>
      </c>
      <c r="J1459" s="3" t="str">
        <f>HYPERLINK("https://www.boe.es/gazeta/dias/1813/09/25/pdfs/GMR-1813-48.pdf#page=8","Abrir facsímil")</f>
        <v>Abrir facsímil</v>
      </c>
      <c r="K1459" s="3" t="s">
        <v>22</v>
      </c>
    </row>
    <row r="1460" spans="1:11" ht="42" customHeight="1">
      <c r="A1460" s="2" t="s">
        <v>3449</v>
      </c>
      <c r="B1460" s="2" t="s">
        <v>3450</v>
      </c>
      <c r="C1460" s="2" t="s">
        <v>16</v>
      </c>
      <c r="D1460" s="2" t="s">
        <v>97</v>
      </c>
      <c r="E1460" s="5">
        <v>-31519</v>
      </c>
      <c r="F1460" s="3" t="s">
        <v>312</v>
      </c>
      <c r="G1460" s="3" t="s">
        <v>313</v>
      </c>
      <c r="H1460" s="2" t="s">
        <v>20</v>
      </c>
      <c r="I1460" s="2" t="s">
        <v>3451</v>
      </c>
      <c r="J1460" s="3" t="str">
        <f>HYPERLINK("https://www.boe.es/gazeta/dias/1813/09/13/pdfs/GRE-1813-118E.pdf#page=9","Abrir facsímil")</f>
        <v>Abrir facsímil</v>
      </c>
      <c r="K1460" s="3" t="s">
        <v>22</v>
      </c>
    </row>
    <row r="1461" spans="1:11" ht="42" customHeight="1">
      <c r="A1461" s="2" t="s">
        <v>3452</v>
      </c>
      <c r="B1461" s="2" t="s">
        <v>3453</v>
      </c>
      <c r="C1461" s="2" t="s">
        <v>16</v>
      </c>
      <c r="D1461" s="2" t="s">
        <v>17</v>
      </c>
      <c r="E1461" s="5">
        <v>-31507</v>
      </c>
      <c r="F1461" s="3" t="s">
        <v>61</v>
      </c>
      <c r="G1461" s="3" t="s">
        <v>28</v>
      </c>
      <c r="H1461" s="2" t="s">
        <v>20</v>
      </c>
      <c r="I1461" s="2" t="s">
        <v>3454</v>
      </c>
      <c r="J1461" s="3" t="str">
        <f>HYPERLINK("https://www.boe.es/gazeta/dias/1813/09/25/pdfs/GMR-1813-48.pdf#page=8","Abrir facsímil")</f>
        <v>Abrir facsímil</v>
      </c>
      <c r="K1461" s="3" t="s">
        <v>22</v>
      </c>
    </row>
    <row r="1462" spans="1:11" ht="42" customHeight="1">
      <c r="A1462" s="2" t="s">
        <v>3455</v>
      </c>
      <c r="B1462" s="2" t="s">
        <v>3456</v>
      </c>
      <c r="C1462" s="2" t="s">
        <v>16</v>
      </c>
      <c r="D1462" s="2" t="s">
        <v>97</v>
      </c>
      <c r="E1462" s="5">
        <v>-31519</v>
      </c>
      <c r="F1462" s="3" t="s">
        <v>312</v>
      </c>
      <c r="G1462" s="3" t="s">
        <v>313</v>
      </c>
      <c r="H1462" s="2" t="s">
        <v>20</v>
      </c>
      <c r="I1462" s="2" t="s">
        <v>3457</v>
      </c>
      <c r="J1462" s="3" t="str">
        <f>HYPERLINK("https://www.boe.es/gazeta/dias/1813/09/13/pdfs/GRE-1813-118E.pdf#page=9","Abrir facsímil")</f>
        <v>Abrir facsímil</v>
      </c>
      <c r="K1462" s="3" t="s">
        <v>22</v>
      </c>
    </row>
    <row r="1463" spans="1:11" ht="42" customHeight="1">
      <c r="A1463" s="2" t="s">
        <v>3455</v>
      </c>
      <c r="B1463" s="2" t="s">
        <v>3456</v>
      </c>
      <c r="C1463" s="2" t="s">
        <v>16</v>
      </c>
      <c r="D1463" s="2" t="s">
        <v>97</v>
      </c>
      <c r="E1463" s="5">
        <v>-31479</v>
      </c>
      <c r="F1463" s="3" t="s">
        <v>290</v>
      </c>
      <c r="G1463" s="3" t="s">
        <v>65</v>
      </c>
      <c r="H1463" s="2" t="s">
        <v>20</v>
      </c>
      <c r="I1463" s="2" t="s">
        <v>3458</v>
      </c>
      <c r="J1463" s="3" t="str">
        <f>HYPERLINK("https://www.boe.es/gazeta/dias/1813/10/23/pdfs/GRE-1813-139E.pdf#page=1","Abrir facsímil")</f>
        <v>Abrir facsímil</v>
      </c>
      <c r="K1463" s="3" t="s">
        <v>22</v>
      </c>
    </row>
    <row r="1464" spans="1:11" ht="42" customHeight="1">
      <c r="A1464" s="2" t="s">
        <v>3459</v>
      </c>
      <c r="B1464" s="2" t="s">
        <v>3460</v>
      </c>
      <c r="C1464" s="2" t="s">
        <v>16</v>
      </c>
      <c r="D1464" s="2" t="s">
        <v>17</v>
      </c>
      <c r="E1464" s="5">
        <v>-31465</v>
      </c>
      <c r="F1464" s="3" t="s">
        <v>407</v>
      </c>
      <c r="G1464" s="3" t="s">
        <v>87</v>
      </c>
      <c r="H1464" s="2" t="s">
        <v>20</v>
      </c>
      <c r="I1464" s="2" t="s">
        <v>3461</v>
      </c>
      <c r="J1464" s="3" t="str">
        <f>HYPERLINK("https://www.boe.es/gazeta/dias/1813/11/06/pdfs/GMR-1813-70.pdf#page=7","Abrir facsímil")</f>
        <v>Abrir facsímil</v>
      </c>
      <c r="K1464" s="3" t="s">
        <v>22</v>
      </c>
    </row>
    <row r="1465" spans="1:11" ht="42" customHeight="1">
      <c r="A1465" s="2" t="s">
        <v>3462</v>
      </c>
      <c r="B1465" s="2" t="s">
        <v>3463</v>
      </c>
      <c r="C1465" s="2" t="s">
        <v>16</v>
      </c>
      <c r="D1465" s="2" t="s">
        <v>17</v>
      </c>
      <c r="E1465" s="5">
        <v>-31458</v>
      </c>
      <c r="F1465" s="3" t="s">
        <v>1171</v>
      </c>
      <c r="G1465" s="3" t="s">
        <v>28</v>
      </c>
      <c r="H1465" s="2" t="s">
        <v>20</v>
      </c>
      <c r="I1465" s="2" t="s">
        <v>3464</v>
      </c>
      <c r="J1465" s="3" t="str">
        <f>HYPERLINK("https://www.boe.es/gazeta/dias/1813/11/13/pdfs/GRE-1813-149.pdf#page=8","Abrir facsímil")</f>
        <v>Abrir facsímil</v>
      </c>
      <c r="K1465" s="3" t="s">
        <v>22</v>
      </c>
    </row>
    <row r="1466" spans="1:11" ht="42" customHeight="1">
      <c r="A1466" s="2" t="s">
        <v>3465</v>
      </c>
      <c r="B1466" s="2" t="s">
        <v>3465</v>
      </c>
      <c r="C1466" s="2" t="s">
        <v>34</v>
      </c>
      <c r="D1466" s="2" t="s">
        <v>35</v>
      </c>
      <c r="E1466" s="5">
        <v>-31764</v>
      </c>
      <c r="F1466" s="3" t="s">
        <v>2677</v>
      </c>
      <c r="G1466" s="3" t="s">
        <v>54</v>
      </c>
      <c r="H1466" s="2" t="s">
        <v>20</v>
      </c>
      <c r="I1466" s="2" t="s">
        <v>3466</v>
      </c>
      <c r="J1466" s="3" t="str">
        <f>HYPERLINK("https://www.boe.es/gazeta/dias/1813/01/11/pdfs/GMD-1813-11.pdf#page=3","Abrir facsímil")</f>
        <v>Abrir facsímil</v>
      </c>
      <c r="K1466" s="3" t="s">
        <v>22</v>
      </c>
    </row>
    <row r="1467" spans="1:11" ht="42" customHeight="1">
      <c r="A1467" s="2" t="s">
        <v>3467</v>
      </c>
      <c r="B1467" s="2" t="s">
        <v>3468</v>
      </c>
      <c r="C1467" s="2" t="s">
        <v>34</v>
      </c>
      <c r="D1467" s="2" t="s">
        <v>35</v>
      </c>
      <c r="E1467" s="5">
        <v>-31712</v>
      </c>
      <c r="F1467" s="3" t="s">
        <v>3469</v>
      </c>
      <c r="G1467" s="3" t="s">
        <v>82</v>
      </c>
      <c r="H1467" s="2" t="s">
        <v>20</v>
      </c>
      <c r="I1467" s="2" t="s">
        <v>3470</v>
      </c>
      <c r="J1467" s="3" t="str">
        <f>HYPERLINK("https://www.boe.es/gazeta/dias/1813/03/04/pdfs/GRE-1813-28.pdf#page=5","Abrir facsímil")</f>
        <v>Abrir facsímil</v>
      </c>
      <c r="K1467" s="3" t="s">
        <v>22</v>
      </c>
    </row>
    <row r="1468" spans="1:11" ht="42" customHeight="1">
      <c r="A1468" s="2" t="s">
        <v>3467</v>
      </c>
      <c r="B1468" s="2" t="s">
        <v>3468</v>
      </c>
      <c r="C1468" s="2" t="s">
        <v>16</v>
      </c>
      <c r="D1468" s="2" t="s">
        <v>17</v>
      </c>
      <c r="E1468" s="5">
        <v>-31684</v>
      </c>
      <c r="F1468" s="3" t="s">
        <v>427</v>
      </c>
      <c r="G1468" s="3" t="s">
        <v>1123</v>
      </c>
      <c r="H1468" s="2" t="s">
        <v>20</v>
      </c>
      <c r="I1468" s="2" t="s">
        <v>3471</v>
      </c>
      <c r="J1468" s="3" t="str">
        <f>HYPERLINK("https://www.boe.es/gazeta/dias/1813/04/01/pdfs/GRE-1813-40.pdf#page=8","Abrir facsímil")</f>
        <v>Abrir facsímil</v>
      </c>
      <c r="K1468" s="3" t="s">
        <v>22</v>
      </c>
    </row>
    <row r="1469" spans="1:11" ht="42" customHeight="1">
      <c r="A1469" s="2" t="s">
        <v>3472</v>
      </c>
      <c r="B1469" s="2" t="s">
        <v>3473</v>
      </c>
      <c r="C1469" s="2" t="s">
        <v>16</v>
      </c>
      <c r="D1469" s="2" t="s">
        <v>17</v>
      </c>
      <c r="E1469" s="5">
        <v>-31633</v>
      </c>
      <c r="F1469" s="3" t="s">
        <v>875</v>
      </c>
      <c r="G1469" s="3" t="s">
        <v>2690</v>
      </c>
      <c r="H1469" s="2" t="s">
        <v>20</v>
      </c>
      <c r="I1469" s="2" t="s">
        <v>3474</v>
      </c>
      <c r="J1469" s="3" t="str">
        <f>HYPERLINK("https://www.boe.es/gazeta/dias/1813/05/22/pdfs/GRE-1813-63.pdf#page=8","Abrir facsímil")</f>
        <v>Abrir facsímil</v>
      </c>
      <c r="K1469" s="3" t="s">
        <v>22</v>
      </c>
    </row>
    <row r="1470" spans="1:11" ht="42" customHeight="1">
      <c r="A1470" s="2" t="s">
        <v>3475</v>
      </c>
      <c r="B1470" s="2" t="s">
        <v>3476</v>
      </c>
      <c r="C1470" s="2" t="s">
        <v>187</v>
      </c>
      <c r="D1470" s="2" t="s">
        <v>26</v>
      </c>
      <c r="E1470" s="5">
        <v>-31616</v>
      </c>
      <c r="F1470" s="3" t="s">
        <v>2201</v>
      </c>
      <c r="G1470" s="3" t="s">
        <v>71</v>
      </c>
      <c r="H1470" s="2" t="s">
        <v>20</v>
      </c>
      <c r="I1470" s="2" t="s">
        <v>3477</v>
      </c>
      <c r="J1470" s="3" t="str">
        <f>HYPERLINK("https://www.boe.es/gazeta/dias/1813/06/08/pdfs/GMR-1813-3.pdf#page=16","Abrir facsímil")</f>
        <v>Abrir facsímil</v>
      </c>
      <c r="K1470" s="3" t="s">
        <v>22</v>
      </c>
    </row>
    <row r="1471" spans="1:11" ht="42" customHeight="1">
      <c r="A1471" s="2" t="s">
        <v>3475</v>
      </c>
      <c r="B1471" s="2" t="s">
        <v>3476</v>
      </c>
      <c r="C1471" s="2" t="s">
        <v>435</v>
      </c>
      <c r="D1471" s="2" t="s">
        <v>26</v>
      </c>
      <c r="E1471" s="5">
        <v>-31542</v>
      </c>
      <c r="F1471" s="3" t="s">
        <v>347</v>
      </c>
      <c r="G1471" s="3" t="s">
        <v>28</v>
      </c>
      <c r="H1471" s="2" t="s">
        <v>20</v>
      </c>
      <c r="I1471" s="2" t="s">
        <v>3478</v>
      </c>
      <c r="J1471" s="3" t="str">
        <f>HYPERLINK("https://www.boe.es/gazeta/dias/1813/08/21/pdfs/GMR-1813-31.pdf#page=8","Abrir facsímil")</f>
        <v>Abrir facsímil</v>
      </c>
      <c r="K1471" s="3" t="s">
        <v>22</v>
      </c>
    </row>
    <row r="1472" spans="1:11" ht="42" customHeight="1">
      <c r="A1472" s="2" t="s">
        <v>3479</v>
      </c>
      <c r="B1472" s="2" t="s">
        <v>3480</v>
      </c>
      <c r="C1472" s="2" t="s">
        <v>25</v>
      </c>
      <c r="D1472" s="2" t="s">
        <v>26</v>
      </c>
      <c r="E1472" s="5">
        <v>-31511</v>
      </c>
      <c r="F1472" s="3" t="s">
        <v>935</v>
      </c>
      <c r="G1472" s="3" t="s">
        <v>1304</v>
      </c>
      <c r="H1472" s="2" t="s">
        <v>20</v>
      </c>
      <c r="I1472" s="2" t="s">
        <v>3481</v>
      </c>
      <c r="J1472" s="3" t="str">
        <f>HYPERLINK("https://www.boe.es/gazeta/dias/1813/09/21/pdfs/GMR-1813-46.pdf#page=12","Abrir facsímil")</f>
        <v>Abrir facsímil</v>
      </c>
      <c r="K1472" s="3" t="s">
        <v>22</v>
      </c>
    </row>
    <row r="1473" spans="1:11" ht="42" customHeight="1">
      <c r="A1473" s="2" t="s">
        <v>3482</v>
      </c>
      <c r="B1473" s="2" t="s">
        <v>3483</v>
      </c>
      <c r="C1473" s="2" t="s">
        <v>16</v>
      </c>
      <c r="D1473" s="2" t="s">
        <v>17</v>
      </c>
      <c r="E1473" s="5">
        <v>-31677</v>
      </c>
      <c r="F1473" s="3" t="s">
        <v>76</v>
      </c>
      <c r="G1473" s="3" t="s">
        <v>95</v>
      </c>
      <c r="H1473" s="2" t="s">
        <v>20</v>
      </c>
      <c r="I1473" s="2" t="s">
        <v>3484</v>
      </c>
      <c r="J1473" s="3" t="str">
        <f>HYPERLINK("https://www.boe.es/gazeta/dias/1813/04/08/pdfs/GRE-1813-43.pdf#page=6","Abrir facsímil")</f>
        <v>Abrir facsímil</v>
      </c>
      <c r="K1473" s="3" t="s">
        <v>22</v>
      </c>
    </row>
    <row r="1474" spans="1:11" ht="42" customHeight="1">
      <c r="A1474" s="2" t="s">
        <v>3482</v>
      </c>
      <c r="B1474" s="2" t="s">
        <v>3483</v>
      </c>
      <c r="C1474" s="2" t="s">
        <v>16</v>
      </c>
      <c r="D1474" s="2" t="s">
        <v>17</v>
      </c>
      <c r="E1474" s="5">
        <v>-31609</v>
      </c>
      <c r="F1474" s="3" t="s">
        <v>711</v>
      </c>
      <c r="G1474" s="3" t="s">
        <v>3485</v>
      </c>
      <c r="H1474" s="2" t="s">
        <v>20</v>
      </c>
      <c r="I1474" s="2" t="s">
        <v>3486</v>
      </c>
      <c r="J1474" s="3" t="str">
        <f>HYPERLINK("https://www.boe.es/gazeta/dias/1813/06/15/pdfs/GMR-1813-6.pdf#page=8","Abrir facsímil")</f>
        <v>Abrir facsímil</v>
      </c>
      <c r="K1474" s="3" t="s">
        <v>22</v>
      </c>
    </row>
    <row r="1475" spans="1:11" ht="42" customHeight="1">
      <c r="A1475" s="2" t="s">
        <v>3487</v>
      </c>
      <c r="B1475" s="2" t="s">
        <v>3488</v>
      </c>
      <c r="C1475" s="2" t="s">
        <v>16</v>
      </c>
      <c r="D1475" s="2" t="s">
        <v>17</v>
      </c>
      <c r="E1475" s="5">
        <v>-31619</v>
      </c>
      <c r="F1475" s="3" t="s">
        <v>749</v>
      </c>
      <c r="G1475" s="3" t="s">
        <v>28</v>
      </c>
      <c r="H1475" s="2" t="s">
        <v>20</v>
      </c>
      <c r="I1475" s="2" t="s">
        <v>3489</v>
      </c>
      <c r="J1475" s="3" t="str">
        <f>HYPERLINK("https://www.boe.es/gazeta/dias/1813/06/05/pdfs/GRE-1813-70.pdf#page=8","Abrir facsímil")</f>
        <v>Abrir facsímil</v>
      </c>
      <c r="K1475" s="3" t="s">
        <v>22</v>
      </c>
    </row>
    <row r="1476" spans="1:11" ht="42" customHeight="1">
      <c r="A1476" s="2" t="s">
        <v>3487</v>
      </c>
      <c r="B1476" s="2" t="s">
        <v>3488</v>
      </c>
      <c r="C1476" s="2" t="s">
        <v>16</v>
      </c>
      <c r="D1476" s="2" t="s">
        <v>17</v>
      </c>
      <c r="E1476" s="5">
        <v>-31614</v>
      </c>
      <c r="F1476" s="3" t="s">
        <v>498</v>
      </c>
      <c r="G1476" s="3" t="s">
        <v>28</v>
      </c>
      <c r="H1476" s="2" t="s">
        <v>20</v>
      </c>
      <c r="I1476" s="2" t="s">
        <v>3490</v>
      </c>
      <c r="J1476" s="3" t="str">
        <f>HYPERLINK("https://www.boe.es/gazeta/dias/1813/06/10/pdfs/GRE-1813-72.pdf#page=8","Abrir facsímil")</f>
        <v>Abrir facsímil</v>
      </c>
      <c r="K1476" s="3" t="s">
        <v>22</v>
      </c>
    </row>
    <row r="1477" spans="1:11" ht="42" customHeight="1">
      <c r="A1477" s="2" t="s">
        <v>3487</v>
      </c>
      <c r="B1477" s="2" t="s">
        <v>3488</v>
      </c>
      <c r="C1477" s="2" t="s">
        <v>16</v>
      </c>
      <c r="D1477" s="2" t="s">
        <v>17</v>
      </c>
      <c r="E1477" s="5">
        <v>-31572</v>
      </c>
      <c r="F1477" s="3" t="s">
        <v>317</v>
      </c>
      <c r="G1477" s="3" t="s">
        <v>28</v>
      </c>
      <c r="H1477" s="2" t="s">
        <v>20</v>
      </c>
      <c r="I1477" s="2" t="s">
        <v>3491</v>
      </c>
      <c r="J1477" s="3" t="str">
        <f>HYPERLINK("https://www.boe.es/gazeta/dias/1813/07/22/pdfs/GRE-1813-93.pdf#page=8","Abrir facsímil")</f>
        <v>Abrir facsímil</v>
      </c>
      <c r="K1477" s="3" t="s">
        <v>22</v>
      </c>
    </row>
    <row r="1478" spans="1:11" ht="42" customHeight="1">
      <c r="A1478" s="2" t="s">
        <v>3492</v>
      </c>
      <c r="B1478" s="2" t="s">
        <v>3493</v>
      </c>
      <c r="C1478" s="2" t="s">
        <v>16</v>
      </c>
      <c r="D1478" s="2" t="s">
        <v>17</v>
      </c>
      <c r="E1478" s="5">
        <v>-31592</v>
      </c>
      <c r="F1478" s="3" t="s">
        <v>1538</v>
      </c>
      <c r="G1478" s="3" t="s">
        <v>258</v>
      </c>
      <c r="H1478" s="2" t="s">
        <v>20</v>
      </c>
      <c r="I1478" s="2" t="s">
        <v>3494</v>
      </c>
      <c r="J1478" s="3" t="str">
        <f>HYPERLINK("https://www.boe.es/gazeta/dias/1813/07/02/pdfs/GMR-1813-14.pdf#page=12","Abrir facsímil")</f>
        <v>Abrir facsímil</v>
      </c>
      <c r="K1478" s="3" t="s">
        <v>22</v>
      </c>
    </row>
    <row r="1479" spans="1:11" ht="42" customHeight="1">
      <c r="A1479" s="2" t="s">
        <v>3495</v>
      </c>
      <c r="B1479" s="2" t="s">
        <v>3496</v>
      </c>
      <c r="C1479" s="2" t="s">
        <v>16</v>
      </c>
      <c r="D1479" s="2" t="s">
        <v>17</v>
      </c>
      <c r="E1479" s="5">
        <v>-31553</v>
      </c>
      <c r="F1479" s="3" t="s">
        <v>1853</v>
      </c>
      <c r="G1479" s="3" t="s">
        <v>28</v>
      </c>
      <c r="H1479" s="2" t="s">
        <v>20</v>
      </c>
      <c r="I1479" s="2" t="s">
        <v>3497</v>
      </c>
      <c r="J1479" s="3" t="str">
        <f>HYPERLINK("https://www.boe.es/gazeta/dias/1813/08/10/pdfs/GMR-1813-26.pdf#page=8","Abrir facsímil")</f>
        <v>Abrir facsímil</v>
      </c>
      <c r="K1479" s="3" t="s">
        <v>22</v>
      </c>
    </row>
    <row r="1480" spans="1:11" ht="42" customHeight="1">
      <c r="A1480" s="2" t="s">
        <v>3498</v>
      </c>
      <c r="B1480" s="2" t="s">
        <v>3499</v>
      </c>
      <c r="C1480" s="2" t="s">
        <v>16</v>
      </c>
      <c r="D1480" s="2" t="s">
        <v>17</v>
      </c>
      <c r="E1480" s="5">
        <v>-31672</v>
      </c>
      <c r="F1480" s="3" t="s">
        <v>238</v>
      </c>
      <c r="G1480" s="3" t="s">
        <v>2000</v>
      </c>
      <c r="H1480" s="2" t="s">
        <v>20</v>
      </c>
      <c r="I1480" s="2" t="s">
        <v>3500</v>
      </c>
      <c r="J1480" s="3" t="str">
        <f>HYPERLINK("https://www.boe.es/gazeta/dias/1813/04/13/pdfs/GRE-1813-45.pdf#page=8","Abrir facsímil")</f>
        <v>Abrir facsímil</v>
      </c>
      <c r="K1480" s="3" t="s">
        <v>22</v>
      </c>
    </row>
    <row r="1481" spans="1:11" ht="42" customHeight="1">
      <c r="A1481" s="2" t="s">
        <v>3501</v>
      </c>
      <c r="B1481" s="2" t="s">
        <v>3501</v>
      </c>
      <c r="C1481" s="2" t="s">
        <v>16</v>
      </c>
      <c r="D1481" s="2" t="s">
        <v>17</v>
      </c>
      <c r="E1481" s="5">
        <v>-31623</v>
      </c>
      <c r="F1481" s="3" t="s">
        <v>267</v>
      </c>
      <c r="G1481" s="3" t="s">
        <v>3502</v>
      </c>
      <c r="H1481" s="2" t="s">
        <v>20</v>
      </c>
      <c r="I1481" s="2" t="s">
        <v>3503</v>
      </c>
      <c r="J1481" s="3" t="str">
        <f>HYPERLINK("https://www.boe.es/gazeta/dias/1813/06/01/pdfs/GRE-1813-67.pdf#page=7","Abrir facsímil")</f>
        <v>Abrir facsímil</v>
      </c>
      <c r="K1481" s="3" t="s">
        <v>22</v>
      </c>
    </row>
    <row r="1482" spans="1:11" ht="42" customHeight="1">
      <c r="A1482" s="2" t="s">
        <v>3501</v>
      </c>
      <c r="B1482" s="2" t="s">
        <v>3501</v>
      </c>
      <c r="C1482" s="2" t="s">
        <v>16</v>
      </c>
      <c r="D1482" s="2" t="s">
        <v>17</v>
      </c>
      <c r="E1482" s="5">
        <v>-31588</v>
      </c>
      <c r="F1482" s="3" t="s">
        <v>2402</v>
      </c>
      <c r="G1482" s="3" t="s">
        <v>58</v>
      </c>
      <c r="H1482" s="2" t="s">
        <v>20</v>
      </c>
      <c r="I1482" s="2" t="s">
        <v>3504</v>
      </c>
      <c r="J1482" s="3" t="str">
        <f>HYPERLINK("https://www.boe.es/gazeta/dias/1813/07/06/pdfs/GRE-1813-84.pdf#page=2","Abrir facsímil")</f>
        <v>Abrir facsímil</v>
      </c>
      <c r="K1482" s="3" t="s">
        <v>22</v>
      </c>
    </row>
    <row r="1483" spans="1:11" ht="42" customHeight="1">
      <c r="A1483" s="2" t="s">
        <v>3505</v>
      </c>
      <c r="B1483" s="2" t="s">
        <v>3506</v>
      </c>
      <c r="C1483" s="2" t="s">
        <v>16</v>
      </c>
      <c r="D1483" s="2" t="s">
        <v>17</v>
      </c>
      <c r="E1483" s="5">
        <v>-31754</v>
      </c>
      <c r="F1483" s="3" t="s">
        <v>899</v>
      </c>
      <c r="G1483" s="3" t="s">
        <v>900</v>
      </c>
      <c r="H1483" s="2" t="s">
        <v>20</v>
      </c>
      <c r="I1483" s="2" t="s">
        <v>3507</v>
      </c>
      <c r="J1483" s="3" t="str">
        <f>HYPERLINK("https://www.boe.es/gazeta/dias/1813/01/21/pdfs/GRE-1813-9.pdf#page=8","Abrir facsímil")</f>
        <v>Abrir facsímil</v>
      </c>
      <c r="K1483" s="3" t="s">
        <v>22</v>
      </c>
    </row>
    <row r="1484" spans="1:11" ht="42" customHeight="1">
      <c r="A1484" s="2" t="s">
        <v>3508</v>
      </c>
      <c r="B1484" s="2" t="s">
        <v>3509</v>
      </c>
      <c r="C1484" s="2" t="s">
        <v>34</v>
      </c>
      <c r="D1484" s="2" t="s">
        <v>35</v>
      </c>
      <c r="E1484" s="5">
        <v>-31709</v>
      </c>
      <c r="F1484" s="3" t="s">
        <v>36</v>
      </c>
      <c r="G1484" s="3" t="s">
        <v>303</v>
      </c>
      <c r="H1484" s="2" t="s">
        <v>20</v>
      </c>
      <c r="I1484" s="2" t="s">
        <v>3510</v>
      </c>
      <c r="J1484" s="3" t="str">
        <f>HYPERLINK("https://www.boe.es/gazeta/dias/1813/03/07/pdfs/GMD-1813-66.pdf#page=3","Abrir facsímil")</f>
        <v>Abrir facsímil</v>
      </c>
      <c r="K1484" s="3" t="s">
        <v>22</v>
      </c>
    </row>
    <row r="1485" spans="1:11" ht="42" customHeight="1">
      <c r="A1485" s="2" t="s">
        <v>3511</v>
      </c>
      <c r="B1485" s="2" t="s">
        <v>3512</v>
      </c>
      <c r="C1485" s="2" t="s">
        <v>25</v>
      </c>
      <c r="D1485" s="2" t="s">
        <v>26</v>
      </c>
      <c r="E1485" s="5">
        <v>-31747</v>
      </c>
      <c r="F1485" s="3" t="s">
        <v>86</v>
      </c>
      <c r="G1485" s="3" t="s">
        <v>87</v>
      </c>
      <c r="H1485" s="2" t="s">
        <v>20</v>
      </c>
      <c r="I1485" s="2" t="s">
        <v>3513</v>
      </c>
      <c r="J1485" s="3" t="str">
        <f>HYPERLINK("https://www.boe.es/gazeta/dias/1813/01/28/pdfs/GRE-1813-12.pdf#page=7","Abrir facsímil")</f>
        <v>Abrir facsímil</v>
      </c>
      <c r="K1485" s="3" t="s">
        <v>22</v>
      </c>
    </row>
    <row r="1486" spans="1:11" ht="42" customHeight="1">
      <c r="A1486" s="2" t="s">
        <v>3514</v>
      </c>
      <c r="B1486" s="2" t="s">
        <v>3515</v>
      </c>
      <c r="C1486" s="2" t="s">
        <v>34</v>
      </c>
      <c r="D1486" s="2" t="s">
        <v>35</v>
      </c>
      <c r="E1486" s="5">
        <v>-31709</v>
      </c>
      <c r="F1486" s="3" t="s">
        <v>36</v>
      </c>
      <c r="G1486" s="3" t="s">
        <v>19</v>
      </c>
      <c r="H1486" s="2" t="s">
        <v>20</v>
      </c>
      <c r="I1486" s="2" t="s">
        <v>3516</v>
      </c>
      <c r="J1486" s="3" t="str">
        <f>HYPERLINK("https://www.boe.es/gazeta/dias/1813/03/07/pdfs/GMD-1813-66.pdf#page=4","Abrir facsímil")</f>
        <v>Abrir facsímil</v>
      </c>
      <c r="K1486" s="3" t="s">
        <v>22</v>
      </c>
    </row>
    <row r="1487" spans="1:11" ht="42" customHeight="1">
      <c r="A1487" s="2" t="s">
        <v>3517</v>
      </c>
      <c r="B1487" s="2" t="s">
        <v>3517</v>
      </c>
      <c r="C1487" s="2" t="s">
        <v>16</v>
      </c>
      <c r="D1487" s="2" t="s">
        <v>17</v>
      </c>
      <c r="E1487" s="5">
        <v>-31451</v>
      </c>
      <c r="F1487" s="3" t="s">
        <v>2325</v>
      </c>
      <c r="G1487" s="3" t="s">
        <v>3386</v>
      </c>
      <c r="H1487" s="2" t="s">
        <v>20</v>
      </c>
      <c r="I1487" s="2" t="s">
        <v>3518</v>
      </c>
      <c r="J1487" s="3" t="str">
        <f>HYPERLINK("https://www.boe.es/gazeta/dias/1813/11/20/pdfs/GMR-1813-77.pdf#page=3","Abrir facsímil")</f>
        <v>Abrir facsímil</v>
      </c>
      <c r="K1487" s="3" t="s">
        <v>22</v>
      </c>
    </row>
    <row r="1488" spans="1:11" ht="42" customHeight="1">
      <c r="A1488" s="2" t="s">
        <v>3519</v>
      </c>
      <c r="B1488" s="2" t="s">
        <v>3520</v>
      </c>
      <c r="C1488" s="2" t="s">
        <v>187</v>
      </c>
      <c r="D1488" s="2" t="s">
        <v>26</v>
      </c>
      <c r="E1488" s="5">
        <v>-31423</v>
      </c>
      <c r="F1488" s="3" t="s">
        <v>2465</v>
      </c>
      <c r="G1488" s="3" t="s">
        <v>28</v>
      </c>
      <c r="H1488" s="2" t="s">
        <v>20</v>
      </c>
      <c r="I1488" s="2" t="s">
        <v>3521</v>
      </c>
      <c r="J1488" s="3" t="str">
        <f>HYPERLINK("https://www.boe.es/gazeta/dias/1813/12/18/pdfs/GMR-1813-89.pdf#page=8","Abrir facsímil")</f>
        <v>Abrir facsímil</v>
      </c>
      <c r="K1488" s="3" t="s">
        <v>22</v>
      </c>
    </row>
    <row r="1489" spans="1:11" ht="42" customHeight="1">
      <c r="A1489" s="2" t="s">
        <v>3522</v>
      </c>
      <c r="B1489" s="2" t="s">
        <v>3523</v>
      </c>
      <c r="C1489" s="2" t="s">
        <v>16</v>
      </c>
      <c r="D1489" s="2" t="s">
        <v>17</v>
      </c>
      <c r="E1489" s="5">
        <v>-31563</v>
      </c>
      <c r="F1489" s="3" t="s">
        <v>1267</v>
      </c>
      <c r="G1489" s="3" t="s">
        <v>82</v>
      </c>
      <c r="H1489" s="2" t="s">
        <v>20</v>
      </c>
      <c r="I1489" s="2" t="s">
        <v>3524</v>
      </c>
      <c r="J1489" s="3" t="str">
        <f>HYPERLINK("https://www.boe.es/gazeta/dias/1813/07/31/pdfs/GRE-1813-97.pdf#page=5","Abrir facsímil")</f>
        <v>Abrir facsímil</v>
      </c>
      <c r="K1489" s="3" t="s">
        <v>22</v>
      </c>
    </row>
    <row r="1490" spans="1:11" ht="42" customHeight="1">
      <c r="A1490" s="2" t="s">
        <v>3525</v>
      </c>
      <c r="B1490" s="2" t="s">
        <v>3526</v>
      </c>
      <c r="C1490" s="2" t="s">
        <v>16</v>
      </c>
      <c r="D1490" s="2" t="s">
        <v>17</v>
      </c>
      <c r="E1490" s="5">
        <v>-31691</v>
      </c>
      <c r="F1490" s="3" t="s">
        <v>1542</v>
      </c>
      <c r="G1490" s="3" t="s">
        <v>82</v>
      </c>
      <c r="H1490" s="2" t="s">
        <v>29</v>
      </c>
      <c r="I1490" s="2" t="s">
        <v>3527</v>
      </c>
      <c r="J1490" s="3" t="str">
        <f>HYPERLINK("https://www.boe.es/gazeta/dias/1813/03/25/pdfs/GRE-1813-37.pdf#page=5","Abrir facsímil")</f>
        <v>Abrir facsímil</v>
      </c>
      <c r="K1490" s="3" t="s">
        <v>31</v>
      </c>
    </row>
    <row r="1491" spans="1:11" ht="42" customHeight="1">
      <c r="A1491" s="2" t="s">
        <v>3528</v>
      </c>
      <c r="B1491" s="2" t="s">
        <v>3529</v>
      </c>
      <c r="C1491" s="2" t="s">
        <v>435</v>
      </c>
      <c r="D1491" s="2" t="s">
        <v>26</v>
      </c>
      <c r="E1491" s="5">
        <v>-31525</v>
      </c>
      <c r="F1491" s="3" t="s">
        <v>1131</v>
      </c>
      <c r="G1491" s="3" t="s">
        <v>95</v>
      </c>
      <c r="H1491" s="2" t="s">
        <v>20</v>
      </c>
      <c r="I1491" s="2" t="s">
        <v>3530</v>
      </c>
      <c r="J1491" s="3" t="str">
        <f>HYPERLINK("https://www.boe.es/gazeta/dias/1813/09/07/pdfs/GRE-1813-114.pdf#page=6","Abrir facsímil")</f>
        <v>Abrir facsímil</v>
      </c>
      <c r="K1491" s="3" t="s">
        <v>22</v>
      </c>
    </row>
    <row r="1492" spans="1:11" ht="42" customHeight="1">
      <c r="A1492" s="2" t="s">
        <v>3531</v>
      </c>
      <c r="B1492" s="2" t="s">
        <v>3532</v>
      </c>
      <c r="C1492" s="2" t="s">
        <v>16</v>
      </c>
      <c r="D1492" s="2" t="s">
        <v>17</v>
      </c>
      <c r="E1492" s="5">
        <v>-31451</v>
      </c>
      <c r="F1492" s="3" t="s">
        <v>127</v>
      </c>
      <c r="G1492" s="3" t="s">
        <v>82</v>
      </c>
      <c r="H1492" s="2" t="s">
        <v>20</v>
      </c>
      <c r="I1492" s="2" t="s">
        <v>3533</v>
      </c>
      <c r="J1492" s="3" t="str">
        <f>HYPERLINK("https://www.boe.es/gazeta/dias/1813/11/20/pdfs/GRE-1813-152.pdf#page=5","Abrir facsímil")</f>
        <v>Abrir facsímil</v>
      </c>
      <c r="K1492" s="3" t="s">
        <v>22</v>
      </c>
    </row>
    <row r="1493" spans="1:11" ht="42" customHeight="1">
      <c r="A1493" s="2" t="s">
        <v>3534</v>
      </c>
      <c r="B1493" s="2" t="s">
        <v>3534</v>
      </c>
      <c r="C1493" s="2" t="s">
        <v>16</v>
      </c>
      <c r="D1493" s="2" t="s">
        <v>17</v>
      </c>
      <c r="E1493" s="5">
        <v>-31726</v>
      </c>
      <c r="F1493" s="3" t="s">
        <v>533</v>
      </c>
      <c r="G1493" s="3" t="s">
        <v>534</v>
      </c>
      <c r="H1493" s="2" t="s">
        <v>20</v>
      </c>
      <c r="I1493" s="2" t="s">
        <v>3535</v>
      </c>
      <c r="J1493" s="3" t="str">
        <f>HYPERLINK("https://www.boe.es/gazeta/dias/1813/02/18/pdfs/GRE-1813-21.pdf#page=4","Abrir facsímil")</f>
        <v>Abrir facsímil</v>
      </c>
      <c r="K1493" s="3" t="s">
        <v>22</v>
      </c>
    </row>
    <row r="1494" spans="1:11" ht="42" customHeight="1">
      <c r="A1494" s="2" t="s">
        <v>3536</v>
      </c>
      <c r="B1494" s="2" t="s">
        <v>3536</v>
      </c>
      <c r="C1494" s="2" t="s">
        <v>16</v>
      </c>
      <c r="D1494" s="2" t="s">
        <v>17</v>
      </c>
      <c r="E1494" s="5">
        <v>-31752</v>
      </c>
      <c r="F1494" s="3" t="s">
        <v>182</v>
      </c>
      <c r="G1494" s="3" t="s">
        <v>65</v>
      </c>
      <c r="H1494" s="2" t="s">
        <v>20</v>
      </c>
      <c r="I1494" s="2" t="s">
        <v>3537</v>
      </c>
      <c r="J1494" s="3" t="str">
        <f>HYPERLINK("https://www.boe.es/gazeta/dias/1813/01/23/pdfs/GRE-1813-10.pdf#page=1","Abrir facsímil")</f>
        <v>Abrir facsímil</v>
      </c>
      <c r="K1494" s="3" t="s">
        <v>22</v>
      </c>
    </row>
    <row r="1495" spans="1:11" ht="42" customHeight="1">
      <c r="A1495" s="2" t="s">
        <v>3538</v>
      </c>
      <c r="B1495" s="2" t="s">
        <v>3538</v>
      </c>
      <c r="C1495" s="2" t="s">
        <v>16</v>
      </c>
      <c r="D1495" s="2" t="s">
        <v>17</v>
      </c>
      <c r="E1495" s="5">
        <v>-31418</v>
      </c>
      <c r="F1495" s="3" t="s">
        <v>147</v>
      </c>
      <c r="G1495" s="3" t="s">
        <v>58</v>
      </c>
      <c r="H1495" s="2" t="s">
        <v>20</v>
      </c>
      <c r="I1495" s="2" t="s">
        <v>3539</v>
      </c>
      <c r="J1495" s="3" t="str">
        <f>HYPERLINK("https://www.boe.es/gazeta/dias/1813/12/23/pdfs/GRE-1813-168.pdf#page=2","Abrir facsímil")</f>
        <v>Abrir facsímil</v>
      </c>
      <c r="K1495" s="3" t="s">
        <v>22</v>
      </c>
    </row>
    <row r="1496" spans="1:11" ht="42" customHeight="1">
      <c r="A1496" s="2" t="s">
        <v>3540</v>
      </c>
      <c r="B1496" s="2" t="s">
        <v>3540</v>
      </c>
      <c r="C1496" s="2" t="s">
        <v>25</v>
      </c>
      <c r="D1496" s="2" t="s">
        <v>26</v>
      </c>
      <c r="E1496" s="5">
        <v>-31742</v>
      </c>
      <c r="F1496" s="3" t="s">
        <v>2667</v>
      </c>
      <c r="G1496" s="3" t="s">
        <v>58</v>
      </c>
      <c r="H1496" s="2" t="s">
        <v>20</v>
      </c>
      <c r="I1496" s="2" t="s">
        <v>3541</v>
      </c>
      <c r="J1496" s="3" t="str">
        <f>HYPERLINK("https://www.boe.es/gazeta/dias/1813/02/02/pdfs/GRE-1813-14.pdf#page=2","Abrir facsímil")</f>
        <v>Abrir facsímil</v>
      </c>
      <c r="K1496" s="3" t="s">
        <v>22</v>
      </c>
    </row>
    <row r="1497" spans="1:11" ht="42" customHeight="1">
      <c r="A1497" s="2" t="s">
        <v>3542</v>
      </c>
      <c r="B1497" s="2" t="s">
        <v>3543</v>
      </c>
      <c r="C1497" s="2" t="s">
        <v>435</v>
      </c>
      <c r="D1497" s="2" t="s">
        <v>26</v>
      </c>
      <c r="E1497" s="5">
        <v>-31416</v>
      </c>
      <c r="F1497" s="3" t="s">
        <v>278</v>
      </c>
      <c r="G1497" s="3" t="s">
        <v>207</v>
      </c>
      <c r="H1497" s="2" t="s">
        <v>20</v>
      </c>
      <c r="I1497" s="2" t="s">
        <v>3544</v>
      </c>
      <c r="J1497" s="3" t="str">
        <f>HYPERLINK("https://www.boe.es/gazeta/dias/1813/12/25/pdfs/GMR-1813-92.pdf#page=10","Abrir facsímil")</f>
        <v>Abrir facsímil</v>
      </c>
      <c r="K1497" s="3" t="s">
        <v>22</v>
      </c>
    </row>
    <row r="1498" spans="1:11" ht="42" customHeight="1">
      <c r="A1498" s="2" t="s">
        <v>3545</v>
      </c>
      <c r="B1498" s="2" t="s">
        <v>3545</v>
      </c>
      <c r="C1498" s="2" t="s">
        <v>16</v>
      </c>
      <c r="D1498" s="2" t="s">
        <v>17</v>
      </c>
      <c r="E1498" s="5">
        <v>-31646</v>
      </c>
      <c r="F1498" s="3" t="s">
        <v>1523</v>
      </c>
      <c r="G1498" s="3" t="s">
        <v>19</v>
      </c>
      <c r="H1498" s="2" t="s">
        <v>20</v>
      </c>
      <c r="I1498" s="2" t="s">
        <v>3546</v>
      </c>
      <c r="J1498" s="3" t="str">
        <f>HYPERLINK("https://www.boe.es/gazeta/dias/1813/05/09/pdfs/GMD-1813-129.pdf#page=4","Abrir facsímil")</f>
        <v>Abrir facsímil</v>
      </c>
      <c r="K1498" s="3" t="s">
        <v>22</v>
      </c>
    </row>
    <row r="1499" spans="1:11" ht="42" customHeight="1">
      <c r="A1499" s="2" t="s">
        <v>3547</v>
      </c>
      <c r="B1499" s="2" t="s">
        <v>3547</v>
      </c>
      <c r="C1499" s="2" t="s">
        <v>16</v>
      </c>
      <c r="D1499" s="2" t="s">
        <v>17</v>
      </c>
      <c r="E1499" s="5">
        <v>-31564</v>
      </c>
      <c r="F1499" s="3" t="s">
        <v>206</v>
      </c>
      <c r="G1499" s="3" t="s">
        <v>2055</v>
      </c>
      <c r="H1499" s="2" t="s">
        <v>20</v>
      </c>
      <c r="I1499" s="2" t="s">
        <v>3548</v>
      </c>
      <c r="J1499" s="3" t="str">
        <f>HYPERLINK("https://www.boe.es/gazeta/dias/1813/07/30/pdfs/GMR-1813-22.pdf#page=7","Abrir facsímil")</f>
        <v>Abrir facsímil</v>
      </c>
      <c r="K1499" s="3" t="s">
        <v>22</v>
      </c>
    </row>
    <row r="1500" spans="1:11" ht="42" customHeight="1">
      <c r="A1500" s="2" t="s">
        <v>3549</v>
      </c>
      <c r="B1500" s="2" t="s">
        <v>3550</v>
      </c>
      <c r="C1500" s="2" t="s">
        <v>16</v>
      </c>
      <c r="D1500" s="2" t="s">
        <v>17</v>
      </c>
      <c r="E1500" s="5">
        <v>-31588</v>
      </c>
      <c r="F1500" s="3" t="s">
        <v>2402</v>
      </c>
      <c r="G1500" s="3" t="s">
        <v>3551</v>
      </c>
      <c r="H1500" s="2" t="s">
        <v>20</v>
      </c>
      <c r="I1500" s="2" t="s">
        <v>3552</v>
      </c>
      <c r="J1500" s="3" t="str">
        <f>HYPERLINK("https://www.boe.es/gazeta/dias/1813/07/06/pdfs/GRE-1813-84.pdf#page=4","Abrir facsímil")</f>
        <v>Abrir facsímil</v>
      </c>
      <c r="K1500" s="3" t="s">
        <v>22</v>
      </c>
    </row>
    <row r="1501" spans="1:11" ht="42" customHeight="1">
      <c r="A1501" s="2" t="s">
        <v>3549</v>
      </c>
      <c r="B1501" s="2" t="s">
        <v>3550</v>
      </c>
      <c r="C1501" s="2" t="s">
        <v>16</v>
      </c>
      <c r="D1501" s="2" t="s">
        <v>17</v>
      </c>
      <c r="E1501" s="5">
        <v>-31577</v>
      </c>
      <c r="F1501" s="3" t="s">
        <v>586</v>
      </c>
      <c r="G1501" s="3" t="s">
        <v>95</v>
      </c>
      <c r="H1501" s="2" t="s">
        <v>20</v>
      </c>
      <c r="I1501" s="2" t="s">
        <v>3553</v>
      </c>
      <c r="J1501" s="3" t="str">
        <f>HYPERLINK("https://www.boe.es/gazeta/dias/1813/07/17/pdfs/GRE-1813-90.pdf#page=6","Abrir facsímil")</f>
        <v>Abrir facsímil</v>
      </c>
      <c r="K1501" s="3" t="s">
        <v>22</v>
      </c>
    </row>
    <row r="1502" spans="1:11" ht="42" customHeight="1">
      <c r="A1502" s="2" t="s">
        <v>3554</v>
      </c>
      <c r="B1502" s="2" t="s">
        <v>3555</v>
      </c>
      <c r="C1502" s="2" t="s">
        <v>16</v>
      </c>
      <c r="D1502" s="2" t="s">
        <v>17</v>
      </c>
      <c r="E1502" s="5">
        <v>-31532</v>
      </c>
      <c r="F1502" s="3" t="s">
        <v>215</v>
      </c>
      <c r="G1502" s="3" t="s">
        <v>95</v>
      </c>
      <c r="H1502" s="2" t="s">
        <v>20</v>
      </c>
      <c r="I1502" s="2" t="s">
        <v>3556</v>
      </c>
      <c r="J1502" s="3" t="str">
        <f>HYPERLINK("https://www.boe.es/gazeta/dias/1813/08/31/pdfs/GRE-1813-111.pdf#page=6","Abrir facsímil")</f>
        <v>Abrir facsímil</v>
      </c>
      <c r="K1502" s="3" t="s">
        <v>22</v>
      </c>
    </row>
    <row r="1503" spans="1:11" ht="42" customHeight="1">
      <c r="A1503" s="2" t="s">
        <v>3557</v>
      </c>
      <c r="B1503" s="2" t="s">
        <v>3558</v>
      </c>
      <c r="C1503" s="2" t="s">
        <v>25</v>
      </c>
      <c r="D1503" s="2" t="s">
        <v>26</v>
      </c>
      <c r="E1503" s="5">
        <v>-31677</v>
      </c>
      <c r="F1503" s="3" t="s">
        <v>76</v>
      </c>
      <c r="G1503" s="3" t="s">
        <v>28</v>
      </c>
      <c r="H1503" s="2" t="s">
        <v>20</v>
      </c>
      <c r="I1503" s="2" t="s">
        <v>3559</v>
      </c>
      <c r="J1503" s="3" t="str">
        <f>HYPERLINK("https://www.boe.es/gazeta/dias/1813/04/08/pdfs/GRE-1813-43.pdf#page=8","Abrir facsímil")</f>
        <v>Abrir facsímil</v>
      </c>
      <c r="K1503" s="3" t="s">
        <v>22</v>
      </c>
    </row>
    <row r="1504" spans="1:11" ht="42" customHeight="1">
      <c r="A1504" s="2" t="s">
        <v>3560</v>
      </c>
      <c r="B1504" s="2" t="s">
        <v>3560</v>
      </c>
      <c r="C1504" s="2" t="s">
        <v>16</v>
      </c>
      <c r="D1504" s="2" t="s">
        <v>17</v>
      </c>
      <c r="E1504" s="5">
        <v>-31585</v>
      </c>
      <c r="F1504" s="3" t="s">
        <v>177</v>
      </c>
      <c r="G1504" s="3" t="s">
        <v>1474</v>
      </c>
      <c r="H1504" s="2" t="s">
        <v>20</v>
      </c>
      <c r="I1504" s="2" t="s">
        <v>3561</v>
      </c>
      <c r="J1504" s="3" t="str">
        <f>HYPERLINK("https://www.boe.es/gazeta/dias/1813/07/09/pdfs/GMR-1813-16.pdf#page=14","Abrir facsímil")</f>
        <v>Abrir facsímil</v>
      </c>
      <c r="K1504" s="3" t="s">
        <v>22</v>
      </c>
    </row>
    <row r="1505" spans="1:11" ht="42" customHeight="1">
      <c r="A1505" s="2" t="s">
        <v>3560</v>
      </c>
      <c r="B1505" s="2" t="s">
        <v>3560</v>
      </c>
      <c r="C1505" s="2" t="s">
        <v>16</v>
      </c>
      <c r="D1505" s="2" t="s">
        <v>17</v>
      </c>
      <c r="E1505" s="5">
        <v>-31579</v>
      </c>
      <c r="F1505" s="3" t="s">
        <v>609</v>
      </c>
      <c r="G1505" s="3" t="s">
        <v>87</v>
      </c>
      <c r="H1505" s="2" t="s">
        <v>20</v>
      </c>
      <c r="I1505" s="2" t="s">
        <v>3562</v>
      </c>
      <c r="J1505" s="3" t="str">
        <f>HYPERLINK("https://www.boe.es/gazeta/dias/1813/07/15/pdfs/GRE-1813-89.pdf#page=7","Abrir facsímil")</f>
        <v>Abrir facsímil</v>
      </c>
      <c r="K1505" s="3" t="s">
        <v>22</v>
      </c>
    </row>
    <row r="1506" spans="1:11" ht="42" customHeight="1">
      <c r="A1506" s="2" t="s">
        <v>3560</v>
      </c>
      <c r="B1506" s="2" t="s">
        <v>3560</v>
      </c>
      <c r="C1506" s="2" t="s">
        <v>16</v>
      </c>
      <c r="D1506" s="2" t="s">
        <v>17</v>
      </c>
      <c r="E1506" s="5">
        <v>-31574</v>
      </c>
      <c r="F1506" s="3" t="s">
        <v>1343</v>
      </c>
      <c r="G1506" s="3" t="s">
        <v>313</v>
      </c>
      <c r="H1506" s="2" t="s">
        <v>20</v>
      </c>
      <c r="I1506" s="2" t="s">
        <v>3563</v>
      </c>
      <c r="J1506" s="3" t="str">
        <f>HYPERLINK("https://www.boe.es/gazeta/dias/1813/07/20/pdfs/GMR-1813-19.pdf#page=9","Abrir facsímil")</f>
        <v>Abrir facsímil</v>
      </c>
      <c r="K1506" s="3" t="s">
        <v>22</v>
      </c>
    </row>
    <row r="1507" spans="1:11" ht="42" customHeight="1">
      <c r="A1507" s="2" t="s">
        <v>3564</v>
      </c>
      <c r="B1507" s="2" t="s">
        <v>3565</v>
      </c>
      <c r="C1507" s="2" t="s">
        <v>16</v>
      </c>
      <c r="D1507" s="2" t="s">
        <v>17</v>
      </c>
      <c r="E1507" s="5">
        <v>-31585</v>
      </c>
      <c r="F1507" s="3" t="s">
        <v>177</v>
      </c>
      <c r="G1507" s="3" t="s">
        <v>821</v>
      </c>
      <c r="H1507" s="2" t="s">
        <v>20</v>
      </c>
      <c r="I1507" s="2" t="s">
        <v>3566</v>
      </c>
      <c r="J1507" s="3" t="str">
        <f>HYPERLINK("https://www.boe.es/gazeta/dias/1813/07/09/pdfs/GMR-1813-16.pdf#page=13","Abrir facsímil")</f>
        <v>Abrir facsímil</v>
      </c>
      <c r="K1507" s="3" t="s">
        <v>22</v>
      </c>
    </row>
    <row r="1508" spans="1:11" ht="42" customHeight="1">
      <c r="A1508" s="2" t="s">
        <v>3564</v>
      </c>
      <c r="B1508" s="2" t="s">
        <v>3565</v>
      </c>
      <c r="C1508" s="2" t="s">
        <v>16</v>
      </c>
      <c r="D1508" s="2" t="s">
        <v>17</v>
      </c>
      <c r="E1508" s="5">
        <v>-31579</v>
      </c>
      <c r="F1508" s="3" t="s">
        <v>609</v>
      </c>
      <c r="G1508" s="3" t="s">
        <v>95</v>
      </c>
      <c r="H1508" s="2" t="s">
        <v>20</v>
      </c>
      <c r="I1508" s="2" t="s">
        <v>3567</v>
      </c>
      <c r="J1508" s="3" t="str">
        <f>HYPERLINK("https://www.boe.es/gazeta/dias/1813/07/15/pdfs/GRE-1813-89.pdf#page=6","Abrir facsímil")</f>
        <v>Abrir facsímil</v>
      </c>
      <c r="K1508" s="3" t="s">
        <v>22</v>
      </c>
    </row>
    <row r="1509" spans="1:11" ht="42" customHeight="1">
      <c r="A1509" s="2" t="s">
        <v>3568</v>
      </c>
      <c r="B1509" s="2" t="s">
        <v>3569</v>
      </c>
      <c r="C1509" s="2" t="s">
        <v>16</v>
      </c>
      <c r="D1509" s="2" t="s">
        <v>17</v>
      </c>
      <c r="E1509" s="5">
        <v>-31507</v>
      </c>
      <c r="F1509" s="3" t="s">
        <v>61</v>
      </c>
      <c r="G1509" s="3" t="s">
        <v>28</v>
      </c>
      <c r="H1509" s="2" t="s">
        <v>20</v>
      </c>
      <c r="I1509" s="2" t="s">
        <v>3570</v>
      </c>
      <c r="J1509" s="3" t="str">
        <f>HYPERLINK("https://www.boe.es/gazeta/dias/1813/09/25/pdfs/GMR-1813-48.pdf#page=8","Abrir facsímil")</f>
        <v>Abrir facsímil</v>
      </c>
      <c r="K1509" s="3" t="s">
        <v>22</v>
      </c>
    </row>
    <row r="1510" spans="1:11" ht="42" customHeight="1">
      <c r="A1510" s="2" t="s">
        <v>3571</v>
      </c>
      <c r="B1510" s="2" t="s">
        <v>3571</v>
      </c>
      <c r="C1510" s="2" t="s">
        <v>16</v>
      </c>
      <c r="D1510" s="2" t="s">
        <v>17</v>
      </c>
      <c r="E1510" s="5">
        <v>-31746</v>
      </c>
      <c r="F1510" s="3" t="s">
        <v>1566</v>
      </c>
      <c r="G1510" s="3" t="s">
        <v>58</v>
      </c>
      <c r="H1510" s="2" t="s">
        <v>20</v>
      </c>
      <c r="I1510" s="2" t="s">
        <v>3572</v>
      </c>
      <c r="J1510" s="3" t="str">
        <f>HYPERLINK("https://www.boe.es/gazeta/dias/1813/01/29/pdfs/GMD-1813-29.pdf#page=2","Abrir facsímil")</f>
        <v>Abrir facsímil</v>
      </c>
      <c r="K1510" s="3" t="s">
        <v>22</v>
      </c>
    </row>
    <row r="1511" spans="1:11" ht="42" customHeight="1">
      <c r="A1511" s="2" t="s">
        <v>3571</v>
      </c>
      <c r="B1511" s="2" t="s">
        <v>3571</v>
      </c>
      <c r="C1511" s="2" t="s">
        <v>16</v>
      </c>
      <c r="D1511" s="2" t="s">
        <v>17</v>
      </c>
      <c r="E1511" s="5">
        <v>-31686</v>
      </c>
      <c r="F1511" s="3" t="s">
        <v>372</v>
      </c>
      <c r="G1511" s="3" t="s">
        <v>28</v>
      </c>
      <c r="H1511" s="2" t="s">
        <v>20</v>
      </c>
      <c r="I1511" s="2" t="s">
        <v>3573</v>
      </c>
      <c r="J1511" s="3" t="str">
        <f>HYPERLINK("https://www.boe.es/gazeta/dias/1813/03/30/pdfs/GRE-1813-39.pdf#page=8","Abrir facsímil")</f>
        <v>Abrir facsímil</v>
      </c>
      <c r="K1511" s="3" t="s">
        <v>22</v>
      </c>
    </row>
    <row r="1512" spans="1:11" ht="42" customHeight="1">
      <c r="A1512" s="2" t="s">
        <v>3571</v>
      </c>
      <c r="B1512" s="2" t="s">
        <v>3571</v>
      </c>
      <c r="C1512" s="2" t="s">
        <v>16</v>
      </c>
      <c r="D1512" s="2" t="s">
        <v>17</v>
      </c>
      <c r="E1512" s="5">
        <v>-31605</v>
      </c>
      <c r="F1512" s="3" t="s">
        <v>884</v>
      </c>
      <c r="G1512" s="3" t="s">
        <v>87</v>
      </c>
      <c r="H1512" s="2" t="s">
        <v>20</v>
      </c>
      <c r="I1512" s="2" t="s">
        <v>3574</v>
      </c>
      <c r="J1512" s="3" t="str">
        <f>HYPERLINK("https://www.boe.es/gazeta/dias/1813/06/19/pdfs/GRE-1813-76.pdf#page=7","Abrir facsímil")</f>
        <v>Abrir facsímil</v>
      </c>
      <c r="K1512" s="3" t="s">
        <v>22</v>
      </c>
    </row>
    <row r="1513" spans="1:11" ht="42" customHeight="1">
      <c r="A1513" s="2" t="s">
        <v>3571</v>
      </c>
      <c r="B1513" s="2" t="s">
        <v>3571</v>
      </c>
      <c r="C1513" s="2" t="s">
        <v>16</v>
      </c>
      <c r="D1513" s="2" t="s">
        <v>17</v>
      </c>
      <c r="E1513" s="5">
        <v>-31571</v>
      </c>
      <c r="F1513" s="3" t="s">
        <v>788</v>
      </c>
      <c r="G1513" s="3" t="s">
        <v>3575</v>
      </c>
      <c r="H1513" s="2" t="s">
        <v>20</v>
      </c>
      <c r="I1513" s="2" t="s">
        <v>3576</v>
      </c>
      <c r="J1513" s="3" t="str">
        <f>HYPERLINK("https://www.boe.es/gazeta/dias/1813/07/23/pdfs/GMR-1813-20.pdf#page=8","Abrir facsímil")</f>
        <v>Abrir facsímil</v>
      </c>
      <c r="K1513" s="3" t="s">
        <v>22</v>
      </c>
    </row>
    <row r="1514" spans="1:11" ht="42" customHeight="1">
      <c r="A1514" s="2" t="s">
        <v>3571</v>
      </c>
      <c r="B1514" s="2" t="s">
        <v>3571</v>
      </c>
      <c r="C1514" s="2" t="s">
        <v>16</v>
      </c>
      <c r="D1514" s="2" t="s">
        <v>17</v>
      </c>
      <c r="E1514" s="5">
        <v>-31542</v>
      </c>
      <c r="F1514" s="3" t="s">
        <v>347</v>
      </c>
      <c r="G1514" s="3" t="s">
        <v>82</v>
      </c>
      <c r="H1514" s="2" t="s">
        <v>20</v>
      </c>
      <c r="I1514" s="2" t="s">
        <v>3577</v>
      </c>
      <c r="J1514" s="3" t="str">
        <f>HYPERLINK("https://www.boe.es/gazeta/dias/1813/08/21/pdfs/GMR-1813-31.pdf#page=5","Abrir facsímil")</f>
        <v>Abrir facsímil</v>
      </c>
      <c r="K1514" s="3" t="s">
        <v>22</v>
      </c>
    </row>
    <row r="1515" spans="1:11" ht="42" customHeight="1">
      <c r="A1515" s="2" t="s">
        <v>3571</v>
      </c>
      <c r="B1515" s="2" t="s">
        <v>3571</v>
      </c>
      <c r="C1515" s="2" t="s">
        <v>16</v>
      </c>
      <c r="D1515" s="2" t="s">
        <v>17</v>
      </c>
      <c r="E1515" s="5">
        <v>-31539</v>
      </c>
      <c r="F1515" s="3" t="s">
        <v>1220</v>
      </c>
      <c r="G1515" s="3" t="s">
        <v>19</v>
      </c>
      <c r="H1515" s="2" t="s">
        <v>20</v>
      </c>
      <c r="I1515" s="2" t="s">
        <v>3578</v>
      </c>
      <c r="J1515" s="3" t="str">
        <f>HYPERLINK("https://www.boe.es/gazeta/dias/1813/08/24/pdfs/GRE-1813-108.pdf#page=4","Abrir facsímil")</f>
        <v>Abrir facsímil</v>
      </c>
      <c r="K1515" s="3" t="s">
        <v>22</v>
      </c>
    </row>
    <row r="1516" spans="1:11" ht="42" customHeight="1">
      <c r="A1516" s="2" t="s">
        <v>3571</v>
      </c>
      <c r="B1516" s="2" t="s">
        <v>3571</v>
      </c>
      <c r="C1516" s="2" t="s">
        <v>16</v>
      </c>
      <c r="D1516" s="2" t="s">
        <v>17</v>
      </c>
      <c r="E1516" s="5">
        <v>-31504</v>
      </c>
      <c r="F1516" s="3" t="s">
        <v>192</v>
      </c>
      <c r="G1516" s="3" t="s">
        <v>87</v>
      </c>
      <c r="H1516" s="2" t="s">
        <v>20</v>
      </c>
      <c r="I1516" s="2" t="s">
        <v>3579</v>
      </c>
      <c r="J1516" s="3" t="str">
        <f>HYPERLINK("https://www.boe.es/gazeta/dias/1813/09/28/pdfs/GRE-1813-127.pdf#page=7","Abrir facsímil")</f>
        <v>Abrir facsímil</v>
      </c>
      <c r="K1516" s="3" t="s">
        <v>22</v>
      </c>
    </row>
    <row r="1517" spans="1:11" ht="42" customHeight="1">
      <c r="A1517" s="2" t="s">
        <v>3580</v>
      </c>
      <c r="B1517" s="2" t="s">
        <v>3581</v>
      </c>
      <c r="C1517" s="2" t="s">
        <v>16</v>
      </c>
      <c r="D1517" s="2" t="s">
        <v>17</v>
      </c>
      <c r="E1517" s="5">
        <v>-31586</v>
      </c>
      <c r="F1517" s="3" t="s">
        <v>2807</v>
      </c>
      <c r="G1517" s="3" t="s">
        <v>87</v>
      </c>
      <c r="H1517" s="2" t="s">
        <v>29</v>
      </c>
      <c r="I1517" s="2" t="s">
        <v>3582</v>
      </c>
      <c r="J1517" s="3" t="str">
        <f>HYPERLINK("https://www.boe.es/gazeta/dias/1813/07/08/pdfs/GRE-1813-85.pdf#page=7","Abrir facsímil")</f>
        <v>Abrir facsímil</v>
      </c>
      <c r="K1517" s="3" t="s">
        <v>31</v>
      </c>
    </row>
    <row r="1518" spans="1:11" ht="42" customHeight="1">
      <c r="A1518" s="2" t="s">
        <v>3583</v>
      </c>
      <c r="B1518" s="2" t="s">
        <v>3584</v>
      </c>
      <c r="C1518" s="2" t="s">
        <v>16</v>
      </c>
      <c r="D1518" s="2" t="s">
        <v>17</v>
      </c>
      <c r="E1518" s="5">
        <v>-31721</v>
      </c>
      <c r="F1518" s="3" t="s">
        <v>562</v>
      </c>
      <c r="G1518" s="3" t="s">
        <v>3585</v>
      </c>
      <c r="H1518" s="2" t="s">
        <v>20</v>
      </c>
      <c r="I1518" s="2" t="s">
        <v>3586</v>
      </c>
      <c r="J1518" s="3" t="str">
        <f>HYPERLINK("https://www.boe.es/gazeta/dias/1813/02/23/pdfs/GRE-1813-23.pdf#page=6","Abrir facsímil")</f>
        <v>Abrir facsímil</v>
      </c>
      <c r="K1518" s="3" t="s">
        <v>22</v>
      </c>
    </row>
    <row r="1519" spans="1:11" ht="42" customHeight="1">
      <c r="A1519" s="2" t="s">
        <v>3583</v>
      </c>
      <c r="B1519" s="2" t="s">
        <v>3584</v>
      </c>
      <c r="C1519" s="2" t="s">
        <v>16</v>
      </c>
      <c r="D1519" s="2" t="s">
        <v>97</v>
      </c>
      <c r="E1519" s="5">
        <v>-31670</v>
      </c>
      <c r="F1519" s="3" t="s">
        <v>98</v>
      </c>
      <c r="G1519" s="3" t="s">
        <v>65</v>
      </c>
      <c r="H1519" s="2" t="s">
        <v>20</v>
      </c>
      <c r="I1519" s="2" t="s">
        <v>3587</v>
      </c>
      <c r="J1519" s="3" t="str">
        <f>HYPERLINK("https://www.boe.es/gazeta/dias/1813/04/15/pdfs/GRE-1813-47E.pdf#page=1","Abrir facsímil")</f>
        <v>Abrir facsímil</v>
      </c>
      <c r="K1519" s="3" t="s">
        <v>22</v>
      </c>
    </row>
    <row r="1520" spans="1:11" ht="42" customHeight="1">
      <c r="A1520" s="2" t="s">
        <v>3583</v>
      </c>
      <c r="B1520" s="2" t="s">
        <v>3584</v>
      </c>
      <c r="C1520" s="2" t="s">
        <v>16</v>
      </c>
      <c r="D1520" s="2" t="s">
        <v>97</v>
      </c>
      <c r="E1520" s="5">
        <v>-31670</v>
      </c>
      <c r="F1520" s="3" t="s">
        <v>98</v>
      </c>
      <c r="G1520" s="3" t="s">
        <v>28</v>
      </c>
      <c r="H1520" s="2" t="s">
        <v>20</v>
      </c>
      <c r="I1520" s="2" t="s">
        <v>3588</v>
      </c>
      <c r="J1520" s="3" t="str">
        <f>HYPERLINK("https://www.boe.es/gazeta/dias/1813/04/15/pdfs/GRE-1813-47E.pdf#page=8","Abrir facsímil")</f>
        <v>Abrir facsímil</v>
      </c>
      <c r="K1520" s="3" t="s">
        <v>22</v>
      </c>
    </row>
    <row r="1521" spans="1:11" ht="42" customHeight="1">
      <c r="A1521" s="2" t="s">
        <v>3583</v>
      </c>
      <c r="B1521" s="2" t="s">
        <v>3584</v>
      </c>
      <c r="C1521" s="2" t="s">
        <v>16</v>
      </c>
      <c r="D1521" s="2" t="s">
        <v>17</v>
      </c>
      <c r="E1521" s="5">
        <v>-31640</v>
      </c>
      <c r="F1521" s="3" t="s">
        <v>2392</v>
      </c>
      <c r="G1521" s="3" t="s">
        <v>3589</v>
      </c>
      <c r="H1521" s="2" t="s">
        <v>20</v>
      </c>
      <c r="I1521" s="2" t="s">
        <v>3590</v>
      </c>
      <c r="J1521" s="3" t="str">
        <f>HYPERLINK("https://www.boe.es/gazeta/dias/1813/05/15/pdfs/GRE-1813-60.pdf#page=4","Abrir facsímil")</f>
        <v>Abrir facsímil</v>
      </c>
      <c r="K1521" s="3" t="s">
        <v>22</v>
      </c>
    </row>
    <row r="1522" spans="1:11" ht="42" customHeight="1">
      <c r="A1522" s="2" t="s">
        <v>3583</v>
      </c>
      <c r="B1522" s="2" t="s">
        <v>3584</v>
      </c>
      <c r="C1522" s="2" t="s">
        <v>16</v>
      </c>
      <c r="D1522" s="2" t="s">
        <v>17</v>
      </c>
      <c r="E1522" s="5">
        <v>-31621</v>
      </c>
      <c r="F1522" s="3" t="s">
        <v>1825</v>
      </c>
      <c r="G1522" s="3" t="s">
        <v>19</v>
      </c>
      <c r="H1522" s="2" t="s">
        <v>20</v>
      </c>
      <c r="I1522" s="2" t="s">
        <v>3591</v>
      </c>
      <c r="J1522" s="3" t="str">
        <f>HYPERLINK("https://www.boe.es/gazeta/dias/1813/06/03/pdfs/GMR-1813-1.pdf#page=4","Abrir facsímil")</f>
        <v>Abrir facsímil</v>
      </c>
      <c r="K1522" s="3" t="s">
        <v>22</v>
      </c>
    </row>
    <row r="1523" spans="1:11" ht="42" customHeight="1">
      <c r="A1523" s="2" t="s">
        <v>3583</v>
      </c>
      <c r="B1523" s="2" t="s">
        <v>3584</v>
      </c>
      <c r="C1523" s="2" t="s">
        <v>25</v>
      </c>
      <c r="D1523" s="2" t="s">
        <v>26</v>
      </c>
      <c r="E1523" s="5">
        <v>-31621</v>
      </c>
      <c r="F1523" s="3" t="s">
        <v>1825</v>
      </c>
      <c r="G1523" s="3" t="s">
        <v>95</v>
      </c>
      <c r="H1523" s="2" t="s">
        <v>20</v>
      </c>
      <c r="I1523" s="2" t="s">
        <v>3592</v>
      </c>
      <c r="J1523" s="3" t="str">
        <f>HYPERLINK("https://www.boe.es/gazeta/dias/1813/06/03/pdfs/GMR-1813-1.pdf#page=6","Abrir facsímil")</f>
        <v>Abrir facsímil</v>
      </c>
      <c r="K1523" s="3" t="s">
        <v>22</v>
      </c>
    </row>
    <row r="1524" spans="1:11" ht="42" customHeight="1">
      <c r="A1524" s="2" t="s">
        <v>3583</v>
      </c>
      <c r="B1524" s="2" t="s">
        <v>3584</v>
      </c>
      <c r="C1524" s="2" t="s">
        <v>16</v>
      </c>
      <c r="D1524" s="2" t="s">
        <v>17</v>
      </c>
      <c r="E1524" s="5">
        <v>-31619</v>
      </c>
      <c r="F1524" s="3" t="s">
        <v>749</v>
      </c>
      <c r="G1524" s="3" t="s">
        <v>82</v>
      </c>
      <c r="H1524" s="2" t="s">
        <v>20</v>
      </c>
      <c r="I1524" s="2" t="s">
        <v>3593</v>
      </c>
      <c r="J1524" s="3" t="str">
        <f>HYPERLINK("https://www.boe.es/gazeta/dias/1813/06/05/pdfs/GRE-1813-70.pdf#page=5","Abrir facsímil")</f>
        <v>Abrir facsímil</v>
      </c>
      <c r="K1524" s="3" t="s">
        <v>22</v>
      </c>
    </row>
    <row r="1525" spans="1:11" ht="42" customHeight="1">
      <c r="A1525" s="2" t="s">
        <v>3583</v>
      </c>
      <c r="B1525" s="2" t="s">
        <v>3584</v>
      </c>
      <c r="C1525" s="2" t="s">
        <v>16</v>
      </c>
      <c r="D1525" s="2" t="s">
        <v>97</v>
      </c>
      <c r="E1525" s="5">
        <v>-31599</v>
      </c>
      <c r="F1525" s="3" t="s">
        <v>798</v>
      </c>
      <c r="G1525" s="3" t="s">
        <v>65</v>
      </c>
      <c r="H1525" s="2" t="s">
        <v>20</v>
      </c>
      <c r="I1525" s="2" t="s">
        <v>3594</v>
      </c>
      <c r="J1525" s="3" t="str">
        <f>HYPERLINK("https://www.boe.es/gazeta/dias/1813/06/25/pdfs/GMR-1813-12E.pdf#page=1","Abrir facsímil")</f>
        <v>Abrir facsímil</v>
      </c>
      <c r="K1525" s="3" t="s">
        <v>22</v>
      </c>
    </row>
    <row r="1526" spans="1:11" ht="42" customHeight="1">
      <c r="A1526" s="2" t="s">
        <v>3583</v>
      </c>
      <c r="B1526" s="2" t="s">
        <v>3584</v>
      </c>
      <c r="C1526" s="2" t="s">
        <v>16</v>
      </c>
      <c r="D1526" s="2" t="s">
        <v>17</v>
      </c>
      <c r="E1526" s="5">
        <v>-31591</v>
      </c>
      <c r="F1526" s="3" t="s">
        <v>2123</v>
      </c>
      <c r="G1526" s="3" t="s">
        <v>19</v>
      </c>
      <c r="H1526" s="2" t="s">
        <v>20</v>
      </c>
      <c r="I1526" s="2" t="s">
        <v>3595</v>
      </c>
      <c r="J1526" s="3" t="str">
        <f>HYPERLINK("https://www.boe.es/gazeta/dias/1813/07/03/pdfs/GRE-1813-83.pdf#page=4","Abrir facsímil")</f>
        <v>Abrir facsímil</v>
      </c>
      <c r="K1526" s="3" t="s">
        <v>22</v>
      </c>
    </row>
    <row r="1527" spans="1:11" ht="42" customHeight="1">
      <c r="A1527" s="2" t="s">
        <v>3583</v>
      </c>
      <c r="B1527" s="2" t="s">
        <v>3584</v>
      </c>
      <c r="C1527" s="2" t="s">
        <v>25</v>
      </c>
      <c r="D1527" s="2" t="s">
        <v>26</v>
      </c>
      <c r="E1527" s="5">
        <v>-31586</v>
      </c>
      <c r="F1527" s="3" t="s">
        <v>2807</v>
      </c>
      <c r="G1527" s="3" t="s">
        <v>95</v>
      </c>
      <c r="H1527" s="2" t="s">
        <v>20</v>
      </c>
      <c r="I1527" s="2" t="s">
        <v>3596</v>
      </c>
      <c r="J1527" s="3" t="str">
        <f>HYPERLINK("https://www.boe.es/gazeta/dias/1813/07/08/pdfs/GRE-1813-85.pdf#page=6","Abrir facsímil")</f>
        <v>Abrir facsímil</v>
      </c>
      <c r="K1527" s="3" t="s">
        <v>22</v>
      </c>
    </row>
    <row r="1528" spans="1:11" ht="42" customHeight="1">
      <c r="A1528" s="2" t="s">
        <v>3583</v>
      </c>
      <c r="B1528" s="2" t="s">
        <v>3584</v>
      </c>
      <c r="C1528" s="2" t="s">
        <v>16</v>
      </c>
      <c r="D1528" s="2" t="s">
        <v>17</v>
      </c>
      <c r="E1528" s="5">
        <v>-31585</v>
      </c>
      <c r="F1528" s="3" t="s">
        <v>177</v>
      </c>
      <c r="G1528" s="3" t="s">
        <v>821</v>
      </c>
      <c r="H1528" s="2" t="s">
        <v>20</v>
      </c>
      <c r="I1528" s="2" t="s">
        <v>3597</v>
      </c>
      <c r="J1528" s="3" t="str">
        <f>HYPERLINK("https://www.boe.es/gazeta/dias/1813/07/09/pdfs/GMR-1813-16.pdf#page=13","Abrir facsímil")</f>
        <v>Abrir facsímil</v>
      </c>
      <c r="K1528" s="3" t="s">
        <v>22</v>
      </c>
    </row>
    <row r="1529" spans="1:11" ht="42" customHeight="1">
      <c r="A1529" s="2" t="s">
        <v>3583</v>
      </c>
      <c r="B1529" s="2" t="s">
        <v>3584</v>
      </c>
      <c r="C1529" s="2" t="s">
        <v>16</v>
      </c>
      <c r="D1529" s="2" t="s">
        <v>17</v>
      </c>
      <c r="E1529" s="5">
        <v>-31584</v>
      </c>
      <c r="F1529" s="3" t="s">
        <v>114</v>
      </c>
      <c r="G1529" s="3" t="s">
        <v>95</v>
      </c>
      <c r="H1529" s="2" t="s">
        <v>20</v>
      </c>
      <c r="I1529" s="2" t="s">
        <v>3598</v>
      </c>
      <c r="J1529" s="3" t="str">
        <f>HYPERLINK("https://www.boe.es/gazeta/dias/1813/07/10/pdfs/GRE-1813-86.pdf#page=6","Abrir facsímil")</f>
        <v>Abrir facsímil</v>
      </c>
      <c r="K1529" s="3" t="s">
        <v>22</v>
      </c>
    </row>
    <row r="1530" spans="1:11" ht="42" customHeight="1">
      <c r="A1530" s="2" t="s">
        <v>3583</v>
      </c>
      <c r="B1530" s="2" t="s">
        <v>3584</v>
      </c>
      <c r="C1530" s="2" t="s">
        <v>435</v>
      </c>
      <c r="D1530" s="2" t="s">
        <v>26</v>
      </c>
      <c r="E1530" s="5">
        <v>-31581</v>
      </c>
      <c r="F1530" s="3" t="s">
        <v>3599</v>
      </c>
      <c r="G1530" s="3" t="s">
        <v>87</v>
      </c>
      <c r="H1530" s="2" t="s">
        <v>20</v>
      </c>
      <c r="I1530" s="2" t="s">
        <v>3600</v>
      </c>
      <c r="J1530" s="3" t="str">
        <f>HYPERLINK("https://www.boe.es/gazeta/dias/1813/07/13/pdfs/GRE-1813-88.pdf#page=7","Abrir facsímil")</f>
        <v>Abrir facsímil</v>
      </c>
      <c r="K1530" s="3" t="s">
        <v>22</v>
      </c>
    </row>
    <row r="1531" spans="1:11" ht="42" customHeight="1">
      <c r="A1531" s="2" t="s">
        <v>3583</v>
      </c>
      <c r="B1531" s="2" t="s">
        <v>3584</v>
      </c>
      <c r="C1531" s="2" t="s">
        <v>16</v>
      </c>
      <c r="D1531" s="2" t="s">
        <v>17</v>
      </c>
      <c r="E1531" s="5">
        <v>-31579</v>
      </c>
      <c r="F1531" s="3" t="s">
        <v>609</v>
      </c>
      <c r="G1531" s="3" t="s">
        <v>3601</v>
      </c>
      <c r="H1531" s="2" t="s">
        <v>20</v>
      </c>
      <c r="I1531" s="2" t="s">
        <v>3602</v>
      </c>
      <c r="J1531" s="3" t="str">
        <f>HYPERLINK("https://www.boe.es/gazeta/dias/1813/07/15/pdfs/GRE-1813-89.pdf#page=5","Abrir facsímil")</f>
        <v>Abrir facsímil</v>
      </c>
      <c r="K1531" s="3" t="s">
        <v>22</v>
      </c>
    </row>
    <row r="1532" spans="1:11" ht="42" customHeight="1">
      <c r="A1532" s="2" t="s">
        <v>3583</v>
      </c>
      <c r="B1532" s="2" t="s">
        <v>3584</v>
      </c>
      <c r="C1532" s="2" t="s">
        <v>16</v>
      </c>
      <c r="D1532" s="2" t="s">
        <v>17</v>
      </c>
      <c r="E1532" s="5">
        <v>-31574</v>
      </c>
      <c r="F1532" s="3" t="s">
        <v>509</v>
      </c>
      <c r="G1532" s="3" t="s">
        <v>19</v>
      </c>
      <c r="H1532" s="2" t="s">
        <v>20</v>
      </c>
      <c r="I1532" s="2" t="s">
        <v>3603</v>
      </c>
      <c r="J1532" s="3" t="str">
        <f>HYPERLINK("https://www.boe.es/gazeta/dias/1813/07/20/pdfs/GRE-1813-92.pdf#page=4","Abrir facsímil")</f>
        <v>Abrir facsímil</v>
      </c>
      <c r="K1532" s="3" t="s">
        <v>22</v>
      </c>
    </row>
    <row r="1533" spans="1:11" ht="42" customHeight="1">
      <c r="A1533" s="2" t="s">
        <v>3583</v>
      </c>
      <c r="B1533" s="2" t="s">
        <v>3584</v>
      </c>
      <c r="C1533" s="2" t="s">
        <v>16</v>
      </c>
      <c r="D1533" s="2" t="s">
        <v>17</v>
      </c>
      <c r="E1533" s="5">
        <v>-31572</v>
      </c>
      <c r="F1533" s="3" t="s">
        <v>317</v>
      </c>
      <c r="G1533" s="3" t="s">
        <v>95</v>
      </c>
      <c r="H1533" s="2" t="s">
        <v>20</v>
      </c>
      <c r="I1533" s="2" t="s">
        <v>3604</v>
      </c>
      <c r="J1533" s="3" t="str">
        <f>HYPERLINK("https://www.boe.es/gazeta/dias/1813/07/22/pdfs/GRE-1813-93.pdf#page=6","Abrir facsímil")</f>
        <v>Abrir facsímil</v>
      </c>
      <c r="K1533" s="3" t="s">
        <v>22</v>
      </c>
    </row>
    <row r="1534" spans="1:11" ht="42" customHeight="1">
      <c r="A1534" s="2" t="s">
        <v>3583</v>
      </c>
      <c r="B1534" s="2" t="s">
        <v>3584</v>
      </c>
      <c r="C1534" s="2" t="s">
        <v>16</v>
      </c>
      <c r="D1534" s="2" t="s">
        <v>17</v>
      </c>
      <c r="E1534" s="5">
        <v>-31549</v>
      </c>
      <c r="F1534" s="3" t="s">
        <v>332</v>
      </c>
      <c r="G1534" s="3" t="s">
        <v>28</v>
      </c>
      <c r="H1534" s="2" t="s">
        <v>20</v>
      </c>
      <c r="I1534" s="2" t="s">
        <v>3605</v>
      </c>
      <c r="J1534" s="3" t="str">
        <f>HYPERLINK("https://www.boe.es/gazeta/dias/1813/08/14/pdfs/GMR-1813-28.pdf#page=8","Abrir facsímil")</f>
        <v>Abrir facsímil</v>
      </c>
      <c r="K1534" s="3" t="s">
        <v>22</v>
      </c>
    </row>
    <row r="1535" spans="1:11" ht="42" customHeight="1">
      <c r="A1535" s="2" t="s">
        <v>3583</v>
      </c>
      <c r="B1535" s="2" t="s">
        <v>3584</v>
      </c>
      <c r="C1535" s="2" t="s">
        <v>16</v>
      </c>
      <c r="D1535" s="2" t="s">
        <v>17</v>
      </c>
      <c r="E1535" s="5">
        <v>-31530</v>
      </c>
      <c r="F1535" s="3" t="s">
        <v>319</v>
      </c>
      <c r="G1535" s="3" t="s">
        <v>3606</v>
      </c>
      <c r="H1535" s="2" t="s">
        <v>20</v>
      </c>
      <c r="I1535" s="2" t="s">
        <v>3607</v>
      </c>
      <c r="J1535" s="3" t="str">
        <f>HYPERLINK("https://www.boe.es/gazeta/dias/1813/09/02/pdfs/GRE-1813-112.pdf#page=8","Abrir facsímil")</f>
        <v>Abrir facsímil</v>
      </c>
      <c r="K1535" s="3" t="s">
        <v>22</v>
      </c>
    </row>
    <row r="1536" spans="1:11" ht="42" customHeight="1">
      <c r="A1536" s="2" t="s">
        <v>3608</v>
      </c>
      <c r="B1536" s="2" t="s">
        <v>3609</v>
      </c>
      <c r="C1536" s="2" t="s">
        <v>16</v>
      </c>
      <c r="D1536" s="2" t="s">
        <v>17</v>
      </c>
      <c r="E1536" s="5">
        <v>-31686</v>
      </c>
      <c r="F1536" s="3" t="s">
        <v>372</v>
      </c>
      <c r="G1536" s="3" t="s">
        <v>3610</v>
      </c>
      <c r="H1536" s="2" t="s">
        <v>20</v>
      </c>
      <c r="I1536" s="2" t="s">
        <v>3611</v>
      </c>
      <c r="J1536" s="3" t="str">
        <f>HYPERLINK("https://www.boe.es/gazeta/dias/1813/03/30/pdfs/GRE-1813-39.pdf#page=7","Abrir facsímil")</f>
        <v>Abrir facsímil</v>
      </c>
      <c r="K1536" s="3" t="s">
        <v>22</v>
      </c>
    </row>
    <row r="1537" spans="1:11" ht="42" customHeight="1">
      <c r="A1537" s="2" t="s">
        <v>3608</v>
      </c>
      <c r="B1537" s="2" t="s">
        <v>3609</v>
      </c>
      <c r="C1537" s="2" t="s">
        <v>16</v>
      </c>
      <c r="D1537" s="2" t="s">
        <v>17</v>
      </c>
      <c r="E1537" s="5">
        <v>-31640</v>
      </c>
      <c r="F1537" s="3" t="s">
        <v>2392</v>
      </c>
      <c r="G1537" s="3" t="s">
        <v>3612</v>
      </c>
      <c r="H1537" s="2" t="s">
        <v>20</v>
      </c>
      <c r="I1537" s="2" t="s">
        <v>3613</v>
      </c>
      <c r="J1537" s="3" t="str">
        <f>HYPERLINK("https://www.boe.es/gazeta/dias/1813/05/15/pdfs/GRE-1813-60.pdf#page=6","Abrir facsímil")</f>
        <v>Abrir facsímil</v>
      </c>
      <c r="K1537" s="3" t="s">
        <v>22</v>
      </c>
    </row>
    <row r="1538" spans="1:11" ht="42" customHeight="1">
      <c r="A1538" s="2" t="s">
        <v>3608</v>
      </c>
      <c r="B1538" s="2" t="s">
        <v>3609</v>
      </c>
      <c r="C1538" s="2" t="s">
        <v>25</v>
      </c>
      <c r="D1538" s="2" t="s">
        <v>26</v>
      </c>
      <c r="E1538" s="5">
        <v>-31640</v>
      </c>
      <c r="F1538" s="3" t="s">
        <v>2392</v>
      </c>
      <c r="G1538" s="3" t="s">
        <v>58</v>
      </c>
      <c r="H1538" s="2" t="s">
        <v>20</v>
      </c>
      <c r="I1538" s="2" t="s">
        <v>3614</v>
      </c>
      <c r="J1538" s="3" t="str">
        <f>HYPERLINK("https://www.boe.es/gazeta/dias/1813/05/15/pdfs/GRE-1813-60.pdf#page=2","Abrir facsímil")</f>
        <v>Abrir facsímil</v>
      </c>
      <c r="K1538" s="3" t="s">
        <v>22</v>
      </c>
    </row>
    <row r="1539" spans="1:11" ht="42" customHeight="1">
      <c r="A1539" s="2" t="s">
        <v>3608</v>
      </c>
      <c r="B1539" s="2" t="s">
        <v>3609</v>
      </c>
      <c r="C1539" s="2" t="s">
        <v>16</v>
      </c>
      <c r="D1539" s="2" t="s">
        <v>17</v>
      </c>
      <c r="E1539" s="5">
        <v>-31572</v>
      </c>
      <c r="F1539" s="3" t="s">
        <v>317</v>
      </c>
      <c r="G1539" s="3" t="s">
        <v>87</v>
      </c>
      <c r="H1539" s="2" t="s">
        <v>20</v>
      </c>
      <c r="I1539" s="2" t="s">
        <v>3615</v>
      </c>
      <c r="J1539" s="3" t="str">
        <f>HYPERLINK("https://www.boe.es/gazeta/dias/1813/07/22/pdfs/GRE-1813-93.pdf#page=7","Abrir facsímil")</f>
        <v>Abrir facsímil</v>
      </c>
      <c r="K1539" s="3" t="s">
        <v>22</v>
      </c>
    </row>
    <row r="1540" spans="1:11" ht="42" customHeight="1">
      <c r="A1540" s="2" t="s">
        <v>3616</v>
      </c>
      <c r="B1540" s="2" t="s">
        <v>3617</v>
      </c>
      <c r="C1540" s="2" t="s">
        <v>25</v>
      </c>
      <c r="D1540" s="2" t="s">
        <v>26</v>
      </c>
      <c r="E1540" s="5">
        <v>-31679</v>
      </c>
      <c r="F1540" s="3" t="s">
        <v>571</v>
      </c>
      <c r="G1540" s="3" t="s">
        <v>95</v>
      </c>
      <c r="H1540" s="2" t="s">
        <v>20</v>
      </c>
      <c r="I1540" s="2" t="s">
        <v>3618</v>
      </c>
      <c r="J1540" s="3" t="str">
        <f>HYPERLINK("https://www.boe.es/gazeta/dias/1813/04/06/pdfs/GRE-1813-42.pdf#page=6","Abrir facsímil")</f>
        <v>Abrir facsímil</v>
      </c>
      <c r="K1540" s="3" t="s">
        <v>22</v>
      </c>
    </row>
    <row r="1541" spans="1:11" ht="42" customHeight="1">
      <c r="A1541" s="2" t="s">
        <v>3619</v>
      </c>
      <c r="B1541" s="2" t="s">
        <v>3620</v>
      </c>
      <c r="C1541" s="2" t="s">
        <v>16</v>
      </c>
      <c r="D1541" s="2" t="s">
        <v>17</v>
      </c>
      <c r="E1541" s="5">
        <v>-31598</v>
      </c>
      <c r="F1541" s="3" t="s">
        <v>286</v>
      </c>
      <c r="G1541" s="3" t="s">
        <v>82</v>
      </c>
      <c r="H1541" s="2" t="s">
        <v>20</v>
      </c>
      <c r="I1541" s="2" t="s">
        <v>3621</v>
      </c>
      <c r="J1541" s="3" t="str">
        <f>HYPERLINK("https://www.boe.es/gazeta/dias/1813/06/26/pdfs/GRE-1813-79.pdf#page=5","Abrir facsímil")</f>
        <v>Abrir facsímil</v>
      </c>
      <c r="K1541" s="3" t="s">
        <v>22</v>
      </c>
    </row>
    <row r="1542" spans="1:11" ht="42" customHeight="1">
      <c r="A1542" s="2" t="s">
        <v>3622</v>
      </c>
      <c r="B1542" s="2" t="s">
        <v>3623</v>
      </c>
      <c r="C1542" s="2" t="s">
        <v>16</v>
      </c>
      <c r="D1542" s="2" t="s">
        <v>17</v>
      </c>
      <c r="E1542" s="5">
        <v>-31588</v>
      </c>
      <c r="F1542" s="3" t="s">
        <v>2402</v>
      </c>
      <c r="G1542" s="3" t="s">
        <v>3624</v>
      </c>
      <c r="H1542" s="2" t="s">
        <v>20</v>
      </c>
      <c r="I1542" s="2" t="s">
        <v>3625</v>
      </c>
      <c r="J1542" s="3" t="str">
        <f>HYPERLINK("https://www.boe.es/gazeta/dias/1813/07/06/pdfs/GRE-1813-84.pdf#page=5","Abrir facsímil")</f>
        <v>Abrir facsímil</v>
      </c>
      <c r="K1542" s="3" t="s">
        <v>22</v>
      </c>
    </row>
    <row r="1543" spans="1:11" ht="42" customHeight="1">
      <c r="A1543" s="2" t="s">
        <v>3626</v>
      </c>
      <c r="B1543" s="2" t="s">
        <v>3627</v>
      </c>
      <c r="C1543" s="2" t="s">
        <v>16</v>
      </c>
      <c r="D1543" s="2" t="s">
        <v>17</v>
      </c>
      <c r="E1543" s="5">
        <v>-31585</v>
      </c>
      <c r="F1543" s="3" t="s">
        <v>177</v>
      </c>
      <c r="G1543" s="3" t="s">
        <v>1474</v>
      </c>
      <c r="H1543" s="2" t="s">
        <v>20</v>
      </c>
      <c r="I1543" s="2" t="s">
        <v>3628</v>
      </c>
      <c r="J1543" s="3" t="str">
        <f>HYPERLINK("https://www.boe.es/gazeta/dias/1813/07/09/pdfs/GMR-1813-16.pdf#page=14","Abrir facsímil")</f>
        <v>Abrir facsímil</v>
      </c>
      <c r="K1543" s="3" t="s">
        <v>22</v>
      </c>
    </row>
    <row r="1544" spans="1:11" ht="42" customHeight="1">
      <c r="A1544" s="2" t="s">
        <v>3629</v>
      </c>
      <c r="B1544" s="2" t="s">
        <v>3630</v>
      </c>
      <c r="C1544" s="2" t="s">
        <v>16</v>
      </c>
      <c r="D1544" s="2" t="s">
        <v>17</v>
      </c>
      <c r="E1544" s="5">
        <v>-31507</v>
      </c>
      <c r="F1544" s="3" t="s">
        <v>61</v>
      </c>
      <c r="G1544" s="3" t="s">
        <v>28</v>
      </c>
      <c r="H1544" s="2" t="s">
        <v>20</v>
      </c>
      <c r="I1544" s="2" t="s">
        <v>3631</v>
      </c>
      <c r="J1544" s="3" t="str">
        <f>HYPERLINK("https://www.boe.es/gazeta/dias/1813/09/25/pdfs/GMR-1813-48.pdf#page=8","Abrir facsímil")</f>
        <v>Abrir facsímil</v>
      </c>
      <c r="K1544" s="3" t="s">
        <v>22</v>
      </c>
    </row>
    <row r="1545" spans="1:11" ht="42" customHeight="1">
      <c r="A1545" s="2" t="s">
        <v>3632</v>
      </c>
      <c r="B1545" s="2" t="s">
        <v>3633</v>
      </c>
      <c r="C1545" s="2" t="s">
        <v>16</v>
      </c>
      <c r="D1545" s="2" t="s">
        <v>97</v>
      </c>
      <c r="E1545" s="5">
        <v>-31519</v>
      </c>
      <c r="F1545" s="3" t="s">
        <v>312</v>
      </c>
      <c r="G1545" s="3" t="s">
        <v>28</v>
      </c>
      <c r="H1545" s="2" t="s">
        <v>20</v>
      </c>
      <c r="I1545" s="2" t="s">
        <v>3634</v>
      </c>
      <c r="J1545" s="3" t="str">
        <f>HYPERLINK("https://www.boe.es/gazeta/dias/1813/09/13/pdfs/GRE-1813-118E.pdf#page=8","Abrir facsímil")</f>
        <v>Abrir facsímil</v>
      </c>
      <c r="K1545" s="3" t="s">
        <v>22</v>
      </c>
    </row>
    <row r="1546" spans="1:11" ht="42" customHeight="1">
      <c r="A1546" s="2" t="s">
        <v>3635</v>
      </c>
      <c r="B1546" s="2" t="s">
        <v>3635</v>
      </c>
      <c r="C1546" s="2" t="s">
        <v>16</v>
      </c>
      <c r="D1546" s="2" t="s">
        <v>17</v>
      </c>
      <c r="E1546" s="5">
        <v>-31444</v>
      </c>
      <c r="F1546" s="3" t="s">
        <v>389</v>
      </c>
      <c r="G1546" s="3" t="s">
        <v>95</v>
      </c>
      <c r="H1546" s="2" t="s">
        <v>20</v>
      </c>
      <c r="I1546" s="2" t="s">
        <v>3636</v>
      </c>
      <c r="J1546" s="3" t="str">
        <f>HYPERLINK("https://www.boe.es/gazeta/dias/1813/11/27/pdfs/GMR-1813-80.pdf#page=6","Abrir facsímil")</f>
        <v>Abrir facsímil</v>
      </c>
      <c r="K1546" s="3" t="s">
        <v>22</v>
      </c>
    </row>
    <row r="1547" spans="1:11" ht="42" customHeight="1">
      <c r="A1547" s="2" t="s">
        <v>3637</v>
      </c>
      <c r="B1547" s="2" t="s">
        <v>3638</v>
      </c>
      <c r="C1547" s="2" t="s">
        <v>16</v>
      </c>
      <c r="D1547" s="2" t="s">
        <v>17</v>
      </c>
      <c r="E1547" s="5">
        <v>-31444</v>
      </c>
      <c r="F1547" s="3" t="s">
        <v>389</v>
      </c>
      <c r="G1547" s="3" t="s">
        <v>95</v>
      </c>
      <c r="H1547" s="2" t="s">
        <v>20</v>
      </c>
      <c r="I1547" s="2" t="s">
        <v>3639</v>
      </c>
      <c r="J1547" s="3" t="str">
        <f>HYPERLINK("https://www.boe.es/gazeta/dias/1813/11/27/pdfs/GMR-1813-80.pdf#page=6","Abrir facsímil")</f>
        <v>Abrir facsímil</v>
      </c>
      <c r="K1547" s="3" t="s">
        <v>22</v>
      </c>
    </row>
    <row r="1548" spans="1:11" ht="42" customHeight="1">
      <c r="A1548" s="2" t="s">
        <v>3640</v>
      </c>
      <c r="B1548" s="2" t="s">
        <v>3640</v>
      </c>
      <c r="C1548" s="2" t="s">
        <v>16</v>
      </c>
      <c r="D1548" s="2" t="s">
        <v>17</v>
      </c>
      <c r="E1548" s="5">
        <v>-31745</v>
      </c>
      <c r="F1548" s="3" t="s">
        <v>1856</v>
      </c>
      <c r="G1548" s="3" t="s">
        <v>54</v>
      </c>
      <c r="H1548" s="2" t="s">
        <v>20</v>
      </c>
      <c r="I1548" s="2" t="s">
        <v>3641</v>
      </c>
      <c r="J1548" s="3" t="str">
        <f>HYPERLINK("https://www.boe.es/gazeta/dias/1813/01/30/pdfs/GMD-1813-30.pdf#page=3","Abrir facsímil")</f>
        <v>Abrir facsímil</v>
      </c>
      <c r="K1548" s="3" t="s">
        <v>22</v>
      </c>
    </row>
    <row r="1549" spans="1:11" ht="42" customHeight="1">
      <c r="A1549" s="2" t="s">
        <v>3642</v>
      </c>
      <c r="B1549" s="2" t="s">
        <v>3642</v>
      </c>
      <c r="C1549" s="2" t="s">
        <v>34</v>
      </c>
      <c r="D1549" s="2" t="s">
        <v>35</v>
      </c>
      <c r="E1549" s="5">
        <v>-31437</v>
      </c>
      <c r="F1549" s="3" t="s">
        <v>217</v>
      </c>
      <c r="G1549" s="3" t="s">
        <v>539</v>
      </c>
      <c r="H1549" s="2" t="s">
        <v>20</v>
      </c>
      <c r="I1549" s="2" t="s">
        <v>3643</v>
      </c>
      <c r="J1549" s="3" t="str">
        <f>HYPERLINK("https://www.boe.es/gazeta/dias/1813/12/04/pdfs/GRE-1813-160.pdf#page=4","Abrir facsímil")</f>
        <v>Abrir facsímil</v>
      </c>
      <c r="K1549" s="3" t="s">
        <v>22</v>
      </c>
    </row>
    <row r="1550" spans="1:11" ht="42" customHeight="1">
      <c r="A1550" s="2" t="s">
        <v>3644</v>
      </c>
      <c r="B1550" s="2" t="s">
        <v>3644</v>
      </c>
      <c r="C1550" s="2" t="s">
        <v>25</v>
      </c>
      <c r="D1550" s="2" t="s">
        <v>26</v>
      </c>
      <c r="E1550" s="5">
        <v>-31763</v>
      </c>
      <c r="F1550" s="3" t="s">
        <v>668</v>
      </c>
      <c r="G1550" s="3" t="s">
        <v>19</v>
      </c>
      <c r="H1550" s="2" t="s">
        <v>20</v>
      </c>
      <c r="I1550" s="2" t="s">
        <v>3645</v>
      </c>
      <c r="J1550" s="3" t="str">
        <f>HYPERLINK("https://www.boe.es/gazeta/dias/1813/01/12/pdfs/GRE-1813-5.pdf#page=4","Abrir facsímil")</f>
        <v>Abrir facsímil</v>
      </c>
      <c r="K1550" s="3" t="s">
        <v>22</v>
      </c>
    </row>
    <row r="1551" spans="1:11" ht="42" customHeight="1">
      <c r="A1551" s="2" t="s">
        <v>3644</v>
      </c>
      <c r="B1551" s="2" t="s">
        <v>3644</v>
      </c>
      <c r="C1551" s="2" t="s">
        <v>16</v>
      </c>
      <c r="D1551" s="2" t="s">
        <v>17</v>
      </c>
      <c r="E1551" s="5">
        <v>-31698</v>
      </c>
      <c r="F1551" s="3" t="s">
        <v>470</v>
      </c>
      <c r="G1551" s="3" t="s">
        <v>54</v>
      </c>
      <c r="H1551" s="2" t="s">
        <v>20</v>
      </c>
      <c r="I1551" s="2" t="s">
        <v>3646</v>
      </c>
      <c r="J1551" s="3" t="str">
        <f>HYPERLINK("https://www.boe.es/gazeta/dias/1813/03/18/pdfs/GRE-1813-34.pdf#page=3","Abrir facsímil")</f>
        <v>Abrir facsímil</v>
      </c>
      <c r="K1551" s="3" t="s">
        <v>22</v>
      </c>
    </row>
    <row r="1552" spans="1:11" ht="42" customHeight="1">
      <c r="A1552" s="2" t="s">
        <v>3644</v>
      </c>
      <c r="B1552" s="2" t="s">
        <v>3644</v>
      </c>
      <c r="C1552" s="2" t="s">
        <v>25</v>
      </c>
      <c r="D1552" s="2" t="s">
        <v>26</v>
      </c>
      <c r="E1552" s="5">
        <v>-31458</v>
      </c>
      <c r="F1552" s="3" t="s">
        <v>1171</v>
      </c>
      <c r="G1552" s="3" t="s">
        <v>58</v>
      </c>
      <c r="H1552" s="2" t="s">
        <v>20</v>
      </c>
      <c r="I1552" s="2" t="s">
        <v>3647</v>
      </c>
      <c r="J1552" s="3" t="str">
        <f>HYPERLINK("https://www.boe.es/gazeta/dias/1813/11/13/pdfs/GRE-1813-149.pdf#page=2","Abrir facsímil")</f>
        <v>Abrir facsímil</v>
      </c>
      <c r="K1552" s="3" t="s">
        <v>22</v>
      </c>
    </row>
    <row r="1553" spans="1:11" ht="42" customHeight="1">
      <c r="A1553" s="2" t="s">
        <v>3648</v>
      </c>
      <c r="B1553" s="2" t="s">
        <v>3649</v>
      </c>
      <c r="C1553" s="2" t="s">
        <v>16</v>
      </c>
      <c r="D1553" s="2" t="s">
        <v>17</v>
      </c>
      <c r="E1553" s="5">
        <v>-31432</v>
      </c>
      <c r="F1553" s="3" t="s">
        <v>803</v>
      </c>
      <c r="G1553" s="3" t="s">
        <v>28</v>
      </c>
      <c r="H1553" s="2" t="s">
        <v>20</v>
      </c>
      <c r="I1553" s="2" t="s">
        <v>3650</v>
      </c>
      <c r="J1553" s="3" t="str">
        <f>HYPERLINK("https://www.boe.es/gazeta/dias/1813/12/09/pdfs/GRE-1813-162.pdf#page=8","Abrir facsímil")</f>
        <v>Abrir facsímil</v>
      </c>
      <c r="K1553" s="3" t="s">
        <v>22</v>
      </c>
    </row>
    <row r="1554" spans="1:11" ht="42" customHeight="1">
      <c r="A1554" s="2" t="s">
        <v>3651</v>
      </c>
      <c r="B1554" s="2" t="s">
        <v>3652</v>
      </c>
      <c r="C1554" s="2" t="s">
        <v>34</v>
      </c>
      <c r="D1554" s="2" t="s">
        <v>35</v>
      </c>
      <c r="E1554" s="5">
        <v>-31467</v>
      </c>
      <c r="F1554" s="3" t="s">
        <v>120</v>
      </c>
      <c r="G1554" s="3" t="s">
        <v>58</v>
      </c>
      <c r="H1554" s="2" t="s">
        <v>20</v>
      </c>
      <c r="I1554" s="2" t="s">
        <v>3653</v>
      </c>
      <c r="J1554" s="3" t="str">
        <f>HYPERLINK("https://www.boe.es/gazeta/dias/1813/11/04/pdfs/GMR-1813-68.pdf#page=2","Abrir facsímil")</f>
        <v>Abrir facsímil</v>
      </c>
      <c r="K1554" s="3" t="s">
        <v>22</v>
      </c>
    </row>
    <row r="1555" spans="1:11" ht="42" customHeight="1">
      <c r="A1555" s="2" t="s">
        <v>3654</v>
      </c>
      <c r="B1555" s="2" t="s">
        <v>3655</v>
      </c>
      <c r="C1555" s="2" t="s">
        <v>16</v>
      </c>
      <c r="D1555" s="2" t="s">
        <v>17</v>
      </c>
      <c r="E1555" s="5">
        <v>-31630</v>
      </c>
      <c r="F1555" s="3" t="s">
        <v>1324</v>
      </c>
      <c r="G1555" s="3" t="s">
        <v>58</v>
      </c>
      <c r="H1555" s="2" t="s">
        <v>20</v>
      </c>
      <c r="I1555" s="2" t="s">
        <v>3656</v>
      </c>
      <c r="J1555" s="3" t="str">
        <f>HYPERLINK("https://www.boe.es/gazeta/dias/1813/05/25/pdfs/GRE-1813-64.pdf#page=2","Abrir facsímil")</f>
        <v>Abrir facsímil</v>
      </c>
      <c r="K1555" s="3" t="s">
        <v>22</v>
      </c>
    </row>
    <row r="1556" spans="1:11" ht="42" customHeight="1">
      <c r="A1556" s="2" t="s">
        <v>3657</v>
      </c>
      <c r="B1556" s="2" t="s">
        <v>3657</v>
      </c>
      <c r="C1556" s="2" t="s">
        <v>16</v>
      </c>
      <c r="D1556" s="2" t="s">
        <v>17</v>
      </c>
      <c r="E1556" s="5">
        <v>-31770</v>
      </c>
      <c r="F1556" s="3" t="s">
        <v>641</v>
      </c>
      <c r="G1556" s="3" t="s">
        <v>65</v>
      </c>
      <c r="H1556" s="2" t="s">
        <v>20</v>
      </c>
      <c r="I1556" s="2" t="s">
        <v>3658</v>
      </c>
      <c r="J1556" s="3" t="str">
        <f>HYPERLINK("https://www.boe.es/gazeta/dias/1813/01/05/pdfs/GMD-1813-5.pdf#page=1","Abrir facsímil")</f>
        <v>Abrir facsímil</v>
      </c>
      <c r="K1556" s="3" t="s">
        <v>22</v>
      </c>
    </row>
    <row r="1557" spans="1:11" ht="42" customHeight="1">
      <c r="A1557" s="2" t="s">
        <v>3659</v>
      </c>
      <c r="B1557" s="2" t="s">
        <v>3659</v>
      </c>
      <c r="C1557" s="2" t="s">
        <v>25</v>
      </c>
      <c r="D1557" s="2" t="s">
        <v>26</v>
      </c>
      <c r="E1557" s="5">
        <v>-31664</v>
      </c>
      <c r="F1557" s="3" t="s">
        <v>1144</v>
      </c>
      <c r="G1557" s="3" t="s">
        <v>65</v>
      </c>
      <c r="H1557" s="2" t="s">
        <v>20</v>
      </c>
      <c r="I1557" s="2" t="s">
        <v>3660</v>
      </c>
      <c r="J1557" s="3" t="str">
        <f>HYPERLINK("https://www.boe.es/gazeta/dias/1813/04/21/pdfs/GMD-1813-111.pdf#page=1","Abrir facsímil")</f>
        <v>Abrir facsímil</v>
      </c>
      <c r="K1557" s="3" t="s">
        <v>22</v>
      </c>
    </row>
    <row r="1558" spans="1:11" ht="42" customHeight="1">
      <c r="A1558" s="2" t="s">
        <v>3661</v>
      </c>
      <c r="B1558" s="2" t="s">
        <v>3661</v>
      </c>
      <c r="C1558" s="2" t="s">
        <v>16</v>
      </c>
      <c r="D1558" s="2" t="s">
        <v>17</v>
      </c>
      <c r="E1558" s="5">
        <v>-31731</v>
      </c>
      <c r="F1558" s="3" t="s">
        <v>866</v>
      </c>
      <c r="G1558" s="3" t="s">
        <v>3662</v>
      </c>
      <c r="H1558" s="2" t="s">
        <v>20</v>
      </c>
      <c r="I1558" s="2" t="s">
        <v>3663</v>
      </c>
      <c r="J1558" s="3" t="str">
        <f>HYPERLINK("https://www.boe.es/gazeta/dias/1813/02/13/pdfs/GRE-1813-19.pdf#page=4","Abrir facsímil")</f>
        <v>Abrir facsímil</v>
      </c>
      <c r="K1558" s="3" t="s">
        <v>22</v>
      </c>
    </row>
    <row r="1559" spans="1:11" ht="42" customHeight="1">
      <c r="A1559" s="2" t="s">
        <v>3664</v>
      </c>
      <c r="B1559" s="2" t="s">
        <v>3664</v>
      </c>
      <c r="C1559" s="2" t="s">
        <v>109</v>
      </c>
      <c r="D1559" s="2" t="s">
        <v>26</v>
      </c>
      <c r="E1559" s="5">
        <v>-31774</v>
      </c>
      <c r="F1559" s="3" t="s">
        <v>3665</v>
      </c>
      <c r="G1559" s="3" t="s">
        <v>19</v>
      </c>
      <c r="H1559" s="2" t="s">
        <v>20</v>
      </c>
      <c r="I1559" s="2" t="s">
        <v>3666</v>
      </c>
      <c r="J1559" s="3" t="str">
        <f>HYPERLINK("https://www.boe.es/gazeta/dias/1813/01/01/pdfs/GMD-1813-1.pdf#page=4","Abrir facsímil")</f>
        <v>Abrir facsímil</v>
      </c>
      <c r="K1559" s="3" t="s">
        <v>22</v>
      </c>
    </row>
    <row r="1560" spans="1:11" ht="42" customHeight="1">
      <c r="A1560" s="2" t="s">
        <v>3664</v>
      </c>
      <c r="B1560" s="2" t="s">
        <v>3664</v>
      </c>
      <c r="C1560" s="2" t="s">
        <v>16</v>
      </c>
      <c r="D1560" s="2" t="s">
        <v>17</v>
      </c>
      <c r="E1560" s="5">
        <v>-31773</v>
      </c>
      <c r="F1560" s="3" t="s">
        <v>3667</v>
      </c>
      <c r="G1560" s="3" t="s">
        <v>65</v>
      </c>
      <c r="H1560" s="2" t="s">
        <v>20</v>
      </c>
      <c r="I1560" s="2" t="s">
        <v>3668</v>
      </c>
      <c r="J1560" s="3" t="str">
        <f>HYPERLINK("https://www.boe.es/gazeta/dias/1813/01/02/pdfs/GRE-1813-1.pdf#page=1","Abrir facsímil")</f>
        <v>Abrir facsímil</v>
      </c>
      <c r="K1560" s="3" t="s">
        <v>22</v>
      </c>
    </row>
    <row r="1561" spans="1:11" ht="42" customHeight="1">
      <c r="A1561" s="2" t="s">
        <v>3664</v>
      </c>
      <c r="B1561" s="2" t="s">
        <v>3664</v>
      </c>
      <c r="C1561" s="2" t="s">
        <v>16</v>
      </c>
      <c r="D1561" s="2" t="s">
        <v>17</v>
      </c>
      <c r="E1561" s="5">
        <v>-31761</v>
      </c>
      <c r="F1561" s="3" t="s">
        <v>376</v>
      </c>
      <c r="G1561" s="3" t="s">
        <v>377</v>
      </c>
      <c r="H1561" s="2" t="s">
        <v>20</v>
      </c>
      <c r="I1561" s="2" t="s">
        <v>3669</v>
      </c>
      <c r="J1561" s="3" t="str">
        <f>HYPERLINK("https://www.boe.es/gazeta/dias/1813/01/14/pdfs/GRE-1813-6.pdf#page=3","Abrir facsímil")</f>
        <v>Abrir facsímil</v>
      </c>
      <c r="K1561" s="3" t="s">
        <v>22</v>
      </c>
    </row>
    <row r="1562" spans="1:11" ht="42" customHeight="1">
      <c r="A1562" s="2" t="s">
        <v>3664</v>
      </c>
      <c r="B1562" s="2" t="s">
        <v>3664</v>
      </c>
      <c r="C1562" s="2" t="s">
        <v>25</v>
      </c>
      <c r="D1562" s="2" t="s">
        <v>26</v>
      </c>
      <c r="E1562" s="5">
        <v>-31760</v>
      </c>
      <c r="F1562" s="3" t="s">
        <v>3670</v>
      </c>
      <c r="G1562" s="3" t="s">
        <v>65</v>
      </c>
      <c r="H1562" s="2" t="s">
        <v>20</v>
      </c>
      <c r="I1562" s="2" t="s">
        <v>3671</v>
      </c>
      <c r="J1562" s="3" t="str">
        <f>HYPERLINK("https://www.boe.es/gazeta/dias/1813/01/15/pdfs/GMD-1813-15.pdf#page=1","Abrir facsímil")</f>
        <v>Abrir facsímil</v>
      </c>
      <c r="K1562" s="3" t="s">
        <v>22</v>
      </c>
    </row>
    <row r="1563" spans="1:11" ht="42" customHeight="1">
      <c r="A1563" s="2" t="s">
        <v>3664</v>
      </c>
      <c r="B1563" s="2" t="s">
        <v>3664</v>
      </c>
      <c r="C1563" s="2" t="s">
        <v>435</v>
      </c>
      <c r="D1563" s="2" t="s">
        <v>26</v>
      </c>
      <c r="E1563" s="5">
        <v>-31760</v>
      </c>
      <c r="F1563" s="3" t="s">
        <v>3670</v>
      </c>
      <c r="G1563" s="3" t="s">
        <v>54</v>
      </c>
      <c r="H1563" s="2" t="s">
        <v>20</v>
      </c>
      <c r="I1563" s="2" t="s">
        <v>3672</v>
      </c>
      <c r="J1563" s="3" t="str">
        <f>HYPERLINK("https://www.boe.es/gazeta/dias/1813/01/15/pdfs/GMD-1813-15.pdf#page=3","Abrir facsímil")</f>
        <v>Abrir facsímil</v>
      </c>
      <c r="K1563" s="3" t="s">
        <v>22</v>
      </c>
    </row>
    <row r="1564" spans="1:11" ht="42" customHeight="1">
      <c r="A1564" s="2" t="s">
        <v>3664</v>
      </c>
      <c r="B1564" s="2" t="s">
        <v>3664</v>
      </c>
      <c r="C1564" s="2" t="s">
        <v>25</v>
      </c>
      <c r="D1564" s="2" t="s">
        <v>26</v>
      </c>
      <c r="E1564" s="5">
        <v>-31742</v>
      </c>
      <c r="F1564" s="3" t="s">
        <v>2667</v>
      </c>
      <c r="G1564" s="3" t="s">
        <v>54</v>
      </c>
      <c r="H1564" s="2" t="s">
        <v>20</v>
      </c>
      <c r="I1564" s="2" t="s">
        <v>3673</v>
      </c>
      <c r="J1564" s="3" t="str">
        <f>HYPERLINK("https://www.boe.es/gazeta/dias/1813/02/02/pdfs/GRE-1813-14.pdf#page=3","Abrir facsímil")</f>
        <v>Abrir facsímil</v>
      </c>
      <c r="K1564" s="3" t="s">
        <v>22</v>
      </c>
    </row>
    <row r="1565" spans="1:11" ht="42" customHeight="1">
      <c r="A1565" s="2" t="s">
        <v>3664</v>
      </c>
      <c r="B1565" s="2" t="s">
        <v>3664</v>
      </c>
      <c r="C1565" s="2" t="s">
        <v>34</v>
      </c>
      <c r="D1565" s="2" t="s">
        <v>35</v>
      </c>
      <c r="E1565" s="5">
        <v>-31724</v>
      </c>
      <c r="F1565" s="3" t="s">
        <v>626</v>
      </c>
      <c r="G1565" s="3" t="s">
        <v>58</v>
      </c>
      <c r="H1565" s="2" t="s">
        <v>20</v>
      </c>
      <c r="I1565" s="2" t="s">
        <v>3674</v>
      </c>
      <c r="J1565" s="3" t="str">
        <f>HYPERLINK("https://www.boe.es/gazeta/dias/1813/02/20/pdfs/GRE-1813-22.pdf#page=2","Abrir facsímil")</f>
        <v>Abrir facsímil</v>
      </c>
      <c r="K1565" s="3" t="s">
        <v>22</v>
      </c>
    </row>
    <row r="1566" spans="1:11" ht="42" customHeight="1">
      <c r="A1566" s="2" t="s">
        <v>3664</v>
      </c>
      <c r="B1566" s="2" t="s">
        <v>3664</v>
      </c>
      <c r="C1566" s="2" t="s">
        <v>25</v>
      </c>
      <c r="D1566" s="2" t="s">
        <v>26</v>
      </c>
      <c r="E1566" s="5">
        <v>-31722</v>
      </c>
      <c r="F1566" s="3" t="s">
        <v>3675</v>
      </c>
      <c r="G1566" s="3" t="s">
        <v>58</v>
      </c>
      <c r="H1566" s="2" t="s">
        <v>20</v>
      </c>
      <c r="I1566" s="2" t="s">
        <v>3676</v>
      </c>
      <c r="J1566" s="3" t="str">
        <f>HYPERLINK("https://www.boe.es/gazeta/dias/1813/02/22/pdfs/GMD-1813-53.pdf#page=2","Abrir facsímil")</f>
        <v>Abrir facsímil</v>
      </c>
      <c r="K1566" s="3" t="s">
        <v>22</v>
      </c>
    </row>
    <row r="1567" spans="1:11" ht="42" customHeight="1">
      <c r="A1567" s="2" t="s">
        <v>3664</v>
      </c>
      <c r="B1567" s="2" t="s">
        <v>3664</v>
      </c>
      <c r="C1567" s="2" t="s">
        <v>435</v>
      </c>
      <c r="D1567" s="2" t="s">
        <v>26</v>
      </c>
      <c r="E1567" s="5">
        <v>-31713</v>
      </c>
      <c r="F1567" s="3" t="s">
        <v>3677</v>
      </c>
      <c r="G1567" s="3" t="s">
        <v>65</v>
      </c>
      <c r="H1567" s="2" t="s">
        <v>20</v>
      </c>
      <c r="I1567" s="2" t="s">
        <v>3678</v>
      </c>
      <c r="J1567" s="3" t="str">
        <f>HYPERLINK("https://www.boe.es/gazeta/dias/1813/03/03/pdfs/GMD-1813-62.pdf#page=1","Abrir facsímil")</f>
        <v>Abrir facsímil</v>
      </c>
      <c r="K1567" s="3" t="s">
        <v>22</v>
      </c>
    </row>
    <row r="1568" spans="1:11" ht="42" customHeight="1">
      <c r="A1568" s="2" t="s">
        <v>3664</v>
      </c>
      <c r="B1568" s="2" t="s">
        <v>3664</v>
      </c>
      <c r="C1568" s="2" t="s">
        <v>435</v>
      </c>
      <c r="D1568" s="2" t="s">
        <v>26</v>
      </c>
      <c r="E1568" s="5">
        <v>-31713</v>
      </c>
      <c r="F1568" s="3" t="s">
        <v>3677</v>
      </c>
      <c r="G1568" s="3" t="s">
        <v>58</v>
      </c>
      <c r="H1568" s="2" t="s">
        <v>20</v>
      </c>
      <c r="I1568" s="2" t="s">
        <v>3679</v>
      </c>
      <c r="J1568" s="3" t="str">
        <f>HYPERLINK("https://www.boe.es/gazeta/dias/1813/03/03/pdfs/GMD-1813-62.pdf#page=2","Abrir facsímil")</f>
        <v>Abrir facsímil</v>
      </c>
      <c r="K1568" s="3" t="s">
        <v>22</v>
      </c>
    </row>
    <row r="1569" spans="1:11" ht="42" customHeight="1">
      <c r="A1569" s="2" t="s">
        <v>3664</v>
      </c>
      <c r="B1569" s="2" t="s">
        <v>3664</v>
      </c>
      <c r="C1569" s="2" t="s">
        <v>25</v>
      </c>
      <c r="D1569" s="2" t="s">
        <v>26</v>
      </c>
      <c r="E1569" s="5">
        <v>-31675</v>
      </c>
      <c r="F1569" s="3" t="s">
        <v>2552</v>
      </c>
      <c r="G1569" s="3" t="s">
        <v>58</v>
      </c>
      <c r="H1569" s="2" t="s">
        <v>20</v>
      </c>
      <c r="I1569" s="2" t="s">
        <v>3680</v>
      </c>
      <c r="J1569" s="3" t="str">
        <f>HYPERLINK("https://www.boe.es/gazeta/dias/1813/04/10/pdfs/GMD-1813-100.pdf#page=2","Abrir facsímil")</f>
        <v>Abrir facsímil</v>
      </c>
      <c r="K1569" s="3" t="s">
        <v>22</v>
      </c>
    </row>
    <row r="1570" spans="1:11" ht="42" customHeight="1">
      <c r="A1570" s="2" t="s">
        <v>3664</v>
      </c>
      <c r="B1570" s="2" t="s">
        <v>3664</v>
      </c>
      <c r="C1570" s="2" t="s">
        <v>25</v>
      </c>
      <c r="D1570" s="2" t="s">
        <v>26</v>
      </c>
      <c r="E1570" s="5">
        <v>-31663</v>
      </c>
      <c r="F1570" s="3" t="s">
        <v>871</v>
      </c>
      <c r="G1570" s="3" t="s">
        <v>58</v>
      </c>
      <c r="H1570" s="2" t="s">
        <v>20</v>
      </c>
      <c r="I1570" s="2" t="s">
        <v>3681</v>
      </c>
      <c r="J1570" s="3" t="str">
        <f>HYPERLINK("https://www.boe.es/gazeta/dias/1813/04/22/pdfs/GMD-1813-112.pdf#page=2","Abrir facsímil")</f>
        <v>Abrir facsímil</v>
      </c>
      <c r="K1570" s="3" t="s">
        <v>22</v>
      </c>
    </row>
    <row r="1571" spans="1:11" ht="42" customHeight="1">
      <c r="A1571" s="2" t="s">
        <v>3664</v>
      </c>
      <c r="B1571" s="2" t="s">
        <v>3664</v>
      </c>
      <c r="C1571" s="2" t="s">
        <v>16</v>
      </c>
      <c r="D1571" s="2" t="s">
        <v>17</v>
      </c>
      <c r="E1571" s="5">
        <v>-31654</v>
      </c>
      <c r="F1571" s="3" t="s">
        <v>1519</v>
      </c>
      <c r="G1571" s="3" t="s">
        <v>3682</v>
      </c>
      <c r="H1571" s="2" t="s">
        <v>20</v>
      </c>
      <c r="I1571" s="2" t="s">
        <v>3683</v>
      </c>
      <c r="J1571" s="3" t="str">
        <f>HYPERLINK("https://www.boe.es/gazeta/dias/1813/05/01/pdfs/GRE-1813-54.pdf#page=2","Abrir facsímil")</f>
        <v>Abrir facsímil</v>
      </c>
      <c r="K1571" s="3" t="s">
        <v>22</v>
      </c>
    </row>
    <row r="1572" spans="1:11" ht="42" customHeight="1">
      <c r="A1572" s="2" t="s">
        <v>3664</v>
      </c>
      <c r="B1572" s="2" t="s">
        <v>3664</v>
      </c>
      <c r="C1572" s="2" t="s">
        <v>34</v>
      </c>
      <c r="D1572" s="2" t="s">
        <v>35</v>
      </c>
      <c r="E1572" s="5">
        <v>-31648</v>
      </c>
      <c r="F1572" s="3" t="s">
        <v>3263</v>
      </c>
      <c r="G1572" s="3" t="s">
        <v>58</v>
      </c>
      <c r="H1572" s="2" t="s">
        <v>20</v>
      </c>
      <c r="I1572" s="2" t="s">
        <v>3684</v>
      </c>
      <c r="J1572" s="3" t="str">
        <f>HYPERLINK("https://www.boe.es/gazeta/dias/1813/05/07/pdfs/GMD-1813-127.pdf#page=2","Abrir facsímil")</f>
        <v>Abrir facsímil</v>
      </c>
      <c r="K1572" s="3" t="s">
        <v>22</v>
      </c>
    </row>
    <row r="1573" spans="1:11" ht="42" customHeight="1">
      <c r="A1573" s="2" t="s">
        <v>3664</v>
      </c>
      <c r="B1573" s="2" t="s">
        <v>3664</v>
      </c>
      <c r="C1573" s="2" t="s">
        <v>16</v>
      </c>
      <c r="D1573" s="2" t="s">
        <v>17</v>
      </c>
      <c r="E1573" s="5">
        <v>-31637</v>
      </c>
      <c r="F1573" s="3" t="s">
        <v>234</v>
      </c>
      <c r="G1573" s="3" t="s">
        <v>54</v>
      </c>
      <c r="H1573" s="2" t="s">
        <v>20</v>
      </c>
      <c r="I1573" s="2" t="s">
        <v>3685</v>
      </c>
      <c r="J1573" s="3" t="str">
        <f>HYPERLINK("https://www.boe.es/gazeta/dias/1813/05/18/pdfs/GRE-1813-61.pdf#page=3","Abrir facsímil")</f>
        <v>Abrir facsímil</v>
      </c>
      <c r="K1573" s="3" t="s">
        <v>22</v>
      </c>
    </row>
    <row r="1574" spans="1:11" ht="42" customHeight="1">
      <c r="A1574" s="2" t="s">
        <v>3664</v>
      </c>
      <c r="B1574" s="2" t="s">
        <v>3664</v>
      </c>
      <c r="C1574" s="2" t="s">
        <v>34</v>
      </c>
      <c r="D1574" s="2" t="s">
        <v>35</v>
      </c>
      <c r="E1574" s="5">
        <v>-31598</v>
      </c>
      <c r="F1574" s="3" t="s">
        <v>286</v>
      </c>
      <c r="G1574" s="3" t="s">
        <v>65</v>
      </c>
      <c r="H1574" s="2" t="s">
        <v>20</v>
      </c>
      <c r="I1574" s="2" t="s">
        <v>3686</v>
      </c>
      <c r="J1574" s="3" t="str">
        <f>HYPERLINK("https://www.boe.es/gazeta/dias/1813/06/26/pdfs/GRE-1813-79.pdf#page=1","Abrir facsímil")</f>
        <v>Abrir facsímil</v>
      </c>
      <c r="K1574" s="3" t="s">
        <v>22</v>
      </c>
    </row>
    <row r="1575" spans="1:11" ht="42" customHeight="1">
      <c r="A1575" s="2" t="s">
        <v>3664</v>
      </c>
      <c r="B1575" s="2" t="s">
        <v>3664</v>
      </c>
      <c r="C1575" s="2" t="s">
        <v>16</v>
      </c>
      <c r="D1575" s="2" t="s">
        <v>17</v>
      </c>
      <c r="E1575" s="5">
        <v>-31595</v>
      </c>
      <c r="F1575" s="3" t="s">
        <v>70</v>
      </c>
      <c r="G1575" s="3" t="s">
        <v>87</v>
      </c>
      <c r="H1575" s="2" t="s">
        <v>20</v>
      </c>
      <c r="I1575" s="2" t="s">
        <v>3687</v>
      </c>
      <c r="J1575" s="3" t="str">
        <f>HYPERLINK("https://www.boe.es/gazeta/dias/1813/06/29/pdfs/GMR-1813-13.pdf#page=7","Abrir facsímil")</f>
        <v>Abrir facsímil</v>
      </c>
      <c r="K1575" s="3" t="s">
        <v>22</v>
      </c>
    </row>
    <row r="1576" spans="1:11" ht="42" customHeight="1">
      <c r="A1576" s="2" t="s">
        <v>3664</v>
      </c>
      <c r="B1576" s="2" t="s">
        <v>3664</v>
      </c>
      <c r="C1576" s="2" t="s">
        <v>16</v>
      </c>
      <c r="D1576" s="2" t="s">
        <v>17</v>
      </c>
      <c r="E1576" s="5">
        <v>-31588</v>
      </c>
      <c r="F1576" s="3" t="s">
        <v>2402</v>
      </c>
      <c r="G1576" s="3" t="s">
        <v>65</v>
      </c>
      <c r="H1576" s="2" t="s">
        <v>20</v>
      </c>
      <c r="I1576" s="2" t="s">
        <v>3688</v>
      </c>
      <c r="J1576" s="3" t="str">
        <f>HYPERLINK("https://www.boe.es/gazeta/dias/1813/07/06/pdfs/GRE-1813-84.pdf#page=1","Abrir facsímil")</f>
        <v>Abrir facsímil</v>
      </c>
      <c r="K1576" s="3" t="s">
        <v>22</v>
      </c>
    </row>
    <row r="1577" spans="1:11" ht="42" customHeight="1">
      <c r="A1577" s="2" t="s">
        <v>3664</v>
      </c>
      <c r="B1577" s="2" t="s">
        <v>3664</v>
      </c>
      <c r="C1577" s="2" t="s">
        <v>16</v>
      </c>
      <c r="D1577" s="2" t="s">
        <v>17</v>
      </c>
      <c r="E1577" s="5">
        <v>-31585</v>
      </c>
      <c r="F1577" s="3" t="s">
        <v>177</v>
      </c>
      <c r="G1577" s="3" t="s">
        <v>58</v>
      </c>
      <c r="H1577" s="2" t="s">
        <v>20</v>
      </c>
      <c r="I1577" s="2" t="s">
        <v>3689</v>
      </c>
      <c r="J1577" s="3" t="str">
        <f>HYPERLINK("https://www.boe.es/gazeta/dias/1813/07/09/pdfs/GMR-1813-16.pdf#page=2","Abrir facsímil")</f>
        <v>Abrir facsímil</v>
      </c>
      <c r="K1577" s="3" t="s">
        <v>22</v>
      </c>
    </row>
    <row r="1578" spans="1:11" ht="42" customHeight="1">
      <c r="A1578" s="2" t="s">
        <v>3664</v>
      </c>
      <c r="B1578" s="2" t="s">
        <v>3664</v>
      </c>
      <c r="C1578" s="2" t="s">
        <v>16</v>
      </c>
      <c r="D1578" s="2" t="s">
        <v>17</v>
      </c>
      <c r="E1578" s="5">
        <v>-31578</v>
      </c>
      <c r="F1578" s="3" t="s">
        <v>974</v>
      </c>
      <c r="G1578" s="3" t="s">
        <v>1148</v>
      </c>
      <c r="H1578" s="2" t="s">
        <v>20</v>
      </c>
      <c r="I1578" s="2" t="s">
        <v>3690</v>
      </c>
      <c r="J1578" s="3" t="str">
        <f>HYPERLINK("https://www.boe.es/gazeta/dias/1813/07/16/pdfs/GMR-1813-18.pdf#page=7","Abrir facsímil")</f>
        <v>Abrir facsímil</v>
      </c>
      <c r="K1578" s="3" t="s">
        <v>22</v>
      </c>
    </row>
    <row r="1579" spans="1:11" ht="42" customHeight="1">
      <c r="A1579" s="2" t="s">
        <v>3664</v>
      </c>
      <c r="B1579" s="2" t="s">
        <v>3664</v>
      </c>
      <c r="C1579" s="2" t="s">
        <v>25</v>
      </c>
      <c r="D1579" s="2" t="s">
        <v>26</v>
      </c>
      <c r="E1579" s="5">
        <v>-31578</v>
      </c>
      <c r="F1579" s="3" t="s">
        <v>974</v>
      </c>
      <c r="G1579" s="3" t="s">
        <v>65</v>
      </c>
      <c r="H1579" s="2" t="s">
        <v>20</v>
      </c>
      <c r="I1579" s="2" t="s">
        <v>3691</v>
      </c>
      <c r="J1579" s="3" t="str">
        <f>HYPERLINK("https://www.boe.es/gazeta/dias/1813/07/16/pdfs/GMR-1813-18.pdf#page=1","Abrir facsímil")</f>
        <v>Abrir facsímil</v>
      </c>
      <c r="K1579" s="3" t="s">
        <v>22</v>
      </c>
    </row>
    <row r="1580" spans="1:11" ht="42" customHeight="1">
      <c r="A1580" s="2" t="s">
        <v>3664</v>
      </c>
      <c r="B1580" s="2" t="s">
        <v>3664</v>
      </c>
      <c r="C1580" s="2" t="s">
        <v>16</v>
      </c>
      <c r="D1580" s="2" t="s">
        <v>17</v>
      </c>
      <c r="E1580" s="5">
        <v>-31578</v>
      </c>
      <c r="F1580" s="3" t="s">
        <v>974</v>
      </c>
      <c r="G1580" s="3" t="s">
        <v>82</v>
      </c>
      <c r="H1580" s="2" t="s">
        <v>20</v>
      </c>
      <c r="I1580" s="2" t="s">
        <v>3692</v>
      </c>
      <c r="J1580" s="3" t="str">
        <f>HYPERLINK("https://www.boe.es/gazeta/dias/1813/07/16/pdfs/GMR-1813-18.pdf#page=5","Abrir facsímil")</f>
        <v>Abrir facsímil</v>
      </c>
      <c r="K1580" s="3" t="s">
        <v>22</v>
      </c>
    </row>
    <row r="1581" spans="1:11" ht="42" customHeight="1">
      <c r="A1581" s="2" t="s">
        <v>3664</v>
      </c>
      <c r="B1581" s="2" t="s">
        <v>3664</v>
      </c>
      <c r="C1581" s="2" t="s">
        <v>16</v>
      </c>
      <c r="D1581" s="2" t="s">
        <v>17</v>
      </c>
      <c r="E1581" s="5">
        <v>-31567</v>
      </c>
      <c r="F1581" s="3" t="s">
        <v>820</v>
      </c>
      <c r="G1581" s="3" t="s">
        <v>19</v>
      </c>
      <c r="H1581" s="2" t="s">
        <v>20</v>
      </c>
      <c r="I1581" s="2" t="s">
        <v>3693</v>
      </c>
      <c r="J1581" s="3" t="str">
        <f>HYPERLINK("https://www.boe.es/gazeta/dias/1813/07/27/pdfs/GMR-1813-21.pdf#page=4","Abrir facsímil")</f>
        <v>Abrir facsímil</v>
      </c>
      <c r="K1581" s="3" t="s">
        <v>22</v>
      </c>
    </row>
    <row r="1582" spans="1:11" ht="42" customHeight="1">
      <c r="A1582" s="2" t="s">
        <v>3664</v>
      </c>
      <c r="B1582" s="2" t="s">
        <v>3664</v>
      </c>
      <c r="C1582" s="2" t="s">
        <v>34</v>
      </c>
      <c r="D1582" s="2" t="s">
        <v>35</v>
      </c>
      <c r="E1582" s="5">
        <v>-31556</v>
      </c>
      <c r="F1582" s="3" t="s">
        <v>976</v>
      </c>
      <c r="G1582" s="3" t="s">
        <v>3375</v>
      </c>
      <c r="H1582" s="2" t="s">
        <v>20</v>
      </c>
      <c r="I1582" s="2" t="s">
        <v>3694</v>
      </c>
      <c r="J1582" s="3" t="str">
        <f>HYPERLINK("https://www.boe.es/gazeta/dias/1813/08/07/pdfs/GRE-1813-100.pdf#page=1","Abrir facsímil")</f>
        <v>Abrir facsímil</v>
      </c>
      <c r="K1582" s="3" t="s">
        <v>22</v>
      </c>
    </row>
    <row r="1583" spans="1:11" ht="42" customHeight="1">
      <c r="A1583" s="2" t="s">
        <v>3664</v>
      </c>
      <c r="B1583" s="2" t="s">
        <v>3664</v>
      </c>
      <c r="C1583" s="2" t="s">
        <v>34</v>
      </c>
      <c r="D1583" s="2" t="s">
        <v>35</v>
      </c>
      <c r="E1583" s="5">
        <v>-31553</v>
      </c>
      <c r="F1583" s="3" t="s">
        <v>592</v>
      </c>
      <c r="G1583" s="3" t="s">
        <v>82</v>
      </c>
      <c r="H1583" s="2" t="s">
        <v>20</v>
      </c>
      <c r="I1583" s="2" t="s">
        <v>3695</v>
      </c>
      <c r="J1583" s="3" t="str">
        <f>HYPERLINK("https://www.boe.es/gazeta/dias/1813/08/10/pdfs/GRE-1813-101.pdf#page=5","Abrir facsímil")</f>
        <v>Abrir facsímil</v>
      </c>
      <c r="K1583" s="3" t="s">
        <v>22</v>
      </c>
    </row>
    <row r="1584" spans="1:11" ht="42" customHeight="1">
      <c r="A1584" s="2" t="s">
        <v>3696</v>
      </c>
      <c r="B1584" s="2" t="s">
        <v>3696</v>
      </c>
      <c r="C1584" s="2" t="s">
        <v>16</v>
      </c>
      <c r="D1584" s="2" t="s">
        <v>17</v>
      </c>
      <c r="E1584" s="5">
        <v>-31476</v>
      </c>
      <c r="F1584" s="3" t="s">
        <v>229</v>
      </c>
      <c r="G1584" s="3" t="s">
        <v>65</v>
      </c>
      <c r="H1584" s="2" t="s">
        <v>20</v>
      </c>
      <c r="I1584" s="2" t="s">
        <v>3697</v>
      </c>
      <c r="J1584" s="3" t="str">
        <f>HYPERLINK("https://www.boe.es/gazeta/dias/1813/10/26/pdfs/GRE-1813-140.pdf#page=1","Abrir facsímil")</f>
        <v>Abrir facsímil</v>
      </c>
      <c r="K1584" s="3" t="s">
        <v>22</v>
      </c>
    </row>
    <row r="1585" spans="1:11" ht="42" customHeight="1">
      <c r="A1585" s="2" t="s">
        <v>3664</v>
      </c>
      <c r="B1585" s="2" t="s">
        <v>3664</v>
      </c>
      <c r="C1585" s="2" t="s">
        <v>34</v>
      </c>
      <c r="D1585" s="2" t="s">
        <v>35</v>
      </c>
      <c r="E1585" s="5">
        <v>-31474</v>
      </c>
      <c r="F1585" s="3" t="s">
        <v>130</v>
      </c>
      <c r="G1585" s="3" t="s">
        <v>19</v>
      </c>
      <c r="H1585" s="2" t="s">
        <v>20</v>
      </c>
      <c r="I1585" s="2" t="s">
        <v>3698</v>
      </c>
      <c r="J1585" s="3" t="str">
        <f>HYPERLINK("https://www.boe.es/gazeta/dias/1813/10/28/pdfs/GRE-1813-141.pdf#page=4","Abrir facsímil")</f>
        <v>Abrir facsímil</v>
      </c>
      <c r="K1585" s="3" t="s">
        <v>22</v>
      </c>
    </row>
    <row r="1586" spans="1:11" ht="42" customHeight="1">
      <c r="A1586" s="2" t="s">
        <v>3664</v>
      </c>
      <c r="B1586" s="2" t="s">
        <v>3664</v>
      </c>
      <c r="C1586" s="2" t="s">
        <v>16</v>
      </c>
      <c r="D1586" s="2" t="s">
        <v>17</v>
      </c>
      <c r="E1586" s="5">
        <v>-31432</v>
      </c>
      <c r="F1586" s="3" t="s">
        <v>702</v>
      </c>
      <c r="G1586" s="3" t="s">
        <v>58</v>
      </c>
      <c r="H1586" s="2" t="s">
        <v>20</v>
      </c>
      <c r="I1586" s="2" t="s">
        <v>3699</v>
      </c>
      <c r="J1586" s="3" t="str">
        <f>HYPERLINK("https://www.boe.es/gazeta/dias/1813/12/09/pdfs/GMR-1813-85.pdf#page=2","Abrir facsímil")</f>
        <v>Abrir facsímil</v>
      </c>
      <c r="K1586" s="3" t="s">
        <v>22</v>
      </c>
    </row>
    <row r="1587" spans="1:11" ht="42" customHeight="1">
      <c r="A1587" s="2" t="s">
        <v>3664</v>
      </c>
      <c r="B1587" s="2" t="s">
        <v>3664</v>
      </c>
      <c r="C1587" s="2" t="s">
        <v>34</v>
      </c>
      <c r="D1587" s="2" t="s">
        <v>35</v>
      </c>
      <c r="E1587" s="5">
        <v>-31427</v>
      </c>
      <c r="F1587" s="3" t="s">
        <v>489</v>
      </c>
      <c r="G1587" s="3" t="s">
        <v>95</v>
      </c>
      <c r="H1587" s="2" t="s">
        <v>20</v>
      </c>
      <c r="I1587" s="2" t="s">
        <v>3700</v>
      </c>
      <c r="J1587" s="3" t="str">
        <f>HYPERLINK("https://www.boe.es/gazeta/dias/1813/12/14/pdfs/GMR-1813-87.pdf#page=6","Abrir facsímil")</f>
        <v>Abrir facsímil</v>
      </c>
      <c r="K1587" s="3" t="s">
        <v>22</v>
      </c>
    </row>
    <row r="1588" spans="1:11" ht="42" customHeight="1">
      <c r="A1588" s="2" t="s">
        <v>3664</v>
      </c>
      <c r="B1588" s="2" t="s">
        <v>3664</v>
      </c>
      <c r="C1588" s="2" t="s">
        <v>16</v>
      </c>
      <c r="D1588" s="2" t="s">
        <v>17</v>
      </c>
      <c r="E1588" s="5">
        <v>-31425</v>
      </c>
      <c r="F1588" s="3" t="s">
        <v>1955</v>
      </c>
      <c r="G1588" s="3" t="s">
        <v>54</v>
      </c>
      <c r="H1588" s="2" t="s">
        <v>20</v>
      </c>
      <c r="I1588" s="2" t="s">
        <v>3701</v>
      </c>
      <c r="J1588" s="3" t="str">
        <f>HYPERLINK("https://www.boe.es/gazeta/dias/1813/12/16/pdfs/GMR-1813-88.pdf#page=3","Abrir facsímil")</f>
        <v>Abrir facsímil</v>
      </c>
      <c r="K1588" s="3" t="s">
        <v>22</v>
      </c>
    </row>
    <row r="1589" spans="1:11" ht="42" customHeight="1">
      <c r="A1589" s="2" t="s">
        <v>3664</v>
      </c>
      <c r="B1589" s="2" t="s">
        <v>3664</v>
      </c>
      <c r="C1589" s="2" t="s">
        <v>16</v>
      </c>
      <c r="D1589" s="2" t="s">
        <v>17</v>
      </c>
      <c r="E1589" s="5">
        <v>-31411</v>
      </c>
      <c r="F1589" s="3" t="s">
        <v>3702</v>
      </c>
      <c r="G1589" s="3" t="s">
        <v>54</v>
      </c>
      <c r="H1589" s="2" t="s">
        <v>20</v>
      </c>
      <c r="I1589" s="2" t="s">
        <v>3703</v>
      </c>
      <c r="J1589" s="3" t="str">
        <f>HYPERLINK("https://www.boe.es/gazeta/dias/1813/12/30/pdfs/GRE-1813-171.pdf#page=3","Abrir facsímil")</f>
        <v>Abrir facsímil</v>
      </c>
      <c r="K1589" s="3" t="s">
        <v>22</v>
      </c>
    </row>
    <row r="1590" spans="1:11" ht="42" customHeight="1">
      <c r="A1590" s="2" t="s">
        <v>3704</v>
      </c>
      <c r="B1590" s="2" t="s">
        <v>3705</v>
      </c>
      <c r="C1590" s="2" t="s">
        <v>16</v>
      </c>
      <c r="D1590" s="2" t="s">
        <v>17</v>
      </c>
      <c r="E1590" s="5">
        <v>-31427</v>
      </c>
      <c r="F1590" s="3" t="s">
        <v>489</v>
      </c>
      <c r="G1590" s="3" t="s">
        <v>87</v>
      </c>
      <c r="H1590" s="2" t="s">
        <v>29</v>
      </c>
      <c r="I1590" s="2" t="s">
        <v>3706</v>
      </c>
      <c r="J1590" s="3" t="str">
        <f>HYPERLINK("https://www.boe.es/gazeta/dias/1813/12/14/pdfs/GMR-1813-87.pdf#page=7","Abrir facsímil")</f>
        <v>Abrir facsímil</v>
      </c>
      <c r="K1590" s="3" t="s">
        <v>31</v>
      </c>
    </row>
    <row r="1591" spans="1:11" ht="42" customHeight="1">
      <c r="A1591" s="2" t="s">
        <v>3707</v>
      </c>
      <c r="B1591" s="2" t="s">
        <v>3707</v>
      </c>
      <c r="C1591" s="2" t="s">
        <v>16</v>
      </c>
      <c r="D1591" s="2" t="s">
        <v>17</v>
      </c>
      <c r="E1591" s="5">
        <v>-31479</v>
      </c>
      <c r="F1591" s="3" t="s">
        <v>2383</v>
      </c>
      <c r="G1591" s="3" t="s">
        <v>65</v>
      </c>
      <c r="H1591" s="2" t="s">
        <v>20</v>
      </c>
      <c r="I1591" s="2" t="s">
        <v>3708</v>
      </c>
      <c r="J1591" s="3" t="str">
        <f>HYPERLINK("https://www.boe.es/gazeta/dias/1813/10/23/pdfs/GRE-1813-138.pdf#page=1","Abrir facsímil")</f>
        <v>Abrir facsímil</v>
      </c>
      <c r="K1591" s="3" t="s">
        <v>22</v>
      </c>
    </row>
    <row r="1592" spans="1:11" ht="42" customHeight="1">
      <c r="A1592" s="2" t="s">
        <v>3709</v>
      </c>
      <c r="B1592" s="2" t="s">
        <v>3709</v>
      </c>
      <c r="C1592" s="2" t="s">
        <v>435</v>
      </c>
      <c r="D1592" s="2" t="s">
        <v>26</v>
      </c>
      <c r="E1592" s="5">
        <v>-31556</v>
      </c>
      <c r="F1592" s="3" t="s">
        <v>118</v>
      </c>
      <c r="G1592" s="3" t="s">
        <v>54</v>
      </c>
      <c r="H1592" s="2" t="s">
        <v>20</v>
      </c>
      <c r="I1592" s="2" t="s">
        <v>3710</v>
      </c>
      <c r="J1592" s="3" t="str">
        <f>HYPERLINK("https://www.boe.es/gazeta/dias/1813/08/07/pdfs/GMR-1813-25.pdf#page=3","Abrir facsímil")</f>
        <v>Abrir facsímil</v>
      </c>
      <c r="K1592" s="3" t="s">
        <v>22</v>
      </c>
    </row>
    <row r="1593" spans="1:11" ht="42" customHeight="1">
      <c r="A1593" s="2" t="s">
        <v>3711</v>
      </c>
      <c r="B1593" s="2" t="s">
        <v>3711</v>
      </c>
      <c r="C1593" s="2" t="s">
        <v>109</v>
      </c>
      <c r="D1593" s="2" t="s">
        <v>26</v>
      </c>
      <c r="E1593" s="5">
        <v>-31667</v>
      </c>
      <c r="F1593" s="3" t="s">
        <v>3712</v>
      </c>
      <c r="G1593" s="3" t="s">
        <v>58</v>
      </c>
      <c r="H1593" s="2" t="s">
        <v>20</v>
      </c>
      <c r="I1593" s="2" t="s">
        <v>3713</v>
      </c>
      <c r="J1593" s="3" t="str">
        <f>HYPERLINK("https://www.boe.es/gazeta/dias/1813/04/18/pdfs/GMD-1813-108.pdf#page=2","Abrir facsímil")</f>
        <v>Abrir facsímil</v>
      </c>
      <c r="K1593" s="3" t="s">
        <v>22</v>
      </c>
    </row>
    <row r="1594" spans="1:11" ht="42" customHeight="1">
      <c r="A1594" s="2" t="s">
        <v>3714</v>
      </c>
      <c r="B1594" s="2" t="s">
        <v>3714</v>
      </c>
      <c r="C1594" s="2" t="s">
        <v>16</v>
      </c>
      <c r="D1594" s="2" t="s">
        <v>17</v>
      </c>
      <c r="E1594" s="5">
        <v>-31430</v>
      </c>
      <c r="F1594" s="3" t="s">
        <v>1731</v>
      </c>
      <c r="G1594" s="3" t="s">
        <v>82</v>
      </c>
      <c r="H1594" s="2" t="s">
        <v>20</v>
      </c>
      <c r="I1594" s="2" t="s">
        <v>3715</v>
      </c>
      <c r="J1594" s="3" t="str">
        <f>HYPERLINK("https://www.boe.es/gazeta/dias/1813/12/11/pdfs/GRE-1813-163.pdf#page=5","Abrir facsímil")</f>
        <v>Abrir facsímil</v>
      </c>
      <c r="K1594" s="3" t="s">
        <v>22</v>
      </c>
    </row>
    <row r="1595" spans="1:11" ht="42" customHeight="1">
      <c r="A1595" s="2" t="s">
        <v>3716</v>
      </c>
      <c r="B1595" s="2" t="s">
        <v>3716</v>
      </c>
      <c r="C1595" s="2" t="s">
        <v>16</v>
      </c>
      <c r="D1595" s="2" t="s">
        <v>17</v>
      </c>
      <c r="E1595" s="5">
        <v>-31649</v>
      </c>
      <c r="F1595" s="3" t="s">
        <v>1057</v>
      </c>
      <c r="G1595" s="3" t="s">
        <v>3717</v>
      </c>
      <c r="H1595" s="2" t="s">
        <v>20</v>
      </c>
      <c r="I1595" s="2" t="s">
        <v>3718</v>
      </c>
      <c r="J1595" s="3" t="str">
        <f>HYPERLINK("https://www.boe.es/gazeta/dias/1813/05/06/pdfs/GRE-1813-56.pdf#page=7","Abrir facsímil")</f>
        <v>Abrir facsímil</v>
      </c>
      <c r="K1595" s="3" t="s">
        <v>22</v>
      </c>
    </row>
    <row r="1596" spans="1:11" ht="42" customHeight="1">
      <c r="A1596" s="2" t="s">
        <v>3716</v>
      </c>
      <c r="B1596" s="2" t="s">
        <v>3716</v>
      </c>
      <c r="C1596" s="2" t="s">
        <v>16</v>
      </c>
      <c r="D1596" s="2" t="s">
        <v>17</v>
      </c>
      <c r="E1596" s="5">
        <v>-31618</v>
      </c>
      <c r="F1596" s="3" t="s">
        <v>1057</v>
      </c>
      <c r="G1596" s="3" t="s">
        <v>3717</v>
      </c>
      <c r="H1596" s="2" t="s">
        <v>20</v>
      </c>
      <c r="I1596" s="2" t="s">
        <v>3718</v>
      </c>
      <c r="J1596" s="3" t="str">
        <f>HYPERLINK("https://www.boe.es/gazeta/dias/1813/06/06/pdfs/GRE-1813-56.pdf#page=7","Abrir facsímil")</f>
        <v>Abrir facsímil</v>
      </c>
      <c r="K1596" s="3" t="s">
        <v>22</v>
      </c>
    </row>
    <row r="1597" spans="1:11" ht="42" customHeight="1">
      <c r="A1597" s="2" t="s">
        <v>3719</v>
      </c>
      <c r="B1597" s="2" t="s">
        <v>3719</v>
      </c>
      <c r="C1597" s="2" t="s">
        <v>25</v>
      </c>
      <c r="D1597" s="2" t="s">
        <v>26</v>
      </c>
      <c r="E1597" s="5">
        <v>-31712</v>
      </c>
      <c r="F1597" s="3" t="s">
        <v>719</v>
      </c>
      <c r="G1597" s="3" t="s">
        <v>58</v>
      </c>
      <c r="H1597" s="2" t="s">
        <v>20</v>
      </c>
      <c r="I1597" s="2" t="s">
        <v>3720</v>
      </c>
      <c r="J1597" s="3" t="str">
        <f>HYPERLINK("https://www.boe.es/gazeta/dias/1813/03/04/pdfs/GMD-1813-63.pdf#page=2","Abrir facsímil")</f>
        <v>Abrir facsímil</v>
      </c>
      <c r="K1597" s="3" t="s">
        <v>22</v>
      </c>
    </row>
    <row r="1598" spans="1:11" ht="42" customHeight="1">
      <c r="A1598" s="2" t="s">
        <v>3721</v>
      </c>
      <c r="B1598" s="2" t="s">
        <v>3721</v>
      </c>
      <c r="C1598" s="2" t="s">
        <v>34</v>
      </c>
      <c r="D1598" s="2" t="s">
        <v>35</v>
      </c>
      <c r="E1598" s="5">
        <v>-31749</v>
      </c>
      <c r="F1598" s="3" t="s">
        <v>1515</v>
      </c>
      <c r="G1598" s="3" t="s">
        <v>3722</v>
      </c>
      <c r="H1598" s="2" t="s">
        <v>20</v>
      </c>
      <c r="I1598" s="2" t="s">
        <v>3723</v>
      </c>
      <c r="J1598" s="3" t="str">
        <f>HYPERLINK("https://www.boe.es/gazeta/dias/1813/01/26/pdfs/GRE-1813-11.pdf#page=2","Abrir facsímil")</f>
        <v>Abrir facsímil</v>
      </c>
      <c r="K1598" s="3" t="s">
        <v>22</v>
      </c>
    </row>
    <row r="1599" spans="1:11" ht="42" customHeight="1">
      <c r="A1599" s="2" t="s">
        <v>3724</v>
      </c>
      <c r="B1599" s="2" t="s">
        <v>3725</v>
      </c>
      <c r="C1599" s="2" t="s">
        <v>16</v>
      </c>
      <c r="D1599" s="2" t="s">
        <v>97</v>
      </c>
      <c r="E1599" s="5">
        <v>-31519</v>
      </c>
      <c r="F1599" s="3" t="s">
        <v>312</v>
      </c>
      <c r="G1599" s="3" t="s">
        <v>313</v>
      </c>
      <c r="H1599" s="2" t="s">
        <v>20</v>
      </c>
      <c r="I1599" s="2" t="s">
        <v>3726</v>
      </c>
      <c r="J1599" s="3" t="str">
        <f>HYPERLINK("https://www.boe.es/gazeta/dias/1813/09/13/pdfs/GRE-1813-118E.pdf#page=9","Abrir facsímil")</f>
        <v>Abrir facsímil</v>
      </c>
      <c r="K1599" s="3" t="s">
        <v>22</v>
      </c>
    </row>
    <row r="1600" spans="1:11" ht="42" customHeight="1">
      <c r="A1600" s="2" t="s">
        <v>3727</v>
      </c>
      <c r="B1600" s="2" t="s">
        <v>3728</v>
      </c>
      <c r="C1600" s="2" t="s">
        <v>25</v>
      </c>
      <c r="D1600" s="2" t="s">
        <v>26</v>
      </c>
      <c r="E1600" s="5">
        <v>-31507</v>
      </c>
      <c r="F1600" s="3" t="s">
        <v>61</v>
      </c>
      <c r="G1600" s="3" t="s">
        <v>28</v>
      </c>
      <c r="H1600" s="2" t="s">
        <v>20</v>
      </c>
      <c r="I1600" s="2" t="s">
        <v>3729</v>
      </c>
      <c r="J1600" s="3" t="str">
        <f>HYPERLINK("https://www.boe.es/gazeta/dias/1813/09/25/pdfs/GMR-1813-48.pdf#page=8","Abrir facsímil")</f>
        <v>Abrir facsímil</v>
      </c>
      <c r="K1600" s="3" t="s">
        <v>22</v>
      </c>
    </row>
    <row r="1601" spans="1:11" ht="42" customHeight="1">
      <c r="A1601" s="2" t="s">
        <v>3730</v>
      </c>
      <c r="B1601" s="2" t="s">
        <v>3730</v>
      </c>
      <c r="C1601" s="2" t="s">
        <v>16</v>
      </c>
      <c r="D1601" s="2" t="s">
        <v>17</v>
      </c>
      <c r="E1601" s="5">
        <v>-31630</v>
      </c>
      <c r="F1601" s="3" t="s">
        <v>1324</v>
      </c>
      <c r="G1601" s="3" t="s">
        <v>3731</v>
      </c>
      <c r="H1601" s="2" t="s">
        <v>20</v>
      </c>
      <c r="I1601" s="2" t="s">
        <v>3732</v>
      </c>
      <c r="J1601" s="3" t="str">
        <f>HYPERLINK("https://www.boe.es/gazeta/dias/1813/05/25/pdfs/GRE-1813-64.pdf#page=7","Abrir facsímil")</f>
        <v>Abrir facsímil</v>
      </c>
      <c r="K1601" s="3" t="s">
        <v>22</v>
      </c>
    </row>
    <row r="1602" spans="1:11" ht="42" customHeight="1">
      <c r="A1602" s="2" t="s">
        <v>3733</v>
      </c>
      <c r="B1602" s="2" t="s">
        <v>3734</v>
      </c>
      <c r="C1602" s="2" t="s">
        <v>16</v>
      </c>
      <c r="D1602" s="2" t="s">
        <v>17</v>
      </c>
      <c r="E1602" s="5">
        <v>-31684</v>
      </c>
      <c r="F1602" s="3" t="s">
        <v>427</v>
      </c>
      <c r="G1602" s="3" t="s">
        <v>1123</v>
      </c>
      <c r="H1602" s="2" t="s">
        <v>20</v>
      </c>
      <c r="I1602" s="2" t="s">
        <v>3735</v>
      </c>
      <c r="J1602" s="3" t="str">
        <f>HYPERLINK("https://www.boe.es/gazeta/dias/1813/04/01/pdfs/GRE-1813-40.pdf#page=8","Abrir facsímil")</f>
        <v>Abrir facsímil</v>
      </c>
      <c r="K1602" s="3" t="s">
        <v>22</v>
      </c>
    </row>
    <row r="1603" spans="1:11" ht="42" customHeight="1">
      <c r="A1603" s="2" t="s">
        <v>3736</v>
      </c>
      <c r="B1603" s="2" t="s">
        <v>3737</v>
      </c>
      <c r="C1603" s="2" t="s">
        <v>34</v>
      </c>
      <c r="D1603" s="2" t="s">
        <v>35</v>
      </c>
      <c r="E1603" s="5">
        <v>-31418</v>
      </c>
      <c r="F1603" s="3" t="s">
        <v>1529</v>
      </c>
      <c r="G1603" s="3" t="s">
        <v>3738</v>
      </c>
      <c r="H1603" s="2" t="s">
        <v>20</v>
      </c>
      <c r="I1603" s="2" t="s">
        <v>3739</v>
      </c>
      <c r="J1603" s="3" t="str">
        <f>HYPERLINK("https://www.boe.es/gazeta/dias/1813/12/23/pdfs/GMR-1813-91.pdf#page=8","Abrir facsímil")</f>
        <v>Abrir facsímil</v>
      </c>
      <c r="K1603" s="3" t="s">
        <v>22</v>
      </c>
    </row>
    <row r="1604" spans="1:11" ht="42" customHeight="1">
      <c r="A1604" s="2" t="s">
        <v>3740</v>
      </c>
      <c r="B1604" s="2" t="s">
        <v>3741</v>
      </c>
      <c r="C1604" s="2" t="s">
        <v>34</v>
      </c>
      <c r="D1604" s="2" t="s">
        <v>35</v>
      </c>
      <c r="E1604" s="5">
        <v>-31709</v>
      </c>
      <c r="F1604" s="3" t="s">
        <v>36</v>
      </c>
      <c r="G1604" s="3" t="s">
        <v>303</v>
      </c>
      <c r="H1604" s="2" t="s">
        <v>20</v>
      </c>
      <c r="I1604" s="2" t="s">
        <v>3742</v>
      </c>
      <c r="J1604" s="3" t="str">
        <f>HYPERLINK("https://www.boe.es/gazeta/dias/1813/03/07/pdfs/GMD-1813-66.pdf#page=3","Abrir facsímil")</f>
        <v>Abrir facsímil</v>
      </c>
      <c r="K1604" s="3" t="s">
        <v>22</v>
      </c>
    </row>
    <row r="1605" spans="1:11" ht="42" customHeight="1">
      <c r="A1605" s="2" t="s">
        <v>3743</v>
      </c>
      <c r="B1605" s="2" t="s">
        <v>3744</v>
      </c>
      <c r="C1605" s="2" t="s">
        <v>25</v>
      </c>
      <c r="D1605" s="2" t="s">
        <v>26</v>
      </c>
      <c r="E1605" s="5">
        <v>-31665</v>
      </c>
      <c r="F1605" s="3" t="s">
        <v>396</v>
      </c>
      <c r="G1605" s="3" t="s">
        <v>95</v>
      </c>
      <c r="H1605" s="2" t="s">
        <v>20</v>
      </c>
      <c r="I1605" s="2" t="s">
        <v>3745</v>
      </c>
      <c r="J1605" s="3" t="str">
        <f>HYPERLINK("https://www.boe.es/gazeta/dias/1813/04/20/pdfs/GRE-1813-49.pdf#page=6","Abrir facsímil")</f>
        <v>Abrir facsímil</v>
      </c>
      <c r="K1605" s="3" t="s">
        <v>22</v>
      </c>
    </row>
    <row r="1606" spans="1:11" ht="42" customHeight="1">
      <c r="A1606" s="2" t="s">
        <v>3746</v>
      </c>
      <c r="B1606" s="2" t="s">
        <v>3747</v>
      </c>
      <c r="C1606" s="2" t="s">
        <v>16</v>
      </c>
      <c r="D1606" s="2" t="s">
        <v>17</v>
      </c>
      <c r="E1606" s="5">
        <v>-31630</v>
      </c>
      <c r="F1606" s="3" t="s">
        <v>1324</v>
      </c>
      <c r="G1606" s="3" t="s">
        <v>3155</v>
      </c>
      <c r="H1606" s="2" t="s">
        <v>20</v>
      </c>
      <c r="I1606" s="2" t="s">
        <v>3748</v>
      </c>
      <c r="J1606" s="3" t="str">
        <f>HYPERLINK("https://www.boe.es/gazeta/dias/1813/05/25/pdfs/GRE-1813-64.pdf#page=8","Abrir facsímil")</f>
        <v>Abrir facsímil</v>
      </c>
      <c r="K1606" s="3" t="s">
        <v>22</v>
      </c>
    </row>
    <row r="1607" spans="1:11" ht="42" customHeight="1">
      <c r="A1607" s="2" t="s">
        <v>3749</v>
      </c>
      <c r="B1607" s="2" t="s">
        <v>3750</v>
      </c>
      <c r="C1607" s="2" t="s">
        <v>34</v>
      </c>
      <c r="D1607" s="2" t="s">
        <v>35</v>
      </c>
      <c r="E1607" s="5">
        <v>-31709</v>
      </c>
      <c r="F1607" s="3" t="s">
        <v>36</v>
      </c>
      <c r="G1607" s="3" t="s">
        <v>303</v>
      </c>
      <c r="H1607" s="2" t="s">
        <v>20</v>
      </c>
      <c r="I1607" s="2" t="s">
        <v>3751</v>
      </c>
      <c r="J1607" s="3" t="str">
        <f>HYPERLINK("https://www.boe.es/gazeta/dias/1813/03/07/pdfs/GMD-1813-66.pdf#page=3","Abrir facsímil")</f>
        <v>Abrir facsímil</v>
      </c>
      <c r="K1607" s="3" t="s">
        <v>22</v>
      </c>
    </row>
    <row r="1608" spans="1:11" ht="42" customHeight="1">
      <c r="A1608" s="2" t="s">
        <v>3752</v>
      </c>
      <c r="B1608" s="2" t="s">
        <v>3752</v>
      </c>
      <c r="C1608" s="2" t="s">
        <v>34</v>
      </c>
      <c r="D1608" s="2" t="s">
        <v>35</v>
      </c>
      <c r="E1608" s="5">
        <v>-31481</v>
      </c>
      <c r="F1608" s="3" t="s">
        <v>380</v>
      </c>
      <c r="G1608" s="3" t="s">
        <v>65</v>
      </c>
      <c r="H1608" s="2" t="s">
        <v>20</v>
      </c>
      <c r="I1608" s="2" t="s">
        <v>3753</v>
      </c>
      <c r="J1608" s="3" t="str">
        <f>HYPERLINK("https://www.boe.es/gazeta/dias/1813/10/21/pdfs/GRE-1813-137.pdf#page=1","Abrir facsímil")</f>
        <v>Abrir facsímil</v>
      </c>
      <c r="K1608" s="3" t="s">
        <v>22</v>
      </c>
    </row>
    <row r="1609" spans="1:11" ht="42" customHeight="1">
      <c r="A1609" s="2" t="s">
        <v>3754</v>
      </c>
      <c r="B1609" s="2" t="s">
        <v>3755</v>
      </c>
      <c r="C1609" s="2" t="s">
        <v>16</v>
      </c>
      <c r="D1609" s="2" t="s">
        <v>17</v>
      </c>
      <c r="E1609" s="5">
        <v>-31609</v>
      </c>
      <c r="F1609" s="3" t="s">
        <v>711</v>
      </c>
      <c r="G1609" s="3" t="s">
        <v>87</v>
      </c>
      <c r="H1609" s="2" t="s">
        <v>20</v>
      </c>
      <c r="I1609" s="2" t="s">
        <v>3756</v>
      </c>
      <c r="J1609" s="3" t="str">
        <f>HYPERLINK("https://www.boe.es/gazeta/dias/1813/06/15/pdfs/GMR-1813-6.pdf#page=7","Abrir facsímil")</f>
        <v>Abrir facsímil</v>
      </c>
      <c r="K1609" s="3" t="s">
        <v>22</v>
      </c>
    </row>
    <row r="1610" spans="1:11" ht="42" customHeight="1">
      <c r="A1610" s="2" t="s">
        <v>3757</v>
      </c>
      <c r="B1610" s="2" t="s">
        <v>3757</v>
      </c>
      <c r="C1610" s="2" t="s">
        <v>16</v>
      </c>
      <c r="D1610" s="2" t="s">
        <v>17</v>
      </c>
      <c r="E1610" s="5">
        <v>-31530</v>
      </c>
      <c r="F1610" s="3" t="s">
        <v>319</v>
      </c>
      <c r="G1610" s="3" t="s">
        <v>65</v>
      </c>
      <c r="H1610" s="2" t="s">
        <v>20</v>
      </c>
      <c r="I1610" s="2" t="s">
        <v>3758</v>
      </c>
      <c r="J1610" s="3" t="str">
        <f>HYPERLINK("https://www.boe.es/gazeta/dias/1813/09/02/pdfs/GRE-1813-112.pdf#page=1","Abrir facsímil")</f>
        <v>Abrir facsímil</v>
      </c>
      <c r="K1610" s="3" t="s">
        <v>22</v>
      </c>
    </row>
    <row r="1611" spans="1:11" ht="42" customHeight="1">
      <c r="A1611" s="2" t="s">
        <v>3759</v>
      </c>
      <c r="B1611" s="2" t="s">
        <v>3759</v>
      </c>
      <c r="C1611" s="2" t="s">
        <v>16</v>
      </c>
      <c r="D1611" s="2" t="s">
        <v>17</v>
      </c>
      <c r="E1611" s="5">
        <v>-31735</v>
      </c>
      <c r="F1611" s="3" t="s">
        <v>558</v>
      </c>
      <c r="G1611" s="3" t="s">
        <v>559</v>
      </c>
      <c r="H1611" s="2" t="s">
        <v>20</v>
      </c>
      <c r="I1611" s="2" t="s">
        <v>3760</v>
      </c>
      <c r="J1611" s="3" t="str">
        <f>HYPERLINK("https://www.boe.es/gazeta/dias/1813/02/09/pdfs/GRE-1813-17.pdf#page=5","Abrir facsímil")</f>
        <v>Abrir facsímil</v>
      </c>
      <c r="K1611" s="3" t="s">
        <v>22</v>
      </c>
    </row>
    <row r="1612" spans="1:11" ht="42" customHeight="1">
      <c r="A1612" s="2" t="s">
        <v>3759</v>
      </c>
      <c r="B1612" s="2" t="s">
        <v>3759</v>
      </c>
      <c r="C1612" s="2" t="s">
        <v>25</v>
      </c>
      <c r="D1612" s="2" t="s">
        <v>26</v>
      </c>
      <c r="E1612" s="5">
        <v>-31602</v>
      </c>
      <c r="F1612" s="3" t="s">
        <v>2117</v>
      </c>
      <c r="G1612" s="3" t="s">
        <v>58</v>
      </c>
      <c r="H1612" s="2" t="s">
        <v>20</v>
      </c>
      <c r="I1612" s="2" t="s">
        <v>3761</v>
      </c>
      <c r="J1612" s="3" t="str">
        <f>HYPERLINK("https://www.boe.es/gazeta/dias/1813/06/22/pdfs/GMR-1813-9.pdf#page=2","Abrir facsímil")</f>
        <v>Abrir facsímil</v>
      </c>
      <c r="K1612" s="3" t="s">
        <v>22</v>
      </c>
    </row>
    <row r="1613" spans="1:11" ht="42" customHeight="1">
      <c r="A1613" s="2" t="s">
        <v>3759</v>
      </c>
      <c r="B1613" s="2" t="s">
        <v>3759</v>
      </c>
      <c r="C1613" s="2" t="s">
        <v>16</v>
      </c>
      <c r="D1613" s="2" t="s">
        <v>17</v>
      </c>
      <c r="E1613" s="5">
        <v>-31602</v>
      </c>
      <c r="F1613" s="3" t="s">
        <v>2117</v>
      </c>
      <c r="G1613" s="3" t="s">
        <v>87</v>
      </c>
      <c r="H1613" s="2" t="s">
        <v>20</v>
      </c>
      <c r="I1613" s="2" t="s">
        <v>3762</v>
      </c>
      <c r="J1613" s="3" t="str">
        <f>HYPERLINK("https://www.boe.es/gazeta/dias/1813/06/22/pdfs/GMR-1813-9.pdf#page=7","Abrir facsímil")</f>
        <v>Abrir facsímil</v>
      </c>
      <c r="K1613" s="3" t="s">
        <v>22</v>
      </c>
    </row>
    <row r="1614" spans="1:11" ht="42" customHeight="1">
      <c r="A1614" s="2" t="s">
        <v>3759</v>
      </c>
      <c r="B1614" s="2" t="s">
        <v>3759</v>
      </c>
      <c r="C1614" s="2" t="s">
        <v>16</v>
      </c>
      <c r="D1614" s="2" t="s">
        <v>17</v>
      </c>
      <c r="E1614" s="5">
        <v>-31595</v>
      </c>
      <c r="F1614" s="3" t="s">
        <v>70</v>
      </c>
      <c r="G1614" s="3" t="s">
        <v>95</v>
      </c>
      <c r="H1614" s="2" t="s">
        <v>20</v>
      </c>
      <c r="I1614" s="2" t="s">
        <v>3763</v>
      </c>
      <c r="J1614" s="3" t="str">
        <f>HYPERLINK("https://www.boe.es/gazeta/dias/1813/06/29/pdfs/GMR-1813-13.pdf#page=6","Abrir facsímil")</f>
        <v>Abrir facsímil</v>
      </c>
      <c r="K1614" s="3" t="s">
        <v>22</v>
      </c>
    </row>
    <row r="1615" spans="1:11" ht="42" customHeight="1">
      <c r="A1615" s="2" t="s">
        <v>3764</v>
      </c>
      <c r="B1615" s="2" t="s">
        <v>3764</v>
      </c>
      <c r="C1615" s="2" t="s">
        <v>16</v>
      </c>
      <c r="D1615" s="2" t="s">
        <v>17</v>
      </c>
      <c r="E1615" s="5">
        <v>-31749</v>
      </c>
      <c r="F1615" s="3" t="s">
        <v>3765</v>
      </c>
      <c r="G1615" s="3" t="s">
        <v>65</v>
      </c>
      <c r="H1615" s="2" t="s">
        <v>20</v>
      </c>
      <c r="I1615" s="2" t="s">
        <v>3766</v>
      </c>
      <c r="J1615" s="3" t="str">
        <f>HYPERLINK("https://www.boe.es/gazeta/dias/1813/01/26/pdfs/GMD-1813-26.pdf#page=1","Abrir facsímil")</f>
        <v>Abrir facsímil</v>
      </c>
      <c r="K1615" s="3" t="s">
        <v>22</v>
      </c>
    </row>
    <row r="1616" spans="1:11" ht="42" customHeight="1">
      <c r="A1616" s="2" t="s">
        <v>3764</v>
      </c>
      <c r="B1616" s="2" t="s">
        <v>3764</v>
      </c>
      <c r="C1616" s="2" t="s">
        <v>16</v>
      </c>
      <c r="D1616" s="2" t="s">
        <v>17</v>
      </c>
      <c r="E1616" s="5">
        <v>-31727</v>
      </c>
      <c r="F1616" s="3" t="s">
        <v>3767</v>
      </c>
      <c r="G1616" s="3" t="s">
        <v>19</v>
      </c>
      <c r="H1616" s="2" t="s">
        <v>20</v>
      </c>
      <c r="I1616" s="2" t="s">
        <v>3768</v>
      </c>
      <c r="J1616" s="3" t="str">
        <f>HYPERLINK("https://www.boe.es/gazeta/dias/1813/02/17/pdfs/GMD-1813-48.pdf#page=4","Abrir facsímil")</f>
        <v>Abrir facsímil</v>
      </c>
      <c r="K1616" s="3" t="s">
        <v>22</v>
      </c>
    </row>
    <row r="1617" spans="1:11" ht="42" customHeight="1">
      <c r="A1617" s="2" t="s">
        <v>3769</v>
      </c>
      <c r="B1617" s="2" t="s">
        <v>3769</v>
      </c>
      <c r="C1617" s="2" t="s">
        <v>16</v>
      </c>
      <c r="D1617" s="2" t="s">
        <v>17</v>
      </c>
      <c r="E1617" s="5">
        <v>-31588</v>
      </c>
      <c r="F1617" s="3" t="s">
        <v>2402</v>
      </c>
      <c r="G1617" s="3" t="s">
        <v>65</v>
      </c>
      <c r="H1617" s="2" t="s">
        <v>20</v>
      </c>
      <c r="I1617" s="2" t="s">
        <v>3770</v>
      </c>
      <c r="J1617" s="3" t="str">
        <f>HYPERLINK("https://www.boe.es/gazeta/dias/1813/07/06/pdfs/GRE-1813-84.pdf#page=1","Abrir facsímil")</f>
        <v>Abrir facsímil</v>
      </c>
      <c r="K1617" s="3" t="s">
        <v>22</v>
      </c>
    </row>
    <row r="1618" spans="1:11" ht="42" customHeight="1">
      <c r="A1618" s="2" t="s">
        <v>3771</v>
      </c>
      <c r="B1618" s="2" t="s">
        <v>3771</v>
      </c>
      <c r="C1618" s="2" t="s">
        <v>25</v>
      </c>
      <c r="D1618" s="2" t="s">
        <v>26</v>
      </c>
      <c r="E1618" s="5">
        <v>-31763</v>
      </c>
      <c r="F1618" s="3" t="s">
        <v>668</v>
      </c>
      <c r="G1618" s="3" t="s">
        <v>19</v>
      </c>
      <c r="H1618" s="2" t="s">
        <v>20</v>
      </c>
      <c r="I1618" s="2" t="s">
        <v>3772</v>
      </c>
      <c r="J1618" s="3" t="str">
        <f>HYPERLINK("https://www.boe.es/gazeta/dias/1813/01/12/pdfs/GRE-1813-5.pdf#page=4","Abrir facsímil")</f>
        <v>Abrir facsímil</v>
      </c>
      <c r="K1618" s="3" t="s">
        <v>22</v>
      </c>
    </row>
    <row r="1619" spans="1:11" ht="42" customHeight="1">
      <c r="A1619" s="2" t="s">
        <v>3771</v>
      </c>
      <c r="B1619" s="2" t="s">
        <v>3771</v>
      </c>
      <c r="C1619" s="2" t="s">
        <v>16</v>
      </c>
      <c r="D1619" s="2" t="s">
        <v>17</v>
      </c>
      <c r="E1619" s="5">
        <v>-31759</v>
      </c>
      <c r="F1619" s="3" t="s">
        <v>419</v>
      </c>
      <c r="G1619" s="3" t="s">
        <v>54</v>
      </c>
      <c r="H1619" s="2" t="s">
        <v>20</v>
      </c>
      <c r="I1619" s="2" t="s">
        <v>3773</v>
      </c>
      <c r="J1619" s="3" t="str">
        <f>HYPERLINK("https://www.boe.es/gazeta/dias/1813/01/16/pdfs/GRE-1813-7.pdf#page=3","Abrir facsímil")</f>
        <v>Abrir facsímil</v>
      </c>
      <c r="K1619" s="3" t="s">
        <v>22</v>
      </c>
    </row>
    <row r="1620" spans="1:11" ht="42" customHeight="1">
      <c r="A1620" s="2" t="s">
        <v>3771</v>
      </c>
      <c r="B1620" s="2" t="s">
        <v>3771</v>
      </c>
      <c r="C1620" s="2" t="s">
        <v>16</v>
      </c>
      <c r="D1620" s="2" t="s">
        <v>17</v>
      </c>
      <c r="E1620" s="5">
        <v>-31754</v>
      </c>
      <c r="F1620" s="3" t="s">
        <v>899</v>
      </c>
      <c r="G1620" s="3" t="s">
        <v>3774</v>
      </c>
      <c r="H1620" s="2" t="s">
        <v>20</v>
      </c>
      <c r="I1620" s="2" t="s">
        <v>3775</v>
      </c>
      <c r="J1620" s="3" t="str">
        <f>HYPERLINK("https://www.boe.es/gazeta/dias/1813/01/21/pdfs/GRE-1813-9.pdf#page=6","Abrir facsímil")</f>
        <v>Abrir facsímil</v>
      </c>
      <c r="K1620" s="3" t="s">
        <v>22</v>
      </c>
    </row>
    <row r="1621" spans="1:11" ht="42" customHeight="1">
      <c r="A1621" s="2" t="s">
        <v>3771</v>
      </c>
      <c r="B1621" s="2" t="s">
        <v>3771</v>
      </c>
      <c r="C1621" s="2" t="s">
        <v>16</v>
      </c>
      <c r="D1621" s="2" t="s">
        <v>17</v>
      </c>
      <c r="E1621" s="5">
        <v>-31754</v>
      </c>
      <c r="F1621" s="3" t="s">
        <v>899</v>
      </c>
      <c r="G1621" s="3" t="s">
        <v>65</v>
      </c>
      <c r="H1621" s="2" t="s">
        <v>20</v>
      </c>
      <c r="I1621" s="2" t="s">
        <v>3776</v>
      </c>
      <c r="J1621" s="3" t="str">
        <f>HYPERLINK("https://www.boe.es/gazeta/dias/1813/01/21/pdfs/GRE-1813-9.pdf#page=1","Abrir facsímil")</f>
        <v>Abrir facsímil</v>
      </c>
      <c r="K1621" s="3" t="s">
        <v>22</v>
      </c>
    </row>
    <row r="1622" spans="1:11" ht="42" customHeight="1">
      <c r="A1622" s="2" t="s">
        <v>3771</v>
      </c>
      <c r="B1622" s="2" t="s">
        <v>3771</v>
      </c>
      <c r="C1622" s="2" t="s">
        <v>16</v>
      </c>
      <c r="D1622" s="2" t="s">
        <v>17</v>
      </c>
      <c r="E1622" s="5">
        <v>-31752</v>
      </c>
      <c r="F1622" s="3" t="s">
        <v>182</v>
      </c>
      <c r="G1622" s="3" t="s">
        <v>65</v>
      </c>
      <c r="H1622" s="2" t="s">
        <v>20</v>
      </c>
      <c r="I1622" s="2" t="s">
        <v>3777</v>
      </c>
      <c r="J1622" s="3" t="str">
        <f>HYPERLINK("https://www.boe.es/gazeta/dias/1813/01/23/pdfs/GRE-1813-10.pdf#page=1","Abrir facsímil")</f>
        <v>Abrir facsímil</v>
      </c>
      <c r="K1622" s="3" t="s">
        <v>22</v>
      </c>
    </row>
    <row r="1623" spans="1:11" ht="42" customHeight="1">
      <c r="A1623" s="2" t="s">
        <v>3771</v>
      </c>
      <c r="B1623" s="2" t="s">
        <v>3771</v>
      </c>
      <c r="C1623" s="2" t="s">
        <v>25</v>
      </c>
      <c r="D1623" s="2" t="s">
        <v>26</v>
      </c>
      <c r="E1623" s="5">
        <v>-31736</v>
      </c>
      <c r="F1623" s="3" t="s">
        <v>1936</v>
      </c>
      <c r="G1623" s="3" t="s">
        <v>54</v>
      </c>
      <c r="H1623" s="2" t="s">
        <v>20</v>
      </c>
      <c r="I1623" s="2" t="s">
        <v>3778</v>
      </c>
      <c r="J1623" s="3" t="str">
        <f>HYPERLINK("https://www.boe.es/gazeta/dias/1813/02/08/pdfs/GMD-1813-39.pdf#page=3","Abrir facsímil")</f>
        <v>Abrir facsímil</v>
      </c>
      <c r="K1623" s="3" t="s">
        <v>22</v>
      </c>
    </row>
    <row r="1624" spans="1:11" ht="42" customHeight="1">
      <c r="A1624" s="2" t="s">
        <v>3771</v>
      </c>
      <c r="B1624" s="2" t="s">
        <v>3771</v>
      </c>
      <c r="C1624" s="2" t="s">
        <v>187</v>
      </c>
      <c r="D1624" s="2" t="s">
        <v>26</v>
      </c>
      <c r="E1624" s="5">
        <v>-31733</v>
      </c>
      <c r="F1624" s="3" t="s">
        <v>3036</v>
      </c>
      <c r="G1624" s="3" t="s">
        <v>65</v>
      </c>
      <c r="H1624" s="2" t="s">
        <v>20</v>
      </c>
      <c r="I1624" s="2" t="s">
        <v>3779</v>
      </c>
      <c r="J1624" s="3" t="str">
        <f>HYPERLINK("https://www.boe.es/gazeta/dias/1813/02/11/pdfs/GRE-1813-18.pdf#page=1","Abrir facsímil")</f>
        <v>Abrir facsímil</v>
      </c>
      <c r="K1624" s="3" t="s">
        <v>22</v>
      </c>
    </row>
    <row r="1625" spans="1:11" ht="42" customHeight="1">
      <c r="A1625" s="2" t="s">
        <v>3771</v>
      </c>
      <c r="B1625" s="2" t="s">
        <v>3771</v>
      </c>
      <c r="C1625" s="2" t="s">
        <v>16</v>
      </c>
      <c r="D1625" s="2" t="s">
        <v>17</v>
      </c>
      <c r="E1625" s="5">
        <v>-31731</v>
      </c>
      <c r="F1625" s="3" t="s">
        <v>866</v>
      </c>
      <c r="G1625" s="3" t="s">
        <v>3662</v>
      </c>
      <c r="H1625" s="2" t="s">
        <v>20</v>
      </c>
      <c r="I1625" s="2" t="s">
        <v>3780</v>
      </c>
      <c r="J1625" s="3" t="str">
        <f>HYPERLINK("https://www.boe.es/gazeta/dias/1813/02/13/pdfs/GRE-1813-19.pdf#page=4","Abrir facsímil")</f>
        <v>Abrir facsímil</v>
      </c>
      <c r="K1625" s="3" t="s">
        <v>22</v>
      </c>
    </row>
    <row r="1626" spans="1:11" ht="42" customHeight="1">
      <c r="A1626" s="2" t="s">
        <v>3771</v>
      </c>
      <c r="B1626" s="2" t="s">
        <v>3771</v>
      </c>
      <c r="C1626" s="2" t="s">
        <v>16</v>
      </c>
      <c r="D1626" s="2" t="s">
        <v>17</v>
      </c>
      <c r="E1626" s="5">
        <v>-31726</v>
      </c>
      <c r="F1626" s="3" t="s">
        <v>533</v>
      </c>
      <c r="G1626" s="3" t="s">
        <v>534</v>
      </c>
      <c r="H1626" s="2" t="s">
        <v>20</v>
      </c>
      <c r="I1626" s="2" t="s">
        <v>3781</v>
      </c>
      <c r="J1626" s="3" t="str">
        <f>HYPERLINK("https://www.boe.es/gazeta/dias/1813/02/18/pdfs/GRE-1813-21.pdf#page=4","Abrir facsímil")</f>
        <v>Abrir facsímil</v>
      </c>
      <c r="K1626" s="3" t="s">
        <v>22</v>
      </c>
    </row>
    <row r="1627" spans="1:11" ht="42" customHeight="1">
      <c r="A1627" s="2" t="s">
        <v>3771</v>
      </c>
      <c r="B1627" s="2" t="s">
        <v>3771</v>
      </c>
      <c r="C1627" s="2" t="s">
        <v>16</v>
      </c>
      <c r="D1627" s="2" t="s">
        <v>17</v>
      </c>
      <c r="E1627" s="5">
        <v>-31698</v>
      </c>
      <c r="F1627" s="3" t="s">
        <v>470</v>
      </c>
      <c r="G1627" s="3" t="s">
        <v>54</v>
      </c>
      <c r="H1627" s="2" t="s">
        <v>20</v>
      </c>
      <c r="I1627" s="2" t="s">
        <v>3782</v>
      </c>
      <c r="J1627" s="3" t="str">
        <f>HYPERLINK("https://www.boe.es/gazeta/dias/1813/03/18/pdfs/GRE-1813-34.pdf#page=3","Abrir facsímil")</f>
        <v>Abrir facsímil</v>
      </c>
      <c r="K1627" s="3" t="s">
        <v>22</v>
      </c>
    </row>
    <row r="1628" spans="1:11" ht="42" customHeight="1">
      <c r="A1628" s="2" t="s">
        <v>3771</v>
      </c>
      <c r="B1628" s="2" t="s">
        <v>3771</v>
      </c>
      <c r="C1628" s="2" t="s">
        <v>16</v>
      </c>
      <c r="D1628" s="2" t="s">
        <v>17</v>
      </c>
      <c r="E1628" s="5">
        <v>-31679</v>
      </c>
      <c r="F1628" s="3" t="s">
        <v>571</v>
      </c>
      <c r="G1628" s="3" t="s">
        <v>54</v>
      </c>
      <c r="H1628" s="2" t="s">
        <v>20</v>
      </c>
      <c r="I1628" s="2" t="s">
        <v>3783</v>
      </c>
      <c r="J1628" s="3" t="str">
        <f>HYPERLINK("https://www.boe.es/gazeta/dias/1813/04/06/pdfs/GRE-1813-42.pdf#page=3","Abrir facsímil")</f>
        <v>Abrir facsímil</v>
      </c>
      <c r="K1628" s="3" t="s">
        <v>22</v>
      </c>
    </row>
    <row r="1629" spans="1:11" ht="42" customHeight="1">
      <c r="A1629" s="2" t="s">
        <v>3771</v>
      </c>
      <c r="B1629" s="2" t="s">
        <v>3771</v>
      </c>
      <c r="C1629" s="2" t="s">
        <v>435</v>
      </c>
      <c r="D1629" s="2" t="s">
        <v>26</v>
      </c>
      <c r="E1629" s="5">
        <v>-31658</v>
      </c>
      <c r="F1629" s="3" t="s">
        <v>1113</v>
      </c>
      <c r="G1629" s="3" t="s">
        <v>54</v>
      </c>
      <c r="H1629" s="2" t="s">
        <v>20</v>
      </c>
      <c r="I1629" s="2" t="s">
        <v>3784</v>
      </c>
      <c r="J1629" s="3" t="str">
        <f>HYPERLINK("https://www.boe.es/gazeta/dias/1813/04/27/pdfs/GRE-1813-52.pdf#page=3","Abrir facsímil")</f>
        <v>Abrir facsímil</v>
      </c>
      <c r="K1629" s="3" t="s">
        <v>22</v>
      </c>
    </row>
    <row r="1630" spans="1:11" ht="42" customHeight="1">
      <c r="A1630" s="2" t="s">
        <v>3771</v>
      </c>
      <c r="B1630" s="2" t="s">
        <v>3771</v>
      </c>
      <c r="C1630" s="2" t="s">
        <v>16</v>
      </c>
      <c r="D1630" s="2" t="s">
        <v>17</v>
      </c>
      <c r="E1630" s="5">
        <v>-31588</v>
      </c>
      <c r="F1630" s="3" t="s">
        <v>2402</v>
      </c>
      <c r="G1630" s="3" t="s">
        <v>58</v>
      </c>
      <c r="H1630" s="2" t="s">
        <v>20</v>
      </c>
      <c r="I1630" s="2" t="s">
        <v>3785</v>
      </c>
      <c r="J1630" s="3" t="str">
        <f>HYPERLINK("https://www.boe.es/gazeta/dias/1813/07/06/pdfs/GRE-1813-84.pdf#page=2","Abrir facsímil")</f>
        <v>Abrir facsímil</v>
      </c>
      <c r="K1630" s="3" t="s">
        <v>22</v>
      </c>
    </row>
    <row r="1631" spans="1:11" ht="42" customHeight="1">
      <c r="A1631" s="2" t="s">
        <v>3771</v>
      </c>
      <c r="B1631" s="2" t="s">
        <v>3771</v>
      </c>
      <c r="C1631" s="2" t="s">
        <v>16</v>
      </c>
      <c r="D1631" s="2" t="s">
        <v>17</v>
      </c>
      <c r="E1631" s="5">
        <v>-31578</v>
      </c>
      <c r="F1631" s="3" t="s">
        <v>974</v>
      </c>
      <c r="G1631" s="3" t="s">
        <v>82</v>
      </c>
      <c r="H1631" s="2" t="s">
        <v>20</v>
      </c>
      <c r="I1631" s="2" t="s">
        <v>3786</v>
      </c>
      <c r="J1631" s="3" t="str">
        <f>HYPERLINK("https://www.boe.es/gazeta/dias/1813/07/16/pdfs/GMR-1813-18.pdf#page=5","Abrir facsímil")</f>
        <v>Abrir facsímil</v>
      </c>
      <c r="K1631" s="3" t="s">
        <v>22</v>
      </c>
    </row>
    <row r="1632" spans="1:11" ht="42" customHeight="1">
      <c r="A1632" s="2" t="s">
        <v>3771</v>
      </c>
      <c r="B1632" s="2" t="s">
        <v>3771</v>
      </c>
      <c r="C1632" s="2" t="s">
        <v>435</v>
      </c>
      <c r="D1632" s="2" t="s">
        <v>26</v>
      </c>
      <c r="E1632" s="5">
        <v>-31572</v>
      </c>
      <c r="F1632" s="3" t="s">
        <v>317</v>
      </c>
      <c r="G1632" s="3" t="s">
        <v>82</v>
      </c>
      <c r="H1632" s="2" t="s">
        <v>20</v>
      </c>
      <c r="I1632" s="2" t="s">
        <v>3787</v>
      </c>
      <c r="J1632" s="3" t="str">
        <f>HYPERLINK("https://www.boe.es/gazeta/dias/1813/07/22/pdfs/GRE-1813-93.pdf#page=5","Abrir facsímil")</f>
        <v>Abrir facsímil</v>
      </c>
      <c r="K1632" s="3" t="s">
        <v>22</v>
      </c>
    </row>
    <row r="1633" spans="1:11" ht="42" customHeight="1">
      <c r="A1633" s="2" t="s">
        <v>3771</v>
      </c>
      <c r="B1633" s="2" t="s">
        <v>3771</v>
      </c>
      <c r="C1633" s="2" t="s">
        <v>25</v>
      </c>
      <c r="D1633" s="2" t="s">
        <v>26</v>
      </c>
      <c r="E1633" s="5">
        <v>-31567</v>
      </c>
      <c r="F1633" s="3" t="s">
        <v>820</v>
      </c>
      <c r="G1633" s="3" t="s">
        <v>87</v>
      </c>
      <c r="H1633" s="2" t="s">
        <v>20</v>
      </c>
      <c r="I1633" s="2" t="s">
        <v>3788</v>
      </c>
      <c r="J1633" s="3" t="str">
        <f>HYPERLINK("https://www.boe.es/gazeta/dias/1813/07/27/pdfs/GMR-1813-21.pdf#page=7","Abrir facsímil")</f>
        <v>Abrir facsímil</v>
      </c>
      <c r="K1633" s="3" t="s">
        <v>22</v>
      </c>
    </row>
    <row r="1634" spans="1:11" ht="42" customHeight="1">
      <c r="A1634" s="2" t="s">
        <v>3771</v>
      </c>
      <c r="B1634" s="2" t="s">
        <v>3771</v>
      </c>
      <c r="C1634" s="2" t="s">
        <v>16</v>
      </c>
      <c r="D1634" s="2" t="s">
        <v>17</v>
      </c>
      <c r="E1634" s="5">
        <v>-31564</v>
      </c>
      <c r="F1634" s="3" t="s">
        <v>206</v>
      </c>
      <c r="G1634" s="3" t="s">
        <v>54</v>
      </c>
      <c r="H1634" s="2" t="s">
        <v>20</v>
      </c>
      <c r="I1634" s="2" t="s">
        <v>3789</v>
      </c>
      <c r="J1634" s="3" t="str">
        <f>HYPERLINK("https://www.boe.es/gazeta/dias/1813/07/30/pdfs/GMR-1813-22.pdf#page=3","Abrir facsímil")</f>
        <v>Abrir facsímil</v>
      </c>
      <c r="K1634" s="3" t="s">
        <v>22</v>
      </c>
    </row>
    <row r="1635" spans="1:11" ht="42" customHeight="1">
      <c r="A1635" s="2" t="s">
        <v>3771</v>
      </c>
      <c r="B1635" s="2" t="s">
        <v>3771</v>
      </c>
      <c r="C1635" s="2" t="s">
        <v>16</v>
      </c>
      <c r="D1635" s="2" t="s">
        <v>17</v>
      </c>
      <c r="E1635" s="5">
        <v>-31514</v>
      </c>
      <c r="F1635" s="3" t="s">
        <v>2099</v>
      </c>
      <c r="G1635" s="3" t="s">
        <v>2146</v>
      </c>
      <c r="H1635" s="2" t="s">
        <v>20</v>
      </c>
      <c r="I1635" s="2" t="s">
        <v>3790</v>
      </c>
      <c r="J1635" s="3" t="str">
        <f>HYPERLINK("https://www.boe.es/gazeta/dias/1813/09/18/pdfs/GMR-1813-45.pdf#page=5","Abrir facsímil")</f>
        <v>Abrir facsímil</v>
      </c>
      <c r="K1635" s="3" t="s">
        <v>22</v>
      </c>
    </row>
    <row r="1636" spans="1:11" ht="42" customHeight="1">
      <c r="A1636" s="2" t="s">
        <v>3771</v>
      </c>
      <c r="B1636" s="2" t="s">
        <v>3771</v>
      </c>
      <c r="C1636" s="2" t="s">
        <v>16</v>
      </c>
      <c r="D1636" s="2" t="s">
        <v>97</v>
      </c>
      <c r="E1636" s="5">
        <v>-31511</v>
      </c>
      <c r="F1636" s="3" t="s">
        <v>3791</v>
      </c>
      <c r="G1636" s="3" t="s">
        <v>54</v>
      </c>
      <c r="H1636" s="2" t="s">
        <v>20</v>
      </c>
      <c r="I1636" s="2" t="s">
        <v>3792</v>
      </c>
      <c r="J1636" s="3" t="str">
        <f>HYPERLINK("https://www.boe.es/gazeta/dias/1813/09/21/pdfs/GRE-1813-124E.pdf#page=3","Abrir facsímil")</f>
        <v>Abrir facsímil</v>
      </c>
      <c r="K1636" s="3" t="s">
        <v>22</v>
      </c>
    </row>
    <row r="1637" spans="1:11" ht="42" customHeight="1">
      <c r="A1637" s="2" t="s">
        <v>3771</v>
      </c>
      <c r="B1637" s="2" t="s">
        <v>3771</v>
      </c>
      <c r="C1637" s="2" t="s">
        <v>16</v>
      </c>
      <c r="D1637" s="2" t="s">
        <v>17</v>
      </c>
      <c r="E1637" s="5">
        <v>-31504</v>
      </c>
      <c r="F1637" s="3" t="s">
        <v>1361</v>
      </c>
      <c r="G1637" s="3" t="s">
        <v>19</v>
      </c>
      <c r="H1637" s="2" t="s">
        <v>20</v>
      </c>
      <c r="I1637" s="2" t="s">
        <v>3793</v>
      </c>
      <c r="J1637" s="3" t="str">
        <f>HYPERLINK("https://www.boe.es/gazeta/dias/1813/09/28/pdfs/GMR-1813-50.pdf#page=4","Abrir facsímil")</f>
        <v>Abrir facsímil</v>
      </c>
      <c r="K1637" s="3" t="s">
        <v>22</v>
      </c>
    </row>
    <row r="1638" spans="1:11" ht="42" customHeight="1">
      <c r="A1638" s="2" t="s">
        <v>3771</v>
      </c>
      <c r="B1638" s="2" t="s">
        <v>3771</v>
      </c>
      <c r="C1638" s="2" t="s">
        <v>25</v>
      </c>
      <c r="D1638" s="2" t="s">
        <v>26</v>
      </c>
      <c r="E1638" s="5">
        <v>-31502</v>
      </c>
      <c r="F1638" s="3" t="s">
        <v>257</v>
      </c>
      <c r="G1638" s="3" t="s">
        <v>54</v>
      </c>
      <c r="H1638" s="2" t="s">
        <v>20</v>
      </c>
      <c r="I1638" s="2" t="s">
        <v>3794</v>
      </c>
      <c r="J1638" s="3" t="str">
        <f>HYPERLINK("https://www.boe.es/gazeta/dias/1813/09/30/pdfs/GMR-1813-51.pdf#page=3","Abrir facsímil")</f>
        <v>Abrir facsímil</v>
      </c>
      <c r="K1638" s="3" t="s">
        <v>22</v>
      </c>
    </row>
    <row r="1639" spans="1:11" ht="42" customHeight="1">
      <c r="A1639" s="2" t="s">
        <v>3771</v>
      </c>
      <c r="B1639" s="2" t="s">
        <v>3771</v>
      </c>
      <c r="C1639" s="2" t="s">
        <v>16</v>
      </c>
      <c r="D1639" s="2" t="s">
        <v>17</v>
      </c>
      <c r="E1639" s="5">
        <v>-31502</v>
      </c>
      <c r="F1639" s="3" t="s">
        <v>1363</v>
      </c>
      <c r="G1639" s="3" t="s">
        <v>19</v>
      </c>
      <c r="H1639" s="2" t="s">
        <v>20</v>
      </c>
      <c r="I1639" s="2" t="s">
        <v>3795</v>
      </c>
      <c r="J1639" s="3" t="str">
        <f>HYPERLINK("https://www.boe.es/gazeta/dias/1813/09/30/pdfs/GRE-1813-128.pdf#page=4","Abrir facsímil")</f>
        <v>Abrir facsímil</v>
      </c>
      <c r="K1639" s="3" t="s">
        <v>22</v>
      </c>
    </row>
    <row r="1640" spans="1:11" ht="42" customHeight="1">
      <c r="A1640" s="2" t="s">
        <v>3771</v>
      </c>
      <c r="B1640" s="2" t="s">
        <v>3771</v>
      </c>
      <c r="C1640" s="2" t="s">
        <v>16</v>
      </c>
      <c r="D1640" s="2" t="s">
        <v>17</v>
      </c>
      <c r="E1640" s="5">
        <v>-31472</v>
      </c>
      <c r="F1640" s="3" t="s">
        <v>1942</v>
      </c>
      <c r="G1640" s="3" t="s">
        <v>82</v>
      </c>
      <c r="H1640" s="2" t="s">
        <v>20</v>
      </c>
      <c r="I1640" s="2" t="s">
        <v>3796</v>
      </c>
      <c r="J1640" s="3" t="str">
        <f>HYPERLINK("https://www.boe.es/gazeta/dias/1813/10/30/pdfs/GRE-1813-142.pdf#page=5","Abrir facsímil")</f>
        <v>Abrir facsímil</v>
      </c>
      <c r="K1640" s="3" t="s">
        <v>22</v>
      </c>
    </row>
    <row r="1641" spans="1:11" ht="42" customHeight="1">
      <c r="A1641" s="2" t="s">
        <v>3771</v>
      </c>
      <c r="B1641" s="2" t="s">
        <v>3771</v>
      </c>
      <c r="C1641" s="2" t="s">
        <v>25</v>
      </c>
      <c r="D1641" s="2" t="s">
        <v>26</v>
      </c>
      <c r="E1641" s="5">
        <v>-31458</v>
      </c>
      <c r="F1641" s="3" t="s">
        <v>1171</v>
      </c>
      <c r="G1641" s="3" t="s">
        <v>58</v>
      </c>
      <c r="H1641" s="2" t="s">
        <v>20</v>
      </c>
      <c r="I1641" s="2" t="s">
        <v>3797</v>
      </c>
      <c r="J1641" s="3" t="str">
        <f>HYPERLINK("https://www.boe.es/gazeta/dias/1813/11/13/pdfs/GRE-1813-149.pdf#page=2","Abrir facsímil")</f>
        <v>Abrir facsímil</v>
      </c>
      <c r="K1641" s="3" t="s">
        <v>22</v>
      </c>
    </row>
    <row r="1642" spans="1:11" ht="42" customHeight="1">
      <c r="A1642" s="2" t="s">
        <v>3771</v>
      </c>
      <c r="B1642" s="2" t="s">
        <v>3771</v>
      </c>
      <c r="C1642" s="2" t="s">
        <v>16</v>
      </c>
      <c r="D1642" s="2" t="s">
        <v>17</v>
      </c>
      <c r="E1642" s="5">
        <v>-31451</v>
      </c>
      <c r="F1642" s="3" t="s">
        <v>2325</v>
      </c>
      <c r="G1642" s="3" t="s">
        <v>65</v>
      </c>
      <c r="H1642" s="2" t="s">
        <v>20</v>
      </c>
      <c r="I1642" s="2" t="s">
        <v>3798</v>
      </c>
      <c r="J1642" s="3" t="str">
        <f>HYPERLINK("https://www.boe.es/gazeta/dias/1813/11/20/pdfs/GMR-1813-77.pdf#page=1","Abrir facsímil")</f>
        <v>Abrir facsímil</v>
      </c>
      <c r="K1642" s="3" t="s">
        <v>22</v>
      </c>
    </row>
    <row r="1643" spans="1:11" ht="42" customHeight="1">
      <c r="A1643" s="2" t="s">
        <v>3799</v>
      </c>
      <c r="B1643" s="2" t="s">
        <v>3799</v>
      </c>
      <c r="C1643" s="2" t="s">
        <v>16</v>
      </c>
      <c r="D1643" s="2" t="s">
        <v>17</v>
      </c>
      <c r="E1643" s="5">
        <v>-31434</v>
      </c>
      <c r="F1643" s="3" t="s">
        <v>18</v>
      </c>
      <c r="G1643" s="3" t="s">
        <v>65</v>
      </c>
      <c r="H1643" s="2" t="s">
        <v>20</v>
      </c>
      <c r="I1643" s="2" t="s">
        <v>3800</v>
      </c>
      <c r="J1643" s="3" t="str">
        <f>HYPERLINK("https://www.boe.es/gazeta/dias/1813/12/07/pdfs/GRE-1813-161.pdf#page=1","Abrir facsímil")</f>
        <v>Abrir facsímil</v>
      </c>
      <c r="K1643" s="3" t="s">
        <v>22</v>
      </c>
    </row>
    <row r="1644" spans="1:11" ht="42" customHeight="1">
      <c r="A1644" s="2" t="s">
        <v>3771</v>
      </c>
      <c r="B1644" s="2" t="s">
        <v>3771</v>
      </c>
      <c r="C1644" s="2" t="s">
        <v>25</v>
      </c>
      <c r="D1644" s="2" t="s">
        <v>26</v>
      </c>
      <c r="E1644" s="5">
        <v>-31430</v>
      </c>
      <c r="F1644" s="3" t="s">
        <v>1731</v>
      </c>
      <c r="G1644" s="3" t="s">
        <v>19</v>
      </c>
      <c r="H1644" s="2" t="s">
        <v>20</v>
      </c>
      <c r="I1644" s="2" t="s">
        <v>3801</v>
      </c>
      <c r="J1644" s="3" t="str">
        <f>HYPERLINK("https://www.boe.es/gazeta/dias/1813/12/11/pdfs/GRE-1813-163.pdf#page=4","Abrir facsímil")</f>
        <v>Abrir facsímil</v>
      </c>
      <c r="K1644" s="3" t="s">
        <v>22</v>
      </c>
    </row>
    <row r="1645" spans="1:11" ht="42" customHeight="1">
      <c r="A1645" s="2" t="s">
        <v>3771</v>
      </c>
      <c r="B1645" s="2" t="s">
        <v>3771</v>
      </c>
      <c r="C1645" s="2" t="s">
        <v>34</v>
      </c>
      <c r="D1645" s="2" t="s">
        <v>35</v>
      </c>
      <c r="E1645" s="5">
        <v>-31427</v>
      </c>
      <c r="F1645" s="3" t="s">
        <v>1822</v>
      </c>
      <c r="G1645" s="3" t="s">
        <v>65</v>
      </c>
      <c r="H1645" s="2" t="s">
        <v>20</v>
      </c>
      <c r="I1645" s="2" t="s">
        <v>3802</v>
      </c>
      <c r="J1645" s="3" t="str">
        <f>HYPERLINK("https://www.boe.es/gazeta/dias/1813/12/14/pdfs/GRE-1813-164.pdf#page=1","Abrir facsímil")</f>
        <v>Abrir facsímil</v>
      </c>
      <c r="K1645" s="3" t="s">
        <v>22</v>
      </c>
    </row>
    <row r="1646" spans="1:11" ht="42" customHeight="1">
      <c r="A1646" s="2" t="s">
        <v>3771</v>
      </c>
      <c r="B1646" s="2" t="s">
        <v>3771</v>
      </c>
      <c r="C1646" s="2" t="s">
        <v>16</v>
      </c>
      <c r="D1646" s="2" t="s">
        <v>17</v>
      </c>
      <c r="E1646" s="5">
        <v>-31420</v>
      </c>
      <c r="F1646" s="3" t="s">
        <v>145</v>
      </c>
      <c r="G1646" s="3" t="s">
        <v>65</v>
      </c>
      <c r="H1646" s="2" t="s">
        <v>20</v>
      </c>
      <c r="I1646" s="2" t="s">
        <v>3803</v>
      </c>
      <c r="J1646" s="3" t="str">
        <f>HYPERLINK("https://www.boe.es/gazeta/dias/1813/12/21/pdfs/GMR-1813-90.pdf#page=1","Abrir facsímil")</f>
        <v>Abrir facsímil</v>
      </c>
      <c r="K1646" s="3" t="s">
        <v>22</v>
      </c>
    </row>
    <row r="1647" spans="1:11" ht="42" customHeight="1">
      <c r="A1647" s="2" t="s">
        <v>3771</v>
      </c>
      <c r="B1647" s="2" t="s">
        <v>3771</v>
      </c>
      <c r="C1647" s="2" t="s">
        <v>109</v>
      </c>
      <c r="D1647" s="2" t="s">
        <v>26</v>
      </c>
      <c r="E1647" s="5">
        <v>-31416</v>
      </c>
      <c r="F1647" s="3" t="s">
        <v>110</v>
      </c>
      <c r="G1647" s="3" t="s">
        <v>54</v>
      </c>
      <c r="H1647" s="2" t="s">
        <v>20</v>
      </c>
      <c r="I1647" s="2" t="s">
        <v>3804</v>
      </c>
      <c r="J1647" s="3" t="str">
        <f>HYPERLINK("https://www.boe.es/gazeta/dias/1813/12/25/pdfs/GRE-1813-169.pdf#page=3","Abrir facsímil")</f>
        <v>Abrir facsímil</v>
      </c>
      <c r="K1647" s="3" t="s">
        <v>22</v>
      </c>
    </row>
    <row r="1648" spans="1:11" ht="42" customHeight="1">
      <c r="A1648" s="2" t="s">
        <v>3771</v>
      </c>
      <c r="B1648" s="2" t="s">
        <v>3771</v>
      </c>
      <c r="C1648" s="2" t="s">
        <v>16</v>
      </c>
      <c r="D1648" s="2" t="s">
        <v>17</v>
      </c>
      <c r="E1648" s="5">
        <v>-31413</v>
      </c>
      <c r="F1648" s="3" t="s">
        <v>152</v>
      </c>
      <c r="G1648" s="3" t="s">
        <v>58</v>
      </c>
      <c r="H1648" s="2" t="s">
        <v>20</v>
      </c>
      <c r="I1648" s="2" t="s">
        <v>3805</v>
      </c>
      <c r="J1648" s="3" t="str">
        <f>HYPERLINK("https://www.boe.es/gazeta/dias/1813/12/28/pdfs/GRE-1813-170.pdf#page=2","Abrir facsímil")</f>
        <v>Abrir facsímil</v>
      </c>
      <c r="K1648" s="3" t="s">
        <v>22</v>
      </c>
    </row>
    <row r="1649" spans="1:11" ht="42" customHeight="1">
      <c r="A1649" s="2" t="s">
        <v>3806</v>
      </c>
      <c r="B1649" s="2" t="s">
        <v>3806</v>
      </c>
      <c r="C1649" s="2" t="s">
        <v>16</v>
      </c>
      <c r="D1649" s="2" t="s">
        <v>17</v>
      </c>
      <c r="E1649" s="5">
        <v>-31658</v>
      </c>
      <c r="F1649" s="3" t="s">
        <v>1113</v>
      </c>
      <c r="G1649" s="3" t="s">
        <v>54</v>
      </c>
      <c r="H1649" s="2" t="s">
        <v>20</v>
      </c>
      <c r="I1649" s="2" t="s">
        <v>3807</v>
      </c>
      <c r="J1649" s="3" t="str">
        <f>HYPERLINK("https://www.boe.es/gazeta/dias/1813/04/27/pdfs/GRE-1813-52.pdf#page=3","Abrir facsímil")</f>
        <v>Abrir facsímil</v>
      </c>
      <c r="K1649" s="3" t="s">
        <v>22</v>
      </c>
    </row>
    <row r="1650" spans="1:11" ht="42" customHeight="1">
      <c r="A1650" s="2" t="s">
        <v>3808</v>
      </c>
      <c r="B1650" s="2" t="s">
        <v>3808</v>
      </c>
      <c r="C1650" s="2" t="s">
        <v>16</v>
      </c>
      <c r="D1650" s="2" t="s">
        <v>17</v>
      </c>
      <c r="E1650" s="5">
        <v>-31766</v>
      </c>
      <c r="F1650" s="3" t="s">
        <v>1356</v>
      </c>
      <c r="G1650" s="3" t="s">
        <v>58</v>
      </c>
      <c r="H1650" s="2" t="s">
        <v>20</v>
      </c>
      <c r="I1650" s="2" t="s">
        <v>3809</v>
      </c>
      <c r="J1650" s="3" t="str">
        <f>HYPERLINK("https://www.boe.es/gazeta/dias/1813/01/09/pdfs/GRE-1813-4.pdf#page=2","Abrir facsímil")</f>
        <v>Abrir facsímil</v>
      </c>
      <c r="K1650" s="3" t="s">
        <v>22</v>
      </c>
    </row>
    <row r="1651" spans="1:11" ht="42" customHeight="1">
      <c r="A1651" s="2" t="s">
        <v>3808</v>
      </c>
      <c r="B1651" s="2" t="s">
        <v>3808</v>
      </c>
      <c r="C1651" s="2" t="s">
        <v>16</v>
      </c>
      <c r="D1651" s="2" t="s">
        <v>17</v>
      </c>
      <c r="E1651" s="5">
        <v>-31559</v>
      </c>
      <c r="F1651" s="3" t="s">
        <v>1485</v>
      </c>
      <c r="G1651" s="3" t="s">
        <v>65</v>
      </c>
      <c r="H1651" s="2" t="s">
        <v>20</v>
      </c>
      <c r="I1651" s="2" t="s">
        <v>3810</v>
      </c>
      <c r="J1651" s="3" t="str">
        <f>HYPERLINK("https://www.boe.es/gazeta/dias/1813/08/04/pdfs/GRE-1813-113.pdf#page=1","Abrir facsímil")</f>
        <v>Abrir facsímil</v>
      </c>
      <c r="K1651" s="3" t="s">
        <v>22</v>
      </c>
    </row>
    <row r="1652" spans="1:11" ht="42" customHeight="1">
      <c r="A1652" s="2" t="s">
        <v>3808</v>
      </c>
      <c r="B1652" s="2" t="s">
        <v>3808</v>
      </c>
      <c r="C1652" s="2" t="s">
        <v>16</v>
      </c>
      <c r="D1652" s="2" t="s">
        <v>17</v>
      </c>
      <c r="E1652" s="5">
        <v>-31528</v>
      </c>
      <c r="F1652" s="3" t="s">
        <v>1485</v>
      </c>
      <c r="G1652" s="3" t="s">
        <v>65</v>
      </c>
      <c r="H1652" s="2" t="s">
        <v>20</v>
      </c>
      <c r="I1652" s="2" t="s">
        <v>3810</v>
      </c>
      <c r="J1652" s="3" t="str">
        <f>HYPERLINK("https://www.boe.es/gazeta/dias/1813/09/04/pdfs/GRE-1813-113.pdf#page=1","Abrir facsímil")</f>
        <v>Abrir facsímil</v>
      </c>
      <c r="K1652" s="3" t="s">
        <v>22</v>
      </c>
    </row>
    <row r="1653" spans="1:11" ht="42" customHeight="1">
      <c r="A1653" s="2" t="s">
        <v>3811</v>
      </c>
      <c r="B1653" s="2" t="s">
        <v>3811</v>
      </c>
      <c r="C1653" s="2" t="s">
        <v>16</v>
      </c>
      <c r="D1653" s="2" t="s">
        <v>17</v>
      </c>
      <c r="E1653" s="5">
        <v>-31769</v>
      </c>
      <c r="F1653" s="3" t="s">
        <v>431</v>
      </c>
      <c r="G1653" s="3" t="s">
        <v>54</v>
      </c>
      <c r="H1653" s="2" t="s">
        <v>20</v>
      </c>
      <c r="I1653" s="2" t="s">
        <v>3812</v>
      </c>
      <c r="J1653" s="3" t="str">
        <f>HYPERLINK("https://www.boe.es/gazeta/dias/1813/01/06/pdfs/GMD-1813-6.pdf#page=3","Abrir facsímil")</f>
        <v>Abrir facsímil</v>
      </c>
      <c r="K1653" s="3" t="s">
        <v>22</v>
      </c>
    </row>
    <row r="1654" spans="1:11" ht="42" customHeight="1">
      <c r="A1654" s="2" t="s">
        <v>3813</v>
      </c>
      <c r="B1654" s="2" t="s">
        <v>3813</v>
      </c>
      <c r="C1654" s="2" t="s">
        <v>16</v>
      </c>
      <c r="D1654" s="2" t="s">
        <v>17</v>
      </c>
      <c r="E1654" s="5">
        <v>-31685</v>
      </c>
      <c r="F1654" s="3" t="s">
        <v>2671</v>
      </c>
      <c r="G1654" s="3" t="s">
        <v>54</v>
      </c>
      <c r="H1654" s="2" t="s">
        <v>20</v>
      </c>
      <c r="I1654" s="2" t="s">
        <v>3814</v>
      </c>
      <c r="J1654" s="3" t="str">
        <f>HYPERLINK("https://www.boe.es/gazeta/dias/1813/03/31/pdfs/GMD-1813-90.pdf#page=3","Abrir facsímil")</f>
        <v>Abrir facsímil</v>
      </c>
      <c r="K1654" s="3" t="s">
        <v>22</v>
      </c>
    </row>
    <row r="1655" spans="1:11" ht="42" customHeight="1">
      <c r="A1655" s="2" t="s">
        <v>3815</v>
      </c>
      <c r="B1655" s="2" t="s">
        <v>3815</v>
      </c>
      <c r="C1655" s="2" t="s">
        <v>34</v>
      </c>
      <c r="D1655" s="2" t="s">
        <v>35</v>
      </c>
      <c r="E1655" s="5">
        <v>-31773</v>
      </c>
      <c r="F1655" s="3" t="s">
        <v>3667</v>
      </c>
      <c r="G1655" s="3" t="s">
        <v>65</v>
      </c>
      <c r="H1655" s="2" t="s">
        <v>20</v>
      </c>
      <c r="I1655" s="2" t="s">
        <v>3816</v>
      </c>
      <c r="J1655" s="3" t="str">
        <f>HYPERLINK("https://www.boe.es/gazeta/dias/1813/01/02/pdfs/GRE-1813-1.pdf#page=1","Abrir facsímil")</f>
        <v>Abrir facsímil</v>
      </c>
      <c r="K1655" s="3" t="s">
        <v>22</v>
      </c>
    </row>
    <row r="1656" spans="1:11" ht="42" customHeight="1">
      <c r="A1656" s="2" t="s">
        <v>3817</v>
      </c>
      <c r="B1656" s="2" t="s">
        <v>3817</v>
      </c>
      <c r="C1656" s="2" t="s">
        <v>34</v>
      </c>
      <c r="D1656" s="2" t="s">
        <v>35</v>
      </c>
      <c r="E1656" s="5">
        <v>-31724</v>
      </c>
      <c r="F1656" s="3" t="s">
        <v>626</v>
      </c>
      <c r="G1656" s="3" t="s">
        <v>58</v>
      </c>
      <c r="H1656" s="2" t="s">
        <v>20</v>
      </c>
      <c r="I1656" s="2" t="s">
        <v>3818</v>
      </c>
      <c r="J1656" s="3" t="str">
        <f>HYPERLINK("https://www.boe.es/gazeta/dias/1813/02/20/pdfs/GRE-1813-22.pdf#page=2","Abrir facsímil")</f>
        <v>Abrir facsímil</v>
      </c>
      <c r="K1656" s="3" t="s">
        <v>22</v>
      </c>
    </row>
    <row r="1657" spans="1:11" ht="42" customHeight="1">
      <c r="A1657" s="2" t="s">
        <v>3817</v>
      </c>
      <c r="B1657" s="2" t="s">
        <v>3817</v>
      </c>
      <c r="C1657" s="2" t="s">
        <v>16</v>
      </c>
      <c r="D1657" s="2" t="s">
        <v>17</v>
      </c>
      <c r="E1657" s="5">
        <v>-31578</v>
      </c>
      <c r="F1657" s="3" t="s">
        <v>974</v>
      </c>
      <c r="G1657" s="3" t="s">
        <v>1148</v>
      </c>
      <c r="H1657" s="2" t="s">
        <v>20</v>
      </c>
      <c r="I1657" s="2" t="s">
        <v>3819</v>
      </c>
      <c r="J1657" s="3" t="str">
        <f>HYPERLINK("https://www.boe.es/gazeta/dias/1813/07/16/pdfs/GMR-1813-18.pdf#page=7","Abrir facsímil")</f>
        <v>Abrir facsímil</v>
      </c>
      <c r="K1657" s="3" t="s">
        <v>22</v>
      </c>
    </row>
    <row r="1658" spans="1:11" ht="42" customHeight="1">
      <c r="A1658" s="2" t="s">
        <v>3820</v>
      </c>
      <c r="B1658" s="2" t="s">
        <v>3820</v>
      </c>
      <c r="C1658" s="2" t="s">
        <v>16</v>
      </c>
      <c r="D1658" s="2" t="s">
        <v>17</v>
      </c>
      <c r="E1658" s="5">
        <v>-31439</v>
      </c>
      <c r="F1658" s="3" t="s">
        <v>3821</v>
      </c>
      <c r="G1658" s="3" t="s">
        <v>19</v>
      </c>
      <c r="H1658" s="2" t="s">
        <v>20</v>
      </c>
      <c r="I1658" s="2" t="s">
        <v>3822</v>
      </c>
      <c r="J1658" s="3" t="str">
        <f>HYPERLINK("https://www.boe.es/gazeta/dias/1813/12/02/pdfs/GRE-1813-159.pdf#page=4","Abrir facsímil")</f>
        <v>Abrir facsímil</v>
      </c>
      <c r="K1658" s="3" t="s">
        <v>22</v>
      </c>
    </row>
    <row r="1659" spans="1:11" ht="42" customHeight="1">
      <c r="A1659" s="2" t="s">
        <v>3823</v>
      </c>
      <c r="B1659" s="2" t="s">
        <v>3824</v>
      </c>
      <c r="C1659" s="2" t="s">
        <v>16</v>
      </c>
      <c r="D1659" s="2" t="s">
        <v>17</v>
      </c>
      <c r="E1659" s="5">
        <v>-31567</v>
      </c>
      <c r="F1659" s="3" t="s">
        <v>820</v>
      </c>
      <c r="G1659" s="3" t="s">
        <v>28</v>
      </c>
      <c r="H1659" s="2" t="s">
        <v>20</v>
      </c>
      <c r="I1659" s="2" t="s">
        <v>3825</v>
      </c>
      <c r="J1659" s="3" t="str">
        <f>HYPERLINK("https://www.boe.es/gazeta/dias/1813/07/27/pdfs/GMR-1813-21.pdf#page=8","Abrir facsímil")</f>
        <v>Abrir facsímil</v>
      </c>
      <c r="K1659" s="3" t="s">
        <v>22</v>
      </c>
    </row>
    <row r="1660" spans="1:11" ht="42" customHeight="1">
      <c r="A1660" s="2" t="s">
        <v>3823</v>
      </c>
      <c r="B1660" s="2" t="s">
        <v>3824</v>
      </c>
      <c r="C1660" s="2" t="s">
        <v>16</v>
      </c>
      <c r="D1660" s="2" t="s">
        <v>17</v>
      </c>
      <c r="E1660" s="5">
        <v>-31563</v>
      </c>
      <c r="F1660" s="3" t="s">
        <v>1267</v>
      </c>
      <c r="G1660" s="3" t="s">
        <v>95</v>
      </c>
      <c r="H1660" s="2" t="s">
        <v>20</v>
      </c>
      <c r="I1660" s="2" t="s">
        <v>3826</v>
      </c>
      <c r="J1660" s="3" t="str">
        <f>HYPERLINK("https://www.boe.es/gazeta/dias/1813/07/31/pdfs/GRE-1813-97.pdf#page=6","Abrir facsímil")</f>
        <v>Abrir facsímil</v>
      </c>
      <c r="K1660" s="3" t="s">
        <v>22</v>
      </c>
    </row>
    <row r="1661" spans="1:11" ht="42" customHeight="1">
      <c r="A1661" s="2" t="s">
        <v>3827</v>
      </c>
      <c r="B1661" s="2" t="s">
        <v>3827</v>
      </c>
      <c r="C1661" s="2" t="s">
        <v>435</v>
      </c>
      <c r="D1661" s="2" t="s">
        <v>26</v>
      </c>
      <c r="E1661" s="5">
        <v>-31695</v>
      </c>
      <c r="F1661" s="3" t="s">
        <v>2770</v>
      </c>
      <c r="G1661" s="3" t="s">
        <v>58</v>
      </c>
      <c r="H1661" s="2" t="s">
        <v>20</v>
      </c>
      <c r="I1661" s="2" t="s">
        <v>3828</v>
      </c>
      <c r="J1661" s="3" t="str">
        <f>HYPERLINK("https://www.boe.es/gazeta/dias/1813/03/21/pdfs/GMD-1813-80.pdf#page=2","Abrir facsímil")</f>
        <v>Abrir facsímil</v>
      </c>
      <c r="K1661" s="3" t="s">
        <v>22</v>
      </c>
    </row>
    <row r="1662" spans="1:11" ht="42" customHeight="1">
      <c r="A1662" s="2" t="s">
        <v>3829</v>
      </c>
      <c r="B1662" s="2" t="s">
        <v>3829</v>
      </c>
      <c r="C1662" s="2" t="s">
        <v>16</v>
      </c>
      <c r="D1662" s="2" t="s">
        <v>17</v>
      </c>
      <c r="E1662" s="5">
        <v>-31709</v>
      </c>
      <c r="F1662" s="3" t="s">
        <v>36</v>
      </c>
      <c r="G1662" s="3" t="s">
        <v>58</v>
      </c>
      <c r="H1662" s="2" t="s">
        <v>20</v>
      </c>
      <c r="I1662" s="2" t="s">
        <v>3830</v>
      </c>
      <c r="J1662" s="3" t="str">
        <f>HYPERLINK("https://www.boe.es/gazeta/dias/1813/03/07/pdfs/GMD-1813-66.pdf#page=2","Abrir facsímil")</f>
        <v>Abrir facsímil</v>
      </c>
      <c r="K1662" s="3" t="s">
        <v>22</v>
      </c>
    </row>
    <row r="1663" spans="1:11" ht="42" customHeight="1">
      <c r="A1663" s="2" t="s">
        <v>3831</v>
      </c>
      <c r="B1663" s="2" t="s">
        <v>3831</v>
      </c>
      <c r="C1663" s="2" t="s">
        <v>34</v>
      </c>
      <c r="D1663" s="2" t="s">
        <v>35</v>
      </c>
      <c r="E1663" s="5">
        <v>-31437</v>
      </c>
      <c r="F1663" s="3" t="s">
        <v>217</v>
      </c>
      <c r="G1663" s="3" t="s">
        <v>54</v>
      </c>
      <c r="H1663" s="2" t="s">
        <v>20</v>
      </c>
      <c r="I1663" s="2" t="s">
        <v>3832</v>
      </c>
      <c r="J1663" s="3" t="str">
        <f>HYPERLINK("https://www.boe.es/gazeta/dias/1813/12/04/pdfs/GRE-1813-160.pdf#page=3","Abrir facsímil")</f>
        <v>Abrir facsímil</v>
      </c>
      <c r="K1663" s="3" t="s">
        <v>22</v>
      </c>
    </row>
    <row r="1664" spans="1:11" ht="42" customHeight="1">
      <c r="A1664" s="2" t="s">
        <v>3833</v>
      </c>
      <c r="B1664" s="2" t="s">
        <v>3833</v>
      </c>
      <c r="C1664" s="2" t="s">
        <v>277</v>
      </c>
      <c r="D1664" s="2" t="s">
        <v>26</v>
      </c>
      <c r="E1664" s="5">
        <v>-31715</v>
      </c>
      <c r="F1664" s="3" t="s">
        <v>3358</v>
      </c>
      <c r="G1664" s="3" t="s">
        <v>2055</v>
      </c>
      <c r="H1664" s="2" t="s">
        <v>20</v>
      </c>
      <c r="I1664" s="2" t="s">
        <v>3834</v>
      </c>
      <c r="J1664" s="3" t="str">
        <f>HYPERLINK("https://www.boe.es/gazeta/dias/1813/03/01/pdfs/GMD-1813-60.pdf#page=3","Abrir facsímil")</f>
        <v>Abrir facsímil</v>
      </c>
      <c r="K1664" s="3" t="s">
        <v>22</v>
      </c>
    </row>
    <row r="1665" spans="1:11" ht="42" customHeight="1">
      <c r="A1665" s="2" t="s">
        <v>3835</v>
      </c>
      <c r="B1665" s="2" t="s">
        <v>3835</v>
      </c>
      <c r="C1665" s="2" t="s">
        <v>16</v>
      </c>
      <c r="D1665" s="2" t="s">
        <v>17</v>
      </c>
      <c r="E1665" s="5">
        <v>-31416</v>
      </c>
      <c r="F1665" s="3" t="s">
        <v>110</v>
      </c>
      <c r="G1665" s="3" t="s">
        <v>1590</v>
      </c>
      <c r="H1665" s="2" t="s">
        <v>20</v>
      </c>
      <c r="I1665" s="2" t="s">
        <v>3836</v>
      </c>
      <c r="J1665" s="3" t="str">
        <f>HYPERLINK("https://www.boe.es/gazeta/dias/1813/12/25/pdfs/GRE-1813-169.pdf#page=4","Abrir facsímil")</f>
        <v>Abrir facsímil</v>
      </c>
      <c r="K1665" s="3" t="s">
        <v>22</v>
      </c>
    </row>
    <row r="1666" spans="1:11" ht="42" customHeight="1">
      <c r="A1666" s="2" t="s">
        <v>3837</v>
      </c>
      <c r="B1666" s="2" t="s">
        <v>3837</v>
      </c>
      <c r="C1666" s="2" t="s">
        <v>187</v>
      </c>
      <c r="D1666" s="2" t="s">
        <v>26</v>
      </c>
      <c r="E1666" s="5">
        <v>-31733</v>
      </c>
      <c r="F1666" s="3" t="s">
        <v>3036</v>
      </c>
      <c r="G1666" s="3" t="s">
        <v>65</v>
      </c>
      <c r="H1666" s="2" t="s">
        <v>20</v>
      </c>
      <c r="I1666" s="2" t="s">
        <v>3838</v>
      </c>
      <c r="J1666" s="3" t="str">
        <f>HYPERLINK("https://www.boe.es/gazeta/dias/1813/02/11/pdfs/GRE-1813-18.pdf#page=1","Abrir facsímil")</f>
        <v>Abrir facsímil</v>
      </c>
      <c r="K1666" s="3" t="s">
        <v>22</v>
      </c>
    </row>
    <row r="1667" spans="1:11" ht="42" customHeight="1">
      <c r="A1667" s="2" t="s">
        <v>3839</v>
      </c>
      <c r="B1667" s="2" t="s">
        <v>3839</v>
      </c>
      <c r="C1667" s="2" t="s">
        <v>16</v>
      </c>
      <c r="D1667" s="2" t="s">
        <v>97</v>
      </c>
      <c r="E1667" s="5">
        <v>-31479</v>
      </c>
      <c r="F1667" s="3" t="s">
        <v>290</v>
      </c>
      <c r="G1667" s="3" t="s">
        <v>58</v>
      </c>
      <c r="H1667" s="2" t="s">
        <v>20</v>
      </c>
      <c r="I1667" s="2" t="s">
        <v>3840</v>
      </c>
      <c r="J1667" s="3" t="str">
        <f>HYPERLINK("https://www.boe.es/gazeta/dias/1813/10/23/pdfs/GRE-1813-139E.pdf#page=2","Abrir facsímil")</f>
        <v>Abrir facsímil</v>
      </c>
      <c r="K1667" s="3" t="s">
        <v>22</v>
      </c>
    </row>
    <row r="1668" spans="1:11" ht="42" customHeight="1">
      <c r="A1668" s="2" t="s">
        <v>3841</v>
      </c>
      <c r="B1668" s="2" t="s">
        <v>3841</v>
      </c>
      <c r="C1668" s="2" t="s">
        <v>25</v>
      </c>
      <c r="D1668" s="2" t="s">
        <v>26</v>
      </c>
      <c r="E1668" s="5">
        <v>-31745</v>
      </c>
      <c r="F1668" s="3" t="s">
        <v>445</v>
      </c>
      <c r="G1668" s="3" t="s">
        <v>28</v>
      </c>
      <c r="H1668" s="2" t="s">
        <v>20</v>
      </c>
      <c r="I1668" s="2" t="s">
        <v>3842</v>
      </c>
      <c r="J1668" s="3" t="str">
        <f>HYPERLINK("https://www.boe.es/gazeta/dias/1813/01/30/pdfs/GRE-1813-13.pdf#page=8","Abrir facsímil")</f>
        <v>Abrir facsímil</v>
      </c>
      <c r="K1668" s="3" t="s">
        <v>22</v>
      </c>
    </row>
    <row r="1669" spans="1:11" ht="42" customHeight="1">
      <c r="A1669" s="2" t="s">
        <v>3841</v>
      </c>
      <c r="B1669" s="2" t="s">
        <v>3841</v>
      </c>
      <c r="C1669" s="2" t="s">
        <v>16</v>
      </c>
      <c r="D1669" s="2" t="s">
        <v>17</v>
      </c>
      <c r="E1669" s="5">
        <v>-31507</v>
      </c>
      <c r="F1669" s="3" t="s">
        <v>61</v>
      </c>
      <c r="G1669" s="3" t="s">
        <v>791</v>
      </c>
      <c r="H1669" s="2" t="s">
        <v>20</v>
      </c>
      <c r="I1669" s="2" t="s">
        <v>3843</v>
      </c>
      <c r="J1669" s="3" t="str">
        <f>HYPERLINK("https://www.boe.es/gazeta/dias/1813/09/25/pdfs/GMR-1813-48.pdf#page=7","Abrir facsímil")</f>
        <v>Abrir facsímil</v>
      </c>
      <c r="K1669" s="3" t="s">
        <v>22</v>
      </c>
    </row>
    <row r="1670" spans="1:11" ht="42" customHeight="1">
      <c r="A1670" s="2" t="s">
        <v>3844</v>
      </c>
      <c r="B1670" s="2" t="s">
        <v>3845</v>
      </c>
      <c r="C1670" s="2" t="s">
        <v>16</v>
      </c>
      <c r="D1670" s="2" t="s">
        <v>17</v>
      </c>
      <c r="E1670" s="5">
        <v>-31567</v>
      </c>
      <c r="F1670" s="3" t="s">
        <v>1471</v>
      </c>
      <c r="G1670" s="3" t="s">
        <v>28</v>
      </c>
      <c r="H1670" s="2" t="s">
        <v>20</v>
      </c>
      <c r="I1670" s="2" t="s">
        <v>3846</v>
      </c>
      <c r="J1670" s="3" t="str">
        <f>HYPERLINK("https://www.boe.es/gazeta/dias/1813/07/27/pdfs/GRE-1813-95.pdf#page=8","Abrir facsímil")</f>
        <v>Abrir facsímil</v>
      </c>
      <c r="K1670" s="3" t="s">
        <v>22</v>
      </c>
    </row>
    <row r="1671" spans="1:11" ht="42" customHeight="1">
      <c r="A1671" s="2" t="s">
        <v>3847</v>
      </c>
      <c r="B1671" s="2" t="s">
        <v>3848</v>
      </c>
      <c r="C1671" s="2" t="s">
        <v>16</v>
      </c>
      <c r="D1671" s="2" t="s">
        <v>17</v>
      </c>
      <c r="E1671" s="5">
        <v>-31582</v>
      </c>
      <c r="F1671" s="3" t="s">
        <v>907</v>
      </c>
      <c r="G1671" s="3" t="s">
        <v>28</v>
      </c>
      <c r="H1671" s="2" t="s">
        <v>20</v>
      </c>
      <c r="I1671" s="2" t="s">
        <v>3849</v>
      </c>
      <c r="J1671" s="3" t="str">
        <f>HYPERLINK("https://www.boe.es/gazeta/dias/1813/07/12/pdfs/GRE-1813-87.pdf#page=8","Abrir facsímil")</f>
        <v>Abrir facsímil</v>
      </c>
      <c r="K1671" s="3" t="s">
        <v>22</v>
      </c>
    </row>
    <row r="1672" spans="1:11" ht="42" customHeight="1">
      <c r="A1672" s="2" t="s">
        <v>3850</v>
      </c>
      <c r="B1672" s="2" t="s">
        <v>3851</v>
      </c>
      <c r="C1672" s="2" t="s">
        <v>25</v>
      </c>
      <c r="D1672" s="2" t="s">
        <v>26</v>
      </c>
      <c r="E1672" s="5">
        <v>-31626</v>
      </c>
      <c r="F1672" s="3" t="s">
        <v>64</v>
      </c>
      <c r="G1672" s="3" t="s">
        <v>87</v>
      </c>
      <c r="H1672" s="2" t="s">
        <v>20</v>
      </c>
      <c r="I1672" s="2" t="s">
        <v>3852</v>
      </c>
      <c r="J1672" s="3" t="str">
        <f>HYPERLINK("https://www.boe.es/gazeta/dias/1813/05/29/pdfs/GRE-1813-66.pdf#page=7","Abrir facsímil")</f>
        <v>Abrir facsímil</v>
      </c>
      <c r="K1672" s="3" t="s">
        <v>22</v>
      </c>
    </row>
    <row r="1673" spans="1:11" ht="42" customHeight="1">
      <c r="A1673" s="2" t="s">
        <v>3853</v>
      </c>
      <c r="B1673" s="2" t="s">
        <v>3854</v>
      </c>
      <c r="C1673" s="2" t="s">
        <v>25</v>
      </c>
      <c r="D1673" s="2" t="s">
        <v>26</v>
      </c>
      <c r="E1673" s="5">
        <v>-31745</v>
      </c>
      <c r="F1673" s="3" t="s">
        <v>445</v>
      </c>
      <c r="G1673" s="3" t="s">
        <v>28</v>
      </c>
      <c r="H1673" s="2" t="s">
        <v>20</v>
      </c>
      <c r="I1673" s="2" t="s">
        <v>3855</v>
      </c>
      <c r="J1673" s="3" t="str">
        <f>HYPERLINK("https://www.boe.es/gazeta/dias/1813/01/30/pdfs/GRE-1813-13.pdf#page=8","Abrir facsímil")</f>
        <v>Abrir facsímil</v>
      </c>
      <c r="K1673" s="3" t="s">
        <v>22</v>
      </c>
    </row>
    <row r="1674" spans="1:11" ht="42" customHeight="1">
      <c r="A1674" s="2" t="s">
        <v>3856</v>
      </c>
      <c r="B1674" s="2" t="s">
        <v>3856</v>
      </c>
      <c r="C1674" s="2" t="s">
        <v>16</v>
      </c>
      <c r="D1674" s="2" t="s">
        <v>17</v>
      </c>
      <c r="E1674" s="5">
        <v>-31418</v>
      </c>
      <c r="F1674" s="3" t="s">
        <v>1529</v>
      </c>
      <c r="G1674" s="3" t="s">
        <v>82</v>
      </c>
      <c r="H1674" s="2" t="s">
        <v>20</v>
      </c>
      <c r="I1674" s="2" t="s">
        <v>3857</v>
      </c>
      <c r="J1674" s="3" t="str">
        <f>HYPERLINK("https://www.boe.es/gazeta/dias/1813/12/23/pdfs/GMR-1813-91.pdf#page=5","Abrir facsímil")</f>
        <v>Abrir facsímil</v>
      </c>
      <c r="K1674" s="3" t="s">
        <v>22</v>
      </c>
    </row>
    <row r="1675" spans="1:11" ht="42" customHeight="1">
      <c r="A1675" s="2" t="s">
        <v>3856</v>
      </c>
      <c r="B1675" s="2" t="s">
        <v>3856</v>
      </c>
      <c r="C1675" s="2" t="s">
        <v>16</v>
      </c>
      <c r="D1675" s="2" t="s">
        <v>17</v>
      </c>
      <c r="E1675" s="5">
        <v>-31416</v>
      </c>
      <c r="F1675" s="3" t="s">
        <v>110</v>
      </c>
      <c r="G1675" s="3" t="s">
        <v>28</v>
      </c>
      <c r="H1675" s="2" t="s">
        <v>20</v>
      </c>
      <c r="I1675" s="2" t="s">
        <v>3858</v>
      </c>
      <c r="J1675" s="3" t="str">
        <f>HYPERLINK("https://www.boe.es/gazeta/dias/1813/12/25/pdfs/GRE-1813-169.pdf#page=8","Abrir facsímil")</f>
        <v>Abrir facsímil</v>
      </c>
      <c r="K1675" s="3" t="s">
        <v>22</v>
      </c>
    </row>
    <row r="1676" spans="1:11" ht="42" customHeight="1">
      <c r="A1676" s="2" t="s">
        <v>3859</v>
      </c>
      <c r="B1676" s="2" t="s">
        <v>3860</v>
      </c>
      <c r="C1676" s="2" t="s">
        <v>16</v>
      </c>
      <c r="D1676" s="2" t="s">
        <v>97</v>
      </c>
      <c r="E1676" s="5">
        <v>-31479</v>
      </c>
      <c r="F1676" s="3" t="s">
        <v>290</v>
      </c>
      <c r="G1676" s="3" t="s">
        <v>313</v>
      </c>
      <c r="H1676" s="2" t="s">
        <v>20</v>
      </c>
      <c r="I1676" s="2" t="s">
        <v>3861</v>
      </c>
      <c r="J1676" s="3" t="str">
        <f>HYPERLINK("https://www.boe.es/gazeta/dias/1813/10/23/pdfs/GRE-1813-139E.pdf#page=9","Abrir facsímil")</f>
        <v>Abrir facsímil</v>
      </c>
      <c r="K1676" s="3" t="s">
        <v>22</v>
      </c>
    </row>
    <row r="1677" spans="1:11" ht="42" customHeight="1">
      <c r="A1677" s="2" t="s">
        <v>3859</v>
      </c>
      <c r="B1677" s="2" t="s">
        <v>3860</v>
      </c>
      <c r="C1677" s="2" t="s">
        <v>16</v>
      </c>
      <c r="D1677" s="2" t="s">
        <v>17</v>
      </c>
      <c r="E1677" s="5">
        <v>-31462</v>
      </c>
      <c r="F1677" s="3" t="s">
        <v>1028</v>
      </c>
      <c r="G1677" s="3" t="s">
        <v>178</v>
      </c>
      <c r="H1677" s="2" t="s">
        <v>20</v>
      </c>
      <c r="I1677" s="2" t="s">
        <v>3862</v>
      </c>
      <c r="J1677" s="3" t="str">
        <f>HYPERLINK("https://www.boe.es/gazeta/dias/1813/11/09/pdfs/GMR-1813-71.pdf#page=11","Abrir facsímil")</f>
        <v>Abrir facsímil</v>
      </c>
      <c r="K1677" s="3" t="s">
        <v>22</v>
      </c>
    </row>
    <row r="1678" spans="1:11" ht="42" customHeight="1">
      <c r="A1678" s="2" t="s">
        <v>3863</v>
      </c>
      <c r="B1678" s="2" t="s">
        <v>3863</v>
      </c>
      <c r="C1678" s="2" t="s">
        <v>16</v>
      </c>
      <c r="D1678" s="2" t="s">
        <v>17</v>
      </c>
      <c r="E1678" s="5">
        <v>-31705</v>
      </c>
      <c r="F1678" s="3" t="s">
        <v>243</v>
      </c>
      <c r="G1678" s="3" t="s">
        <v>58</v>
      </c>
      <c r="H1678" s="2" t="s">
        <v>20</v>
      </c>
      <c r="I1678" s="2" t="s">
        <v>3864</v>
      </c>
      <c r="J1678" s="3" t="str">
        <f>HYPERLINK("https://www.boe.es/gazeta/dias/1813/03/11/pdfs/GRE-1813-31.pdf#page=2","Abrir facsímil")</f>
        <v>Abrir facsímil</v>
      </c>
      <c r="K1678" s="3" t="s">
        <v>22</v>
      </c>
    </row>
    <row r="1679" spans="1:11" ht="42" customHeight="1">
      <c r="A1679" s="2" t="s">
        <v>3865</v>
      </c>
      <c r="B1679" s="2" t="s">
        <v>3866</v>
      </c>
      <c r="C1679" s="2" t="s">
        <v>25</v>
      </c>
      <c r="D1679" s="2" t="s">
        <v>26</v>
      </c>
      <c r="E1679" s="5">
        <v>-31742</v>
      </c>
      <c r="F1679" s="3" t="s">
        <v>2667</v>
      </c>
      <c r="G1679" s="3" t="s">
        <v>3281</v>
      </c>
      <c r="H1679" s="2" t="s">
        <v>20</v>
      </c>
      <c r="I1679" s="2" t="s">
        <v>3867</v>
      </c>
      <c r="J1679" s="3" t="str">
        <f>HYPERLINK("https://www.boe.es/gazeta/dias/1813/02/02/pdfs/GRE-1813-14.pdf#page=5","Abrir facsímil")</f>
        <v>Abrir facsímil</v>
      </c>
      <c r="K1679" s="3" t="s">
        <v>22</v>
      </c>
    </row>
    <row r="1680" spans="1:11" ht="42" customHeight="1">
      <c r="A1680" s="2" t="s">
        <v>3868</v>
      </c>
      <c r="B1680" s="2" t="s">
        <v>3868</v>
      </c>
      <c r="C1680" s="2" t="s">
        <v>16</v>
      </c>
      <c r="D1680" s="2" t="s">
        <v>17</v>
      </c>
      <c r="E1680" s="5">
        <v>-31472</v>
      </c>
      <c r="F1680" s="3" t="s">
        <v>143</v>
      </c>
      <c r="G1680" s="3" t="s">
        <v>82</v>
      </c>
      <c r="H1680" s="2" t="s">
        <v>20</v>
      </c>
      <c r="I1680" s="2" t="s">
        <v>3869</v>
      </c>
      <c r="J1680" s="3" t="str">
        <f>HYPERLINK("https://www.boe.es/gazeta/dias/1813/10/30/pdfs/GMR-1813-66.pdf#page=5","Abrir facsímil")</f>
        <v>Abrir facsímil</v>
      </c>
      <c r="K1680" s="3" t="s">
        <v>22</v>
      </c>
    </row>
    <row r="1681" spans="1:11" ht="42" customHeight="1">
      <c r="A1681" s="2" t="s">
        <v>3868</v>
      </c>
      <c r="B1681" s="2" t="s">
        <v>3868</v>
      </c>
      <c r="C1681" s="2" t="s">
        <v>25</v>
      </c>
      <c r="D1681" s="2" t="s">
        <v>26</v>
      </c>
      <c r="E1681" s="5">
        <v>-31446</v>
      </c>
      <c r="F1681" s="3" t="s">
        <v>103</v>
      </c>
      <c r="G1681" s="3" t="s">
        <v>945</v>
      </c>
      <c r="H1681" s="2" t="s">
        <v>20</v>
      </c>
      <c r="I1681" s="2" t="s">
        <v>3870</v>
      </c>
      <c r="J1681" s="3" t="str">
        <f>HYPERLINK("https://www.boe.es/gazeta/dias/1813/11/25/pdfs/GMR-1813-79.pdf#page=8","Abrir facsímil")</f>
        <v>Abrir facsímil</v>
      </c>
      <c r="K1681" s="3" t="s">
        <v>22</v>
      </c>
    </row>
    <row r="1682" spans="1:11" ht="42" customHeight="1">
      <c r="A1682" s="2" t="s">
        <v>3871</v>
      </c>
      <c r="B1682" s="2" t="s">
        <v>3871</v>
      </c>
      <c r="C1682" s="2" t="s">
        <v>25</v>
      </c>
      <c r="D1682" s="2" t="s">
        <v>26</v>
      </c>
      <c r="E1682" s="5">
        <v>-31560</v>
      </c>
      <c r="F1682" s="3" t="s">
        <v>590</v>
      </c>
      <c r="G1682" s="3" t="s">
        <v>19</v>
      </c>
      <c r="H1682" s="2" t="s">
        <v>20</v>
      </c>
      <c r="I1682" s="2" t="s">
        <v>3872</v>
      </c>
      <c r="J1682" s="3" t="str">
        <f>HYPERLINK("https://www.boe.es/gazeta/dias/1813/08/03/pdfs/GRE-1813-98.pdf#page=4","Abrir facsímil")</f>
        <v>Abrir facsímil</v>
      </c>
      <c r="K1682" s="3" t="s">
        <v>22</v>
      </c>
    </row>
    <row r="1683" spans="1:11" ht="42" customHeight="1">
      <c r="A1683" s="2" t="s">
        <v>3873</v>
      </c>
      <c r="B1683" s="2" t="s">
        <v>3874</v>
      </c>
      <c r="C1683" s="2" t="s">
        <v>16</v>
      </c>
      <c r="D1683" s="2" t="s">
        <v>17</v>
      </c>
      <c r="E1683" s="5">
        <v>-31559</v>
      </c>
      <c r="F1683" s="3" t="s">
        <v>1485</v>
      </c>
      <c r="G1683" s="3" t="s">
        <v>1486</v>
      </c>
      <c r="H1683" s="2" t="s">
        <v>20</v>
      </c>
      <c r="I1683" s="2" t="s">
        <v>3875</v>
      </c>
      <c r="J1683" s="3" t="str">
        <f>HYPERLINK("https://www.boe.es/gazeta/dias/1813/08/04/pdfs/GRE-1813-113.pdf#page=8","Abrir facsímil")</f>
        <v>Abrir facsímil</v>
      </c>
      <c r="K1683" s="3" t="s">
        <v>22</v>
      </c>
    </row>
    <row r="1684" spans="1:11" ht="42" customHeight="1">
      <c r="A1684" s="2" t="s">
        <v>3873</v>
      </c>
      <c r="B1684" s="2" t="s">
        <v>3874</v>
      </c>
      <c r="C1684" s="2" t="s">
        <v>16</v>
      </c>
      <c r="D1684" s="2" t="s">
        <v>17</v>
      </c>
      <c r="E1684" s="5">
        <v>-31528</v>
      </c>
      <c r="F1684" s="3" t="s">
        <v>1485</v>
      </c>
      <c r="G1684" s="3" t="s">
        <v>1486</v>
      </c>
      <c r="H1684" s="2" t="s">
        <v>20</v>
      </c>
      <c r="I1684" s="2" t="s">
        <v>3875</v>
      </c>
      <c r="J1684" s="3" t="str">
        <f>HYPERLINK("https://www.boe.es/gazeta/dias/1813/09/04/pdfs/GRE-1813-113.pdf#page=8","Abrir facsímil")</f>
        <v>Abrir facsímil</v>
      </c>
      <c r="K1684" s="3" t="s">
        <v>22</v>
      </c>
    </row>
    <row r="1685" spans="1:11" ht="42" customHeight="1">
      <c r="A1685" s="2" t="s">
        <v>3876</v>
      </c>
      <c r="B1685" s="2" t="s">
        <v>3877</v>
      </c>
      <c r="C1685" s="2" t="s">
        <v>34</v>
      </c>
      <c r="D1685" s="2" t="s">
        <v>35</v>
      </c>
      <c r="E1685" s="5">
        <v>-31709</v>
      </c>
      <c r="F1685" s="3" t="s">
        <v>36</v>
      </c>
      <c r="G1685" s="3" t="s">
        <v>19</v>
      </c>
      <c r="H1685" s="2" t="s">
        <v>20</v>
      </c>
      <c r="I1685" s="2" t="s">
        <v>3878</v>
      </c>
      <c r="J1685" s="3" t="str">
        <f>HYPERLINK("https://www.boe.es/gazeta/dias/1813/03/07/pdfs/GMD-1813-66.pdf#page=4","Abrir facsímil")</f>
        <v>Abrir facsímil</v>
      </c>
      <c r="K1685" s="3" t="s">
        <v>22</v>
      </c>
    </row>
    <row r="1686" spans="1:11" ht="42" customHeight="1">
      <c r="A1686" s="2" t="s">
        <v>3879</v>
      </c>
      <c r="B1686" s="2" t="s">
        <v>3879</v>
      </c>
      <c r="C1686" s="2" t="s">
        <v>16</v>
      </c>
      <c r="D1686" s="2" t="s">
        <v>17</v>
      </c>
      <c r="E1686" s="5">
        <v>-31734</v>
      </c>
      <c r="F1686" s="3" t="s">
        <v>362</v>
      </c>
      <c r="G1686" s="3" t="s">
        <v>65</v>
      </c>
      <c r="H1686" s="2" t="s">
        <v>20</v>
      </c>
      <c r="I1686" s="2" t="s">
        <v>3880</v>
      </c>
      <c r="J1686" s="3" t="str">
        <f>HYPERLINK("https://www.boe.es/gazeta/dias/1813/02/10/pdfs/GMD-1813-41.pdf#page=1","Abrir facsímil")</f>
        <v>Abrir facsímil</v>
      </c>
      <c r="K1686" s="3" t="s">
        <v>22</v>
      </c>
    </row>
    <row r="1687" spans="1:11" ht="42" customHeight="1">
      <c r="A1687" s="2" t="s">
        <v>3881</v>
      </c>
      <c r="B1687" s="2" t="s">
        <v>3882</v>
      </c>
      <c r="C1687" s="2" t="s">
        <v>16</v>
      </c>
      <c r="D1687" s="2" t="s">
        <v>17</v>
      </c>
      <c r="E1687" s="5">
        <v>-31559</v>
      </c>
      <c r="F1687" s="3" t="s">
        <v>1485</v>
      </c>
      <c r="G1687" s="3" t="s">
        <v>87</v>
      </c>
      <c r="H1687" s="2" t="s">
        <v>20</v>
      </c>
      <c r="I1687" s="2" t="s">
        <v>3883</v>
      </c>
      <c r="J1687" s="3" t="str">
        <f>HYPERLINK("https://www.boe.es/gazeta/dias/1813/08/04/pdfs/GRE-1813-113.pdf#page=7","Abrir facsímil")</f>
        <v>Abrir facsímil</v>
      </c>
      <c r="K1687" s="3" t="s">
        <v>22</v>
      </c>
    </row>
    <row r="1688" spans="1:11" ht="42" customHeight="1">
      <c r="A1688" s="2" t="s">
        <v>3881</v>
      </c>
      <c r="B1688" s="2" t="s">
        <v>3882</v>
      </c>
      <c r="C1688" s="2" t="s">
        <v>16</v>
      </c>
      <c r="D1688" s="2" t="s">
        <v>17</v>
      </c>
      <c r="E1688" s="5">
        <v>-31528</v>
      </c>
      <c r="F1688" s="3" t="s">
        <v>1485</v>
      </c>
      <c r="G1688" s="3" t="s">
        <v>87</v>
      </c>
      <c r="H1688" s="2" t="s">
        <v>20</v>
      </c>
      <c r="I1688" s="2" t="s">
        <v>3883</v>
      </c>
      <c r="J1688" s="3" t="str">
        <f>HYPERLINK("https://www.boe.es/gazeta/dias/1813/09/04/pdfs/GRE-1813-113.pdf#page=7","Abrir facsímil")</f>
        <v>Abrir facsímil</v>
      </c>
      <c r="K1688" s="3" t="s">
        <v>22</v>
      </c>
    </row>
    <row r="1689" spans="1:11" ht="42" customHeight="1">
      <c r="A1689" s="2" t="s">
        <v>3884</v>
      </c>
      <c r="B1689" s="2" t="s">
        <v>3885</v>
      </c>
      <c r="C1689" s="2" t="s">
        <v>16</v>
      </c>
      <c r="D1689" s="2" t="s">
        <v>17</v>
      </c>
      <c r="E1689" s="5">
        <v>-31574</v>
      </c>
      <c r="F1689" s="3" t="s">
        <v>1343</v>
      </c>
      <c r="G1689" s="3" t="s">
        <v>1344</v>
      </c>
      <c r="H1689" s="2" t="s">
        <v>20</v>
      </c>
      <c r="I1689" s="2" t="s">
        <v>3886</v>
      </c>
      <c r="J1689" s="3" t="str">
        <f>HYPERLINK("https://www.boe.es/gazeta/dias/1813/07/20/pdfs/GMR-1813-19.pdf#page=12","Abrir facsímil")</f>
        <v>Abrir facsímil</v>
      </c>
      <c r="K1689" s="3" t="s">
        <v>22</v>
      </c>
    </row>
    <row r="1690" spans="1:11" ht="42" customHeight="1">
      <c r="A1690" s="2" t="s">
        <v>3887</v>
      </c>
      <c r="B1690" s="2" t="s">
        <v>3888</v>
      </c>
      <c r="C1690" s="2" t="s">
        <v>16</v>
      </c>
      <c r="D1690" s="2" t="s">
        <v>17</v>
      </c>
      <c r="E1690" s="5">
        <v>-31658</v>
      </c>
      <c r="F1690" s="3" t="s">
        <v>1113</v>
      </c>
      <c r="G1690" s="3" t="s">
        <v>1091</v>
      </c>
      <c r="H1690" s="2" t="s">
        <v>20</v>
      </c>
      <c r="I1690" s="2" t="s">
        <v>3889</v>
      </c>
      <c r="J1690" s="3" t="str">
        <f>HYPERLINK("https://www.boe.es/gazeta/dias/1813/04/27/pdfs/GRE-1813-52.pdf#page=7","Abrir facsímil")</f>
        <v>Abrir facsímil</v>
      </c>
      <c r="K1690" s="3" t="s">
        <v>22</v>
      </c>
    </row>
    <row r="1691" spans="1:11" ht="42" customHeight="1">
      <c r="A1691" s="2" t="s">
        <v>3890</v>
      </c>
      <c r="B1691" s="2" t="s">
        <v>3891</v>
      </c>
      <c r="C1691" s="2" t="s">
        <v>187</v>
      </c>
      <c r="D1691" s="2" t="s">
        <v>26</v>
      </c>
      <c r="E1691" s="5">
        <v>-31490</v>
      </c>
      <c r="F1691" s="3" t="s">
        <v>2909</v>
      </c>
      <c r="G1691" s="3" t="s">
        <v>258</v>
      </c>
      <c r="H1691" s="2" t="s">
        <v>20</v>
      </c>
      <c r="I1691" s="2" t="s">
        <v>3892</v>
      </c>
      <c r="J1691" s="3" t="str">
        <f>HYPERLINK("https://www.boe.es/gazeta/dias/1813/10/12/pdfs/GMR-1813-57.pdf#page=12","Abrir facsímil")</f>
        <v>Abrir facsímil</v>
      </c>
      <c r="K1691" s="3" t="s">
        <v>22</v>
      </c>
    </row>
    <row r="1692" spans="1:11" ht="42" customHeight="1">
      <c r="A1692" s="2" t="s">
        <v>3893</v>
      </c>
      <c r="B1692" s="2" t="s">
        <v>3894</v>
      </c>
      <c r="C1692" s="2" t="s">
        <v>34</v>
      </c>
      <c r="D1692" s="2" t="s">
        <v>35</v>
      </c>
      <c r="E1692" s="5">
        <v>-31518</v>
      </c>
      <c r="F1692" s="3" t="s">
        <v>155</v>
      </c>
      <c r="G1692" s="3" t="s">
        <v>82</v>
      </c>
      <c r="H1692" s="2" t="s">
        <v>20</v>
      </c>
      <c r="I1692" s="2" t="s">
        <v>3895</v>
      </c>
      <c r="J1692" s="3" t="str">
        <f>HYPERLINK("https://www.boe.es/gazeta/dias/1813/09/14/pdfs/GRE-1813-119.pdf#page=5","Abrir facsímil")</f>
        <v>Abrir facsímil</v>
      </c>
      <c r="K1692" s="3" t="s">
        <v>22</v>
      </c>
    </row>
    <row r="1693" spans="1:11" ht="42" customHeight="1">
      <c r="A1693" s="2" t="s">
        <v>3896</v>
      </c>
      <c r="B1693" s="2" t="s">
        <v>3896</v>
      </c>
      <c r="C1693" s="2" t="s">
        <v>16</v>
      </c>
      <c r="D1693" s="2" t="s">
        <v>17</v>
      </c>
      <c r="E1693" s="5">
        <v>-31770</v>
      </c>
      <c r="F1693" s="3" t="s">
        <v>1738</v>
      </c>
      <c r="G1693" s="3" t="s">
        <v>2984</v>
      </c>
      <c r="H1693" s="2" t="s">
        <v>20</v>
      </c>
      <c r="I1693" s="2" t="s">
        <v>3897</v>
      </c>
      <c r="J1693" s="3" t="str">
        <f>HYPERLINK("https://www.boe.es/gazeta/dias/1813/01/05/pdfs/GRE-1813-2.pdf#page=4","Abrir facsímil")</f>
        <v>Abrir facsímil</v>
      </c>
      <c r="K1693" s="3" t="s">
        <v>22</v>
      </c>
    </row>
    <row r="1694" spans="1:11" ht="42" customHeight="1">
      <c r="A1694" s="2" t="s">
        <v>3898</v>
      </c>
      <c r="B1694" s="2" t="s">
        <v>3898</v>
      </c>
      <c r="C1694" s="2" t="s">
        <v>69</v>
      </c>
      <c r="D1694" s="2" t="s">
        <v>26</v>
      </c>
      <c r="E1694" s="5">
        <v>-31700</v>
      </c>
      <c r="F1694" s="3" t="s">
        <v>778</v>
      </c>
      <c r="G1694" s="3" t="s">
        <v>779</v>
      </c>
      <c r="H1694" s="2" t="s">
        <v>20</v>
      </c>
      <c r="I1694" s="2" t="s">
        <v>3899</v>
      </c>
      <c r="J1694" s="3" t="str">
        <f>HYPERLINK("https://www.boe.es/gazeta/dias/1813/03/16/pdfs/GMD-1813-75.pdf#page=3","Abrir facsímil")</f>
        <v>Abrir facsímil</v>
      </c>
      <c r="K1694" s="3" t="s">
        <v>22</v>
      </c>
    </row>
    <row r="1695" spans="1:11" ht="42" customHeight="1">
      <c r="A1695" s="2" t="s">
        <v>3900</v>
      </c>
      <c r="B1695" s="2" t="s">
        <v>3901</v>
      </c>
      <c r="C1695" s="2" t="s">
        <v>16</v>
      </c>
      <c r="D1695" s="2" t="s">
        <v>17</v>
      </c>
      <c r="E1695" s="5">
        <v>-31567</v>
      </c>
      <c r="F1695" s="3" t="s">
        <v>820</v>
      </c>
      <c r="G1695" s="3" t="s">
        <v>313</v>
      </c>
      <c r="H1695" s="2" t="s">
        <v>20</v>
      </c>
      <c r="I1695" s="2" t="s">
        <v>3902</v>
      </c>
      <c r="J1695" s="3" t="str">
        <f>HYPERLINK("https://www.boe.es/gazeta/dias/1813/07/27/pdfs/GMR-1813-21.pdf#page=9","Abrir facsímil")</f>
        <v>Abrir facsímil</v>
      </c>
      <c r="K1695" s="3" t="s">
        <v>22</v>
      </c>
    </row>
    <row r="1696" spans="1:11" ht="42" customHeight="1">
      <c r="A1696" s="2" t="s">
        <v>3903</v>
      </c>
      <c r="B1696" s="2" t="s">
        <v>3903</v>
      </c>
      <c r="C1696" s="2" t="s">
        <v>25</v>
      </c>
      <c r="D1696" s="2" t="s">
        <v>26</v>
      </c>
      <c r="E1696" s="5">
        <v>-31644</v>
      </c>
      <c r="F1696" s="3" t="s">
        <v>3904</v>
      </c>
      <c r="G1696" s="3" t="s">
        <v>54</v>
      </c>
      <c r="H1696" s="2" t="s">
        <v>20</v>
      </c>
      <c r="I1696" s="2" t="s">
        <v>3905</v>
      </c>
      <c r="J1696" s="3" t="str">
        <f>HYPERLINK("https://www.boe.es/gazeta/dias/1813/05/11/pdfs/GRE-1813-58.pdf#page=3","Abrir facsímil")</f>
        <v>Abrir facsímil</v>
      </c>
      <c r="K1696" s="3" t="s">
        <v>22</v>
      </c>
    </row>
    <row r="1697" spans="1:11" ht="42" customHeight="1">
      <c r="A1697" s="2" t="s">
        <v>3906</v>
      </c>
      <c r="B1697" s="2" t="s">
        <v>3906</v>
      </c>
      <c r="C1697" s="2" t="s">
        <v>16</v>
      </c>
      <c r="D1697" s="2" t="s">
        <v>17</v>
      </c>
      <c r="E1697" s="5">
        <v>-31676</v>
      </c>
      <c r="F1697" s="3" t="s">
        <v>3907</v>
      </c>
      <c r="G1697" s="3" t="s">
        <v>3908</v>
      </c>
      <c r="H1697" s="2" t="s">
        <v>20</v>
      </c>
      <c r="I1697" s="2" t="s">
        <v>3909</v>
      </c>
      <c r="J1697" s="3" t="str">
        <f>HYPERLINK("https://www.boe.es/gazeta/dias/1813/04/09/pdfs/GMD-1813-99.pdf#page=3","Abrir facsímil")</f>
        <v>Abrir facsímil</v>
      </c>
      <c r="K1697" s="3" t="s">
        <v>22</v>
      </c>
    </row>
    <row r="1698" spans="1:11" ht="42" customHeight="1">
      <c r="A1698" s="2" t="s">
        <v>3910</v>
      </c>
      <c r="B1698" s="2" t="s">
        <v>3910</v>
      </c>
      <c r="C1698" s="2" t="s">
        <v>16</v>
      </c>
      <c r="D1698" s="2" t="s">
        <v>17</v>
      </c>
      <c r="E1698" s="5">
        <v>-31722</v>
      </c>
      <c r="F1698" s="3" t="s">
        <v>3675</v>
      </c>
      <c r="G1698" s="3" t="s">
        <v>65</v>
      </c>
      <c r="H1698" s="2" t="s">
        <v>20</v>
      </c>
      <c r="I1698" s="2" t="s">
        <v>3911</v>
      </c>
      <c r="J1698" s="3" t="str">
        <f>HYPERLINK("https://www.boe.es/gazeta/dias/1813/02/22/pdfs/GMD-1813-53.pdf#page=1","Abrir facsímil")</f>
        <v>Abrir facsímil</v>
      </c>
      <c r="K1698" s="3" t="s">
        <v>22</v>
      </c>
    </row>
    <row r="1699" spans="1:11" ht="42" customHeight="1">
      <c r="A1699" s="2" t="s">
        <v>3910</v>
      </c>
      <c r="B1699" s="2" t="s">
        <v>3910</v>
      </c>
      <c r="C1699" s="2" t="s">
        <v>16</v>
      </c>
      <c r="D1699" s="2" t="s">
        <v>17</v>
      </c>
      <c r="E1699" s="5">
        <v>-31714</v>
      </c>
      <c r="F1699" s="3" t="s">
        <v>3912</v>
      </c>
      <c r="G1699" s="3" t="s">
        <v>65</v>
      </c>
      <c r="H1699" s="2" t="s">
        <v>20</v>
      </c>
      <c r="I1699" s="2" t="s">
        <v>3913</v>
      </c>
      <c r="J1699" s="3" t="str">
        <f>HYPERLINK("https://www.boe.es/gazeta/dias/1813/03/02/pdfs/GMD-1813-61.pdf#page=1","Abrir facsímil")</f>
        <v>Abrir facsímil</v>
      </c>
      <c r="K1699" s="3" t="s">
        <v>22</v>
      </c>
    </row>
    <row r="1700" spans="1:11" ht="42" customHeight="1">
      <c r="A1700" s="2" t="s">
        <v>3910</v>
      </c>
      <c r="B1700" s="2" t="s">
        <v>3910</v>
      </c>
      <c r="C1700" s="2" t="s">
        <v>16</v>
      </c>
      <c r="D1700" s="2" t="s">
        <v>17</v>
      </c>
      <c r="E1700" s="5">
        <v>-31551</v>
      </c>
      <c r="F1700" s="3" t="s">
        <v>954</v>
      </c>
      <c r="G1700" s="3" t="s">
        <v>65</v>
      </c>
      <c r="H1700" s="2" t="s">
        <v>20</v>
      </c>
      <c r="I1700" s="2" t="s">
        <v>3914</v>
      </c>
      <c r="J1700" s="3" t="str">
        <f>HYPERLINK("https://www.boe.es/gazeta/dias/1813/08/12/pdfs/GMR-1813-27.pdf#page=1","Abrir facsímil")</f>
        <v>Abrir facsímil</v>
      </c>
      <c r="K1700" s="3" t="s">
        <v>22</v>
      </c>
    </row>
    <row r="1701" spans="1:11" ht="42" customHeight="1">
      <c r="A1701" s="2" t="s">
        <v>3910</v>
      </c>
      <c r="B1701" s="2" t="s">
        <v>3910</v>
      </c>
      <c r="C1701" s="2" t="s">
        <v>16</v>
      </c>
      <c r="D1701" s="2" t="s">
        <v>17</v>
      </c>
      <c r="E1701" s="5">
        <v>-31551</v>
      </c>
      <c r="F1701" s="3" t="s">
        <v>954</v>
      </c>
      <c r="G1701" s="3" t="s">
        <v>58</v>
      </c>
      <c r="H1701" s="2" t="s">
        <v>20</v>
      </c>
      <c r="I1701" s="2" t="s">
        <v>3915</v>
      </c>
      <c r="J1701" s="3" t="str">
        <f>HYPERLINK("https://www.boe.es/gazeta/dias/1813/08/12/pdfs/GMR-1813-27.pdf#page=2","Abrir facsímil")</f>
        <v>Abrir facsímil</v>
      </c>
      <c r="K1701" s="3" t="s">
        <v>22</v>
      </c>
    </row>
    <row r="1702" spans="1:11" ht="42" customHeight="1">
      <c r="A1702" s="2" t="s">
        <v>3916</v>
      </c>
      <c r="B1702" s="2" t="s">
        <v>3916</v>
      </c>
      <c r="C1702" s="2" t="s">
        <v>25</v>
      </c>
      <c r="D1702" s="2" t="s">
        <v>26</v>
      </c>
      <c r="E1702" s="5">
        <v>-31774</v>
      </c>
      <c r="F1702" s="3" t="s">
        <v>3665</v>
      </c>
      <c r="G1702" s="3" t="s">
        <v>19</v>
      </c>
      <c r="H1702" s="2" t="s">
        <v>20</v>
      </c>
      <c r="I1702" s="2" t="s">
        <v>3917</v>
      </c>
      <c r="J1702" s="3" t="str">
        <f>HYPERLINK("https://www.boe.es/gazeta/dias/1813/01/01/pdfs/GMD-1813-1.pdf#page=4","Abrir facsímil")</f>
        <v>Abrir facsímil</v>
      </c>
      <c r="K1702" s="3" t="s">
        <v>22</v>
      </c>
    </row>
    <row r="1703" spans="1:11" ht="42" customHeight="1">
      <c r="A1703" s="2" t="s">
        <v>3918</v>
      </c>
      <c r="B1703" s="2" t="s">
        <v>3919</v>
      </c>
      <c r="C1703" s="2" t="s">
        <v>16</v>
      </c>
      <c r="D1703" s="2" t="s">
        <v>17</v>
      </c>
      <c r="E1703" s="5">
        <v>-31770</v>
      </c>
      <c r="F1703" s="3" t="s">
        <v>188</v>
      </c>
      <c r="G1703" s="3" t="s">
        <v>28</v>
      </c>
      <c r="H1703" s="2" t="s">
        <v>20</v>
      </c>
      <c r="I1703" s="2" t="s">
        <v>3920</v>
      </c>
      <c r="J1703" s="3" t="str">
        <f>HYPERLINK("https://www.boe.es/gazeta/dias/1813/01/05/pdfs/GRE-1813-3.pdf#page=8","Abrir facsímil")</f>
        <v>Abrir facsímil</v>
      </c>
      <c r="K1703" s="3" t="s">
        <v>22</v>
      </c>
    </row>
    <row r="1704" spans="1:11" ht="42" customHeight="1">
      <c r="A1704" s="2" t="s">
        <v>3918</v>
      </c>
      <c r="B1704" s="2" t="s">
        <v>3919</v>
      </c>
      <c r="C1704" s="2" t="s">
        <v>16</v>
      </c>
      <c r="D1704" s="2" t="s">
        <v>17</v>
      </c>
      <c r="E1704" s="5">
        <v>-31768</v>
      </c>
      <c r="F1704" s="3" t="s">
        <v>188</v>
      </c>
      <c r="G1704" s="3" t="s">
        <v>28</v>
      </c>
      <c r="H1704" s="2" t="s">
        <v>20</v>
      </c>
      <c r="I1704" s="2" t="s">
        <v>3920</v>
      </c>
      <c r="J1704" s="3" t="str">
        <f>HYPERLINK("https://www.boe.es/gazeta/dias/1813/01/07/pdfs/GRE-1813-3.pdf#page=8","Abrir facsímil")</f>
        <v>Abrir facsímil</v>
      </c>
      <c r="K1704" s="3" t="s">
        <v>22</v>
      </c>
    </row>
    <row r="1705" spans="1:11" ht="42" customHeight="1">
      <c r="A1705" s="2" t="s">
        <v>3921</v>
      </c>
      <c r="B1705" s="2" t="s">
        <v>3921</v>
      </c>
      <c r="C1705" s="2" t="s">
        <v>16</v>
      </c>
      <c r="D1705" s="2" t="s">
        <v>17</v>
      </c>
      <c r="E1705" s="5">
        <v>-31754</v>
      </c>
      <c r="F1705" s="3" t="s">
        <v>899</v>
      </c>
      <c r="G1705" s="3" t="s">
        <v>65</v>
      </c>
      <c r="H1705" s="2" t="s">
        <v>20</v>
      </c>
      <c r="I1705" s="2" t="s">
        <v>3922</v>
      </c>
      <c r="J1705" s="3" t="str">
        <f>HYPERLINK("https://www.boe.es/gazeta/dias/1813/01/21/pdfs/GRE-1813-9.pdf#page=1","Abrir facsímil")</f>
        <v>Abrir facsímil</v>
      </c>
      <c r="K1705" s="3" t="s">
        <v>22</v>
      </c>
    </row>
    <row r="1706" spans="1:11" ht="42" customHeight="1">
      <c r="A1706" s="2" t="s">
        <v>3923</v>
      </c>
      <c r="B1706" s="2" t="s">
        <v>3923</v>
      </c>
      <c r="C1706" s="2" t="s">
        <v>16</v>
      </c>
      <c r="D1706" s="2" t="s">
        <v>17</v>
      </c>
      <c r="E1706" s="5">
        <v>-31766</v>
      </c>
      <c r="F1706" s="3" t="s">
        <v>1356</v>
      </c>
      <c r="G1706" s="3" t="s">
        <v>1357</v>
      </c>
      <c r="H1706" s="2" t="s">
        <v>20</v>
      </c>
      <c r="I1706" s="2" t="s">
        <v>3924</v>
      </c>
      <c r="J1706" s="3" t="str">
        <f>HYPERLINK("https://www.boe.es/gazeta/dias/1813/01/09/pdfs/GRE-1813-4.pdf#page=3","Abrir facsímil")</f>
        <v>Abrir facsímil</v>
      </c>
      <c r="K1706" s="3" t="s">
        <v>22</v>
      </c>
    </row>
    <row r="1707" spans="1:11" ht="42" customHeight="1">
      <c r="A1707" s="2" t="s">
        <v>3925</v>
      </c>
      <c r="B1707" s="2" t="s">
        <v>3925</v>
      </c>
      <c r="C1707" s="2" t="s">
        <v>34</v>
      </c>
      <c r="D1707" s="2" t="s">
        <v>35</v>
      </c>
      <c r="E1707" s="5">
        <v>-31638</v>
      </c>
      <c r="F1707" s="3" t="s">
        <v>1635</v>
      </c>
      <c r="G1707" s="3" t="s">
        <v>58</v>
      </c>
      <c r="H1707" s="2" t="s">
        <v>20</v>
      </c>
      <c r="I1707" s="2" t="s">
        <v>3926</v>
      </c>
      <c r="J1707" s="3" t="str">
        <f>HYPERLINK("https://www.boe.es/gazeta/dias/1813/05/17/pdfs/GMD-1813-137.pdf#page=2","Abrir facsímil")</f>
        <v>Abrir facsímil</v>
      </c>
      <c r="K1707" s="3" t="s">
        <v>22</v>
      </c>
    </row>
    <row r="1708" spans="1:11" ht="42" customHeight="1">
      <c r="A1708" s="2" t="s">
        <v>3927</v>
      </c>
      <c r="B1708" s="2" t="s">
        <v>3927</v>
      </c>
      <c r="C1708" s="2" t="s">
        <v>25</v>
      </c>
      <c r="D1708" s="2" t="s">
        <v>26</v>
      </c>
      <c r="E1708" s="5">
        <v>-31725</v>
      </c>
      <c r="F1708" s="3" t="s">
        <v>3928</v>
      </c>
      <c r="G1708" s="3" t="s">
        <v>54</v>
      </c>
      <c r="H1708" s="2" t="s">
        <v>20</v>
      </c>
      <c r="I1708" s="2" t="s">
        <v>3929</v>
      </c>
      <c r="J1708" s="3" t="str">
        <f>HYPERLINK("https://www.boe.es/gazeta/dias/1813/02/19/pdfs/GMD-1813-50.pdf#page=3","Abrir facsímil")</f>
        <v>Abrir facsímil</v>
      </c>
      <c r="K1708" s="3" t="s">
        <v>22</v>
      </c>
    </row>
    <row r="1709" spans="1:11" ht="42" customHeight="1">
      <c r="A1709" s="2" t="s">
        <v>3930</v>
      </c>
      <c r="B1709" s="2" t="s">
        <v>3931</v>
      </c>
      <c r="C1709" s="2" t="s">
        <v>25</v>
      </c>
      <c r="D1709" s="2" t="s">
        <v>26</v>
      </c>
      <c r="E1709" s="5">
        <v>-31752</v>
      </c>
      <c r="F1709" s="3" t="s">
        <v>182</v>
      </c>
      <c r="G1709" s="3" t="s">
        <v>183</v>
      </c>
      <c r="H1709" s="2" t="s">
        <v>20</v>
      </c>
      <c r="I1709" s="2" t="s">
        <v>3932</v>
      </c>
      <c r="J1709" s="3" t="str">
        <f>HYPERLINK("https://www.boe.es/gazeta/dias/1813/01/23/pdfs/GRE-1813-10.pdf#page=8","Abrir facsímil")</f>
        <v>Abrir facsímil</v>
      </c>
      <c r="K1709" s="3" t="s">
        <v>22</v>
      </c>
    </row>
    <row r="1710" spans="1:11" ht="42" customHeight="1">
      <c r="A1710" s="2" t="s">
        <v>3933</v>
      </c>
      <c r="B1710" s="2" t="s">
        <v>3934</v>
      </c>
      <c r="C1710" s="2" t="s">
        <v>16</v>
      </c>
      <c r="D1710" s="2" t="s">
        <v>17</v>
      </c>
      <c r="E1710" s="5">
        <v>-31425</v>
      </c>
      <c r="F1710" s="3" t="s">
        <v>1669</v>
      </c>
      <c r="G1710" s="3" t="s">
        <v>3935</v>
      </c>
      <c r="H1710" s="2" t="s">
        <v>20</v>
      </c>
      <c r="I1710" s="2" t="s">
        <v>3936</v>
      </c>
      <c r="J1710" s="3" t="str">
        <f>HYPERLINK("https://www.boe.es/gazeta/dias/1813/12/16/pdfs/GRE-1813-165.pdf#page=8","Abrir facsímil")</f>
        <v>Abrir facsímil</v>
      </c>
      <c r="K1710" s="3" t="s">
        <v>22</v>
      </c>
    </row>
    <row r="1711" spans="1:11" ht="42" customHeight="1">
      <c r="A1711" s="2" t="s">
        <v>3937</v>
      </c>
      <c r="B1711" s="2" t="s">
        <v>3938</v>
      </c>
      <c r="C1711" s="2" t="s">
        <v>16</v>
      </c>
      <c r="D1711" s="2" t="s">
        <v>17</v>
      </c>
      <c r="E1711" s="5">
        <v>-31413</v>
      </c>
      <c r="F1711" s="3" t="s">
        <v>149</v>
      </c>
      <c r="G1711" s="3" t="s">
        <v>87</v>
      </c>
      <c r="H1711" s="2" t="s">
        <v>20</v>
      </c>
      <c r="I1711" s="2" t="s">
        <v>3939</v>
      </c>
      <c r="J1711" s="3" t="str">
        <f>HYPERLINK("https://www.boe.es/gazeta/dias/1813/12/28/pdfs/GMR-1813-93.pdf#page=7","Abrir facsímil")</f>
        <v>Abrir facsímil</v>
      </c>
      <c r="K1711" s="3" t="s">
        <v>22</v>
      </c>
    </row>
    <row r="1712" spans="1:11" ht="42" customHeight="1">
      <c r="A1712" s="2" t="s">
        <v>3940</v>
      </c>
      <c r="B1712" s="2" t="s">
        <v>3941</v>
      </c>
      <c r="C1712" s="2" t="s">
        <v>34</v>
      </c>
      <c r="D1712" s="2" t="s">
        <v>35</v>
      </c>
      <c r="E1712" s="5">
        <v>-31584</v>
      </c>
      <c r="F1712" s="3" t="s">
        <v>114</v>
      </c>
      <c r="G1712" s="3" t="s">
        <v>28</v>
      </c>
      <c r="H1712" s="2" t="s">
        <v>20</v>
      </c>
      <c r="I1712" s="2" t="s">
        <v>3942</v>
      </c>
      <c r="J1712" s="3" t="str">
        <f>HYPERLINK("https://www.boe.es/gazeta/dias/1813/07/10/pdfs/GRE-1813-86.pdf#page=8","Abrir facsímil")</f>
        <v>Abrir facsímil</v>
      </c>
      <c r="K1712" s="3" t="s">
        <v>22</v>
      </c>
    </row>
    <row r="1713" spans="1:11" ht="42" customHeight="1">
      <c r="A1713" s="2" t="s">
        <v>3940</v>
      </c>
      <c r="B1713" s="2" t="s">
        <v>3941</v>
      </c>
      <c r="C1713" s="2" t="s">
        <v>435</v>
      </c>
      <c r="D1713" s="2" t="s">
        <v>26</v>
      </c>
      <c r="E1713" s="5">
        <v>-31574</v>
      </c>
      <c r="F1713" s="3" t="s">
        <v>1343</v>
      </c>
      <c r="G1713" s="3" t="s">
        <v>82</v>
      </c>
      <c r="H1713" s="2" t="s">
        <v>20</v>
      </c>
      <c r="I1713" s="2" t="s">
        <v>3943</v>
      </c>
      <c r="J1713" s="3" t="str">
        <f>HYPERLINK("https://www.boe.es/gazeta/dias/1813/07/20/pdfs/GMR-1813-19.pdf#page=5","Abrir facsímil")</f>
        <v>Abrir facsímil</v>
      </c>
      <c r="K1713" s="3" t="s">
        <v>22</v>
      </c>
    </row>
    <row r="1714" spans="1:11" ht="42" customHeight="1">
      <c r="A1714" s="2" t="s">
        <v>3944</v>
      </c>
      <c r="B1714" s="2" t="s">
        <v>3944</v>
      </c>
      <c r="C1714" s="2" t="s">
        <v>16</v>
      </c>
      <c r="D1714" s="2" t="s">
        <v>17</v>
      </c>
      <c r="E1714" s="5">
        <v>-31700</v>
      </c>
      <c r="F1714" s="3" t="s">
        <v>226</v>
      </c>
      <c r="G1714" s="3" t="s">
        <v>87</v>
      </c>
      <c r="H1714" s="2" t="s">
        <v>20</v>
      </c>
      <c r="I1714" s="2" t="s">
        <v>3945</v>
      </c>
      <c r="J1714" s="3" t="str">
        <f>HYPERLINK("https://www.boe.es/gazeta/dias/1813/03/16/pdfs/GRE-1813-33.pdf#page=7","Abrir facsímil")</f>
        <v>Abrir facsímil</v>
      </c>
      <c r="K1714" s="3" t="s">
        <v>22</v>
      </c>
    </row>
    <row r="1715" spans="1:11" ht="42" customHeight="1">
      <c r="A1715" s="2" t="s">
        <v>3944</v>
      </c>
      <c r="B1715" s="2" t="s">
        <v>3944</v>
      </c>
      <c r="C1715" s="2" t="s">
        <v>16</v>
      </c>
      <c r="D1715" s="2" t="s">
        <v>17</v>
      </c>
      <c r="E1715" s="5">
        <v>-31654</v>
      </c>
      <c r="F1715" s="3" t="s">
        <v>1519</v>
      </c>
      <c r="G1715" s="3" t="s">
        <v>3682</v>
      </c>
      <c r="H1715" s="2" t="s">
        <v>20</v>
      </c>
      <c r="I1715" s="2" t="s">
        <v>3946</v>
      </c>
      <c r="J1715" s="3" t="str">
        <f>HYPERLINK("https://www.boe.es/gazeta/dias/1813/05/01/pdfs/GRE-1813-54.pdf#page=2","Abrir facsímil")</f>
        <v>Abrir facsímil</v>
      </c>
      <c r="K1715" s="3" t="s">
        <v>22</v>
      </c>
    </row>
    <row r="1716" spans="1:11" ht="42" customHeight="1">
      <c r="A1716" s="2" t="s">
        <v>3947</v>
      </c>
      <c r="B1716" s="2" t="s">
        <v>3947</v>
      </c>
      <c r="C1716" s="2" t="s">
        <v>16</v>
      </c>
      <c r="D1716" s="2" t="s">
        <v>17</v>
      </c>
      <c r="E1716" s="5">
        <v>-31766</v>
      </c>
      <c r="F1716" s="3" t="s">
        <v>1356</v>
      </c>
      <c r="G1716" s="3" t="s">
        <v>1357</v>
      </c>
      <c r="H1716" s="2" t="s">
        <v>20</v>
      </c>
      <c r="I1716" s="2" t="s">
        <v>3948</v>
      </c>
      <c r="J1716" s="3" t="str">
        <f>HYPERLINK("https://www.boe.es/gazeta/dias/1813/01/09/pdfs/GRE-1813-4.pdf#page=3","Abrir facsímil")</f>
        <v>Abrir facsímil</v>
      </c>
      <c r="K1716" s="3" t="s">
        <v>22</v>
      </c>
    </row>
    <row r="1717" spans="1:11" ht="42" customHeight="1">
      <c r="A1717" s="2" t="s">
        <v>3949</v>
      </c>
      <c r="B1717" s="2" t="s">
        <v>3949</v>
      </c>
      <c r="C1717" s="2" t="s">
        <v>16</v>
      </c>
      <c r="D1717" s="2" t="s">
        <v>17</v>
      </c>
      <c r="E1717" s="5">
        <v>-31693</v>
      </c>
      <c r="F1717" s="3" t="s">
        <v>3950</v>
      </c>
      <c r="G1717" s="3" t="s">
        <v>58</v>
      </c>
      <c r="H1717" s="2" t="s">
        <v>20</v>
      </c>
      <c r="I1717" s="2" t="s">
        <v>3951</v>
      </c>
      <c r="J1717" s="3" t="str">
        <f>HYPERLINK("https://www.boe.es/gazeta/dias/1813/03/23/pdfs/GRE-1813-36.pdf#page=2","Abrir facsímil")</f>
        <v>Abrir facsímil</v>
      </c>
      <c r="K1717" s="3" t="s">
        <v>22</v>
      </c>
    </row>
    <row r="1718" spans="1:11" ht="42" customHeight="1">
      <c r="A1718" s="2" t="s">
        <v>3952</v>
      </c>
      <c r="B1718" s="2" t="s">
        <v>3952</v>
      </c>
      <c r="C1718" s="2" t="s">
        <v>16</v>
      </c>
      <c r="D1718" s="2" t="s">
        <v>97</v>
      </c>
      <c r="E1718" s="5">
        <v>-31446</v>
      </c>
      <c r="F1718" s="3" t="s">
        <v>1877</v>
      </c>
      <c r="G1718" s="3" t="s">
        <v>54</v>
      </c>
      <c r="H1718" s="2" t="s">
        <v>20</v>
      </c>
      <c r="I1718" s="2" t="s">
        <v>3953</v>
      </c>
      <c r="J1718" s="3" t="str">
        <f>HYPERLINK("https://www.boe.es/gazeta/dias/1813/11/25/pdfs/GRE-1813-155E.pdf#page=3","Abrir facsímil")</f>
        <v>Abrir facsímil</v>
      </c>
      <c r="K1718" s="3" t="s">
        <v>22</v>
      </c>
    </row>
    <row r="1719" spans="1:11" ht="42" customHeight="1">
      <c r="A1719" s="2" t="s">
        <v>3954</v>
      </c>
      <c r="B1719" s="2" t="s">
        <v>3954</v>
      </c>
      <c r="C1719" s="2" t="s">
        <v>16</v>
      </c>
      <c r="D1719" s="2" t="s">
        <v>17</v>
      </c>
      <c r="E1719" s="5">
        <v>-31521</v>
      </c>
      <c r="F1719" s="3" t="s">
        <v>1282</v>
      </c>
      <c r="G1719" s="3" t="s">
        <v>54</v>
      </c>
      <c r="H1719" s="2" t="s">
        <v>20</v>
      </c>
      <c r="I1719" s="2" t="s">
        <v>3955</v>
      </c>
      <c r="J1719" s="3" t="str">
        <f>HYPERLINK("https://www.boe.es/gazeta/dias/1813/09/11/pdfs/GMR-1813-41.pdf#page=3","Abrir facsímil")</f>
        <v>Abrir facsímil</v>
      </c>
      <c r="K1719" s="3" t="s">
        <v>22</v>
      </c>
    </row>
    <row r="1720" spans="1:11" ht="42" customHeight="1">
      <c r="A1720" s="2" t="s">
        <v>3956</v>
      </c>
      <c r="B1720" s="2" t="s">
        <v>3956</v>
      </c>
      <c r="C1720" s="2" t="s">
        <v>16</v>
      </c>
      <c r="D1720" s="2" t="s">
        <v>17</v>
      </c>
      <c r="E1720" s="5">
        <v>-31571</v>
      </c>
      <c r="F1720" s="3" t="s">
        <v>788</v>
      </c>
      <c r="G1720" s="3" t="s">
        <v>2657</v>
      </c>
      <c r="H1720" s="2" t="s">
        <v>20</v>
      </c>
      <c r="I1720" s="2" t="s">
        <v>3957</v>
      </c>
      <c r="J1720" s="3" t="str">
        <f>HYPERLINK("https://www.boe.es/gazeta/dias/1813/07/23/pdfs/GMR-1813-20.pdf#page=11","Abrir facsímil")</f>
        <v>Abrir facsímil</v>
      </c>
      <c r="K1720" s="3" t="s">
        <v>22</v>
      </c>
    </row>
    <row r="1721" spans="1:11" ht="42" customHeight="1">
      <c r="A1721" s="2" t="s">
        <v>3958</v>
      </c>
      <c r="B1721" s="2" t="s">
        <v>3958</v>
      </c>
      <c r="C1721" s="2" t="s">
        <v>16</v>
      </c>
      <c r="D1721" s="2" t="s">
        <v>17</v>
      </c>
      <c r="E1721" s="5">
        <v>-31582</v>
      </c>
      <c r="F1721" s="3" t="s">
        <v>907</v>
      </c>
      <c r="G1721" s="3" t="s">
        <v>19</v>
      </c>
      <c r="H1721" s="2" t="s">
        <v>20</v>
      </c>
      <c r="I1721" s="2" t="s">
        <v>3959</v>
      </c>
      <c r="J1721" s="3" t="str">
        <f>HYPERLINK("https://www.boe.es/gazeta/dias/1813/07/12/pdfs/GRE-1813-87.pdf#page=4","Abrir facsímil")</f>
        <v>Abrir facsímil</v>
      </c>
      <c r="K1721" s="3" t="s">
        <v>22</v>
      </c>
    </row>
    <row r="1722" spans="1:11" ht="42" customHeight="1">
      <c r="A1722" s="2" t="s">
        <v>3960</v>
      </c>
      <c r="B1722" s="2" t="s">
        <v>3960</v>
      </c>
      <c r="C1722" s="2" t="s">
        <v>16</v>
      </c>
      <c r="D1722" s="2" t="s">
        <v>17</v>
      </c>
      <c r="E1722" s="5">
        <v>-31649</v>
      </c>
      <c r="F1722" s="3" t="s">
        <v>3961</v>
      </c>
      <c r="G1722" s="3" t="s">
        <v>65</v>
      </c>
      <c r="H1722" s="2" t="s">
        <v>20</v>
      </c>
      <c r="I1722" s="2" t="s">
        <v>3962</v>
      </c>
      <c r="J1722" s="3" t="str">
        <f>HYPERLINK("https://www.boe.es/gazeta/dias/1813/05/06/pdfs/GMD-1813-126.pdf#page=1","Abrir facsímil")</f>
        <v>Abrir facsímil</v>
      </c>
      <c r="K1722" s="3" t="s">
        <v>22</v>
      </c>
    </row>
    <row r="1723" spans="1:11" ht="42" customHeight="1">
      <c r="A1723" s="2" t="s">
        <v>3963</v>
      </c>
      <c r="B1723" s="2" t="s">
        <v>3963</v>
      </c>
      <c r="C1723" s="2" t="s">
        <v>16</v>
      </c>
      <c r="D1723" s="2" t="s">
        <v>17</v>
      </c>
      <c r="E1723" s="5">
        <v>-31672</v>
      </c>
      <c r="F1723" s="3" t="s">
        <v>3964</v>
      </c>
      <c r="G1723" s="3" t="s">
        <v>54</v>
      </c>
      <c r="H1723" s="2" t="s">
        <v>20</v>
      </c>
      <c r="I1723" s="2" t="s">
        <v>3965</v>
      </c>
      <c r="J1723" s="3" t="str">
        <f>HYPERLINK("https://www.boe.es/gazeta/dias/1813/04/13/pdfs/GMD-1813-103.pdf#page=3","Abrir facsímil")</f>
        <v>Abrir facsímil</v>
      </c>
      <c r="K1723" s="3" t="s">
        <v>22</v>
      </c>
    </row>
    <row r="1724" spans="1:11" ht="42" customHeight="1">
      <c r="A1724" s="2" t="s">
        <v>3966</v>
      </c>
      <c r="B1724" s="2" t="s">
        <v>3967</v>
      </c>
      <c r="C1724" s="2" t="s">
        <v>187</v>
      </c>
      <c r="D1724" s="2" t="s">
        <v>26</v>
      </c>
      <c r="E1724" s="5">
        <v>-31511</v>
      </c>
      <c r="F1724" s="3" t="s">
        <v>935</v>
      </c>
      <c r="G1724" s="3" t="s">
        <v>1304</v>
      </c>
      <c r="H1724" s="2" t="s">
        <v>20</v>
      </c>
      <c r="I1724" s="2" t="s">
        <v>3968</v>
      </c>
      <c r="J1724" s="3" t="str">
        <f>HYPERLINK("https://www.boe.es/gazeta/dias/1813/09/21/pdfs/GMR-1813-46.pdf#page=12","Abrir facsímil")</f>
        <v>Abrir facsímil</v>
      </c>
      <c r="K1724" s="3" t="s">
        <v>22</v>
      </c>
    </row>
    <row r="1725" spans="1:11" ht="42" customHeight="1">
      <c r="A1725" s="2" t="s">
        <v>3969</v>
      </c>
      <c r="B1725" s="2" t="s">
        <v>3969</v>
      </c>
      <c r="C1725" s="2" t="s">
        <v>16</v>
      </c>
      <c r="D1725" s="2" t="s">
        <v>17</v>
      </c>
      <c r="E1725" s="5">
        <v>-31448</v>
      </c>
      <c r="F1725" s="3" t="s">
        <v>325</v>
      </c>
      <c r="G1725" s="3" t="s">
        <v>87</v>
      </c>
      <c r="H1725" s="2" t="s">
        <v>20</v>
      </c>
      <c r="I1725" s="2" t="s">
        <v>3970</v>
      </c>
      <c r="J1725" s="3" t="str">
        <f>HYPERLINK("https://www.boe.es/gazeta/dias/1813/11/23/pdfs/GMR-1813-78.pdf#page=7","Abrir facsímil")</f>
        <v>Abrir facsímil</v>
      </c>
      <c r="K1725" s="3" t="s">
        <v>22</v>
      </c>
    </row>
    <row r="1726" spans="1:11" ht="42" customHeight="1">
      <c r="A1726" s="2" t="s">
        <v>3971</v>
      </c>
      <c r="B1726" s="2" t="s">
        <v>3972</v>
      </c>
      <c r="C1726" s="2" t="s">
        <v>25</v>
      </c>
      <c r="D1726" s="2" t="s">
        <v>26</v>
      </c>
      <c r="E1726" s="5">
        <v>-31539</v>
      </c>
      <c r="F1726" s="3" t="s">
        <v>1220</v>
      </c>
      <c r="G1726" s="3" t="s">
        <v>87</v>
      </c>
      <c r="H1726" s="2" t="s">
        <v>20</v>
      </c>
      <c r="I1726" s="2" t="s">
        <v>3973</v>
      </c>
      <c r="J1726" s="3" t="str">
        <f>HYPERLINK("https://www.boe.es/gazeta/dias/1813/08/24/pdfs/GRE-1813-108.pdf#page=7","Abrir facsímil")</f>
        <v>Abrir facsímil</v>
      </c>
      <c r="K1726" s="3" t="s">
        <v>22</v>
      </c>
    </row>
    <row r="1727" spans="1:11" ht="42" customHeight="1">
      <c r="A1727" s="2" t="s">
        <v>3974</v>
      </c>
      <c r="B1727" s="2" t="s">
        <v>3975</v>
      </c>
      <c r="C1727" s="2" t="s">
        <v>16</v>
      </c>
      <c r="D1727" s="2" t="s">
        <v>97</v>
      </c>
      <c r="E1727" s="5">
        <v>-31519</v>
      </c>
      <c r="F1727" s="3" t="s">
        <v>312</v>
      </c>
      <c r="G1727" s="3" t="s">
        <v>313</v>
      </c>
      <c r="H1727" s="2" t="s">
        <v>20</v>
      </c>
      <c r="I1727" s="2" t="s">
        <v>3976</v>
      </c>
      <c r="J1727" s="3" t="str">
        <f>HYPERLINK("https://www.boe.es/gazeta/dias/1813/09/13/pdfs/GRE-1813-118E.pdf#page=9","Abrir facsímil")</f>
        <v>Abrir facsímil</v>
      </c>
      <c r="K1727" s="3" t="s">
        <v>22</v>
      </c>
    </row>
    <row r="1728" spans="1:11" ht="42" customHeight="1">
      <c r="A1728" s="2" t="s">
        <v>3977</v>
      </c>
      <c r="B1728" s="2" t="s">
        <v>3977</v>
      </c>
      <c r="C1728" s="2" t="s">
        <v>16</v>
      </c>
      <c r="D1728" s="2" t="s">
        <v>17</v>
      </c>
      <c r="E1728" s="5">
        <v>-31626</v>
      </c>
      <c r="F1728" s="3" t="s">
        <v>64</v>
      </c>
      <c r="G1728" s="3" t="s">
        <v>3978</v>
      </c>
      <c r="H1728" s="2" t="s">
        <v>20</v>
      </c>
      <c r="I1728" s="2" t="s">
        <v>3979</v>
      </c>
      <c r="J1728" s="3" t="str">
        <f>HYPERLINK("https://www.boe.es/gazeta/dias/1813/05/29/pdfs/GRE-1813-66.pdf#page=4","Abrir facsímil")</f>
        <v>Abrir facsímil</v>
      </c>
      <c r="K1728" s="3" t="s">
        <v>22</v>
      </c>
    </row>
    <row r="1729" spans="1:11" ht="42" customHeight="1">
      <c r="A1729" s="2" t="s">
        <v>3980</v>
      </c>
      <c r="B1729" s="2" t="s">
        <v>3981</v>
      </c>
      <c r="C1729" s="2" t="s">
        <v>16</v>
      </c>
      <c r="D1729" s="2" t="s">
        <v>17</v>
      </c>
      <c r="E1729" s="5">
        <v>-31423</v>
      </c>
      <c r="F1729" s="3" t="s">
        <v>340</v>
      </c>
      <c r="G1729" s="3" t="s">
        <v>341</v>
      </c>
      <c r="H1729" s="2" t="s">
        <v>20</v>
      </c>
      <c r="I1729" s="2" t="s">
        <v>3982</v>
      </c>
      <c r="J1729" s="3" t="str">
        <f>HYPERLINK("https://www.boe.es/gazeta/dias/1813/12/18/pdfs/GRE-1813-166.pdf#page=7","Abrir facsímil")</f>
        <v>Abrir facsímil</v>
      </c>
      <c r="K1729" s="3" t="s">
        <v>22</v>
      </c>
    </row>
    <row r="1730" spans="1:11" ht="42" customHeight="1">
      <c r="A1730" s="2" t="s">
        <v>3983</v>
      </c>
      <c r="B1730" s="2" t="s">
        <v>3984</v>
      </c>
      <c r="C1730" s="2" t="s">
        <v>16</v>
      </c>
      <c r="D1730" s="2" t="s">
        <v>17</v>
      </c>
      <c r="E1730" s="5">
        <v>-31432</v>
      </c>
      <c r="F1730" s="3" t="s">
        <v>803</v>
      </c>
      <c r="G1730" s="3" t="s">
        <v>82</v>
      </c>
      <c r="H1730" s="2" t="s">
        <v>20</v>
      </c>
      <c r="I1730" s="2" t="s">
        <v>3985</v>
      </c>
      <c r="J1730" s="3" t="str">
        <f>HYPERLINK("https://www.boe.es/gazeta/dias/1813/12/09/pdfs/GRE-1813-162.pdf#page=5","Abrir facsímil")</f>
        <v>Abrir facsímil</v>
      </c>
      <c r="K1730" s="3" t="s">
        <v>22</v>
      </c>
    </row>
    <row r="1731" spans="1:11" ht="42" customHeight="1">
      <c r="A1731" s="2" t="s">
        <v>3986</v>
      </c>
      <c r="B1731" s="2" t="s">
        <v>3986</v>
      </c>
      <c r="C1731" s="2" t="s">
        <v>16</v>
      </c>
      <c r="D1731" s="2" t="s">
        <v>17</v>
      </c>
      <c r="E1731" s="5">
        <v>-31570</v>
      </c>
      <c r="F1731" s="3" t="s">
        <v>1803</v>
      </c>
      <c r="G1731" s="3" t="s">
        <v>28</v>
      </c>
      <c r="H1731" s="2" t="s">
        <v>20</v>
      </c>
      <c r="I1731" s="2" t="s">
        <v>3987</v>
      </c>
      <c r="J1731" s="3" t="str">
        <f>HYPERLINK("https://www.boe.es/gazeta/dias/1813/07/24/pdfs/GRE-1813-94.pdf#page=8","Abrir facsímil")</f>
        <v>Abrir facsímil</v>
      </c>
      <c r="K1731" s="3" t="s">
        <v>22</v>
      </c>
    </row>
    <row r="1732" spans="1:11" ht="42" customHeight="1">
      <c r="A1732" s="2" t="s">
        <v>3988</v>
      </c>
      <c r="B1732" s="2" t="s">
        <v>3989</v>
      </c>
      <c r="C1732" s="2" t="s">
        <v>16</v>
      </c>
      <c r="D1732" s="2" t="s">
        <v>17</v>
      </c>
      <c r="E1732" s="5">
        <v>-31521</v>
      </c>
      <c r="F1732" s="3" t="s">
        <v>1282</v>
      </c>
      <c r="G1732" s="3" t="s">
        <v>28</v>
      </c>
      <c r="H1732" s="2" t="s">
        <v>20</v>
      </c>
      <c r="I1732" s="2" t="s">
        <v>3990</v>
      </c>
      <c r="J1732" s="3" t="str">
        <f>HYPERLINK("https://www.boe.es/gazeta/dias/1813/09/11/pdfs/GMR-1813-41.pdf#page=8","Abrir facsímil")</f>
        <v>Abrir facsímil</v>
      </c>
      <c r="K1732" s="3" t="s">
        <v>22</v>
      </c>
    </row>
    <row r="1733" spans="1:11" ht="42" customHeight="1">
      <c r="A1733" s="2" t="s">
        <v>3991</v>
      </c>
      <c r="B1733" s="2" t="s">
        <v>3991</v>
      </c>
      <c r="C1733" s="2" t="s">
        <v>34</v>
      </c>
      <c r="D1733" s="2" t="s">
        <v>35</v>
      </c>
      <c r="E1733" s="5">
        <v>-31626</v>
      </c>
      <c r="F1733" s="3" t="s">
        <v>64</v>
      </c>
      <c r="G1733" s="3" t="s">
        <v>265</v>
      </c>
      <c r="H1733" s="2" t="s">
        <v>20</v>
      </c>
      <c r="I1733" s="2" t="s">
        <v>3992</v>
      </c>
      <c r="J1733" s="3" t="str">
        <f>HYPERLINK("https://www.boe.es/gazeta/dias/1813/05/29/pdfs/GRE-1813-66.pdf#page=2","Abrir facsímil")</f>
        <v>Abrir facsímil</v>
      </c>
      <c r="K1733" s="3" t="s">
        <v>22</v>
      </c>
    </row>
    <row r="1734" spans="1:11" ht="42" customHeight="1">
      <c r="A1734" s="2" t="s">
        <v>3993</v>
      </c>
      <c r="B1734" s="2" t="s">
        <v>3993</v>
      </c>
      <c r="C1734" s="2" t="s">
        <v>25</v>
      </c>
      <c r="D1734" s="2" t="s">
        <v>26</v>
      </c>
      <c r="E1734" s="5">
        <v>-31465</v>
      </c>
      <c r="F1734" s="3" t="s">
        <v>2930</v>
      </c>
      <c r="G1734" s="3" t="s">
        <v>54</v>
      </c>
      <c r="H1734" s="2" t="s">
        <v>20</v>
      </c>
      <c r="I1734" s="2" t="s">
        <v>3994</v>
      </c>
      <c r="J1734" s="3" t="str">
        <f>HYPERLINK("https://www.boe.es/gazeta/dias/1813/11/06/pdfs/GRE-1813-145.pdf#page=3","Abrir facsímil")</f>
        <v>Abrir facsímil</v>
      </c>
      <c r="K1734" s="3" t="s">
        <v>22</v>
      </c>
    </row>
    <row r="1735" spans="1:11" ht="42" customHeight="1">
      <c r="A1735" s="2" t="s">
        <v>3995</v>
      </c>
      <c r="B1735" s="2" t="s">
        <v>3996</v>
      </c>
      <c r="C1735" s="2" t="s">
        <v>34</v>
      </c>
      <c r="D1735" s="2" t="s">
        <v>35</v>
      </c>
      <c r="E1735" s="5">
        <v>-31691</v>
      </c>
      <c r="F1735" s="3" t="s">
        <v>1542</v>
      </c>
      <c r="G1735" s="3" t="s">
        <v>95</v>
      </c>
      <c r="H1735" s="2" t="s">
        <v>20</v>
      </c>
      <c r="I1735" s="2" t="s">
        <v>3997</v>
      </c>
      <c r="J1735" s="3" t="str">
        <f>HYPERLINK("https://www.boe.es/gazeta/dias/1813/03/25/pdfs/GRE-1813-37.pdf#page=6","Abrir facsímil")</f>
        <v>Abrir facsímil</v>
      </c>
      <c r="K1735" s="3" t="s">
        <v>22</v>
      </c>
    </row>
    <row r="1736" spans="1:11" ht="42" customHeight="1">
      <c r="A1736" s="2" t="s">
        <v>3998</v>
      </c>
      <c r="B1736" s="2" t="s">
        <v>3999</v>
      </c>
      <c r="C1736" s="2" t="s">
        <v>16</v>
      </c>
      <c r="D1736" s="2" t="s">
        <v>17</v>
      </c>
      <c r="E1736" s="5">
        <v>-31588</v>
      </c>
      <c r="F1736" s="3" t="s">
        <v>1535</v>
      </c>
      <c r="G1736" s="3" t="s">
        <v>28</v>
      </c>
      <c r="H1736" s="2" t="s">
        <v>20</v>
      </c>
      <c r="I1736" s="2" t="s">
        <v>4000</v>
      </c>
      <c r="J1736" s="3" t="str">
        <f>HYPERLINK("https://www.boe.es/gazeta/dias/1813/07/06/pdfs/GMR-1813-15.pdf#page=8","Abrir facsímil")</f>
        <v>Abrir facsímil</v>
      </c>
      <c r="K1736" s="3" t="s">
        <v>22</v>
      </c>
    </row>
    <row r="1737" spans="1:11" ht="42" customHeight="1">
      <c r="A1737" s="2" t="s">
        <v>4001</v>
      </c>
      <c r="B1737" s="2" t="s">
        <v>4002</v>
      </c>
      <c r="C1737" s="2" t="s">
        <v>16</v>
      </c>
      <c r="D1737" s="2" t="s">
        <v>17</v>
      </c>
      <c r="E1737" s="5">
        <v>-31588</v>
      </c>
      <c r="F1737" s="3" t="s">
        <v>1535</v>
      </c>
      <c r="G1737" s="3" t="s">
        <v>28</v>
      </c>
      <c r="H1737" s="2" t="s">
        <v>20</v>
      </c>
      <c r="I1737" s="2" t="s">
        <v>4003</v>
      </c>
      <c r="J1737" s="3" t="str">
        <f>HYPERLINK("https://www.boe.es/gazeta/dias/1813/07/06/pdfs/GMR-1813-15.pdf#page=8","Abrir facsímil")</f>
        <v>Abrir facsímil</v>
      </c>
      <c r="K1737" s="3" t="s">
        <v>22</v>
      </c>
    </row>
    <row r="1738" spans="1:11" ht="42" customHeight="1">
      <c r="A1738" s="2" t="s">
        <v>4004</v>
      </c>
      <c r="B1738" s="2" t="s">
        <v>4004</v>
      </c>
      <c r="C1738" s="2" t="s">
        <v>16</v>
      </c>
      <c r="D1738" s="2" t="s">
        <v>17</v>
      </c>
      <c r="E1738" s="5">
        <v>-31483</v>
      </c>
      <c r="F1738" s="3" t="s">
        <v>1292</v>
      </c>
      <c r="G1738" s="3" t="s">
        <v>58</v>
      </c>
      <c r="H1738" s="2" t="s">
        <v>20</v>
      </c>
      <c r="I1738" s="2" t="s">
        <v>4005</v>
      </c>
      <c r="J1738" s="3" t="str">
        <f>HYPERLINK("https://www.boe.es/gazeta/dias/1813/10/19/pdfs/GMR-1813-61.pdf#page=2","Abrir facsímil")</f>
        <v>Abrir facsímil</v>
      </c>
      <c r="K1738" s="3" t="s">
        <v>22</v>
      </c>
    </row>
    <row r="1739" spans="1:11" ht="42" customHeight="1">
      <c r="A1739" s="2" t="s">
        <v>4006</v>
      </c>
      <c r="B1739" s="2" t="s">
        <v>4006</v>
      </c>
      <c r="C1739" s="2" t="s">
        <v>16</v>
      </c>
      <c r="D1739" s="2" t="s">
        <v>17</v>
      </c>
      <c r="E1739" s="5">
        <v>-31635</v>
      </c>
      <c r="F1739" s="3" t="s">
        <v>2173</v>
      </c>
      <c r="G1739" s="3" t="s">
        <v>4007</v>
      </c>
      <c r="H1739" s="2" t="s">
        <v>20</v>
      </c>
      <c r="I1739" s="2" t="s">
        <v>4008</v>
      </c>
      <c r="J1739" s="3" t="str">
        <f>HYPERLINK("https://www.boe.es/gazeta/dias/1813/05/20/pdfs/GRE-1813-62.pdf#page=2","Abrir facsímil")</f>
        <v>Abrir facsímil</v>
      </c>
      <c r="K1739" s="3" t="s">
        <v>22</v>
      </c>
    </row>
    <row r="1740" spans="1:11" ht="42" customHeight="1">
      <c r="A1740" s="2" t="s">
        <v>4009</v>
      </c>
      <c r="B1740" s="2" t="s">
        <v>4010</v>
      </c>
      <c r="C1740" s="2" t="s">
        <v>16</v>
      </c>
      <c r="D1740" s="2" t="s">
        <v>97</v>
      </c>
      <c r="E1740" s="5">
        <v>-31445</v>
      </c>
      <c r="F1740" s="3" t="s">
        <v>299</v>
      </c>
      <c r="G1740" s="3" t="s">
        <v>58</v>
      </c>
      <c r="H1740" s="2" t="s">
        <v>20</v>
      </c>
      <c r="I1740" s="2" t="s">
        <v>4011</v>
      </c>
      <c r="J1740" s="3" t="str">
        <f>HYPERLINK("https://www.boe.es/gazeta/dias/1813/11/26/pdfs/GRE-1813-156E.pdf#page=2","Abrir facsímil")</f>
        <v>Abrir facsímil</v>
      </c>
      <c r="K1740" s="3" t="s">
        <v>22</v>
      </c>
    </row>
    <row r="1741" spans="1:11" ht="42" customHeight="1">
      <c r="A1741" s="2" t="s">
        <v>4012</v>
      </c>
      <c r="B1741" s="2" t="s">
        <v>4012</v>
      </c>
      <c r="C1741" s="2" t="s">
        <v>16</v>
      </c>
      <c r="D1741" s="2" t="s">
        <v>17</v>
      </c>
      <c r="E1741" s="5">
        <v>-31769</v>
      </c>
      <c r="F1741" s="3" t="s">
        <v>431</v>
      </c>
      <c r="G1741" s="3" t="s">
        <v>58</v>
      </c>
      <c r="H1741" s="2" t="s">
        <v>20</v>
      </c>
      <c r="I1741" s="2" t="s">
        <v>4013</v>
      </c>
      <c r="J1741" s="3" t="str">
        <f>HYPERLINK("https://www.boe.es/gazeta/dias/1813/01/06/pdfs/GMD-1813-6.pdf#page=2","Abrir facsímil")</f>
        <v>Abrir facsímil</v>
      </c>
      <c r="K1741" s="3" t="s">
        <v>22</v>
      </c>
    </row>
    <row r="1742" spans="1:11" ht="42" customHeight="1">
      <c r="A1742" s="2" t="s">
        <v>4014</v>
      </c>
      <c r="B1742" s="2" t="s">
        <v>4014</v>
      </c>
      <c r="C1742" s="2" t="s">
        <v>25</v>
      </c>
      <c r="D1742" s="2" t="s">
        <v>26</v>
      </c>
      <c r="E1742" s="5">
        <v>-31411</v>
      </c>
      <c r="F1742" s="3" t="s">
        <v>2306</v>
      </c>
      <c r="G1742" s="3" t="s">
        <v>58</v>
      </c>
      <c r="H1742" s="2" t="s">
        <v>20</v>
      </c>
      <c r="I1742" s="2" t="s">
        <v>4015</v>
      </c>
      <c r="J1742" s="3" t="str">
        <f>HYPERLINK("https://www.boe.es/gazeta/dias/1813/12/30/pdfs/GMR-1813-94.pdf#page=2","Abrir facsímil")</f>
        <v>Abrir facsímil</v>
      </c>
      <c r="K1742" s="3" t="s">
        <v>22</v>
      </c>
    </row>
    <row r="1743" spans="1:11" ht="42" customHeight="1">
      <c r="A1743" s="2" t="s">
        <v>4016</v>
      </c>
      <c r="B1743" s="2" t="s">
        <v>4016</v>
      </c>
      <c r="C1743" s="2" t="s">
        <v>16</v>
      </c>
      <c r="D1743" s="2" t="s">
        <v>17</v>
      </c>
      <c r="E1743" s="5">
        <v>-31551</v>
      </c>
      <c r="F1743" s="3" t="s">
        <v>954</v>
      </c>
      <c r="G1743" s="3" t="s">
        <v>65</v>
      </c>
      <c r="H1743" s="2" t="s">
        <v>20</v>
      </c>
      <c r="I1743" s="2" t="s">
        <v>4017</v>
      </c>
      <c r="J1743" s="3" t="str">
        <f>HYPERLINK("https://www.boe.es/gazeta/dias/1813/08/12/pdfs/GMR-1813-27.pdf#page=1","Abrir facsímil")</f>
        <v>Abrir facsímil</v>
      </c>
      <c r="K1743" s="3" t="s">
        <v>22</v>
      </c>
    </row>
    <row r="1744" spans="1:11" ht="42" customHeight="1">
      <c r="A1744" s="2" t="s">
        <v>4016</v>
      </c>
      <c r="B1744" s="2" t="s">
        <v>4016</v>
      </c>
      <c r="C1744" s="2" t="s">
        <v>16</v>
      </c>
      <c r="D1744" s="2" t="s">
        <v>17</v>
      </c>
      <c r="E1744" s="5">
        <v>-31525</v>
      </c>
      <c r="F1744" s="3" t="s">
        <v>1131</v>
      </c>
      <c r="G1744" s="3" t="s">
        <v>19</v>
      </c>
      <c r="H1744" s="2" t="s">
        <v>20</v>
      </c>
      <c r="I1744" s="2" t="s">
        <v>4018</v>
      </c>
      <c r="J1744" s="3" t="str">
        <f>HYPERLINK("https://www.boe.es/gazeta/dias/1813/09/07/pdfs/GRE-1813-114.pdf#page=4","Abrir facsímil")</f>
        <v>Abrir facsímil</v>
      </c>
      <c r="K1744" s="3" t="s">
        <v>22</v>
      </c>
    </row>
    <row r="1745" spans="1:11" ht="42" customHeight="1">
      <c r="A1745" s="2" t="s">
        <v>4019</v>
      </c>
      <c r="B1745" s="2" t="s">
        <v>4019</v>
      </c>
      <c r="C1745" s="2" t="s">
        <v>25</v>
      </c>
      <c r="D1745" s="2" t="s">
        <v>26</v>
      </c>
      <c r="E1745" s="5">
        <v>-31672</v>
      </c>
      <c r="F1745" s="3" t="s">
        <v>3964</v>
      </c>
      <c r="G1745" s="3" t="s">
        <v>19</v>
      </c>
      <c r="H1745" s="2" t="s">
        <v>20</v>
      </c>
      <c r="I1745" s="2" t="s">
        <v>4020</v>
      </c>
      <c r="J1745" s="3" t="str">
        <f>HYPERLINK("https://www.boe.es/gazeta/dias/1813/04/13/pdfs/GMD-1813-103.pdf#page=4","Abrir facsímil")</f>
        <v>Abrir facsímil</v>
      </c>
      <c r="K1745" s="3" t="s">
        <v>22</v>
      </c>
    </row>
    <row r="1746" spans="1:11" ht="42" customHeight="1">
      <c r="A1746" s="2" t="s">
        <v>4019</v>
      </c>
      <c r="B1746" s="2" t="s">
        <v>4019</v>
      </c>
      <c r="C1746" s="2" t="s">
        <v>109</v>
      </c>
      <c r="D1746" s="2" t="s">
        <v>26</v>
      </c>
      <c r="E1746" s="5">
        <v>-31667</v>
      </c>
      <c r="F1746" s="3" t="s">
        <v>3712</v>
      </c>
      <c r="G1746" s="3" t="s">
        <v>19</v>
      </c>
      <c r="H1746" s="2" t="s">
        <v>20</v>
      </c>
      <c r="I1746" s="2" t="s">
        <v>4021</v>
      </c>
      <c r="J1746" s="3" t="str">
        <f>HYPERLINK("https://www.boe.es/gazeta/dias/1813/04/18/pdfs/GMD-1813-108.pdf#page=4","Abrir facsímil")</f>
        <v>Abrir facsímil</v>
      </c>
      <c r="K1746" s="3" t="s">
        <v>22</v>
      </c>
    </row>
    <row r="1747" spans="1:11" ht="42" customHeight="1">
      <c r="A1747" s="2" t="s">
        <v>4022</v>
      </c>
      <c r="B1747" s="2" t="s">
        <v>4022</v>
      </c>
      <c r="C1747" s="2" t="s">
        <v>16</v>
      </c>
      <c r="D1747" s="2" t="s">
        <v>17</v>
      </c>
      <c r="E1747" s="5">
        <v>-31582</v>
      </c>
      <c r="F1747" s="3" t="s">
        <v>907</v>
      </c>
      <c r="G1747" s="3" t="s">
        <v>65</v>
      </c>
      <c r="H1747" s="2" t="s">
        <v>20</v>
      </c>
      <c r="I1747" s="2" t="s">
        <v>4023</v>
      </c>
      <c r="J1747" s="3" t="str">
        <f>HYPERLINK("https://www.boe.es/gazeta/dias/1813/07/12/pdfs/GRE-1813-87.pdf#page=1","Abrir facsímil")</f>
        <v>Abrir facsímil</v>
      </c>
      <c r="K1747" s="3" t="s">
        <v>22</v>
      </c>
    </row>
    <row r="1748" spans="1:11" ht="42" customHeight="1">
      <c r="A1748" s="2" t="s">
        <v>4024</v>
      </c>
      <c r="B1748" s="2" t="s">
        <v>4024</v>
      </c>
      <c r="C1748" s="2" t="s">
        <v>16</v>
      </c>
      <c r="D1748" s="2" t="s">
        <v>17</v>
      </c>
      <c r="E1748" s="5">
        <v>-31537</v>
      </c>
      <c r="F1748" s="3" t="s">
        <v>138</v>
      </c>
      <c r="G1748" s="3" t="s">
        <v>87</v>
      </c>
      <c r="H1748" s="2" t="s">
        <v>20</v>
      </c>
      <c r="I1748" s="2" t="s">
        <v>4025</v>
      </c>
      <c r="J1748" s="3" t="str">
        <f>HYPERLINK("https://www.boe.es/gazeta/dias/1813/08/26/pdfs/GMR-1813-33.pdf#page=7","Abrir facsímil")</f>
        <v>Abrir facsímil</v>
      </c>
      <c r="K1748" s="3" t="s">
        <v>22</v>
      </c>
    </row>
    <row r="1749" spans="1:11" ht="42" customHeight="1">
      <c r="A1749" s="2" t="s">
        <v>4026</v>
      </c>
      <c r="B1749" s="2" t="s">
        <v>4026</v>
      </c>
      <c r="C1749" s="2" t="s">
        <v>16</v>
      </c>
      <c r="D1749" s="2" t="s">
        <v>17</v>
      </c>
      <c r="E1749" s="5">
        <v>-31658</v>
      </c>
      <c r="F1749" s="3" t="s">
        <v>1113</v>
      </c>
      <c r="G1749" s="3" t="s">
        <v>4027</v>
      </c>
      <c r="H1749" s="2" t="s">
        <v>20</v>
      </c>
      <c r="I1749" s="2" t="s">
        <v>4028</v>
      </c>
      <c r="J1749" s="3" t="str">
        <f>HYPERLINK("https://www.boe.es/gazeta/dias/1813/04/27/pdfs/GRE-1813-52.pdf#page=6","Abrir facsímil")</f>
        <v>Abrir facsímil</v>
      </c>
      <c r="K1749" s="3" t="s">
        <v>22</v>
      </c>
    </row>
    <row r="1750" spans="1:11" ht="42" customHeight="1">
      <c r="A1750" s="2" t="s">
        <v>4026</v>
      </c>
      <c r="B1750" s="2" t="s">
        <v>4026</v>
      </c>
      <c r="C1750" s="2" t="s">
        <v>16</v>
      </c>
      <c r="D1750" s="2" t="s">
        <v>17</v>
      </c>
      <c r="E1750" s="5">
        <v>-31628</v>
      </c>
      <c r="F1750" s="3" t="s">
        <v>358</v>
      </c>
      <c r="G1750" s="3" t="s">
        <v>54</v>
      </c>
      <c r="H1750" s="2" t="s">
        <v>20</v>
      </c>
      <c r="I1750" s="2" t="s">
        <v>4029</v>
      </c>
      <c r="J1750" s="3" t="str">
        <f>HYPERLINK("https://www.boe.es/gazeta/dias/1813/05/27/pdfs/GRE-1813-65.pdf#page=3","Abrir facsímil")</f>
        <v>Abrir facsímil</v>
      </c>
      <c r="K1750" s="3" t="s">
        <v>22</v>
      </c>
    </row>
    <row r="1751" spans="1:11" ht="42" customHeight="1">
      <c r="A1751" s="2" t="s">
        <v>4026</v>
      </c>
      <c r="B1751" s="2" t="s">
        <v>4026</v>
      </c>
      <c r="C1751" s="2" t="s">
        <v>16</v>
      </c>
      <c r="D1751" s="2" t="s">
        <v>17</v>
      </c>
      <c r="E1751" s="5">
        <v>-31592</v>
      </c>
      <c r="F1751" s="3" t="s">
        <v>175</v>
      </c>
      <c r="G1751" s="3" t="s">
        <v>471</v>
      </c>
      <c r="H1751" s="2" t="s">
        <v>20</v>
      </c>
      <c r="I1751" s="2" t="s">
        <v>4030</v>
      </c>
      <c r="J1751" s="3" t="str">
        <f>HYPERLINK("https://www.boe.es/gazeta/dias/1813/07/02/pdfs/GRE-1813-82.pdf#page=7","Abrir facsímil")</f>
        <v>Abrir facsímil</v>
      </c>
      <c r="K1751" s="3" t="s">
        <v>22</v>
      </c>
    </row>
    <row r="1752" spans="1:11" ht="42" customHeight="1">
      <c r="A1752" s="2" t="s">
        <v>4026</v>
      </c>
      <c r="B1752" s="2" t="s">
        <v>4026</v>
      </c>
      <c r="C1752" s="2" t="s">
        <v>16</v>
      </c>
      <c r="D1752" s="2" t="s">
        <v>17</v>
      </c>
      <c r="E1752" s="5">
        <v>-31585</v>
      </c>
      <c r="F1752" s="3" t="s">
        <v>177</v>
      </c>
      <c r="G1752" s="3" t="s">
        <v>313</v>
      </c>
      <c r="H1752" s="2" t="s">
        <v>20</v>
      </c>
      <c r="I1752" s="2" t="s">
        <v>4031</v>
      </c>
      <c r="J1752" s="3" t="str">
        <f>HYPERLINK("https://www.boe.es/gazeta/dias/1813/07/09/pdfs/GMR-1813-16.pdf#page=9","Abrir facsímil")</f>
        <v>Abrir facsímil</v>
      </c>
      <c r="K1752" s="3" t="s">
        <v>22</v>
      </c>
    </row>
    <row r="1753" spans="1:11" ht="42" customHeight="1">
      <c r="A1753" s="2" t="s">
        <v>4026</v>
      </c>
      <c r="B1753" s="2" t="s">
        <v>4026</v>
      </c>
      <c r="C1753" s="2" t="s">
        <v>16</v>
      </c>
      <c r="D1753" s="2" t="s">
        <v>17</v>
      </c>
      <c r="E1753" s="5">
        <v>-31560</v>
      </c>
      <c r="F1753" s="3" t="s">
        <v>1233</v>
      </c>
      <c r="G1753" s="3" t="s">
        <v>95</v>
      </c>
      <c r="H1753" s="2" t="s">
        <v>20</v>
      </c>
      <c r="I1753" s="2" t="s">
        <v>4032</v>
      </c>
      <c r="J1753" s="3" t="str">
        <f>HYPERLINK("https://www.boe.es/gazeta/dias/1813/08/03/pdfs/GMR-1813-23.pdf#page=6","Abrir facsímil")</f>
        <v>Abrir facsímil</v>
      </c>
      <c r="K1753" s="3" t="s">
        <v>22</v>
      </c>
    </row>
    <row r="1754" spans="1:11" ht="42" customHeight="1">
      <c r="A1754" s="2" t="s">
        <v>4026</v>
      </c>
      <c r="B1754" s="2" t="s">
        <v>4026</v>
      </c>
      <c r="C1754" s="2" t="s">
        <v>16</v>
      </c>
      <c r="D1754" s="2" t="s">
        <v>97</v>
      </c>
      <c r="E1754" s="5">
        <v>-31548</v>
      </c>
      <c r="F1754" s="3" t="s">
        <v>1680</v>
      </c>
      <c r="G1754" s="3" t="s">
        <v>65</v>
      </c>
      <c r="H1754" s="2" t="s">
        <v>20</v>
      </c>
      <c r="I1754" s="2" t="s">
        <v>4033</v>
      </c>
      <c r="J1754" s="3" t="str">
        <f>HYPERLINK("https://www.boe.es/gazeta/dias/1813/08/15/pdfs/GRE-1813-104E.pdf#page=1","Abrir facsímil")</f>
        <v>Abrir facsímil</v>
      </c>
      <c r="K1754" s="3" t="s">
        <v>22</v>
      </c>
    </row>
    <row r="1755" spans="1:11" ht="42" customHeight="1">
      <c r="A1755" s="2" t="s">
        <v>4026</v>
      </c>
      <c r="B1755" s="2" t="s">
        <v>4026</v>
      </c>
      <c r="C1755" s="2" t="s">
        <v>16</v>
      </c>
      <c r="D1755" s="2" t="s">
        <v>17</v>
      </c>
      <c r="E1755" s="5">
        <v>-31518</v>
      </c>
      <c r="F1755" s="3" t="s">
        <v>155</v>
      </c>
      <c r="G1755" s="3" t="s">
        <v>95</v>
      </c>
      <c r="H1755" s="2" t="s">
        <v>20</v>
      </c>
      <c r="I1755" s="2" t="s">
        <v>4034</v>
      </c>
      <c r="J1755" s="3" t="str">
        <f>HYPERLINK("https://www.boe.es/gazeta/dias/1813/09/14/pdfs/GRE-1813-119.pdf#page=6","Abrir facsímil")</f>
        <v>Abrir facsímil</v>
      </c>
      <c r="K1755" s="3" t="s">
        <v>22</v>
      </c>
    </row>
    <row r="1756" spans="1:11" ht="42" customHeight="1">
      <c r="A1756" s="2" t="s">
        <v>4026</v>
      </c>
      <c r="B1756" s="2" t="s">
        <v>4026</v>
      </c>
      <c r="C1756" s="2" t="s">
        <v>16</v>
      </c>
      <c r="D1756" s="2" t="s">
        <v>17</v>
      </c>
      <c r="E1756" s="5">
        <v>-31476</v>
      </c>
      <c r="F1756" s="3" t="s">
        <v>158</v>
      </c>
      <c r="G1756" s="3" t="s">
        <v>82</v>
      </c>
      <c r="H1756" s="2" t="s">
        <v>20</v>
      </c>
      <c r="I1756" s="2" t="s">
        <v>4035</v>
      </c>
      <c r="J1756" s="3" t="str">
        <f>HYPERLINK("https://www.boe.es/gazeta/dias/1813/10/26/pdfs/GMR-1813-64.pdf#page=5","Abrir facsímil")</f>
        <v>Abrir facsímil</v>
      </c>
      <c r="K1756" s="3" t="s">
        <v>22</v>
      </c>
    </row>
    <row r="1757" spans="1:11" ht="42" customHeight="1">
      <c r="A1757" s="2" t="s">
        <v>4036</v>
      </c>
      <c r="B1757" s="2" t="s">
        <v>4036</v>
      </c>
      <c r="C1757" s="2" t="s">
        <v>435</v>
      </c>
      <c r="D1757" s="2" t="s">
        <v>26</v>
      </c>
      <c r="E1757" s="5">
        <v>-31441</v>
      </c>
      <c r="F1757" s="3" t="s">
        <v>1952</v>
      </c>
      <c r="G1757" s="3" t="s">
        <v>65</v>
      </c>
      <c r="H1757" s="2" t="s">
        <v>20</v>
      </c>
      <c r="I1757" s="2" t="s">
        <v>4037</v>
      </c>
      <c r="J1757" s="3" t="str">
        <f>HYPERLINK("https://www.boe.es/gazeta/dias/1813/11/30/pdfs/GRE-1813-158.pdf#page=1","Abrir facsímil")</f>
        <v>Abrir facsímil</v>
      </c>
      <c r="K1757" s="3" t="s">
        <v>22</v>
      </c>
    </row>
    <row r="1758" spans="1:11" ht="42" customHeight="1">
      <c r="A1758" s="2" t="s">
        <v>4038</v>
      </c>
      <c r="B1758" s="2" t="s">
        <v>4039</v>
      </c>
      <c r="C1758" s="2" t="s">
        <v>16</v>
      </c>
      <c r="D1758" s="2" t="s">
        <v>17</v>
      </c>
      <c r="E1758" s="5">
        <v>-31626</v>
      </c>
      <c r="F1758" s="3" t="s">
        <v>64</v>
      </c>
      <c r="G1758" s="3" t="s">
        <v>87</v>
      </c>
      <c r="H1758" s="2" t="s">
        <v>20</v>
      </c>
      <c r="I1758" s="2" t="s">
        <v>4040</v>
      </c>
      <c r="J1758" s="3" t="str">
        <f>HYPERLINK("https://www.boe.es/gazeta/dias/1813/05/29/pdfs/GRE-1813-66.pdf#page=7","Abrir facsímil")</f>
        <v>Abrir facsímil</v>
      </c>
      <c r="K1758" s="3" t="s">
        <v>22</v>
      </c>
    </row>
    <row r="1759" spans="1:11" ht="42" customHeight="1">
      <c r="A1759" s="2" t="s">
        <v>4041</v>
      </c>
      <c r="B1759" s="2" t="s">
        <v>4041</v>
      </c>
      <c r="C1759" s="2" t="s">
        <v>16</v>
      </c>
      <c r="D1759" s="2" t="s">
        <v>17</v>
      </c>
      <c r="E1759" s="5">
        <v>-31674</v>
      </c>
      <c r="F1759" s="3" t="s">
        <v>2773</v>
      </c>
      <c r="G1759" s="3" t="s">
        <v>65</v>
      </c>
      <c r="H1759" s="2" t="s">
        <v>20</v>
      </c>
      <c r="I1759" s="2" t="s">
        <v>4042</v>
      </c>
      <c r="J1759" s="3" t="str">
        <f>HYPERLINK("https://www.boe.es/gazeta/dias/1813/04/11/pdfs/GMD-1813-101.pdf#page=1","Abrir facsímil")</f>
        <v>Abrir facsímil</v>
      </c>
      <c r="K1759" s="3" t="s">
        <v>22</v>
      </c>
    </row>
    <row r="1760" spans="1:11" ht="42" customHeight="1">
      <c r="A1760" s="2" t="s">
        <v>4043</v>
      </c>
      <c r="B1760" s="2" t="s">
        <v>4044</v>
      </c>
      <c r="C1760" s="2" t="s">
        <v>34</v>
      </c>
      <c r="D1760" s="2" t="s">
        <v>35</v>
      </c>
      <c r="E1760" s="5">
        <v>-31658</v>
      </c>
      <c r="F1760" s="3" t="s">
        <v>1113</v>
      </c>
      <c r="G1760" s="3" t="s">
        <v>1091</v>
      </c>
      <c r="H1760" s="2" t="s">
        <v>20</v>
      </c>
      <c r="I1760" s="2" t="s">
        <v>4045</v>
      </c>
      <c r="J1760" s="3" t="str">
        <f>HYPERLINK("https://www.boe.es/gazeta/dias/1813/04/27/pdfs/GRE-1813-52.pdf#page=7","Abrir facsímil")</f>
        <v>Abrir facsímil</v>
      </c>
      <c r="K1760" s="3" t="s">
        <v>22</v>
      </c>
    </row>
    <row r="1761" spans="1:11" ht="42" customHeight="1">
      <c r="A1761" s="2" t="s">
        <v>4046</v>
      </c>
      <c r="B1761" s="2" t="s">
        <v>4047</v>
      </c>
      <c r="C1761" s="2" t="s">
        <v>25</v>
      </c>
      <c r="D1761" s="2" t="s">
        <v>26</v>
      </c>
      <c r="E1761" s="5">
        <v>-31745</v>
      </c>
      <c r="F1761" s="3" t="s">
        <v>445</v>
      </c>
      <c r="G1761" s="3" t="s">
        <v>28</v>
      </c>
      <c r="H1761" s="2" t="s">
        <v>20</v>
      </c>
      <c r="I1761" s="2" t="s">
        <v>4048</v>
      </c>
      <c r="J1761" s="3" t="str">
        <f>HYPERLINK("https://www.boe.es/gazeta/dias/1813/01/30/pdfs/GRE-1813-13.pdf#page=8","Abrir facsímil")</f>
        <v>Abrir facsímil</v>
      </c>
      <c r="K1761" s="3" t="s">
        <v>22</v>
      </c>
    </row>
    <row r="1762" spans="1:11" ht="42" customHeight="1">
      <c r="A1762" s="2" t="s">
        <v>4049</v>
      </c>
      <c r="B1762" s="2" t="s">
        <v>4049</v>
      </c>
      <c r="C1762" s="2" t="s">
        <v>16</v>
      </c>
      <c r="D1762" s="2" t="s">
        <v>17</v>
      </c>
      <c r="E1762" s="5">
        <v>-31774</v>
      </c>
      <c r="F1762" s="3" t="s">
        <v>3665</v>
      </c>
      <c r="G1762" s="3" t="s">
        <v>54</v>
      </c>
      <c r="H1762" s="2" t="s">
        <v>20</v>
      </c>
      <c r="I1762" s="2" t="s">
        <v>4050</v>
      </c>
      <c r="J1762" s="3" t="str">
        <f>HYPERLINK("https://www.boe.es/gazeta/dias/1813/01/01/pdfs/GMD-1813-1.pdf#page=3","Abrir facsímil")</f>
        <v>Abrir facsímil</v>
      </c>
      <c r="K1762" s="3" t="s">
        <v>22</v>
      </c>
    </row>
    <row r="1763" spans="1:11" ht="42" customHeight="1">
      <c r="A1763" s="2" t="s">
        <v>4051</v>
      </c>
      <c r="B1763" s="2" t="s">
        <v>4051</v>
      </c>
      <c r="C1763" s="2" t="s">
        <v>16</v>
      </c>
      <c r="D1763" s="2" t="s">
        <v>17</v>
      </c>
      <c r="E1763" s="5">
        <v>-31493</v>
      </c>
      <c r="F1763" s="3" t="s">
        <v>1097</v>
      </c>
      <c r="G1763" s="3" t="s">
        <v>82</v>
      </c>
      <c r="H1763" s="2" t="s">
        <v>20</v>
      </c>
      <c r="I1763" s="2" t="s">
        <v>4052</v>
      </c>
      <c r="J1763" s="3" t="str">
        <f>HYPERLINK("https://www.boe.es/gazeta/dias/1813/10/09/pdfs/GMR-1813-56.pdf#page=5","Abrir facsímil")</f>
        <v>Abrir facsímil</v>
      </c>
      <c r="K1763" s="3" t="s">
        <v>22</v>
      </c>
    </row>
    <row r="1764" spans="1:11" ht="42" customHeight="1">
      <c r="A1764" s="2" t="s">
        <v>4051</v>
      </c>
      <c r="B1764" s="2" t="s">
        <v>4051</v>
      </c>
      <c r="C1764" s="2" t="s">
        <v>16</v>
      </c>
      <c r="D1764" s="2" t="s">
        <v>17</v>
      </c>
      <c r="E1764" s="5">
        <v>-31486</v>
      </c>
      <c r="F1764" s="3" t="s">
        <v>597</v>
      </c>
      <c r="G1764" s="3" t="s">
        <v>95</v>
      </c>
      <c r="H1764" s="2" t="s">
        <v>20</v>
      </c>
      <c r="I1764" s="2" t="s">
        <v>4053</v>
      </c>
      <c r="J1764" s="3" t="str">
        <f>HYPERLINK("https://www.boe.es/gazeta/dias/1813/10/16/pdfs/GRE-1813-135.pdf#page=6","Abrir facsímil")</f>
        <v>Abrir facsímil</v>
      </c>
      <c r="K1764" s="3" t="s">
        <v>22</v>
      </c>
    </row>
    <row r="1765" spans="1:11" ht="42" customHeight="1">
      <c r="A1765" s="2" t="s">
        <v>4051</v>
      </c>
      <c r="B1765" s="2" t="s">
        <v>4051</v>
      </c>
      <c r="C1765" s="2" t="s">
        <v>16</v>
      </c>
      <c r="D1765" s="2" t="s">
        <v>97</v>
      </c>
      <c r="E1765" s="5">
        <v>-31479</v>
      </c>
      <c r="F1765" s="3" t="s">
        <v>290</v>
      </c>
      <c r="G1765" s="3" t="s">
        <v>19</v>
      </c>
      <c r="H1765" s="2" t="s">
        <v>20</v>
      </c>
      <c r="I1765" s="2" t="s">
        <v>4054</v>
      </c>
      <c r="J1765" s="3" t="str">
        <f>HYPERLINK("https://www.boe.es/gazeta/dias/1813/10/23/pdfs/GRE-1813-139E.pdf#page=4","Abrir facsímil")</f>
        <v>Abrir facsímil</v>
      </c>
      <c r="K1765" s="3" t="s">
        <v>22</v>
      </c>
    </row>
    <row r="1766" spans="1:11" ht="42" customHeight="1">
      <c r="A1766" s="2" t="s">
        <v>4051</v>
      </c>
      <c r="B1766" s="2" t="s">
        <v>4051</v>
      </c>
      <c r="C1766" s="2" t="s">
        <v>16</v>
      </c>
      <c r="D1766" s="2" t="s">
        <v>17</v>
      </c>
      <c r="E1766" s="5">
        <v>-31467</v>
      </c>
      <c r="F1766" s="3" t="s">
        <v>120</v>
      </c>
      <c r="G1766" s="3" t="s">
        <v>87</v>
      </c>
      <c r="H1766" s="2" t="s">
        <v>20</v>
      </c>
      <c r="I1766" s="2" t="s">
        <v>4055</v>
      </c>
      <c r="J1766" s="3" t="str">
        <f>HYPERLINK("https://www.boe.es/gazeta/dias/1813/11/04/pdfs/GMR-1813-68.pdf#page=7","Abrir facsímil")</f>
        <v>Abrir facsímil</v>
      </c>
      <c r="K1766" s="3" t="s">
        <v>22</v>
      </c>
    </row>
    <row r="1767" spans="1:11" ht="42" customHeight="1">
      <c r="A1767" s="2" t="s">
        <v>4056</v>
      </c>
      <c r="B1767" s="2" t="s">
        <v>4056</v>
      </c>
      <c r="C1767" s="2" t="s">
        <v>16</v>
      </c>
      <c r="D1767" s="2" t="s">
        <v>17</v>
      </c>
      <c r="E1767" s="5">
        <v>-31726</v>
      </c>
      <c r="F1767" s="3" t="s">
        <v>533</v>
      </c>
      <c r="G1767" s="3" t="s">
        <v>534</v>
      </c>
      <c r="H1767" s="2" t="s">
        <v>20</v>
      </c>
      <c r="I1767" s="2" t="s">
        <v>4057</v>
      </c>
      <c r="J1767" s="3" t="str">
        <f>HYPERLINK("https://www.boe.es/gazeta/dias/1813/02/18/pdfs/GRE-1813-21.pdf#page=4","Abrir facsímil")</f>
        <v>Abrir facsímil</v>
      </c>
      <c r="K1767" s="3" t="s">
        <v>22</v>
      </c>
    </row>
    <row r="1768" spans="1:11" ht="42" customHeight="1">
      <c r="A1768" s="2" t="s">
        <v>4058</v>
      </c>
      <c r="B1768" s="2" t="s">
        <v>4059</v>
      </c>
      <c r="C1768" s="2" t="s">
        <v>16</v>
      </c>
      <c r="D1768" s="2" t="s">
        <v>17</v>
      </c>
      <c r="E1768" s="5">
        <v>-31507</v>
      </c>
      <c r="F1768" s="3" t="s">
        <v>61</v>
      </c>
      <c r="G1768" s="3" t="s">
        <v>28</v>
      </c>
      <c r="H1768" s="2" t="s">
        <v>20</v>
      </c>
      <c r="I1768" s="2" t="s">
        <v>4060</v>
      </c>
      <c r="J1768" s="3" t="str">
        <f>HYPERLINK("https://www.boe.es/gazeta/dias/1813/09/25/pdfs/GMR-1813-48.pdf#page=8","Abrir facsímil")</f>
        <v>Abrir facsímil</v>
      </c>
      <c r="K1768" s="3" t="s">
        <v>22</v>
      </c>
    </row>
    <row r="1769" spans="1:11" ht="42" customHeight="1">
      <c r="A1769" s="2" t="s">
        <v>4061</v>
      </c>
      <c r="B1769" s="2" t="s">
        <v>4061</v>
      </c>
      <c r="C1769" s="2" t="s">
        <v>16</v>
      </c>
      <c r="D1769" s="2" t="s">
        <v>17</v>
      </c>
      <c r="E1769" s="5">
        <v>-31582</v>
      </c>
      <c r="F1769" s="3" t="s">
        <v>907</v>
      </c>
      <c r="G1769" s="3" t="s">
        <v>65</v>
      </c>
      <c r="H1769" s="2" t="s">
        <v>20</v>
      </c>
      <c r="I1769" s="2" t="s">
        <v>4062</v>
      </c>
      <c r="J1769" s="3" t="str">
        <f>HYPERLINK("https://www.boe.es/gazeta/dias/1813/07/12/pdfs/GRE-1813-87.pdf#page=1","Abrir facsímil")</f>
        <v>Abrir facsímil</v>
      </c>
      <c r="K1769" s="3" t="s">
        <v>22</v>
      </c>
    </row>
    <row r="1770" spans="1:11" ht="42" customHeight="1">
      <c r="A1770" s="2" t="s">
        <v>4063</v>
      </c>
      <c r="B1770" s="2" t="s">
        <v>4064</v>
      </c>
      <c r="C1770" s="2" t="s">
        <v>16</v>
      </c>
      <c r="D1770" s="2" t="s">
        <v>17</v>
      </c>
      <c r="E1770" s="5">
        <v>-31745</v>
      </c>
      <c r="F1770" s="3" t="s">
        <v>445</v>
      </c>
      <c r="G1770" s="3" t="s">
        <v>28</v>
      </c>
      <c r="H1770" s="2" t="s">
        <v>20</v>
      </c>
      <c r="I1770" s="2" t="s">
        <v>4065</v>
      </c>
      <c r="J1770" s="3" t="str">
        <f>HYPERLINK("https://www.boe.es/gazeta/dias/1813/01/30/pdfs/GRE-1813-13.pdf#page=8","Abrir facsímil")</f>
        <v>Abrir facsímil</v>
      </c>
      <c r="K1770" s="3" t="s">
        <v>22</v>
      </c>
    </row>
    <row r="1771" spans="1:11" ht="42" customHeight="1">
      <c r="A1771" s="2" t="s">
        <v>4066</v>
      </c>
      <c r="B1771" s="2" t="s">
        <v>4066</v>
      </c>
      <c r="C1771" s="2" t="s">
        <v>16</v>
      </c>
      <c r="D1771" s="2" t="s">
        <v>17</v>
      </c>
      <c r="E1771" s="5">
        <v>-31474</v>
      </c>
      <c r="F1771" s="3" t="s">
        <v>130</v>
      </c>
      <c r="G1771" s="3" t="s">
        <v>54</v>
      </c>
      <c r="H1771" s="2" t="s">
        <v>20</v>
      </c>
      <c r="I1771" s="2" t="s">
        <v>4067</v>
      </c>
      <c r="J1771" s="3" t="str">
        <f>HYPERLINK("https://www.boe.es/gazeta/dias/1813/10/28/pdfs/GRE-1813-141.pdf#page=3","Abrir facsímil")</f>
        <v>Abrir facsímil</v>
      </c>
      <c r="K1771" s="3" t="s">
        <v>22</v>
      </c>
    </row>
    <row r="1772" spans="1:11" ht="42" customHeight="1">
      <c r="A1772" s="2" t="s">
        <v>4068</v>
      </c>
      <c r="B1772" s="2" t="s">
        <v>4069</v>
      </c>
      <c r="C1772" s="2" t="s">
        <v>25</v>
      </c>
      <c r="D1772" s="2" t="s">
        <v>26</v>
      </c>
      <c r="E1772" s="5">
        <v>-31689</v>
      </c>
      <c r="F1772" s="3" t="s">
        <v>48</v>
      </c>
      <c r="G1772" s="3" t="s">
        <v>49</v>
      </c>
      <c r="H1772" s="2" t="s">
        <v>20</v>
      </c>
      <c r="I1772" s="2" t="s">
        <v>4070</v>
      </c>
      <c r="J1772" s="3" t="str">
        <f>HYPERLINK("https://www.boe.es/gazeta/dias/1813/03/27/pdfs/GRE-1813-38.pdf#page=7","Abrir facsímil")</f>
        <v>Abrir facsímil</v>
      </c>
      <c r="K1772" s="3" t="s">
        <v>22</v>
      </c>
    </row>
    <row r="1773" spans="1:11" ht="42" customHeight="1">
      <c r="A1773" s="2" t="s">
        <v>4071</v>
      </c>
      <c r="B1773" s="2" t="s">
        <v>4072</v>
      </c>
      <c r="C1773" s="2" t="s">
        <v>16</v>
      </c>
      <c r="D1773" s="2" t="s">
        <v>17</v>
      </c>
      <c r="E1773" s="5">
        <v>-31521</v>
      </c>
      <c r="F1773" s="3" t="s">
        <v>1256</v>
      </c>
      <c r="G1773" s="3" t="s">
        <v>3407</v>
      </c>
      <c r="H1773" s="2" t="s">
        <v>20</v>
      </c>
      <c r="I1773" s="2" t="s">
        <v>4073</v>
      </c>
      <c r="J1773" s="3" t="str">
        <f>HYPERLINK("https://www.boe.es/gazeta/dias/1813/09/11/pdfs/GRE-1813-116.pdf#page=6","Abrir facsímil")</f>
        <v>Abrir facsímil</v>
      </c>
      <c r="K1773" s="3" t="s">
        <v>22</v>
      </c>
    </row>
    <row r="1774" spans="1:11" ht="42" customHeight="1">
      <c r="A1774" s="2" t="s">
        <v>4074</v>
      </c>
      <c r="B1774" s="2" t="s">
        <v>4074</v>
      </c>
      <c r="C1774" s="2" t="s">
        <v>25</v>
      </c>
      <c r="D1774" s="2" t="s">
        <v>26</v>
      </c>
      <c r="E1774" s="5">
        <v>-31553</v>
      </c>
      <c r="F1774" s="3" t="s">
        <v>1853</v>
      </c>
      <c r="G1774" s="3" t="s">
        <v>65</v>
      </c>
      <c r="H1774" s="2" t="s">
        <v>20</v>
      </c>
      <c r="I1774" s="2" t="s">
        <v>4075</v>
      </c>
      <c r="J1774" s="3" t="str">
        <f>HYPERLINK("https://www.boe.es/gazeta/dias/1813/08/10/pdfs/GMR-1813-26.pdf#page=1","Abrir facsímil")</f>
        <v>Abrir facsímil</v>
      </c>
      <c r="K1774" s="3" t="s">
        <v>22</v>
      </c>
    </row>
    <row r="1775" spans="1:11" ht="42" customHeight="1">
      <c r="A1775" s="2" t="s">
        <v>4076</v>
      </c>
      <c r="B1775" s="2" t="s">
        <v>4076</v>
      </c>
      <c r="C1775" s="2" t="s">
        <v>435</v>
      </c>
      <c r="D1775" s="2" t="s">
        <v>26</v>
      </c>
      <c r="E1775" s="5">
        <v>-31774</v>
      </c>
      <c r="F1775" s="3" t="s">
        <v>3665</v>
      </c>
      <c r="G1775" s="3" t="s">
        <v>58</v>
      </c>
      <c r="H1775" s="2" t="s">
        <v>20</v>
      </c>
      <c r="I1775" s="2" t="s">
        <v>4077</v>
      </c>
      <c r="J1775" s="3" t="str">
        <f>HYPERLINK("https://www.boe.es/gazeta/dias/1813/01/01/pdfs/GMD-1813-1.pdf#page=2","Abrir facsímil")</f>
        <v>Abrir facsímil</v>
      </c>
      <c r="K1775" s="3" t="s">
        <v>22</v>
      </c>
    </row>
    <row r="1776" spans="1:11" ht="42" customHeight="1">
      <c r="A1776" s="2" t="s">
        <v>4078</v>
      </c>
      <c r="B1776" s="2" t="s">
        <v>4078</v>
      </c>
      <c r="C1776" s="2" t="s">
        <v>16</v>
      </c>
      <c r="D1776" s="2" t="s">
        <v>17</v>
      </c>
      <c r="E1776" s="5">
        <v>-31553</v>
      </c>
      <c r="F1776" s="3" t="s">
        <v>1853</v>
      </c>
      <c r="G1776" s="3" t="s">
        <v>65</v>
      </c>
      <c r="H1776" s="2" t="s">
        <v>20</v>
      </c>
      <c r="I1776" s="2" t="s">
        <v>4079</v>
      </c>
      <c r="J1776" s="3" t="str">
        <f>HYPERLINK("https://www.boe.es/gazeta/dias/1813/08/10/pdfs/GMR-1813-26.pdf#page=1","Abrir facsímil")</f>
        <v>Abrir facsímil</v>
      </c>
      <c r="K1776" s="3" t="s">
        <v>22</v>
      </c>
    </row>
    <row r="1777" spans="1:11" ht="42" customHeight="1">
      <c r="A1777" s="2" t="s">
        <v>4078</v>
      </c>
      <c r="B1777" s="2" t="s">
        <v>4078</v>
      </c>
      <c r="C1777" s="2" t="s">
        <v>16</v>
      </c>
      <c r="D1777" s="2" t="s">
        <v>17</v>
      </c>
      <c r="E1777" s="5">
        <v>-31521</v>
      </c>
      <c r="F1777" s="3" t="s">
        <v>1256</v>
      </c>
      <c r="G1777" s="3" t="s">
        <v>4080</v>
      </c>
      <c r="H1777" s="2" t="s">
        <v>20</v>
      </c>
      <c r="I1777" s="2" t="s">
        <v>4081</v>
      </c>
      <c r="J1777" s="3" t="str">
        <f>HYPERLINK("https://www.boe.es/gazeta/dias/1813/09/11/pdfs/GRE-1813-116.pdf#page=1","Abrir facsímil")</f>
        <v>Abrir facsímil</v>
      </c>
      <c r="K1777" s="3" t="s">
        <v>22</v>
      </c>
    </row>
    <row r="1778" spans="1:11" ht="42" customHeight="1">
      <c r="A1778" s="2" t="s">
        <v>4078</v>
      </c>
      <c r="B1778" s="2" t="s">
        <v>4078</v>
      </c>
      <c r="C1778" s="2" t="s">
        <v>16</v>
      </c>
      <c r="D1778" s="2" t="s">
        <v>17</v>
      </c>
      <c r="E1778" s="5">
        <v>-31521</v>
      </c>
      <c r="F1778" s="3" t="s">
        <v>1256</v>
      </c>
      <c r="G1778" s="3" t="s">
        <v>58</v>
      </c>
      <c r="H1778" s="2" t="s">
        <v>20</v>
      </c>
      <c r="I1778" s="2" t="s">
        <v>4082</v>
      </c>
      <c r="J1778" s="3" t="str">
        <f>HYPERLINK("https://www.boe.es/gazeta/dias/1813/09/11/pdfs/GRE-1813-116.pdf#page=2","Abrir facsímil")</f>
        <v>Abrir facsímil</v>
      </c>
      <c r="K1778" s="3" t="s">
        <v>22</v>
      </c>
    </row>
    <row r="1779" spans="1:11" ht="42" customHeight="1">
      <c r="A1779" s="2" t="s">
        <v>4083</v>
      </c>
      <c r="B1779" s="2" t="s">
        <v>4083</v>
      </c>
      <c r="C1779" s="2" t="s">
        <v>16</v>
      </c>
      <c r="D1779" s="2" t="s">
        <v>17</v>
      </c>
      <c r="E1779" s="5">
        <v>-31467</v>
      </c>
      <c r="F1779" s="3" t="s">
        <v>120</v>
      </c>
      <c r="G1779" s="3" t="s">
        <v>82</v>
      </c>
      <c r="H1779" s="2" t="s">
        <v>20</v>
      </c>
      <c r="I1779" s="2" t="s">
        <v>4084</v>
      </c>
      <c r="J1779" s="3" t="str">
        <f>HYPERLINK("https://www.boe.es/gazeta/dias/1813/11/04/pdfs/GMR-1813-68.pdf#page=5","Abrir facsímil")</f>
        <v>Abrir facsímil</v>
      </c>
      <c r="K1779" s="3" t="s">
        <v>22</v>
      </c>
    </row>
    <row r="1780" spans="1:11" ht="42" customHeight="1">
      <c r="A1780" s="2" t="s">
        <v>4085</v>
      </c>
      <c r="B1780" s="2" t="s">
        <v>4086</v>
      </c>
      <c r="C1780" s="2" t="s">
        <v>25</v>
      </c>
      <c r="D1780" s="2" t="s">
        <v>26</v>
      </c>
      <c r="E1780" s="5">
        <v>-31544</v>
      </c>
      <c r="F1780" s="3" t="s">
        <v>44</v>
      </c>
      <c r="G1780" s="3" t="s">
        <v>49</v>
      </c>
      <c r="H1780" s="2" t="s">
        <v>20</v>
      </c>
      <c r="I1780" s="2" t="s">
        <v>4087</v>
      </c>
      <c r="J1780" s="3" t="str">
        <f>HYPERLINK("https://www.boe.es/gazeta/dias/1813/08/19/pdfs/GMR-1813-30.pdf#page=5","Abrir facsímil")</f>
        <v>Abrir facsímil</v>
      </c>
      <c r="K1780" s="3" t="s">
        <v>22</v>
      </c>
    </row>
    <row r="1781" spans="1:11" ht="42" customHeight="1">
      <c r="A1781" s="2" t="s">
        <v>4088</v>
      </c>
      <c r="B1781" s="2" t="s">
        <v>4088</v>
      </c>
      <c r="C1781" s="2" t="s">
        <v>16</v>
      </c>
      <c r="D1781" s="2" t="s">
        <v>17</v>
      </c>
      <c r="E1781" s="5">
        <v>-31648</v>
      </c>
      <c r="F1781" s="3" t="s">
        <v>3263</v>
      </c>
      <c r="G1781" s="3" t="s">
        <v>19</v>
      </c>
      <c r="H1781" s="2" t="s">
        <v>20</v>
      </c>
      <c r="I1781" s="2" t="s">
        <v>4089</v>
      </c>
      <c r="J1781" s="3" t="str">
        <f>HYPERLINK("https://www.boe.es/gazeta/dias/1813/05/07/pdfs/GMD-1813-127.pdf#page=4","Abrir facsímil")</f>
        <v>Abrir facsímil</v>
      </c>
      <c r="K1781" s="3" t="s">
        <v>22</v>
      </c>
    </row>
    <row r="1782" spans="1:11" ht="42" customHeight="1">
      <c r="A1782" s="2" t="s">
        <v>4090</v>
      </c>
      <c r="B1782" s="2" t="s">
        <v>4090</v>
      </c>
      <c r="C1782" s="2" t="s">
        <v>16</v>
      </c>
      <c r="D1782" s="2" t="s">
        <v>17</v>
      </c>
      <c r="E1782" s="5">
        <v>-31574</v>
      </c>
      <c r="F1782" s="3" t="s">
        <v>509</v>
      </c>
      <c r="G1782" s="3" t="s">
        <v>65</v>
      </c>
      <c r="H1782" s="2" t="s">
        <v>20</v>
      </c>
      <c r="I1782" s="2" t="s">
        <v>4091</v>
      </c>
      <c r="J1782" s="3" t="str">
        <f>HYPERLINK("https://www.boe.es/gazeta/dias/1813/07/20/pdfs/GRE-1813-92.pdf#page=1","Abrir facsímil")</f>
        <v>Abrir facsímil</v>
      </c>
      <c r="K1782" s="3" t="s">
        <v>22</v>
      </c>
    </row>
    <row r="1783" spans="1:11" ht="42" customHeight="1">
      <c r="A1783" s="2" t="s">
        <v>4092</v>
      </c>
      <c r="B1783" s="2" t="s">
        <v>4092</v>
      </c>
      <c r="C1783" s="2" t="s">
        <v>16</v>
      </c>
      <c r="D1783" s="2" t="s">
        <v>17</v>
      </c>
      <c r="E1783" s="5">
        <v>-31626</v>
      </c>
      <c r="F1783" s="3" t="s">
        <v>64</v>
      </c>
      <c r="G1783" s="3" t="s">
        <v>3266</v>
      </c>
      <c r="H1783" s="2" t="s">
        <v>20</v>
      </c>
      <c r="I1783" s="2" t="s">
        <v>4093</v>
      </c>
      <c r="J1783" s="3" t="str">
        <f>HYPERLINK("https://www.boe.es/gazeta/dias/1813/05/29/pdfs/GRE-1813-66.pdf#page=5","Abrir facsímil")</f>
        <v>Abrir facsímil</v>
      </c>
      <c r="K1783" s="3" t="s">
        <v>22</v>
      </c>
    </row>
    <row r="1784" spans="1:11" ht="42" customHeight="1">
      <c r="A1784" s="2" t="s">
        <v>4094</v>
      </c>
      <c r="B1784" s="2" t="s">
        <v>4094</v>
      </c>
      <c r="C1784" s="2" t="s">
        <v>16</v>
      </c>
      <c r="D1784" s="2" t="s">
        <v>17</v>
      </c>
      <c r="E1784" s="5">
        <v>-31626</v>
      </c>
      <c r="F1784" s="3" t="s">
        <v>64</v>
      </c>
      <c r="G1784" s="3" t="s">
        <v>3266</v>
      </c>
      <c r="H1784" s="2" t="s">
        <v>20</v>
      </c>
      <c r="I1784" s="2" t="s">
        <v>4095</v>
      </c>
      <c r="J1784" s="3" t="str">
        <f>HYPERLINK("https://www.boe.es/gazeta/dias/1813/05/29/pdfs/GRE-1813-66.pdf#page=5","Abrir facsímil")</f>
        <v>Abrir facsímil</v>
      </c>
      <c r="K1784" s="3" t="s">
        <v>22</v>
      </c>
    </row>
    <row r="1785" spans="1:11" ht="42" customHeight="1">
      <c r="A1785" s="2" t="s">
        <v>4096</v>
      </c>
      <c r="B1785" s="2" t="s">
        <v>4097</v>
      </c>
      <c r="C1785" s="2" t="s">
        <v>16</v>
      </c>
      <c r="D1785" s="2" t="s">
        <v>17</v>
      </c>
      <c r="E1785" s="5">
        <v>-31511</v>
      </c>
      <c r="F1785" s="3" t="s">
        <v>2149</v>
      </c>
      <c r="G1785" s="3" t="s">
        <v>19</v>
      </c>
      <c r="H1785" s="2" t="s">
        <v>20</v>
      </c>
      <c r="I1785" s="2" t="s">
        <v>4098</v>
      </c>
      <c r="J1785" s="3" t="str">
        <f>HYPERLINK("https://www.boe.es/gazeta/dias/1813/09/21/pdfs/GRE-1813-122.pdf#page=4","Abrir facsímil")</f>
        <v>Abrir facsímil</v>
      </c>
      <c r="K1785" s="3" t="s">
        <v>22</v>
      </c>
    </row>
    <row r="1786" spans="1:11" ht="42" customHeight="1">
      <c r="A1786" s="2" t="s">
        <v>4099</v>
      </c>
      <c r="B1786" s="2" t="s">
        <v>4099</v>
      </c>
      <c r="C1786" s="2" t="s">
        <v>16</v>
      </c>
      <c r="D1786" s="2" t="s">
        <v>97</v>
      </c>
      <c r="E1786" s="5">
        <v>-31548</v>
      </c>
      <c r="F1786" s="3" t="s">
        <v>1680</v>
      </c>
      <c r="G1786" s="3" t="s">
        <v>82</v>
      </c>
      <c r="H1786" s="2" t="s">
        <v>20</v>
      </c>
      <c r="I1786" s="2" t="s">
        <v>4100</v>
      </c>
      <c r="J1786" s="3" t="str">
        <f>HYPERLINK("https://www.boe.es/gazeta/dias/1813/08/15/pdfs/GRE-1813-104E.pdf#page=5","Abrir facsímil")</f>
        <v>Abrir facsímil</v>
      </c>
      <c r="K1786" s="3" t="s">
        <v>22</v>
      </c>
    </row>
    <row r="1787" spans="1:11" ht="42" customHeight="1">
      <c r="A1787" s="2" t="s">
        <v>4101</v>
      </c>
      <c r="B1787" s="2" t="s">
        <v>4101</v>
      </c>
      <c r="C1787" s="2" t="s">
        <v>16</v>
      </c>
      <c r="D1787" s="2" t="s">
        <v>17</v>
      </c>
      <c r="E1787" s="5">
        <v>-31687</v>
      </c>
      <c r="F1787" s="3" t="s">
        <v>2723</v>
      </c>
      <c r="G1787" s="3" t="s">
        <v>54</v>
      </c>
      <c r="H1787" s="2" t="s">
        <v>20</v>
      </c>
      <c r="I1787" s="2" t="s">
        <v>4102</v>
      </c>
      <c r="J1787" s="3" t="str">
        <f>HYPERLINK("https://www.boe.es/gazeta/dias/1813/03/29/pdfs/GMD-1813-88.pdf#page=3","Abrir facsímil")</f>
        <v>Abrir facsímil</v>
      </c>
      <c r="K1787" s="3" t="s">
        <v>22</v>
      </c>
    </row>
    <row r="1788" spans="1:11" ht="42" customHeight="1">
      <c r="A1788" s="2" t="s">
        <v>4103</v>
      </c>
      <c r="B1788" s="2" t="s">
        <v>4103</v>
      </c>
      <c r="C1788" s="2" t="s">
        <v>16</v>
      </c>
      <c r="D1788" s="2" t="s">
        <v>17</v>
      </c>
      <c r="E1788" s="5">
        <v>-31525</v>
      </c>
      <c r="F1788" s="3" t="s">
        <v>1131</v>
      </c>
      <c r="G1788" s="3" t="s">
        <v>19</v>
      </c>
      <c r="H1788" s="2" t="s">
        <v>20</v>
      </c>
      <c r="I1788" s="2" t="s">
        <v>4104</v>
      </c>
      <c r="J1788" s="3" t="str">
        <f>HYPERLINK("https://www.boe.es/gazeta/dias/1813/09/07/pdfs/GRE-1813-114.pdf#page=4","Abrir facsímil")</f>
        <v>Abrir facsímil</v>
      </c>
      <c r="K1788" s="3" t="s">
        <v>22</v>
      </c>
    </row>
    <row r="1789" spans="1:11" ht="42" customHeight="1">
      <c r="A1789" s="2" t="s">
        <v>4103</v>
      </c>
      <c r="B1789" s="2" t="s">
        <v>4103</v>
      </c>
      <c r="C1789" s="2" t="s">
        <v>16</v>
      </c>
      <c r="D1789" s="2" t="s">
        <v>97</v>
      </c>
      <c r="E1789" s="5">
        <v>-31519</v>
      </c>
      <c r="F1789" s="3" t="s">
        <v>312</v>
      </c>
      <c r="G1789" s="3" t="s">
        <v>58</v>
      </c>
      <c r="H1789" s="2" t="s">
        <v>20</v>
      </c>
      <c r="I1789" s="2" t="s">
        <v>4105</v>
      </c>
      <c r="J1789" s="3" t="str">
        <f>HYPERLINK("https://www.boe.es/gazeta/dias/1813/09/13/pdfs/GRE-1813-118E.pdf#page=2","Abrir facsímil")</f>
        <v>Abrir facsímil</v>
      </c>
      <c r="K1789" s="3" t="s">
        <v>22</v>
      </c>
    </row>
    <row r="1790" spans="1:11" ht="42" customHeight="1">
      <c r="A1790" s="2" t="s">
        <v>4103</v>
      </c>
      <c r="B1790" s="2" t="s">
        <v>4103</v>
      </c>
      <c r="C1790" s="2" t="s">
        <v>16</v>
      </c>
      <c r="D1790" s="2" t="s">
        <v>17</v>
      </c>
      <c r="E1790" s="5">
        <v>-31511</v>
      </c>
      <c r="F1790" s="3" t="s">
        <v>935</v>
      </c>
      <c r="G1790" s="3" t="s">
        <v>313</v>
      </c>
      <c r="H1790" s="2" t="s">
        <v>20</v>
      </c>
      <c r="I1790" s="2" t="s">
        <v>4106</v>
      </c>
      <c r="J1790" s="3" t="str">
        <f>HYPERLINK("https://www.boe.es/gazeta/dias/1813/09/21/pdfs/GMR-1813-46.pdf#page=9","Abrir facsímil")</f>
        <v>Abrir facsímil</v>
      </c>
      <c r="K1790" s="3" t="s">
        <v>22</v>
      </c>
    </row>
    <row r="1791" spans="1:11" ht="42" customHeight="1">
      <c r="A1791" s="2" t="s">
        <v>4103</v>
      </c>
      <c r="B1791" s="2" t="s">
        <v>4103</v>
      </c>
      <c r="C1791" s="2" t="s">
        <v>16</v>
      </c>
      <c r="D1791" s="2" t="s">
        <v>17</v>
      </c>
      <c r="E1791" s="5">
        <v>-31418</v>
      </c>
      <c r="F1791" s="3" t="s">
        <v>1529</v>
      </c>
      <c r="G1791" s="3" t="s">
        <v>87</v>
      </c>
      <c r="H1791" s="2" t="s">
        <v>20</v>
      </c>
      <c r="I1791" s="2" t="s">
        <v>4107</v>
      </c>
      <c r="J1791" s="3" t="str">
        <f>HYPERLINK("https://www.boe.es/gazeta/dias/1813/12/23/pdfs/GMR-1813-91.pdf#page=7","Abrir facsímil")</f>
        <v>Abrir facsímil</v>
      </c>
      <c r="K1791" s="3" t="s">
        <v>22</v>
      </c>
    </row>
    <row r="1792" spans="1:11" ht="42" customHeight="1">
      <c r="A1792" s="2" t="s">
        <v>4108</v>
      </c>
      <c r="B1792" s="2" t="s">
        <v>4109</v>
      </c>
      <c r="C1792" s="2" t="s">
        <v>16</v>
      </c>
      <c r="D1792" s="2" t="s">
        <v>17</v>
      </c>
      <c r="E1792" s="5">
        <v>-31525</v>
      </c>
      <c r="F1792" s="3" t="s">
        <v>1131</v>
      </c>
      <c r="G1792" s="3" t="s">
        <v>19</v>
      </c>
      <c r="H1792" s="2" t="s">
        <v>29</v>
      </c>
      <c r="I1792" s="2" t="s">
        <v>4110</v>
      </c>
      <c r="J1792" s="3" t="str">
        <f>HYPERLINK("https://www.boe.es/gazeta/dias/1813/09/07/pdfs/GRE-1813-114.pdf#page=4","Abrir facsímil")</f>
        <v>Abrir facsímil</v>
      </c>
      <c r="K1792" s="3" t="s">
        <v>31</v>
      </c>
    </row>
    <row r="1793" spans="1:11" ht="42" customHeight="1">
      <c r="A1793" s="2" t="s">
        <v>4111</v>
      </c>
      <c r="B1793" s="2" t="s">
        <v>4112</v>
      </c>
      <c r="C1793" s="2" t="s">
        <v>16</v>
      </c>
      <c r="D1793" s="2" t="s">
        <v>97</v>
      </c>
      <c r="E1793" s="5">
        <v>-31548</v>
      </c>
      <c r="F1793" s="3" t="s">
        <v>1680</v>
      </c>
      <c r="G1793" s="3" t="s">
        <v>65</v>
      </c>
      <c r="H1793" s="2" t="s">
        <v>20</v>
      </c>
      <c r="I1793" s="2" t="s">
        <v>4113</v>
      </c>
      <c r="J1793" s="3" t="str">
        <f>HYPERLINK("https://www.boe.es/gazeta/dias/1813/08/15/pdfs/GRE-1813-104E.pdf#page=1","Abrir facsímil")</f>
        <v>Abrir facsímil</v>
      </c>
      <c r="K1793" s="3" t="s">
        <v>22</v>
      </c>
    </row>
    <row r="1794" spans="1:11" ht="42" customHeight="1">
      <c r="A1794" s="2" t="s">
        <v>4111</v>
      </c>
      <c r="B1794" s="2" t="s">
        <v>4112</v>
      </c>
      <c r="C1794" s="2" t="s">
        <v>16</v>
      </c>
      <c r="D1794" s="2" t="s">
        <v>97</v>
      </c>
      <c r="E1794" s="5">
        <v>-31548</v>
      </c>
      <c r="F1794" s="3" t="s">
        <v>1680</v>
      </c>
      <c r="G1794" s="3" t="s">
        <v>58</v>
      </c>
      <c r="H1794" s="2" t="s">
        <v>20</v>
      </c>
      <c r="I1794" s="2" t="s">
        <v>4114</v>
      </c>
      <c r="J1794" s="3" t="str">
        <f>HYPERLINK("https://www.boe.es/gazeta/dias/1813/08/15/pdfs/GRE-1813-104E.pdf#page=2","Abrir facsímil")</f>
        <v>Abrir facsímil</v>
      </c>
      <c r="K1794" s="3" t="s">
        <v>22</v>
      </c>
    </row>
    <row r="1795" spans="1:11" ht="42" customHeight="1">
      <c r="A1795" s="2" t="s">
        <v>4111</v>
      </c>
      <c r="B1795" s="2" t="s">
        <v>4112</v>
      </c>
      <c r="C1795" s="2" t="s">
        <v>16</v>
      </c>
      <c r="D1795" s="2" t="s">
        <v>97</v>
      </c>
      <c r="E1795" s="5">
        <v>-31548</v>
      </c>
      <c r="F1795" s="3" t="s">
        <v>1680</v>
      </c>
      <c r="G1795" s="3" t="s">
        <v>82</v>
      </c>
      <c r="H1795" s="2" t="s">
        <v>20</v>
      </c>
      <c r="I1795" s="2" t="s">
        <v>4115</v>
      </c>
      <c r="J1795" s="3" t="str">
        <f>HYPERLINK("https://www.boe.es/gazeta/dias/1813/08/15/pdfs/GRE-1813-104E.pdf#page=5","Abrir facsímil")</f>
        <v>Abrir facsímil</v>
      </c>
      <c r="K1795" s="3" t="s">
        <v>22</v>
      </c>
    </row>
    <row r="1796" spans="1:11" ht="42" customHeight="1">
      <c r="A1796" s="2" t="s">
        <v>4111</v>
      </c>
      <c r="B1796" s="2" t="s">
        <v>4112</v>
      </c>
      <c r="C1796" s="2" t="s">
        <v>16</v>
      </c>
      <c r="D1796" s="2" t="s">
        <v>97</v>
      </c>
      <c r="E1796" s="5">
        <v>-31548</v>
      </c>
      <c r="F1796" s="3" t="s">
        <v>1680</v>
      </c>
      <c r="G1796" s="3" t="s">
        <v>95</v>
      </c>
      <c r="H1796" s="2" t="s">
        <v>20</v>
      </c>
      <c r="I1796" s="2" t="s">
        <v>4116</v>
      </c>
      <c r="J1796" s="3" t="str">
        <f>HYPERLINK("https://www.boe.es/gazeta/dias/1813/08/15/pdfs/GRE-1813-104E.pdf#page=6","Abrir facsímil")</f>
        <v>Abrir facsímil</v>
      </c>
      <c r="K1796" s="3" t="s">
        <v>22</v>
      </c>
    </row>
    <row r="1797" spans="1:11" ht="42" customHeight="1">
      <c r="A1797" s="2" t="s">
        <v>4117</v>
      </c>
      <c r="B1797" s="2" t="s">
        <v>4117</v>
      </c>
      <c r="C1797" s="2" t="s">
        <v>16</v>
      </c>
      <c r="D1797" s="2" t="s">
        <v>17</v>
      </c>
      <c r="E1797" s="5">
        <v>-31542</v>
      </c>
      <c r="F1797" s="3" t="s">
        <v>347</v>
      </c>
      <c r="G1797" s="3" t="s">
        <v>95</v>
      </c>
      <c r="H1797" s="2" t="s">
        <v>20</v>
      </c>
      <c r="I1797" s="2" t="s">
        <v>4118</v>
      </c>
      <c r="J1797" s="3" t="str">
        <f>HYPERLINK("https://www.boe.es/gazeta/dias/1813/08/21/pdfs/GMR-1813-31.pdf#page=6","Abrir facsímil")</f>
        <v>Abrir facsímil</v>
      </c>
      <c r="K1797" s="3" t="s">
        <v>22</v>
      </c>
    </row>
    <row r="1798" spans="1:11" ht="42" customHeight="1">
      <c r="A1798" s="2" t="s">
        <v>4119</v>
      </c>
      <c r="B1798" s="2" t="s">
        <v>4120</v>
      </c>
      <c r="C1798" s="2" t="s">
        <v>16</v>
      </c>
      <c r="D1798" s="2" t="s">
        <v>17</v>
      </c>
      <c r="E1798" s="5">
        <v>-31614</v>
      </c>
      <c r="F1798" s="3" t="s">
        <v>498</v>
      </c>
      <c r="G1798" s="3" t="s">
        <v>95</v>
      </c>
      <c r="H1798" s="2" t="s">
        <v>20</v>
      </c>
      <c r="I1798" s="2" t="s">
        <v>4121</v>
      </c>
      <c r="J1798" s="3" t="str">
        <f>HYPERLINK("https://www.boe.es/gazeta/dias/1813/06/10/pdfs/GRE-1813-72.pdf#page=6","Abrir facsímil")</f>
        <v>Abrir facsímil</v>
      </c>
      <c r="K1798" s="3" t="s">
        <v>22</v>
      </c>
    </row>
    <row r="1799" spans="1:11" ht="42" customHeight="1">
      <c r="A1799" s="2" t="s">
        <v>4122</v>
      </c>
      <c r="B1799" s="2" t="s">
        <v>4123</v>
      </c>
      <c r="C1799" s="2" t="s">
        <v>16</v>
      </c>
      <c r="D1799" s="2" t="s">
        <v>17</v>
      </c>
      <c r="E1799" s="5">
        <v>-31486</v>
      </c>
      <c r="F1799" s="3" t="s">
        <v>597</v>
      </c>
      <c r="G1799" s="3" t="s">
        <v>54</v>
      </c>
      <c r="H1799" s="2" t="s">
        <v>20</v>
      </c>
      <c r="I1799" s="2" t="s">
        <v>4124</v>
      </c>
      <c r="J1799" s="3" t="str">
        <f>HYPERLINK("https://www.boe.es/gazeta/dias/1813/10/16/pdfs/GRE-1813-135.pdf#page=3","Abrir facsímil")</f>
        <v>Abrir facsímil</v>
      </c>
      <c r="K1799" s="3" t="s">
        <v>22</v>
      </c>
    </row>
    <row r="1800" spans="1:11" ht="42" customHeight="1">
      <c r="A1800" s="2" t="s">
        <v>4125</v>
      </c>
      <c r="B1800" s="2" t="s">
        <v>4125</v>
      </c>
      <c r="C1800" s="2" t="s">
        <v>16</v>
      </c>
      <c r="D1800" s="2" t="s">
        <v>17</v>
      </c>
      <c r="E1800" s="5">
        <v>-31523</v>
      </c>
      <c r="F1800" s="3" t="s">
        <v>81</v>
      </c>
      <c r="G1800" s="3" t="s">
        <v>82</v>
      </c>
      <c r="H1800" s="2" t="s">
        <v>20</v>
      </c>
      <c r="I1800" s="2" t="s">
        <v>4126</v>
      </c>
      <c r="J1800" s="3" t="str">
        <f>HYPERLINK("https://www.boe.es/gazeta/dias/1813/09/09/pdfs/GRE-1813-115.pdf#page=5","Abrir facsímil")</f>
        <v>Abrir facsímil</v>
      </c>
      <c r="K1800" s="3" t="s">
        <v>22</v>
      </c>
    </row>
    <row r="1801" spans="1:11" ht="42" customHeight="1">
      <c r="A1801" s="2" t="s">
        <v>4127</v>
      </c>
      <c r="B1801" s="2" t="s">
        <v>4128</v>
      </c>
      <c r="C1801" s="2" t="s">
        <v>25</v>
      </c>
      <c r="D1801" s="2" t="s">
        <v>26</v>
      </c>
      <c r="E1801" s="5">
        <v>-31567</v>
      </c>
      <c r="F1801" s="3" t="s">
        <v>820</v>
      </c>
      <c r="G1801" s="3" t="s">
        <v>258</v>
      </c>
      <c r="H1801" s="2" t="s">
        <v>29</v>
      </c>
      <c r="I1801" s="2" t="s">
        <v>4129</v>
      </c>
      <c r="J1801" s="3" t="str">
        <f>HYPERLINK("https://www.boe.es/gazeta/dias/1813/07/27/pdfs/GMR-1813-21.pdf#page=12","Abrir facsímil")</f>
        <v>Abrir facsímil</v>
      </c>
      <c r="K1801" s="3" t="s">
        <v>31</v>
      </c>
    </row>
    <row r="1802" spans="1:11" ht="42" customHeight="1">
      <c r="A1802" s="2" t="s">
        <v>4130</v>
      </c>
      <c r="B1802" s="2" t="s">
        <v>4131</v>
      </c>
      <c r="C1802" s="2" t="s">
        <v>16</v>
      </c>
      <c r="D1802" s="2" t="s">
        <v>17</v>
      </c>
      <c r="E1802" s="5">
        <v>-31507</v>
      </c>
      <c r="F1802" s="3" t="s">
        <v>61</v>
      </c>
      <c r="G1802" s="3" t="s">
        <v>28</v>
      </c>
      <c r="H1802" s="2" t="s">
        <v>20</v>
      </c>
      <c r="I1802" s="2" t="s">
        <v>4132</v>
      </c>
      <c r="J1802" s="3" t="str">
        <f>HYPERLINK("https://www.boe.es/gazeta/dias/1813/09/25/pdfs/GMR-1813-48.pdf#page=8","Abrir facsímil")</f>
        <v>Abrir facsímil</v>
      </c>
      <c r="K1802" s="3" t="s">
        <v>22</v>
      </c>
    </row>
    <row r="1803" spans="1:11" ht="42" customHeight="1">
      <c r="A1803" s="2" t="s">
        <v>4133</v>
      </c>
      <c r="B1803" s="2" t="s">
        <v>4133</v>
      </c>
      <c r="C1803" s="2" t="s">
        <v>16</v>
      </c>
      <c r="D1803" s="2" t="s">
        <v>17</v>
      </c>
      <c r="E1803" s="5">
        <v>-31564</v>
      </c>
      <c r="F1803" s="3" t="s">
        <v>206</v>
      </c>
      <c r="G1803" s="3" t="s">
        <v>58</v>
      </c>
      <c r="H1803" s="2" t="s">
        <v>20</v>
      </c>
      <c r="I1803" s="2" t="s">
        <v>4134</v>
      </c>
      <c r="J1803" s="3" t="str">
        <f>HYPERLINK("https://www.boe.es/gazeta/dias/1813/07/30/pdfs/GMR-1813-22.pdf#page=2","Abrir facsímil")</f>
        <v>Abrir facsímil</v>
      </c>
      <c r="K1803" s="3" t="s">
        <v>22</v>
      </c>
    </row>
    <row r="1804" spans="1:11" ht="42" customHeight="1">
      <c r="A1804" s="2" t="s">
        <v>4133</v>
      </c>
      <c r="B1804" s="2" t="s">
        <v>4133</v>
      </c>
      <c r="C1804" s="2" t="s">
        <v>25</v>
      </c>
      <c r="D1804" s="2" t="s">
        <v>26</v>
      </c>
      <c r="E1804" s="5">
        <v>-31476</v>
      </c>
      <c r="F1804" s="3" t="s">
        <v>229</v>
      </c>
      <c r="G1804" s="3" t="s">
        <v>65</v>
      </c>
      <c r="H1804" s="2" t="s">
        <v>20</v>
      </c>
      <c r="I1804" s="2" t="s">
        <v>4135</v>
      </c>
      <c r="J1804" s="3" t="str">
        <f>HYPERLINK("https://www.boe.es/gazeta/dias/1813/10/26/pdfs/GRE-1813-140.pdf#page=1","Abrir facsímil")</f>
        <v>Abrir facsímil</v>
      </c>
      <c r="K1804" s="3" t="s">
        <v>22</v>
      </c>
    </row>
    <row r="1805" spans="1:11" ht="42" customHeight="1">
      <c r="A1805" s="2" t="s">
        <v>4133</v>
      </c>
      <c r="B1805" s="2" t="s">
        <v>4133</v>
      </c>
      <c r="C1805" s="2" t="s">
        <v>16</v>
      </c>
      <c r="D1805" s="2" t="s">
        <v>17</v>
      </c>
      <c r="E1805" s="5">
        <v>-31465</v>
      </c>
      <c r="F1805" s="3" t="s">
        <v>2930</v>
      </c>
      <c r="G1805" s="3" t="s">
        <v>65</v>
      </c>
      <c r="H1805" s="2" t="s">
        <v>20</v>
      </c>
      <c r="I1805" s="2" t="s">
        <v>4136</v>
      </c>
      <c r="J1805" s="3" t="str">
        <f>HYPERLINK("https://www.boe.es/gazeta/dias/1813/11/06/pdfs/GRE-1813-145.pdf#page=1","Abrir facsímil")</f>
        <v>Abrir facsímil</v>
      </c>
      <c r="K1805" s="3" t="s">
        <v>22</v>
      </c>
    </row>
    <row r="1806" spans="1:11" ht="42" customHeight="1">
      <c r="A1806" s="2" t="s">
        <v>4133</v>
      </c>
      <c r="B1806" s="2" t="s">
        <v>4133</v>
      </c>
      <c r="C1806" s="2" t="s">
        <v>16</v>
      </c>
      <c r="D1806" s="2" t="s">
        <v>17</v>
      </c>
      <c r="E1806" s="5">
        <v>-31462</v>
      </c>
      <c r="F1806" s="3" t="s">
        <v>542</v>
      </c>
      <c r="G1806" s="3" t="s">
        <v>58</v>
      </c>
      <c r="H1806" s="2" t="s">
        <v>20</v>
      </c>
      <c r="I1806" s="2" t="s">
        <v>4137</v>
      </c>
      <c r="J1806" s="3" t="str">
        <f>HYPERLINK("https://www.boe.es/gazeta/dias/1813/11/09/pdfs/GRE-1813-146.pdf#page=2","Abrir facsímil")</f>
        <v>Abrir facsímil</v>
      </c>
      <c r="K1806" s="3" t="s">
        <v>22</v>
      </c>
    </row>
    <row r="1807" spans="1:11" ht="42" customHeight="1">
      <c r="A1807" s="2" t="s">
        <v>4133</v>
      </c>
      <c r="B1807" s="2" t="s">
        <v>4133</v>
      </c>
      <c r="C1807" s="2" t="s">
        <v>16</v>
      </c>
      <c r="D1807" s="2" t="s">
        <v>97</v>
      </c>
      <c r="E1807" s="5">
        <v>-31446</v>
      </c>
      <c r="F1807" s="3" t="s">
        <v>1877</v>
      </c>
      <c r="G1807" s="3" t="s">
        <v>19</v>
      </c>
      <c r="H1807" s="2" t="s">
        <v>20</v>
      </c>
      <c r="I1807" s="2" t="s">
        <v>4138</v>
      </c>
      <c r="J1807" s="3" t="str">
        <f>HYPERLINK("https://www.boe.es/gazeta/dias/1813/11/25/pdfs/GRE-1813-155E.pdf#page=4","Abrir facsímil")</f>
        <v>Abrir facsímil</v>
      </c>
      <c r="K1807" s="3" t="s">
        <v>22</v>
      </c>
    </row>
    <row r="1808" spans="1:11" ht="42" customHeight="1">
      <c r="A1808" s="2" t="s">
        <v>4139</v>
      </c>
      <c r="B1808" s="2" t="s">
        <v>4140</v>
      </c>
      <c r="C1808" s="2" t="s">
        <v>25</v>
      </c>
      <c r="D1808" s="2" t="s">
        <v>26</v>
      </c>
      <c r="E1808" s="5">
        <v>-31765</v>
      </c>
      <c r="F1808" s="3" t="s">
        <v>4141</v>
      </c>
      <c r="G1808" s="3" t="s">
        <v>54</v>
      </c>
      <c r="H1808" s="2" t="s">
        <v>20</v>
      </c>
      <c r="I1808" s="2" t="s">
        <v>4142</v>
      </c>
      <c r="J1808" s="3" t="str">
        <f>HYPERLINK("https://www.boe.es/gazeta/dias/1813/01/10/pdfs/GMD-1813-10.pdf#page=3","Abrir facsímil")</f>
        <v>Abrir facsímil</v>
      </c>
      <c r="K1808" s="3" t="s">
        <v>22</v>
      </c>
    </row>
    <row r="1809" spans="1:11" ht="42" customHeight="1">
      <c r="A1809" s="2" t="s">
        <v>4143</v>
      </c>
      <c r="B1809" s="2" t="s">
        <v>4144</v>
      </c>
      <c r="C1809" s="2" t="s">
        <v>16</v>
      </c>
      <c r="D1809" s="2" t="s">
        <v>17</v>
      </c>
      <c r="E1809" s="5">
        <v>-31738</v>
      </c>
      <c r="F1809" s="3" t="s">
        <v>556</v>
      </c>
      <c r="G1809" s="3" t="s">
        <v>28</v>
      </c>
      <c r="H1809" s="2" t="s">
        <v>20</v>
      </c>
      <c r="I1809" s="2" t="s">
        <v>4145</v>
      </c>
      <c r="J1809" s="3" t="str">
        <f>HYPERLINK("https://www.boe.es/gazeta/dias/1813/02/06/pdfs/GRE-1813-16.pdf#page=8","Abrir facsímil")</f>
        <v>Abrir facsímil</v>
      </c>
      <c r="K1809" s="3" t="s">
        <v>22</v>
      </c>
    </row>
    <row r="1810" spans="1:11" ht="42" customHeight="1">
      <c r="A1810" s="2" t="s">
        <v>4146</v>
      </c>
      <c r="B1810" s="2" t="s">
        <v>4146</v>
      </c>
      <c r="C1810" s="2" t="s">
        <v>16</v>
      </c>
      <c r="D1810" s="2" t="s">
        <v>17</v>
      </c>
      <c r="E1810" s="5">
        <v>-31560</v>
      </c>
      <c r="F1810" s="3" t="s">
        <v>1233</v>
      </c>
      <c r="G1810" s="3" t="s">
        <v>2132</v>
      </c>
      <c r="H1810" s="2" t="s">
        <v>20</v>
      </c>
      <c r="I1810" s="2" t="s">
        <v>4147</v>
      </c>
      <c r="J1810" s="3" t="str">
        <f>HYPERLINK("https://www.boe.es/gazeta/dias/1813/08/03/pdfs/GMR-1813-23.pdf#page=4","Abrir facsímil")</f>
        <v>Abrir facsímil</v>
      </c>
      <c r="K1810" s="3" t="s">
        <v>22</v>
      </c>
    </row>
    <row r="1811" spans="1:11" ht="42" customHeight="1">
      <c r="A1811" s="2" t="s">
        <v>4148</v>
      </c>
      <c r="B1811" s="2" t="s">
        <v>4149</v>
      </c>
      <c r="C1811" s="2" t="s">
        <v>16</v>
      </c>
      <c r="D1811" s="2" t="s">
        <v>17</v>
      </c>
      <c r="E1811" s="5">
        <v>-31514</v>
      </c>
      <c r="F1811" s="3" t="s">
        <v>2099</v>
      </c>
      <c r="G1811" s="3" t="s">
        <v>19</v>
      </c>
      <c r="H1811" s="2" t="s">
        <v>20</v>
      </c>
      <c r="I1811" s="2" t="s">
        <v>4150</v>
      </c>
      <c r="J1811" s="3" t="str">
        <f>HYPERLINK("https://www.boe.es/gazeta/dias/1813/09/18/pdfs/GMR-1813-45.pdf#page=4","Abrir facsímil")</f>
        <v>Abrir facsímil</v>
      </c>
      <c r="K1811" s="3" t="s">
        <v>22</v>
      </c>
    </row>
    <row r="1812" spans="1:11" ht="42" customHeight="1">
      <c r="A1812" s="2" t="s">
        <v>4151</v>
      </c>
      <c r="B1812" s="2" t="s">
        <v>4152</v>
      </c>
      <c r="C1812" s="2" t="s">
        <v>16</v>
      </c>
      <c r="D1812" s="2" t="s">
        <v>17</v>
      </c>
      <c r="E1812" s="5">
        <v>-31626</v>
      </c>
      <c r="F1812" s="3" t="s">
        <v>64</v>
      </c>
      <c r="G1812" s="3" t="s">
        <v>95</v>
      </c>
      <c r="H1812" s="2" t="s">
        <v>20</v>
      </c>
      <c r="I1812" s="2" t="s">
        <v>4153</v>
      </c>
      <c r="J1812" s="3" t="str">
        <f>HYPERLINK("https://www.boe.es/gazeta/dias/1813/05/29/pdfs/GRE-1813-66.pdf#page=6","Abrir facsímil")</f>
        <v>Abrir facsímil</v>
      </c>
      <c r="K1812" s="3" t="s">
        <v>22</v>
      </c>
    </row>
    <row r="1813" spans="1:11" ht="42" customHeight="1">
      <c r="A1813" s="2" t="s">
        <v>4154</v>
      </c>
      <c r="B1813" s="2" t="s">
        <v>4155</v>
      </c>
      <c r="C1813" s="2" t="s">
        <v>25</v>
      </c>
      <c r="D1813" s="2" t="s">
        <v>26</v>
      </c>
      <c r="E1813" s="5">
        <v>-31752</v>
      </c>
      <c r="F1813" s="3" t="s">
        <v>182</v>
      </c>
      <c r="G1813" s="3" t="s">
        <v>183</v>
      </c>
      <c r="H1813" s="2" t="s">
        <v>20</v>
      </c>
      <c r="I1813" s="2" t="s">
        <v>4156</v>
      </c>
      <c r="J1813" s="3" t="str">
        <f>HYPERLINK("https://www.boe.es/gazeta/dias/1813/01/23/pdfs/GRE-1813-10.pdf#page=8","Abrir facsímil")</f>
        <v>Abrir facsímil</v>
      </c>
      <c r="K1813" s="3" t="s">
        <v>22</v>
      </c>
    </row>
    <row r="1814" spans="1:11" ht="42" customHeight="1">
      <c r="A1814" s="2" t="s">
        <v>4154</v>
      </c>
      <c r="B1814" s="2" t="s">
        <v>4155</v>
      </c>
      <c r="C1814" s="2" t="s">
        <v>16</v>
      </c>
      <c r="D1814" s="2" t="s">
        <v>17</v>
      </c>
      <c r="E1814" s="5">
        <v>-31635</v>
      </c>
      <c r="F1814" s="3" t="s">
        <v>2173</v>
      </c>
      <c r="G1814" s="3" t="s">
        <v>4157</v>
      </c>
      <c r="H1814" s="2" t="s">
        <v>20</v>
      </c>
      <c r="I1814" s="2" t="s">
        <v>4158</v>
      </c>
      <c r="J1814" s="3" t="str">
        <f>HYPERLINK("https://www.boe.es/gazeta/dias/1813/05/20/pdfs/GRE-1813-62.pdf#page=4","Abrir facsímil")</f>
        <v>Abrir facsímil</v>
      </c>
      <c r="K1814" s="3" t="s">
        <v>22</v>
      </c>
    </row>
    <row r="1815" spans="1:11" ht="42" customHeight="1">
      <c r="A1815" s="2" t="s">
        <v>4159</v>
      </c>
      <c r="B1815" s="2" t="s">
        <v>4159</v>
      </c>
      <c r="C1815" s="2" t="s">
        <v>16</v>
      </c>
      <c r="D1815" s="2" t="s">
        <v>17</v>
      </c>
      <c r="E1815" s="5">
        <v>-31685</v>
      </c>
      <c r="F1815" s="3" t="s">
        <v>2671</v>
      </c>
      <c r="G1815" s="3" t="s">
        <v>58</v>
      </c>
      <c r="H1815" s="2" t="s">
        <v>20</v>
      </c>
      <c r="I1815" s="2" t="s">
        <v>4160</v>
      </c>
      <c r="J1815" s="3" t="str">
        <f>HYPERLINK("https://www.boe.es/gazeta/dias/1813/03/31/pdfs/GMD-1813-90.pdf#page=2","Abrir facsímil")</f>
        <v>Abrir facsímil</v>
      </c>
      <c r="K1815" s="3" t="s">
        <v>22</v>
      </c>
    </row>
    <row r="1816" spans="1:11" ht="42" customHeight="1">
      <c r="A1816" s="2" t="s">
        <v>4161</v>
      </c>
      <c r="B1816" s="2" t="s">
        <v>4162</v>
      </c>
      <c r="C1816" s="2" t="s">
        <v>25</v>
      </c>
      <c r="D1816" s="2" t="s">
        <v>26</v>
      </c>
      <c r="E1816" s="5">
        <v>-31675</v>
      </c>
      <c r="F1816" s="3" t="s">
        <v>27</v>
      </c>
      <c r="G1816" s="3" t="s">
        <v>648</v>
      </c>
      <c r="H1816" s="2" t="s">
        <v>20</v>
      </c>
      <c r="I1816" s="2" t="s">
        <v>4163</v>
      </c>
      <c r="J1816" s="3" t="str">
        <f>HYPERLINK("https://www.boe.es/gazeta/dias/1813/04/10/pdfs/GRE-1813-44.pdf#page=7","Abrir facsímil")</f>
        <v>Abrir facsímil</v>
      </c>
      <c r="K1816" s="3" t="s">
        <v>22</v>
      </c>
    </row>
    <row r="1817" spans="1:11" ht="42" customHeight="1">
      <c r="A1817" s="2" t="s">
        <v>4164</v>
      </c>
      <c r="B1817" s="2" t="s">
        <v>4164</v>
      </c>
      <c r="C1817" s="2" t="s">
        <v>16</v>
      </c>
      <c r="D1817" s="2" t="s">
        <v>17</v>
      </c>
      <c r="E1817" s="5">
        <v>-31616</v>
      </c>
      <c r="F1817" s="3" t="s">
        <v>2201</v>
      </c>
      <c r="G1817" s="3" t="s">
        <v>2202</v>
      </c>
      <c r="H1817" s="2" t="s">
        <v>20</v>
      </c>
      <c r="I1817" s="2" t="s">
        <v>4165</v>
      </c>
      <c r="J1817" s="3" t="str">
        <f>HYPERLINK("https://www.boe.es/gazeta/dias/1813/06/08/pdfs/GMR-1813-3.pdf#page=5","Abrir facsímil")</f>
        <v>Abrir facsímil</v>
      </c>
      <c r="K1817" s="3" t="s">
        <v>22</v>
      </c>
    </row>
    <row r="1818" spans="1:11" ht="42" customHeight="1">
      <c r="A1818" s="2" t="s">
        <v>4166</v>
      </c>
      <c r="B1818" s="2" t="s">
        <v>4166</v>
      </c>
      <c r="C1818" s="2" t="s">
        <v>25</v>
      </c>
      <c r="D1818" s="2" t="s">
        <v>26</v>
      </c>
      <c r="E1818" s="5">
        <v>-31660</v>
      </c>
      <c r="F1818" s="3" t="s">
        <v>1632</v>
      </c>
      <c r="G1818" s="3" t="s">
        <v>19</v>
      </c>
      <c r="H1818" s="2" t="s">
        <v>20</v>
      </c>
      <c r="I1818" s="2" t="s">
        <v>4167</v>
      </c>
      <c r="J1818" s="3" t="str">
        <f>HYPERLINK("https://www.boe.es/gazeta/dias/1813/04/25/pdfs/GMD-1813-115.pdf#page=4","Abrir facsímil")</f>
        <v>Abrir facsímil</v>
      </c>
      <c r="K1818" s="3" t="s">
        <v>22</v>
      </c>
    </row>
    <row r="1819" spans="1:11" ht="42" customHeight="1">
      <c r="A1819" s="2" t="s">
        <v>4168</v>
      </c>
      <c r="B1819" s="2" t="s">
        <v>4168</v>
      </c>
      <c r="C1819" s="2" t="s">
        <v>25</v>
      </c>
      <c r="D1819" s="2" t="s">
        <v>26</v>
      </c>
      <c r="E1819" s="5">
        <v>-31660</v>
      </c>
      <c r="F1819" s="3" t="s">
        <v>1632</v>
      </c>
      <c r="G1819" s="3" t="s">
        <v>54</v>
      </c>
      <c r="H1819" s="2" t="s">
        <v>20</v>
      </c>
      <c r="I1819" s="2" t="s">
        <v>4169</v>
      </c>
      <c r="J1819" s="3" t="str">
        <f>HYPERLINK("https://www.boe.es/gazeta/dias/1813/04/25/pdfs/GMD-1813-115.pdf#page=3","Abrir facsímil")</f>
        <v>Abrir facsímil</v>
      </c>
      <c r="K1819" s="3" t="s">
        <v>22</v>
      </c>
    </row>
    <row r="1820" spans="1:11" ht="42" customHeight="1">
      <c r="A1820" s="2" t="s">
        <v>4168</v>
      </c>
      <c r="B1820" s="2" t="s">
        <v>4168</v>
      </c>
      <c r="C1820" s="2" t="s">
        <v>25</v>
      </c>
      <c r="D1820" s="2" t="s">
        <v>26</v>
      </c>
      <c r="E1820" s="5">
        <v>-31660</v>
      </c>
      <c r="F1820" s="3" t="s">
        <v>1632</v>
      </c>
      <c r="G1820" s="3" t="s">
        <v>19</v>
      </c>
      <c r="H1820" s="2" t="s">
        <v>20</v>
      </c>
      <c r="I1820" s="2" t="s">
        <v>4170</v>
      </c>
      <c r="J1820" s="3" t="str">
        <f>HYPERLINK("https://www.boe.es/gazeta/dias/1813/04/25/pdfs/GMD-1813-115.pdf#page=4","Abrir facsímil")</f>
        <v>Abrir facsímil</v>
      </c>
      <c r="K1820" s="3" t="s">
        <v>22</v>
      </c>
    </row>
    <row r="1821" spans="1:11" ht="42" customHeight="1">
      <c r="A1821" s="2" t="s">
        <v>4168</v>
      </c>
      <c r="B1821" s="2" t="s">
        <v>4168</v>
      </c>
      <c r="C1821" s="2" t="s">
        <v>16</v>
      </c>
      <c r="D1821" s="2" t="s">
        <v>17</v>
      </c>
      <c r="E1821" s="5">
        <v>-31636</v>
      </c>
      <c r="F1821" s="3" t="s">
        <v>1673</v>
      </c>
      <c r="G1821" s="3" t="s">
        <v>19</v>
      </c>
      <c r="H1821" s="2" t="s">
        <v>20</v>
      </c>
      <c r="I1821" s="2" t="s">
        <v>4171</v>
      </c>
      <c r="J1821" s="3" t="str">
        <f>HYPERLINK("https://www.boe.es/gazeta/dias/1813/05/19/pdfs/GMD-1813-139.pdf#page=4","Abrir facsímil")</f>
        <v>Abrir facsímil</v>
      </c>
      <c r="K1821" s="3" t="s">
        <v>22</v>
      </c>
    </row>
    <row r="1822" spans="1:11" ht="42" customHeight="1">
      <c r="A1822" s="2" t="s">
        <v>4172</v>
      </c>
      <c r="B1822" s="2" t="s">
        <v>4172</v>
      </c>
      <c r="C1822" s="2" t="s">
        <v>16</v>
      </c>
      <c r="D1822" s="2" t="s">
        <v>17</v>
      </c>
      <c r="E1822" s="5">
        <v>-31725</v>
      </c>
      <c r="F1822" s="3" t="s">
        <v>3928</v>
      </c>
      <c r="G1822" s="3" t="s">
        <v>65</v>
      </c>
      <c r="H1822" s="2" t="s">
        <v>20</v>
      </c>
      <c r="I1822" s="2" t="s">
        <v>4173</v>
      </c>
      <c r="J1822" s="3" t="str">
        <f>HYPERLINK("https://www.boe.es/gazeta/dias/1813/02/19/pdfs/GMD-1813-50.pdf#page=1","Abrir facsímil")</f>
        <v>Abrir facsímil</v>
      </c>
      <c r="K1822" s="3" t="s">
        <v>22</v>
      </c>
    </row>
    <row r="1823" spans="1:11" ht="42" customHeight="1">
      <c r="A1823" s="2" t="s">
        <v>4174</v>
      </c>
      <c r="B1823" s="2" t="s">
        <v>4175</v>
      </c>
      <c r="C1823" s="2" t="s">
        <v>16</v>
      </c>
      <c r="D1823" s="2" t="s">
        <v>17</v>
      </c>
      <c r="E1823" s="5">
        <v>-31565</v>
      </c>
      <c r="F1823" s="3" t="s">
        <v>306</v>
      </c>
      <c r="G1823" s="3" t="s">
        <v>82</v>
      </c>
      <c r="H1823" s="2" t="s">
        <v>20</v>
      </c>
      <c r="I1823" s="2" t="s">
        <v>4176</v>
      </c>
      <c r="J1823" s="3" t="str">
        <f>HYPERLINK("https://www.boe.es/gazeta/dias/1813/07/29/pdfs/GRE-1813-96.pdf#page=5","Abrir facsímil")</f>
        <v>Abrir facsímil</v>
      </c>
      <c r="K1823" s="3" t="s">
        <v>22</v>
      </c>
    </row>
    <row r="1824" spans="1:11" ht="42" customHeight="1">
      <c r="A1824" s="2" t="s">
        <v>4174</v>
      </c>
      <c r="B1824" s="2" t="s">
        <v>4175</v>
      </c>
      <c r="C1824" s="2" t="s">
        <v>16</v>
      </c>
      <c r="D1824" s="2" t="s">
        <v>17</v>
      </c>
      <c r="E1824" s="5">
        <v>-31542</v>
      </c>
      <c r="F1824" s="3" t="s">
        <v>337</v>
      </c>
      <c r="G1824" s="3" t="s">
        <v>58</v>
      </c>
      <c r="H1824" s="2" t="s">
        <v>20</v>
      </c>
      <c r="I1824" s="2" t="s">
        <v>4177</v>
      </c>
      <c r="J1824" s="3" t="str">
        <f>HYPERLINK("https://www.boe.es/gazeta/dias/1813/08/21/pdfs/GRE-1813-107.pdf#page=2","Abrir facsímil")</f>
        <v>Abrir facsímil</v>
      </c>
      <c r="K1824" s="3" t="s">
        <v>22</v>
      </c>
    </row>
    <row r="1825" spans="1:11" ht="42" customHeight="1">
      <c r="A1825" s="2" t="s">
        <v>4174</v>
      </c>
      <c r="B1825" s="2" t="s">
        <v>4175</v>
      </c>
      <c r="C1825" s="2" t="s">
        <v>16</v>
      </c>
      <c r="D1825" s="2" t="s">
        <v>17</v>
      </c>
      <c r="E1825" s="5">
        <v>-31479</v>
      </c>
      <c r="F1825" s="3" t="s">
        <v>2383</v>
      </c>
      <c r="G1825" s="3" t="s">
        <v>95</v>
      </c>
      <c r="H1825" s="2" t="s">
        <v>20</v>
      </c>
      <c r="I1825" s="2" t="s">
        <v>4178</v>
      </c>
      <c r="J1825" s="3" t="str">
        <f>HYPERLINK("https://www.boe.es/gazeta/dias/1813/10/23/pdfs/GRE-1813-138.pdf#page=6","Abrir facsímil")</f>
        <v>Abrir facsímil</v>
      </c>
      <c r="K1825" s="3" t="s">
        <v>22</v>
      </c>
    </row>
    <row r="1826" spans="1:11" ht="42" customHeight="1">
      <c r="A1826" s="2" t="s">
        <v>4179</v>
      </c>
      <c r="B1826" s="2" t="s">
        <v>4180</v>
      </c>
      <c r="C1826" s="2" t="s">
        <v>16</v>
      </c>
      <c r="D1826" s="2" t="s">
        <v>17</v>
      </c>
      <c r="E1826" s="5">
        <v>-31565</v>
      </c>
      <c r="F1826" s="3" t="s">
        <v>306</v>
      </c>
      <c r="G1826" s="3" t="s">
        <v>95</v>
      </c>
      <c r="H1826" s="2" t="s">
        <v>20</v>
      </c>
      <c r="I1826" s="2" t="s">
        <v>4181</v>
      </c>
      <c r="J1826" s="3" t="str">
        <f>HYPERLINK("https://www.boe.es/gazeta/dias/1813/07/29/pdfs/GRE-1813-96.pdf#page=6","Abrir facsímil")</f>
        <v>Abrir facsímil</v>
      </c>
      <c r="K1826" s="3" t="s">
        <v>22</v>
      </c>
    </row>
    <row r="1827" spans="1:11" ht="42" customHeight="1">
      <c r="A1827" s="2" t="s">
        <v>4182</v>
      </c>
      <c r="B1827" s="2" t="s">
        <v>4183</v>
      </c>
      <c r="C1827" s="2" t="s">
        <v>34</v>
      </c>
      <c r="D1827" s="2" t="s">
        <v>35</v>
      </c>
      <c r="E1827" s="5">
        <v>-31709</v>
      </c>
      <c r="F1827" s="3" t="s">
        <v>36</v>
      </c>
      <c r="G1827" s="3" t="s">
        <v>303</v>
      </c>
      <c r="H1827" s="2" t="s">
        <v>20</v>
      </c>
      <c r="I1827" s="2" t="s">
        <v>4184</v>
      </c>
      <c r="J1827" s="3" t="str">
        <f>HYPERLINK("https://www.boe.es/gazeta/dias/1813/03/07/pdfs/GMD-1813-66.pdf#page=3","Abrir facsímil")</f>
        <v>Abrir facsímil</v>
      </c>
      <c r="K1827" s="3" t="s">
        <v>22</v>
      </c>
    </row>
    <row r="1828" spans="1:11" ht="42" customHeight="1">
      <c r="A1828" s="2" t="s">
        <v>4185</v>
      </c>
      <c r="B1828" s="2" t="s">
        <v>4185</v>
      </c>
      <c r="C1828" s="2" t="s">
        <v>16</v>
      </c>
      <c r="D1828" s="2" t="s">
        <v>17</v>
      </c>
      <c r="E1828" s="5">
        <v>-31578</v>
      </c>
      <c r="F1828" s="3" t="s">
        <v>974</v>
      </c>
      <c r="G1828" s="3" t="s">
        <v>313</v>
      </c>
      <c r="H1828" s="2" t="s">
        <v>20</v>
      </c>
      <c r="I1828" s="2" t="s">
        <v>4186</v>
      </c>
      <c r="J1828" s="3" t="str">
        <f>HYPERLINK("https://www.boe.es/gazeta/dias/1813/07/16/pdfs/GMR-1813-18.pdf#page=9","Abrir facsímil")</f>
        <v>Abrir facsímil</v>
      </c>
      <c r="K1828" s="3" t="s">
        <v>22</v>
      </c>
    </row>
    <row r="1829" spans="1:11" ht="42" customHeight="1">
      <c r="A1829" s="2" t="s">
        <v>4185</v>
      </c>
      <c r="B1829" s="2" t="s">
        <v>4185</v>
      </c>
      <c r="C1829" s="2" t="s">
        <v>16</v>
      </c>
      <c r="D1829" s="2" t="s">
        <v>17</v>
      </c>
      <c r="E1829" s="5">
        <v>-31535</v>
      </c>
      <c r="F1829" s="3" t="s">
        <v>894</v>
      </c>
      <c r="G1829" s="3" t="s">
        <v>58</v>
      </c>
      <c r="H1829" s="2" t="s">
        <v>20</v>
      </c>
      <c r="I1829" s="2" t="s">
        <v>4187</v>
      </c>
      <c r="J1829" s="3" t="str">
        <f>HYPERLINK("https://www.boe.es/gazeta/dias/1813/08/28/pdfs/GMR-1813-34.pdf#page=2","Abrir facsímil")</f>
        <v>Abrir facsímil</v>
      </c>
      <c r="K1829" s="3" t="s">
        <v>22</v>
      </c>
    </row>
    <row r="1830" spans="1:11" ht="42" customHeight="1">
      <c r="A1830" s="2" t="s">
        <v>4188</v>
      </c>
      <c r="B1830" s="2" t="s">
        <v>4188</v>
      </c>
      <c r="C1830" s="2" t="s">
        <v>16</v>
      </c>
      <c r="D1830" s="2" t="s">
        <v>97</v>
      </c>
      <c r="E1830" s="5">
        <v>-31446</v>
      </c>
      <c r="F1830" s="3" t="s">
        <v>1877</v>
      </c>
      <c r="G1830" s="3" t="s">
        <v>1948</v>
      </c>
      <c r="H1830" s="2" t="s">
        <v>20</v>
      </c>
      <c r="I1830" s="2" t="s">
        <v>4189</v>
      </c>
      <c r="J1830" s="3" t="str">
        <f>HYPERLINK("https://www.boe.es/gazeta/dias/1813/11/25/pdfs/GRE-1813-155E.pdf#page=7","Abrir facsímil")</f>
        <v>Abrir facsímil</v>
      </c>
      <c r="K1830" s="3" t="s">
        <v>22</v>
      </c>
    </row>
    <row r="1831" spans="1:11" ht="42" customHeight="1">
      <c r="A1831" s="2" t="s">
        <v>4190</v>
      </c>
      <c r="B1831" s="2" t="s">
        <v>4190</v>
      </c>
      <c r="C1831" s="2" t="s">
        <v>16</v>
      </c>
      <c r="D1831" s="2" t="s">
        <v>17</v>
      </c>
      <c r="E1831" s="5">
        <v>-31728</v>
      </c>
      <c r="F1831" s="3" t="s">
        <v>1434</v>
      </c>
      <c r="G1831" s="3" t="s">
        <v>58</v>
      </c>
      <c r="H1831" s="2" t="s">
        <v>20</v>
      </c>
      <c r="I1831" s="2" t="s">
        <v>4191</v>
      </c>
      <c r="J1831" s="3" t="str">
        <f>HYPERLINK("https://www.boe.es/gazeta/dias/1813/02/16/pdfs/GRE-1813-20.pdf#page=2","Abrir facsímil")</f>
        <v>Abrir facsímil</v>
      </c>
      <c r="K1831" s="3" t="s">
        <v>22</v>
      </c>
    </row>
    <row r="1832" spans="1:11" ht="42" customHeight="1">
      <c r="A1832" s="2" t="s">
        <v>4190</v>
      </c>
      <c r="B1832" s="2" t="s">
        <v>4190</v>
      </c>
      <c r="C1832" s="2" t="s">
        <v>16</v>
      </c>
      <c r="D1832" s="2" t="s">
        <v>17</v>
      </c>
      <c r="E1832" s="5">
        <v>-31476</v>
      </c>
      <c r="F1832" s="3" t="s">
        <v>229</v>
      </c>
      <c r="G1832" s="3" t="s">
        <v>19</v>
      </c>
      <c r="H1832" s="2" t="s">
        <v>20</v>
      </c>
      <c r="I1832" s="2" t="s">
        <v>4192</v>
      </c>
      <c r="J1832" s="3" t="str">
        <f>HYPERLINK("https://www.boe.es/gazeta/dias/1813/10/26/pdfs/GRE-1813-140.pdf#page=4","Abrir facsímil")</f>
        <v>Abrir facsímil</v>
      </c>
      <c r="K1832" s="3" t="s">
        <v>22</v>
      </c>
    </row>
    <row r="1833" spans="1:11" ht="42" customHeight="1">
      <c r="A1833" s="2" t="s">
        <v>4190</v>
      </c>
      <c r="B1833" s="2" t="s">
        <v>4190</v>
      </c>
      <c r="C1833" s="2" t="s">
        <v>16</v>
      </c>
      <c r="D1833" s="2" t="s">
        <v>17</v>
      </c>
      <c r="E1833" s="5">
        <v>-31462</v>
      </c>
      <c r="F1833" s="3" t="s">
        <v>542</v>
      </c>
      <c r="G1833" s="3" t="s">
        <v>95</v>
      </c>
      <c r="H1833" s="2" t="s">
        <v>20</v>
      </c>
      <c r="I1833" s="2" t="s">
        <v>4193</v>
      </c>
      <c r="J1833" s="3" t="str">
        <f>HYPERLINK("https://www.boe.es/gazeta/dias/1813/11/09/pdfs/GRE-1813-146.pdf#page=6","Abrir facsímil")</f>
        <v>Abrir facsímil</v>
      </c>
      <c r="K1833" s="3" t="s">
        <v>22</v>
      </c>
    </row>
    <row r="1834" spans="1:11" ht="42" customHeight="1">
      <c r="A1834" s="2" t="s">
        <v>4190</v>
      </c>
      <c r="B1834" s="2" t="s">
        <v>4190</v>
      </c>
      <c r="C1834" s="2" t="s">
        <v>16</v>
      </c>
      <c r="D1834" s="2" t="s">
        <v>17</v>
      </c>
      <c r="E1834" s="5">
        <v>-31441</v>
      </c>
      <c r="F1834" s="3" t="s">
        <v>1933</v>
      </c>
      <c r="G1834" s="3" t="s">
        <v>19</v>
      </c>
      <c r="H1834" s="2" t="s">
        <v>20</v>
      </c>
      <c r="I1834" s="2" t="s">
        <v>4194</v>
      </c>
      <c r="J1834" s="3" t="str">
        <f>HYPERLINK("https://www.boe.es/gazeta/dias/1813/11/30/pdfs/GMR-1813-81.pdf#page=4","Abrir facsímil")</f>
        <v>Abrir facsímil</v>
      </c>
      <c r="K1834" s="3" t="s">
        <v>22</v>
      </c>
    </row>
    <row r="1835" spans="1:11" ht="42" customHeight="1">
      <c r="A1835" s="2" t="s">
        <v>4190</v>
      </c>
      <c r="B1835" s="2" t="s">
        <v>4190</v>
      </c>
      <c r="C1835" s="2" t="s">
        <v>16</v>
      </c>
      <c r="D1835" s="2" t="s">
        <v>17</v>
      </c>
      <c r="E1835" s="5">
        <v>-31427</v>
      </c>
      <c r="F1835" s="3" t="s">
        <v>489</v>
      </c>
      <c r="G1835" s="3" t="s">
        <v>54</v>
      </c>
      <c r="H1835" s="2" t="s">
        <v>20</v>
      </c>
      <c r="I1835" s="2" t="s">
        <v>4195</v>
      </c>
      <c r="J1835" s="3" t="str">
        <f>HYPERLINK("https://www.boe.es/gazeta/dias/1813/12/14/pdfs/GMR-1813-87.pdf#page=3","Abrir facsímil")</f>
        <v>Abrir facsímil</v>
      </c>
      <c r="K1835" s="3" t="s">
        <v>22</v>
      </c>
    </row>
    <row r="1836" spans="1:11" ht="42" customHeight="1">
      <c r="A1836" s="2" t="s">
        <v>4190</v>
      </c>
      <c r="B1836" s="2" t="s">
        <v>4190</v>
      </c>
      <c r="C1836" s="2" t="s">
        <v>16</v>
      </c>
      <c r="D1836" s="2" t="s">
        <v>17</v>
      </c>
      <c r="E1836" s="5">
        <v>-31413</v>
      </c>
      <c r="F1836" s="3" t="s">
        <v>149</v>
      </c>
      <c r="G1836" s="3" t="s">
        <v>54</v>
      </c>
      <c r="H1836" s="2" t="s">
        <v>20</v>
      </c>
      <c r="I1836" s="2" t="s">
        <v>4196</v>
      </c>
      <c r="J1836" s="3" t="str">
        <f>HYPERLINK("https://www.boe.es/gazeta/dias/1813/12/28/pdfs/GMR-1813-93.pdf#page=3","Abrir facsímil")</f>
        <v>Abrir facsímil</v>
      </c>
      <c r="K1836" s="3" t="s">
        <v>22</v>
      </c>
    </row>
    <row r="1837" spans="1:11" ht="42" customHeight="1">
      <c r="A1837" s="2" t="s">
        <v>4197</v>
      </c>
      <c r="B1837" s="2" t="s">
        <v>4197</v>
      </c>
      <c r="C1837" s="2" t="s">
        <v>25</v>
      </c>
      <c r="D1837" s="2" t="s">
        <v>26</v>
      </c>
      <c r="E1837" s="5">
        <v>-31497</v>
      </c>
      <c r="F1837" s="3" t="s">
        <v>1457</v>
      </c>
      <c r="G1837" s="3" t="s">
        <v>4198</v>
      </c>
      <c r="H1837" s="2" t="s">
        <v>20</v>
      </c>
      <c r="I1837" s="2" t="s">
        <v>4199</v>
      </c>
      <c r="J1837" s="3" t="str">
        <f>HYPERLINK("https://www.boe.es/gazeta/dias/1813/10/05/pdfs/GMR-1813-54.pdf#page=5","Abrir facsímil")</f>
        <v>Abrir facsímil</v>
      </c>
      <c r="K1837" s="3" t="s">
        <v>22</v>
      </c>
    </row>
    <row r="1838" spans="1:11" ht="42" customHeight="1">
      <c r="A1838" s="2" t="s">
        <v>4197</v>
      </c>
      <c r="B1838" s="2" t="s">
        <v>4197</v>
      </c>
      <c r="C1838" s="2" t="s">
        <v>16</v>
      </c>
      <c r="D1838" s="2" t="s">
        <v>17</v>
      </c>
      <c r="E1838" s="5">
        <v>-31418</v>
      </c>
      <c r="F1838" s="3" t="s">
        <v>1529</v>
      </c>
      <c r="G1838" s="3" t="s">
        <v>3738</v>
      </c>
      <c r="H1838" s="2" t="s">
        <v>20</v>
      </c>
      <c r="I1838" s="2" t="s">
        <v>4200</v>
      </c>
      <c r="J1838" s="3" t="str">
        <f>HYPERLINK("https://www.boe.es/gazeta/dias/1813/12/23/pdfs/GMR-1813-91.pdf#page=8","Abrir facsímil")</f>
        <v>Abrir facsímil</v>
      </c>
      <c r="K1838" s="3" t="s">
        <v>22</v>
      </c>
    </row>
    <row r="1839" spans="1:11" ht="42" customHeight="1">
      <c r="A1839" s="2" t="s">
        <v>4201</v>
      </c>
      <c r="B1839" s="2" t="s">
        <v>4202</v>
      </c>
      <c r="C1839" s="2" t="s">
        <v>16</v>
      </c>
      <c r="D1839" s="2" t="s">
        <v>17</v>
      </c>
      <c r="E1839" s="5">
        <v>-31738</v>
      </c>
      <c r="F1839" s="3" t="s">
        <v>556</v>
      </c>
      <c r="G1839" s="3" t="s">
        <v>28</v>
      </c>
      <c r="H1839" s="2" t="s">
        <v>20</v>
      </c>
      <c r="I1839" s="2" t="s">
        <v>4203</v>
      </c>
      <c r="J1839" s="3" t="str">
        <f>HYPERLINK("https://www.boe.es/gazeta/dias/1813/02/06/pdfs/GRE-1813-16.pdf#page=8","Abrir facsímil")</f>
        <v>Abrir facsímil</v>
      </c>
      <c r="K1839" s="3" t="s">
        <v>22</v>
      </c>
    </row>
    <row r="1840" spans="1:11" ht="42" customHeight="1">
      <c r="A1840" s="2" t="s">
        <v>4204</v>
      </c>
      <c r="B1840" s="2" t="s">
        <v>4205</v>
      </c>
      <c r="C1840" s="2" t="s">
        <v>25</v>
      </c>
      <c r="D1840" s="2" t="s">
        <v>26</v>
      </c>
      <c r="E1840" s="5">
        <v>-31747</v>
      </c>
      <c r="F1840" s="3" t="s">
        <v>86</v>
      </c>
      <c r="G1840" s="3" t="s">
        <v>28</v>
      </c>
      <c r="H1840" s="2" t="s">
        <v>20</v>
      </c>
      <c r="I1840" s="2" t="s">
        <v>4206</v>
      </c>
      <c r="J1840" s="3" t="str">
        <f>HYPERLINK("https://www.boe.es/gazeta/dias/1813/01/28/pdfs/GRE-1813-12.pdf#page=8","Abrir facsímil")</f>
        <v>Abrir facsímil</v>
      </c>
      <c r="K1840" s="3" t="s">
        <v>22</v>
      </c>
    </row>
    <row r="1841" spans="1:11" ht="42" customHeight="1">
      <c r="A1841" s="2" t="s">
        <v>4207</v>
      </c>
      <c r="B1841" s="2" t="s">
        <v>4208</v>
      </c>
      <c r="C1841" s="2" t="s">
        <v>16</v>
      </c>
      <c r="D1841" s="2" t="s">
        <v>17</v>
      </c>
      <c r="E1841" s="5">
        <v>-31595</v>
      </c>
      <c r="F1841" s="3" t="s">
        <v>70</v>
      </c>
      <c r="G1841" s="3" t="s">
        <v>87</v>
      </c>
      <c r="H1841" s="2" t="s">
        <v>20</v>
      </c>
      <c r="I1841" s="2" t="s">
        <v>4209</v>
      </c>
      <c r="J1841" s="3" t="str">
        <f>HYPERLINK("https://www.boe.es/gazeta/dias/1813/06/29/pdfs/GMR-1813-13.pdf#page=7","Abrir facsímil")</f>
        <v>Abrir facsímil</v>
      </c>
      <c r="K1841" s="3" t="s">
        <v>22</v>
      </c>
    </row>
    <row r="1842" spans="1:11" ht="42" customHeight="1">
      <c r="A1842" s="2" t="s">
        <v>4210</v>
      </c>
      <c r="B1842" s="2" t="s">
        <v>4210</v>
      </c>
      <c r="C1842" s="2" t="s">
        <v>16</v>
      </c>
      <c r="D1842" s="2" t="s">
        <v>17</v>
      </c>
      <c r="E1842" s="5">
        <v>-31516</v>
      </c>
      <c r="F1842" s="3" t="s">
        <v>1685</v>
      </c>
      <c r="G1842" s="3" t="s">
        <v>54</v>
      </c>
      <c r="H1842" s="2" t="s">
        <v>20</v>
      </c>
      <c r="I1842" s="2" t="s">
        <v>4211</v>
      </c>
      <c r="J1842" s="3" t="str">
        <f>HYPERLINK("https://www.boe.es/gazeta/dias/1813/09/16/pdfs/GRE-1813-120.pdf#page=3","Abrir facsímil")</f>
        <v>Abrir facsímil</v>
      </c>
      <c r="K1842" s="3" t="s">
        <v>22</v>
      </c>
    </row>
    <row r="1843" spans="1:11" ht="42" customHeight="1">
      <c r="A1843" s="2" t="s">
        <v>4212</v>
      </c>
      <c r="B1843" s="2" t="s">
        <v>4212</v>
      </c>
      <c r="C1843" s="2" t="s">
        <v>16</v>
      </c>
      <c r="D1843" s="2" t="s">
        <v>17</v>
      </c>
      <c r="E1843" s="5">
        <v>-31516</v>
      </c>
      <c r="F1843" s="3" t="s">
        <v>1685</v>
      </c>
      <c r="G1843" s="3" t="s">
        <v>1686</v>
      </c>
      <c r="H1843" s="2" t="s">
        <v>20</v>
      </c>
      <c r="I1843" s="2" t="s">
        <v>4213</v>
      </c>
      <c r="J1843" s="3" t="str">
        <f>HYPERLINK("https://www.boe.es/gazeta/dias/1813/09/16/pdfs/GRE-1813-120.pdf#page=7","Abrir facsímil")</f>
        <v>Abrir facsímil</v>
      </c>
      <c r="K1843" s="3" t="s">
        <v>22</v>
      </c>
    </row>
    <row r="1844" spans="1:11" ht="42" customHeight="1">
      <c r="A1844" s="2" t="s">
        <v>4212</v>
      </c>
      <c r="B1844" s="2" t="s">
        <v>4212</v>
      </c>
      <c r="C1844" s="2" t="s">
        <v>16</v>
      </c>
      <c r="D1844" s="2" t="s">
        <v>17</v>
      </c>
      <c r="E1844" s="5">
        <v>-31458</v>
      </c>
      <c r="F1844" s="3" t="s">
        <v>1171</v>
      </c>
      <c r="G1844" s="3" t="s">
        <v>54</v>
      </c>
      <c r="H1844" s="2" t="s">
        <v>20</v>
      </c>
      <c r="I1844" s="2" t="s">
        <v>4214</v>
      </c>
      <c r="J1844" s="3" t="str">
        <f>HYPERLINK("https://www.boe.es/gazeta/dias/1813/11/13/pdfs/GRE-1813-149.pdf#page=3","Abrir facsímil")</f>
        <v>Abrir facsímil</v>
      </c>
      <c r="K1844" s="3" t="s">
        <v>22</v>
      </c>
    </row>
    <row r="1845" spans="1:11" ht="42" customHeight="1">
      <c r="A1845" s="2" t="s">
        <v>4212</v>
      </c>
      <c r="B1845" s="2" t="s">
        <v>4212</v>
      </c>
      <c r="C1845" s="2" t="s">
        <v>16</v>
      </c>
      <c r="D1845" s="2" t="s">
        <v>17</v>
      </c>
      <c r="E1845" s="5">
        <v>-31427</v>
      </c>
      <c r="F1845" s="3" t="s">
        <v>489</v>
      </c>
      <c r="G1845" s="3" t="s">
        <v>87</v>
      </c>
      <c r="H1845" s="2" t="s">
        <v>20</v>
      </c>
      <c r="I1845" s="2" t="s">
        <v>4215</v>
      </c>
      <c r="J1845" s="3" t="str">
        <f>HYPERLINK("https://www.boe.es/gazeta/dias/1813/12/14/pdfs/GMR-1813-87.pdf#page=7","Abrir facsímil")</f>
        <v>Abrir facsímil</v>
      </c>
      <c r="K1845" s="3" t="s">
        <v>22</v>
      </c>
    </row>
    <row r="1846" spans="1:11" ht="42" customHeight="1">
      <c r="A1846" s="2" t="s">
        <v>4216</v>
      </c>
      <c r="B1846" s="2" t="s">
        <v>4217</v>
      </c>
      <c r="C1846" s="2" t="s">
        <v>34</v>
      </c>
      <c r="D1846" s="2" t="s">
        <v>35</v>
      </c>
      <c r="E1846" s="5">
        <v>-31759</v>
      </c>
      <c r="F1846" s="3" t="s">
        <v>419</v>
      </c>
      <c r="G1846" s="3" t="s">
        <v>19</v>
      </c>
      <c r="H1846" s="2" t="s">
        <v>20</v>
      </c>
      <c r="I1846" s="2" t="s">
        <v>4218</v>
      </c>
      <c r="J1846" s="3" t="str">
        <f>HYPERLINK("https://www.boe.es/gazeta/dias/1813/01/16/pdfs/GRE-1813-7.pdf#page=4","Abrir facsímil")</f>
        <v>Abrir facsímil</v>
      </c>
      <c r="K1846" s="3" t="s">
        <v>22</v>
      </c>
    </row>
    <row r="1847" spans="1:11" ht="42" customHeight="1">
      <c r="A1847" s="2" t="s">
        <v>4219</v>
      </c>
      <c r="B1847" s="2" t="s">
        <v>4219</v>
      </c>
      <c r="C1847" s="2" t="s">
        <v>16</v>
      </c>
      <c r="D1847" s="2" t="s">
        <v>17</v>
      </c>
      <c r="E1847" s="5">
        <v>-31677</v>
      </c>
      <c r="F1847" s="3" t="s">
        <v>4220</v>
      </c>
      <c r="G1847" s="3" t="s">
        <v>19</v>
      </c>
      <c r="H1847" s="2" t="s">
        <v>20</v>
      </c>
      <c r="I1847" s="2" t="s">
        <v>4221</v>
      </c>
      <c r="J1847" s="3" t="str">
        <f>HYPERLINK("https://www.boe.es/gazeta/dias/1813/04/08/pdfs/GMD-1813-98.pdf#page=4","Abrir facsímil")</f>
        <v>Abrir facsímil</v>
      </c>
      <c r="K1847" s="3" t="s">
        <v>22</v>
      </c>
    </row>
    <row r="1848" spans="1:11" ht="42" customHeight="1">
      <c r="A1848" s="2" t="s">
        <v>4219</v>
      </c>
      <c r="B1848" s="2" t="s">
        <v>4219</v>
      </c>
      <c r="C1848" s="2" t="s">
        <v>16</v>
      </c>
      <c r="D1848" s="2" t="s">
        <v>17</v>
      </c>
      <c r="E1848" s="5">
        <v>-31602</v>
      </c>
      <c r="F1848" s="3" t="s">
        <v>2117</v>
      </c>
      <c r="G1848" s="3" t="s">
        <v>313</v>
      </c>
      <c r="H1848" s="2" t="s">
        <v>20</v>
      </c>
      <c r="I1848" s="2" t="s">
        <v>4222</v>
      </c>
      <c r="J1848" s="3" t="str">
        <f>HYPERLINK("https://www.boe.es/gazeta/dias/1813/06/22/pdfs/GMR-1813-9.pdf#page=9","Abrir facsímil")</f>
        <v>Abrir facsímil</v>
      </c>
      <c r="K1848" s="3" t="s">
        <v>22</v>
      </c>
    </row>
    <row r="1849" spans="1:11" ht="42" customHeight="1">
      <c r="A1849" s="2" t="s">
        <v>4219</v>
      </c>
      <c r="B1849" s="2" t="s">
        <v>4219</v>
      </c>
      <c r="C1849" s="2" t="s">
        <v>16</v>
      </c>
      <c r="D1849" s="2" t="s">
        <v>17</v>
      </c>
      <c r="E1849" s="5">
        <v>-31592</v>
      </c>
      <c r="F1849" s="3" t="s">
        <v>175</v>
      </c>
      <c r="G1849" s="3" t="s">
        <v>471</v>
      </c>
      <c r="H1849" s="2" t="s">
        <v>20</v>
      </c>
      <c r="I1849" s="2" t="s">
        <v>4223</v>
      </c>
      <c r="J1849" s="3" t="str">
        <f>HYPERLINK("https://www.boe.es/gazeta/dias/1813/07/02/pdfs/GRE-1813-82.pdf#page=7","Abrir facsímil")</f>
        <v>Abrir facsímil</v>
      </c>
      <c r="K1849" s="3" t="s">
        <v>22</v>
      </c>
    </row>
    <row r="1850" spans="1:11" ht="42" customHeight="1">
      <c r="A1850" s="2" t="s">
        <v>4219</v>
      </c>
      <c r="B1850" s="2" t="s">
        <v>4219</v>
      </c>
      <c r="C1850" s="2" t="s">
        <v>16</v>
      </c>
      <c r="D1850" s="2" t="s">
        <v>17</v>
      </c>
      <c r="E1850" s="5">
        <v>-31585</v>
      </c>
      <c r="F1850" s="3" t="s">
        <v>177</v>
      </c>
      <c r="G1850" s="3" t="s">
        <v>258</v>
      </c>
      <c r="H1850" s="2" t="s">
        <v>20</v>
      </c>
      <c r="I1850" s="2" t="s">
        <v>4224</v>
      </c>
      <c r="J1850" s="3" t="str">
        <f>HYPERLINK("https://www.boe.es/gazeta/dias/1813/07/09/pdfs/GMR-1813-16.pdf#page=12","Abrir facsímil")</f>
        <v>Abrir facsímil</v>
      </c>
      <c r="K1850" s="3" t="s">
        <v>22</v>
      </c>
    </row>
    <row r="1851" spans="1:11" ht="42" customHeight="1">
      <c r="A1851" s="2" t="s">
        <v>4219</v>
      </c>
      <c r="B1851" s="2" t="s">
        <v>4219</v>
      </c>
      <c r="C1851" s="2" t="s">
        <v>16</v>
      </c>
      <c r="D1851" s="2" t="s">
        <v>17</v>
      </c>
      <c r="E1851" s="5">
        <v>-31564</v>
      </c>
      <c r="F1851" s="3" t="s">
        <v>206</v>
      </c>
      <c r="G1851" s="3" t="s">
        <v>28</v>
      </c>
      <c r="H1851" s="2" t="s">
        <v>20</v>
      </c>
      <c r="I1851" s="2" t="s">
        <v>4225</v>
      </c>
      <c r="J1851" s="3" t="str">
        <f>HYPERLINK("https://www.boe.es/gazeta/dias/1813/07/30/pdfs/GMR-1813-22.pdf#page=8","Abrir facsímil")</f>
        <v>Abrir facsímil</v>
      </c>
      <c r="K1851" s="3" t="s">
        <v>22</v>
      </c>
    </row>
    <row r="1852" spans="1:11" ht="42" customHeight="1">
      <c r="A1852" s="2" t="s">
        <v>4219</v>
      </c>
      <c r="B1852" s="2" t="s">
        <v>4219</v>
      </c>
      <c r="C1852" s="2" t="s">
        <v>16</v>
      </c>
      <c r="D1852" s="2" t="s">
        <v>17</v>
      </c>
      <c r="E1852" s="5">
        <v>-31516</v>
      </c>
      <c r="F1852" s="3" t="s">
        <v>246</v>
      </c>
      <c r="G1852" s="3" t="s">
        <v>82</v>
      </c>
      <c r="H1852" s="2" t="s">
        <v>20</v>
      </c>
      <c r="I1852" s="2" t="s">
        <v>4226</v>
      </c>
      <c r="J1852" s="3" t="str">
        <f>HYPERLINK("https://www.boe.es/gazeta/dias/1813/09/16/pdfs/GMR-1813-43.pdf#page=5","Abrir facsímil")</f>
        <v>Abrir facsímil</v>
      </c>
      <c r="K1852" s="3" t="s">
        <v>22</v>
      </c>
    </row>
    <row r="1853" spans="1:11" ht="42" customHeight="1">
      <c r="A1853" s="2" t="s">
        <v>4219</v>
      </c>
      <c r="B1853" s="2" t="s">
        <v>4219</v>
      </c>
      <c r="C1853" s="2" t="s">
        <v>16</v>
      </c>
      <c r="D1853" s="2" t="s">
        <v>17</v>
      </c>
      <c r="E1853" s="5">
        <v>-31516</v>
      </c>
      <c r="F1853" s="3" t="s">
        <v>246</v>
      </c>
      <c r="G1853" s="3" t="s">
        <v>95</v>
      </c>
      <c r="H1853" s="2" t="s">
        <v>20</v>
      </c>
      <c r="I1853" s="2" t="s">
        <v>4227</v>
      </c>
      <c r="J1853" s="3" t="str">
        <f>HYPERLINK("https://www.boe.es/gazeta/dias/1813/09/16/pdfs/GMR-1813-43.pdf#page=6","Abrir facsímil")</f>
        <v>Abrir facsímil</v>
      </c>
      <c r="K1853" s="3" t="s">
        <v>22</v>
      </c>
    </row>
    <row r="1854" spans="1:11" ht="42" customHeight="1">
      <c r="A1854" s="2" t="s">
        <v>4219</v>
      </c>
      <c r="B1854" s="2" t="s">
        <v>4219</v>
      </c>
      <c r="C1854" s="2" t="s">
        <v>16</v>
      </c>
      <c r="D1854" s="2" t="s">
        <v>17</v>
      </c>
      <c r="E1854" s="5">
        <v>-31474</v>
      </c>
      <c r="F1854" s="3" t="s">
        <v>1082</v>
      </c>
      <c r="G1854" s="3" t="s">
        <v>19</v>
      </c>
      <c r="H1854" s="2" t="s">
        <v>20</v>
      </c>
      <c r="I1854" s="2" t="s">
        <v>4228</v>
      </c>
      <c r="J1854" s="3" t="str">
        <f>HYPERLINK("https://www.boe.es/gazeta/dias/1813/10/28/pdfs/GMR-1813-65.pdf#page=4","Abrir facsímil")</f>
        <v>Abrir facsímil</v>
      </c>
      <c r="K1854" s="3" t="s">
        <v>22</v>
      </c>
    </row>
    <row r="1855" spans="1:11" ht="42" customHeight="1">
      <c r="A1855" s="2" t="s">
        <v>4229</v>
      </c>
      <c r="B1855" s="2" t="s">
        <v>4230</v>
      </c>
      <c r="C1855" s="2" t="s">
        <v>16</v>
      </c>
      <c r="D1855" s="2" t="s">
        <v>17</v>
      </c>
      <c r="E1855" s="5">
        <v>-31523</v>
      </c>
      <c r="F1855" s="3" t="s">
        <v>2140</v>
      </c>
      <c r="G1855" s="3" t="s">
        <v>19</v>
      </c>
      <c r="H1855" s="2" t="s">
        <v>20</v>
      </c>
      <c r="I1855" s="2" t="s">
        <v>4231</v>
      </c>
      <c r="J1855" s="3" t="str">
        <f>HYPERLINK("https://www.boe.es/gazeta/dias/1813/09/09/pdfs/GMR-1813-40.pdf#page=4","Abrir facsímil")</f>
        <v>Abrir facsímil</v>
      </c>
      <c r="K1855" s="3" t="s">
        <v>22</v>
      </c>
    </row>
    <row r="1856" spans="1:11" ht="42" customHeight="1">
      <c r="A1856" s="2" t="s">
        <v>4232</v>
      </c>
      <c r="B1856" s="2" t="s">
        <v>4232</v>
      </c>
      <c r="C1856" s="2" t="s">
        <v>16</v>
      </c>
      <c r="D1856" s="2" t="s">
        <v>17</v>
      </c>
      <c r="E1856" s="5">
        <v>-31544</v>
      </c>
      <c r="F1856" s="3" t="s">
        <v>200</v>
      </c>
      <c r="G1856" s="3" t="s">
        <v>58</v>
      </c>
      <c r="H1856" s="2" t="s">
        <v>20</v>
      </c>
      <c r="I1856" s="2" t="s">
        <v>4233</v>
      </c>
      <c r="J1856" s="3" t="str">
        <f>HYPERLINK("https://www.boe.es/gazeta/dias/1813/08/19/pdfs/GRE-1813-106.pdf#page=2","Abrir facsímil")</f>
        <v>Abrir facsímil</v>
      </c>
      <c r="K1856" s="3" t="s">
        <v>22</v>
      </c>
    </row>
    <row r="1857" spans="1:11" ht="42" customHeight="1">
      <c r="A1857" s="2" t="s">
        <v>4234</v>
      </c>
      <c r="B1857" s="2" t="s">
        <v>4234</v>
      </c>
      <c r="C1857" s="2" t="s">
        <v>16</v>
      </c>
      <c r="D1857" s="2" t="s">
        <v>17</v>
      </c>
      <c r="E1857" s="5">
        <v>-31544</v>
      </c>
      <c r="F1857" s="3" t="s">
        <v>200</v>
      </c>
      <c r="G1857" s="3" t="s">
        <v>58</v>
      </c>
      <c r="H1857" s="2" t="s">
        <v>20</v>
      </c>
      <c r="I1857" s="2" t="s">
        <v>4235</v>
      </c>
      <c r="J1857" s="3" t="str">
        <f>HYPERLINK("https://www.boe.es/gazeta/dias/1813/08/19/pdfs/GRE-1813-106.pdf#page=2","Abrir facsímil")</f>
        <v>Abrir facsímil</v>
      </c>
      <c r="K1857" s="3" t="s">
        <v>22</v>
      </c>
    </row>
    <row r="1858" spans="1:11" ht="42" customHeight="1">
      <c r="A1858" s="2" t="s">
        <v>4236</v>
      </c>
      <c r="B1858" s="2" t="s">
        <v>4236</v>
      </c>
      <c r="C1858" s="2" t="s">
        <v>16</v>
      </c>
      <c r="D1858" s="2" t="s">
        <v>17</v>
      </c>
      <c r="E1858" s="5">
        <v>-31544</v>
      </c>
      <c r="F1858" s="3" t="s">
        <v>200</v>
      </c>
      <c r="G1858" s="3" t="s">
        <v>54</v>
      </c>
      <c r="H1858" s="2" t="s">
        <v>20</v>
      </c>
      <c r="I1858" s="2" t="s">
        <v>4237</v>
      </c>
      <c r="J1858" s="3" t="str">
        <f>HYPERLINK("https://www.boe.es/gazeta/dias/1813/08/19/pdfs/GRE-1813-106.pdf#page=3","Abrir facsímil")</f>
        <v>Abrir facsímil</v>
      </c>
      <c r="K1858" s="3" t="s">
        <v>22</v>
      </c>
    </row>
    <row r="1859" spans="1:11" ht="42" customHeight="1">
      <c r="A1859" s="2" t="s">
        <v>4238</v>
      </c>
      <c r="B1859" s="2" t="s">
        <v>4239</v>
      </c>
      <c r="C1859" s="2" t="s">
        <v>16</v>
      </c>
      <c r="D1859" s="2" t="s">
        <v>17</v>
      </c>
      <c r="E1859" s="5">
        <v>-31649</v>
      </c>
      <c r="F1859" s="3" t="s">
        <v>1057</v>
      </c>
      <c r="G1859" s="3" t="s">
        <v>1058</v>
      </c>
      <c r="H1859" s="2" t="s">
        <v>20</v>
      </c>
      <c r="I1859" s="2" t="s">
        <v>4240</v>
      </c>
      <c r="J1859" s="3" t="str">
        <f>HYPERLINK("https://www.boe.es/gazeta/dias/1813/05/06/pdfs/GRE-1813-56.pdf#page=8","Abrir facsímil")</f>
        <v>Abrir facsímil</v>
      </c>
      <c r="K1859" s="3" t="s">
        <v>22</v>
      </c>
    </row>
    <row r="1860" spans="1:11" ht="42" customHeight="1">
      <c r="A1860" s="2" t="s">
        <v>4238</v>
      </c>
      <c r="B1860" s="2" t="s">
        <v>4239</v>
      </c>
      <c r="C1860" s="2" t="s">
        <v>16</v>
      </c>
      <c r="D1860" s="2" t="s">
        <v>17</v>
      </c>
      <c r="E1860" s="5">
        <v>-31618</v>
      </c>
      <c r="F1860" s="3" t="s">
        <v>1057</v>
      </c>
      <c r="G1860" s="3" t="s">
        <v>1058</v>
      </c>
      <c r="H1860" s="2" t="s">
        <v>20</v>
      </c>
      <c r="I1860" s="2" t="s">
        <v>4240</v>
      </c>
      <c r="J1860" s="3" t="str">
        <f>HYPERLINK("https://www.boe.es/gazeta/dias/1813/06/06/pdfs/GRE-1813-56.pdf#page=8","Abrir facsímil")</f>
        <v>Abrir facsímil</v>
      </c>
      <c r="K1860" s="3" t="s">
        <v>22</v>
      </c>
    </row>
    <row r="1861" spans="1:11" ht="42" customHeight="1">
      <c r="A1861" s="2" t="s">
        <v>4241</v>
      </c>
      <c r="B1861" s="2" t="s">
        <v>4242</v>
      </c>
      <c r="C1861" s="2" t="s">
        <v>187</v>
      </c>
      <c r="D1861" s="2" t="s">
        <v>26</v>
      </c>
      <c r="E1861" s="5">
        <v>-31437</v>
      </c>
      <c r="F1861" s="3" t="s">
        <v>680</v>
      </c>
      <c r="G1861" s="3" t="s">
        <v>28</v>
      </c>
      <c r="H1861" s="2" t="s">
        <v>29</v>
      </c>
      <c r="I1861" s="2" t="s">
        <v>4243</v>
      </c>
      <c r="J1861" s="3" t="str">
        <f>HYPERLINK("https://www.boe.es/gazeta/dias/1813/12/04/pdfs/GMR-1813-83.pdf#page=8","Abrir facsímil")</f>
        <v>Abrir facsímil</v>
      </c>
      <c r="K1861" s="3" t="s">
        <v>31</v>
      </c>
    </row>
    <row r="1862" spans="1:11" ht="42" customHeight="1">
      <c r="A1862" s="2" t="s">
        <v>4244</v>
      </c>
      <c r="B1862" s="2" t="s">
        <v>4245</v>
      </c>
      <c r="C1862" s="2" t="s">
        <v>25</v>
      </c>
      <c r="D1862" s="2" t="s">
        <v>26</v>
      </c>
      <c r="E1862" s="5">
        <v>-31469</v>
      </c>
      <c r="F1862" s="3" t="s">
        <v>1311</v>
      </c>
      <c r="G1862" s="3" t="s">
        <v>82</v>
      </c>
      <c r="H1862" s="2" t="s">
        <v>20</v>
      </c>
      <c r="I1862" s="2" t="s">
        <v>4246</v>
      </c>
      <c r="J1862" s="3" t="str">
        <f>HYPERLINK("https://www.boe.es/gazeta/dias/1813/11/02/pdfs/GMR-1813-67.pdf#page=5","Abrir facsímil")</f>
        <v>Abrir facsímil</v>
      </c>
      <c r="K1862" s="3" t="s">
        <v>22</v>
      </c>
    </row>
    <row r="1863" spans="1:11" ht="42" customHeight="1">
      <c r="A1863" s="2" t="s">
        <v>4247</v>
      </c>
      <c r="B1863" s="2" t="s">
        <v>4247</v>
      </c>
      <c r="C1863" s="2" t="s">
        <v>69</v>
      </c>
      <c r="D1863" s="2" t="s">
        <v>26</v>
      </c>
      <c r="E1863" s="5">
        <v>-31694</v>
      </c>
      <c r="F1863" s="3" t="s">
        <v>2756</v>
      </c>
      <c r="G1863" s="3" t="s">
        <v>54</v>
      </c>
      <c r="H1863" s="2" t="s">
        <v>20</v>
      </c>
      <c r="I1863" s="2" t="s">
        <v>4248</v>
      </c>
      <c r="J1863" s="3" t="str">
        <f>HYPERLINK("https://www.boe.es/gazeta/dias/1813/03/22/pdfs/GMD-1813-81.pdf#page=3","Abrir facsímil")</f>
        <v>Abrir facsímil</v>
      </c>
      <c r="K1863" s="3" t="s">
        <v>22</v>
      </c>
    </row>
    <row r="1864" spans="1:11" ht="42" customHeight="1">
      <c r="A1864" s="2" t="s">
        <v>4249</v>
      </c>
      <c r="B1864" s="2" t="s">
        <v>4250</v>
      </c>
      <c r="C1864" s="2" t="s">
        <v>34</v>
      </c>
      <c r="D1864" s="2" t="s">
        <v>35</v>
      </c>
      <c r="E1864" s="5">
        <v>-31564</v>
      </c>
      <c r="F1864" s="3" t="s">
        <v>206</v>
      </c>
      <c r="G1864" s="3" t="s">
        <v>207</v>
      </c>
      <c r="H1864" s="2" t="s">
        <v>20</v>
      </c>
      <c r="I1864" s="2" t="s">
        <v>4251</v>
      </c>
      <c r="J1864" s="3" t="str">
        <f>HYPERLINK("https://www.boe.es/gazeta/dias/1813/07/30/pdfs/GMR-1813-22.pdf#page=10","Abrir facsímil")</f>
        <v>Abrir facsímil</v>
      </c>
      <c r="K1864" s="3" t="s">
        <v>22</v>
      </c>
    </row>
    <row r="1865" spans="1:11" ht="42" customHeight="1">
      <c r="A1865" s="2" t="s">
        <v>4252</v>
      </c>
      <c r="B1865" s="2" t="s">
        <v>4253</v>
      </c>
      <c r="C1865" s="2" t="s">
        <v>16</v>
      </c>
      <c r="D1865" s="2" t="s">
        <v>17</v>
      </c>
      <c r="E1865" s="5">
        <v>-31754</v>
      </c>
      <c r="F1865" s="3" t="s">
        <v>899</v>
      </c>
      <c r="G1865" s="3" t="s">
        <v>900</v>
      </c>
      <c r="H1865" s="2" t="s">
        <v>20</v>
      </c>
      <c r="I1865" s="2" t="s">
        <v>4254</v>
      </c>
      <c r="J1865" s="3" t="str">
        <f>HYPERLINK("https://www.boe.es/gazeta/dias/1813/01/21/pdfs/GRE-1813-9.pdf#page=8","Abrir facsímil")</f>
        <v>Abrir facsímil</v>
      </c>
      <c r="K1865" s="3" t="s">
        <v>22</v>
      </c>
    </row>
    <row r="1866" spans="1:11" ht="42" customHeight="1">
      <c r="A1866" s="2" t="s">
        <v>4255</v>
      </c>
      <c r="B1866" s="2" t="s">
        <v>4256</v>
      </c>
      <c r="C1866" s="2" t="s">
        <v>16</v>
      </c>
      <c r="D1866" s="2" t="s">
        <v>17</v>
      </c>
      <c r="E1866" s="5">
        <v>-31630</v>
      </c>
      <c r="F1866" s="3" t="s">
        <v>1324</v>
      </c>
      <c r="G1866" s="3" t="s">
        <v>3731</v>
      </c>
      <c r="H1866" s="2" t="s">
        <v>20</v>
      </c>
      <c r="I1866" s="2" t="s">
        <v>4257</v>
      </c>
      <c r="J1866" s="3" t="str">
        <f>HYPERLINK("https://www.boe.es/gazeta/dias/1813/05/25/pdfs/GRE-1813-64.pdf#page=7","Abrir facsímil")</f>
        <v>Abrir facsímil</v>
      </c>
      <c r="K1866" s="3" t="s">
        <v>22</v>
      </c>
    </row>
    <row r="1867" spans="1:11" ht="42" customHeight="1">
      <c r="A1867" s="2" t="s">
        <v>4258</v>
      </c>
      <c r="B1867" s="2" t="s">
        <v>4258</v>
      </c>
      <c r="C1867" s="2" t="s">
        <v>16</v>
      </c>
      <c r="D1867" s="2" t="s">
        <v>17</v>
      </c>
      <c r="E1867" s="5">
        <v>-31738</v>
      </c>
      <c r="F1867" s="3" t="s">
        <v>556</v>
      </c>
      <c r="G1867" s="3" t="s">
        <v>3260</v>
      </c>
      <c r="H1867" s="2" t="s">
        <v>20</v>
      </c>
      <c r="I1867" s="2" t="s">
        <v>4259</v>
      </c>
      <c r="J1867" s="3" t="str">
        <f>HYPERLINK("https://www.boe.es/gazeta/dias/1813/02/06/pdfs/GRE-1813-16.pdf#page=7","Abrir facsímil")</f>
        <v>Abrir facsímil</v>
      </c>
      <c r="K1867" s="3" t="s">
        <v>22</v>
      </c>
    </row>
    <row r="1868" spans="1:11" ht="42" customHeight="1">
      <c r="A1868" s="2" t="s">
        <v>4258</v>
      </c>
      <c r="B1868" s="2" t="s">
        <v>4258</v>
      </c>
      <c r="C1868" s="2" t="s">
        <v>25</v>
      </c>
      <c r="D1868" s="2" t="s">
        <v>26</v>
      </c>
      <c r="E1868" s="5">
        <v>-31532</v>
      </c>
      <c r="F1868" s="3" t="s">
        <v>215</v>
      </c>
      <c r="G1868" s="3" t="s">
        <v>95</v>
      </c>
      <c r="H1868" s="2" t="s">
        <v>20</v>
      </c>
      <c r="I1868" s="2" t="s">
        <v>4260</v>
      </c>
      <c r="J1868" s="3" t="str">
        <f>HYPERLINK("https://www.boe.es/gazeta/dias/1813/08/31/pdfs/GRE-1813-111.pdf#page=6","Abrir facsímil")</f>
        <v>Abrir facsímil</v>
      </c>
      <c r="K1868" s="3" t="s">
        <v>22</v>
      </c>
    </row>
    <row r="1869" spans="1:11" ht="42" customHeight="1">
      <c r="A1869" s="2" t="s">
        <v>4261</v>
      </c>
      <c r="B1869" s="2" t="s">
        <v>4262</v>
      </c>
      <c r="C1869" s="2" t="s">
        <v>34</v>
      </c>
      <c r="D1869" s="2" t="s">
        <v>35</v>
      </c>
      <c r="E1869" s="5">
        <v>-31709</v>
      </c>
      <c r="F1869" s="3" t="s">
        <v>36</v>
      </c>
      <c r="G1869" s="3" t="s">
        <v>303</v>
      </c>
      <c r="H1869" s="2" t="s">
        <v>20</v>
      </c>
      <c r="I1869" s="2" t="s">
        <v>4263</v>
      </c>
      <c r="J1869" s="3" t="str">
        <f>HYPERLINK("https://www.boe.es/gazeta/dias/1813/03/07/pdfs/GMD-1813-66.pdf#page=3","Abrir facsímil")</f>
        <v>Abrir facsímil</v>
      </c>
      <c r="K1869" s="3" t="s">
        <v>22</v>
      </c>
    </row>
    <row r="1870" spans="1:11" ht="42" customHeight="1">
      <c r="A1870" s="2" t="s">
        <v>4264</v>
      </c>
      <c r="B1870" s="2" t="s">
        <v>4265</v>
      </c>
      <c r="C1870" s="2" t="s">
        <v>25</v>
      </c>
      <c r="D1870" s="2" t="s">
        <v>26</v>
      </c>
      <c r="E1870" s="5">
        <v>-31677</v>
      </c>
      <c r="F1870" s="3" t="s">
        <v>76</v>
      </c>
      <c r="G1870" s="3" t="s">
        <v>28</v>
      </c>
      <c r="H1870" s="2" t="s">
        <v>20</v>
      </c>
      <c r="I1870" s="2" t="s">
        <v>4266</v>
      </c>
      <c r="J1870" s="3" t="str">
        <f>HYPERLINK("https://www.boe.es/gazeta/dias/1813/04/08/pdfs/GRE-1813-43.pdf#page=8","Abrir facsímil")</f>
        <v>Abrir facsímil</v>
      </c>
      <c r="K1870" s="3" t="s">
        <v>22</v>
      </c>
    </row>
    <row r="1871" spans="1:11" ht="42" customHeight="1">
      <c r="A1871" s="2" t="s">
        <v>4264</v>
      </c>
      <c r="B1871" s="2" t="s">
        <v>4265</v>
      </c>
      <c r="C1871" s="2" t="s">
        <v>69</v>
      </c>
      <c r="D1871" s="2" t="s">
        <v>26</v>
      </c>
      <c r="E1871" s="5">
        <v>-31539</v>
      </c>
      <c r="F1871" s="3" t="s">
        <v>1220</v>
      </c>
      <c r="G1871" s="3" t="s">
        <v>87</v>
      </c>
      <c r="H1871" s="2" t="s">
        <v>20</v>
      </c>
      <c r="I1871" s="2" t="s">
        <v>4267</v>
      </c>
      <c r="J1871" s="3" t="str">
        <f>HYPERLINK("https://www.boe.es/gazeta/dias/1813/08/24/pdfs/GRE-1813-108.pdf#page=7","Abrir facsímil")</f>
        <v>Abrir facsímil</v>
      </c>
      <c r="K1871" s="3" t="s">
        <v>22</v>
      </c>
    </row>
    <row r="1872" spans="1:11" ht="42" customHeight="1">
      <c r="A1872" s="2" t="s">
        <v>4268</v>
      </c>
      <c r="B1872" s="2" t="s">
        <v>4269</v>
      </c>
      <c r="C1872" s="2" t="s">
        <v>16</v>
      </c>
      <c r="D1872" s="2" t="s">
        <v>17</v>
      </c>
      <c r="E1872" s="5">
        <v>-31738</v>
      </c>
      <c r="F1872" s="3" t="s">
        <v>556</v>
      </c>
      <c r="G1872" s="3" t="s">
        <v>3260</v>
      </c>
      <c r="H1872" s="2" t="s">
        <v>20</v>
      </c>
      <c r="I1872" s="2" t="s">
        <v>4270</v>
      </c>
      <c r="J1872" s="3" t="str">
        <f>HYPERLINK("https://www.boe.es/gazeta/dias/1813/02/06/pdfs/GRE-1813-16.pdf#page=7","Abrir facsímil")</f>
        <v>Abrir facsímil</v>
      </c>
      <c r="K1872" s="3" t="s">
        <v>22</v>
      </c>
    </row>
    <row r="1873" spans="1:11" ht="42" customHeight="1">
      <c r="A1873" s="2" t="s">
        <v>4271</v>
      </c>
      <c r="B1873" s="2" t="s">
        <v>4272</v>
      </c>
      <c r="C1873" s="2" t="s">
        <v>25</v>
      </c>
      <c r="D1873" s="2" t="s">
        <v>26</v>
      </c>
      <c r="E1873" s="5">
        <v>-31752</v>
      </c>
      <c r="F1873" s="3" t="s">
        <v>182</v>
      </c>
      <c r="G1873" s="3" t="s">
        <v>183</v>
      </c>
      <c r="H1873" s="2" t="s">
        <v>20</v>
      </c>
      <c r="I1873" s="2" t="s">
        <v>4273</v>
      </c>
      <c r="J1873" s="3" t="str">
        <f>HYPERLINK("https://www.boe.es/gazeta/dias/1813/01/23/pdfs/GRE-1813-10.pdf#page=8","Abrir facsímil")</f>
        <v>Abrir facsímil</v>
      </c>
      <c r="K1873" s="3" t="s">
        <v>22</v>
      </c>
    </row>
    <row r="1874" spans="1:11" ht="42" customHeight="1">
      <c r="A1874" s="2" t="s">
        <v>4274</v>
      </c>
      <c r="B1874" s="2" t="s">
        <v>4275</v>
      </c>
      <c r="C1874" s="2" t="s">
        <v>25</v>
      </c>
      <c r="D1874" s="2" t="s">
        <v>26</v>
      </c>
      <c r="E1874" s="5">
        <v>-31481</v>
      </c>
      <c r="F1874" s="3" t="s">
        <v>40</v>
      </c>
      <c r="G1874" s="3" t="s">
        <v>4276</v>
      </c>
      <c r="H1874" s="2" t="s">
        <v>20</v>
      </c>
      <c r="I1874" s="2" t="s">
        <v>4277</v>
      </c>
      <c r="J1874" s="3" t="str">
        <f>HYPERLINK("https://www.boe.es/gazeta/dias/1813/10/21/pdfs/GMR-1813-62.pdf#page=5","Abrir facsímil")</f>
        <v>Abrir facsímil</v>
      </c>
      <c r="K1874" s="3" t="s">
        <v>22</v>
      </c>
    </row>
    <row r="1875" spans="1:11" ht="42" customHeight="1">
      <c r="A1875" s="2" t="s">
        <v>4274</v>
      </c>
      <c r="B1875" s="2" t="s">
        <v>4275</v>
      </c>
      <c r="C1875" s="2" t="s">
        <v>16</v>
      </c>
      <c r="D1875" s="2" t="s">
        <v>17</v>
      </c>
      <c r="E1875" s="5">
        <v>-31474</v>
      </c>
      <c r="F1875" s="3" t="s">
        <v>130</v>
      </c>
      <c r="G1875" s="3" t="s">
        <v>28</v>
      </c>
      <c r="H1875" s="2" t="s">
        <v>20</v>
      </c>
      <c r="I1875" s="2" t="s">
        <v>4278</v>
      </c>
      <c r="J1875" s="3" t="str">
        <f>HYPERLINK("https://www.boe.es/gazeta/dias/1813/10/28/pdfs/GRE-1813-141.pdf#page=8","Abrir facsímil")</f>
        <v>Abrir facsímil</v>
      </c>
      <c r="K1875" s="3" t="s">
        <v>22</v>
      </c>
    </row>
    <row r="1876" spans="1:11" ht="42" customHeight="1">
      <c r="A1876" s="2" t="s">
        <v>4279</v>
      </c>
      <c r="B1876" s="2" t="s">
        <v>4280</v>
      </c>
      <c r="C1876" s="2" t="s">
        <v>187</v>
      </c>
      <c r="D1876" s="2" t="s">
        <v>26</v>
      </c>
      <c r="E1876" s="5">
        <v>-31752</v>
      </c>
      <c r="F1876" s="3" t="s">
        <v>182</v>
      </c>
      <c r="G1876" s="3" t="s">
        <v>183</v>
      </c>
      <c r="H1876" s="2" t="s">
        <v>20</v>
      </c>
      <c r="I1876" s="2" t="s">
        <v>4281</v>
      </c>
      <c r="J1876" s="3" t="str">
        <f>HYPERLINK("https://www.boe.es/gazeta/dias/1813/01/23/pdfs/GRE-1813-10.pdf#page=8","Abrir facsímil")</f>
        <v>Abrir facsímil</v>
      </c>
      <c r="K1876" s="3" t="s">
        <v>22</v>
      </c>
    </row>
    <row r="1877" spans="1:11" ht="42" customHeight="1">
      <c r="A1877" s="2" t="s">
        <v>4282</v>
      </c>
      <c r="B1877" s="2" t="s">
        <v>4283</v>
      </c>
      <c r="C1877" s="2" t="s">
        <v>435</v>
      </c>
      <c r="D1877" s="2" t="s">
        <v>26</v>
      </c>
      <c r="E1877" s="5">
        <v>-31560</v>
      </c>
      <c r="F1877" s="3" t="s">
        <v>590</v>
      </c>
      <c r="G1877" s="3" t="s">
        <v>87</v>
      </c>
      <c r="H1877" s="2" t="s">
        <v>29</v>
      </c>
      <c r="I1877" s="2" t="s">
        <v>4284</v>
      </c>
      <c r="J1877" s="3" t="str">
        <f>HYPERLINK("https://www.boe.es/gazeta/dias/1813/08/03/pdfs/GRE-1813-98.pdf#page=7","Abrir facsímil")</f>
        <v>Abrir facsímil</v>
      </c>
      <c r="K1877" s="3" t="s">
        <v>31</v>
      </c>
    </row>
    <row r="1878" spans="1:11" ht="42" customHeight="1">
      <c r="A1878" s="2" t="s">
        <v>4285</v>
      </c>
      <c r="B1878" s="2" t="s">
        <v>4286</v>
      </c>
      <c r="C1878" s="2" t="s">
        <v>16</v>
      </c>
      <c r="D1878" s="2" t="s">
        <v>17</v>
      </c>
      <c r="E1878" s="5">
        <v>-31425</v>
      </c>
      <c r="F1878" s="3" t="s">
        <v>1955</v>
      </c>
      <c r="G1878" s="3" t="s">
        <v>28</v>
      </c>
      <c r="H1878" s="2" t="s">
        <v>20</v>
      </c>
      <c r="I1878" s="2" t="s">
        <v>4287</v>
      </c>
      <c r="J1878" s="3" t="str">
        <f>HYPERLINK("https://www.boe.es/gazeta/dias/1813/12/16/pdfs/GMR-1813-88.pdf#page=8","Abrir facsímil")</f>
        <v>Abrir facsímil</v>
      </c>
      <c r="K1878" s="3" t="s">
        <v>22</v>
      </c>
    </row>
    <row r="1879" spans="1:11" ht="42" customHeight="1">
      <c r="A1879" s="2" t="s">
        <v>4285</v>
      </c>
      <c r="B1879" s="2" t="s">
        <v>4286</v>
      </c>
      <c r="C1879" s="2" t="s">
        <v>16</v>
      </c>
      <c r="D1879" s="2" t="s">
        <v>17</v>
      </c>
      <c r="E1879" s="5">
        <v>-31418</v>
      </c>
      <c r="F1879" s="3" t="s">
        <v>147</v>
      </c>
      <c r="G1879" s="3" t="s">
        <v>82</v>
      </c>
      <c r="H1879" s="2" t="s">
        <v>20</v>
      </c>
      <c r="I1879" s="2" t="s">
        <v>4288</v>
      </c>
      <c r="J1879" s="3" t="str">
        <f>HYPERLINK("https://www.boe.es/gazeta/dias/1813/12/23/pdfs/GRE-1813-168.pdf#page=5","Abrir facsímil")</f>
        <v>Abrir facsímil</v>
      </c>
      <c r="K1879" s="3" t="s">
        <v>22</v>
      </c>
    </row>
    <row r="1880" spans="1:11" ht="42" customHeight="1">
      <c r="A1880" s="2" t="s">
        <v>4289</v>
      </c>
      <c r="B1880" s="2" t="s">
        <v>4290</v>
      </c>
      <c r="C1880" s="2" t="s">
        <v>16</v>
      </c>
      <c r="D1880" s="2" t="s">
        <v>17</v>
      </c>
      <c r="E1880" s="5">
        <v>-31684</v>
      </c>
      <c r="F1880" s="3" t="s">
        <v>427</v>
      </c>
      <c r="G1880" s="3" t="s">
        <v>1123</v>
      </c>
      <c r="H1880" s="2" t="s">
        <v>20</v>
      </c>
      <c r="I1880" s="2" t="s">
        <v>4291</v>
      </c>
      <c r="J1880" s="3" t="str">
        <f>HYPERLINK("https://www.boe.es/gazeta/dias/1813/04/01/pdfs/GRE-1813-40.pdf#page=8","Abrir facsímil")</f>
        <v>Abrir facsímil</v>
      </c>
      <c r="K1880" s="3" t="s">
        <v>22</v>
      </c>
    </row>
    <row r="1881" spans="1:11" ht="42" customHeight="1">
      <c r="A1881" s="2" t="s">
        <v>4292</v>
      </c>
      <c r="B1881" s="2" t="s">
        <v>4293</v>
      </c>
      <c r="C1881" s="2" t="s">
        <v>16</v>
      </c>
      <c r="D1881" s="2" t="s">
        <v>17</v>
      </c>
      <c r="E1881" s="5">
        <v>-31434</v>
      </c>
      <c r="F1881" s="3" t="s">
        <v>948</v>
      </c>
      <c r="G1881" s="3" t="s">
        <v>54</v>
      </c>
      <c r="H1881" s="2" t="s">
        <v>20</v>
      </c>
      <c r="I1881" s="2" t="s">
        <v>4294</v>
      </c>
      <c r="J1881" s="3" t="str">
        <f>HYPERLINK("https://www.boe.es/gazeta/dias/1813/12/07/pdfs/GMR-1813-84.pdf#page=3","Abrir facsímil")</f>
        <v>Abrir facsímil</v>
      </c>
      <c r="K1881" s="3" t="s">
        <v>22</v>
      </c>
    </row>
    <row r="1882" spans="1:11" ht="42" customHeight="1">
      <c r="A1882" s="2" t="s">
        <v>4295</v>
      </c>
      <c r="B1882" s="2" t="s">
        <v>4295</v>
      </c>
      <c r="C1882" s="2" t="s">
        <v>16</v>
      </c>
      <c r="D1882" s="2" t="s">
        <v>17</v>
      </c>
      <c r="E1882" s="5">
        <v>-31691</v>
      </c>
      <c r="F1882" s="3" t="s">
        <v>1621</v>
      </c>
      <c r="G1882" s="3" t="s">
        <v>58</v>
      </c>
      <c r="H1882" s="2" t="s">
        <v>20</v>
      </c>
      <c r="I1882" s="2" t="s">
        <v>4296</v>
      </c>
      <c r="J1882" s="3" t="str">
        <f>HYPERLINK("https://www.boe.es/gazeta/dias/1813/03/25/pdfs/GMD-1813-84.pdf#page=2","Abrir facsímil")</f>
        <v>Abrir facsímil</v>
      </c>
      <c r="K1882" s="3" t="s">
        <v>22</v>
      </c>
    </row>
    <row r="1883" spans="1:11" ht="42" customHeight="1">
      <c r="A1883" s="2" t="s">
        <v>4297</v>
      </c>
      <c r="B1883" s="2" t="s">
        <v>4297</v>
      </c>
      <c r="C1883" s="2" t="s">
        <v>16</v>
      </c>
      <c r="D1883" s="2" t="s">
        <v>17</v>
      </c>
      <c r="E1883" s="5">
        <v>-31532</v>
      </c>
      <c r="F1883" s="3" t="s">
        <v>215</v>
      </c>
      <c r="G1883" s="3" t="s">
        <v>58</v>
      </c>
      <c r="H1883" s="2" t="s">
        <v>20</v>
      </c>
      <c r="I1883" s="2" t="s">
        <v>4298</v>
      </c>
      <c r="J1883" s="3" t="str">
        <f>HYPERLINK("https://www.boe.es/gazeta/dias/1813/08/31/pdfs/GRE-1813-111.pdf#page=2","Abrir facsímil")</f>
        <v>Abrir facsímil</v>
      </c>
      <c r="K1883" s="3" t="s">
        <v>22</v>
      </c>
    </row>
    <row r="1884" spans="1:11" ht="42" customHeight="1">
      <c r="A1884" s="2" t="s">
        <v>4297</v>
      </c>
      <c r="B1884" s="2" t="s">
        <v>4297</v>
      </c>
      <c r="C1884" s="2" t="s">
        <v>16</v>
      </c>
      <c r="D1884" s="2" t="s">
        <v>17</v>
      </c>
      <c r="E1884" s="5">
        <v>-31532</v>
      </c>
      <c r="F1884" s="3" t="s">
        <v>215</v>
      </c>
      <c r="G1884" s="3" t="s">
        <v>54</v>
      </c>
      <c r="H1884" s="2" t="s">
        <v>20</v>
      </c>
      <c r="I1884" s="2" t="s">
        <v>4299</v>
      </c>
      <c r="J1884" s="3" t="str">
        <f>HYPERLINK("https://www.boe.es/gazeta/dias/1813/08/31/pdfs/GRE-1813-111.pdf#page=3","Abrir facsímil")</f>
        <v>Abrir facsímil</v>
      </c>
      <c r="K1884" s="3" t="s">
        <v>22</v>
      </c>
    </row>
    <row r="1885" spans="1:11" ht="42" customHeight="1">
      <c r="A1885" s="2" t="s">
        <v>4300</v>
      </c>
      <c r="B1885" s="2" t="s">
        <v>4301</v>
      </c>
      <c r="C1885" s="2" t="s">
        <v>16</v>
      </c>
      <c r="D1885" s="2" t="s">
        <v>17</v>
      </c>
      <c r="E1885" s="5">
        <v>-31413</v>
      </c>
      <c r="F1885" s="3" t="s">
        <v>152</v>
      </c>
      <c r="G1885" s="3" t="s">
        <v>82</v>
      </c>
      <c r="H1885" s="2" t="s">
        <v>20</v>
      </c>
      <c r="I1885" s="2" t="s">
        <v>4302</v>
      </c>
      <c r="J1885" s="3" t="str">
        <f>HYPERLINK("https://www.boe.es/gazeta/dias/1813/12/28/pdfs/GRE-1813-170.pdf#page=5","Abrir facsímil")</f>
        <v>Abrir facsímil</v>
      </c>
      <c r="K1885" s="3" t="s">
        <v>22</v>
      </c>
    </row>
    <row r="1886" spans="1:11" ht="42" customHeight="1">
      <c r="A1886" s="2" t="s">
        <v>4303</v>
      </c>
      <c r="B1886" s="2" t="s">
        <v>4303</v>
      </c>
      <c r="C1886" s="2" t="s">
        <v>16</v>
      </c>
      <c r="D1886" s="2" t="s">
        <v>17</v>
      </c>
      <c r="E1886" s="5">
        <v>-31420</v>
      </c>
      <c r="F1886" s="3" t="s">
        <v>145</v>
      </c>
      <c r="G1886" s="3" t="s">
        <v>58</v>
      </c>
      <c r="H1886" s="2" t="s">
        <v>20</v>
      </c>
      <c r="I1886" s="2" t="s">
        <v>4304</v>
      </c>
      <c r="J1886" s="3" t="str">
        <f>HYPERLINK("https://www.boe.es/gazeta/dias/1813/12/21/pdfs/GMR-1813-90.pdf#page=2","Abrir facsímil")</f>
        <v>Abrir facsímil</v>
      </c>
      <c r="K1886" s="3" t="s">
        <v>22</v>
      </c>
    </row>
    <row r="1887" spans="1:11" ht="42" customHeight="1">
      <c r="A1887" s="2" t="s">
        <v>4305</v>
      </c>
      <c r="B1887" s="2" t="s">
        <v>4306</v>
      </c>
      <c r="C1887" s="2" t="s">
        <v>16</v>
      </c>
      <c r="D1887" s="2" t="s">
        <v>97</v>
      </c>
      <c r="E1887" s="5">
        <v>-31519</v>
      </c>
      <c r="F1887" s="3" t="s">
        <v>312</v>
      </c>
      <c r="G1887" s="3" t="s">
        <v>28</v>
      </c>
      <c r="H1887" s="2" t="s">
        <v>20</v>
      </c>
      <c r="I1887" s="2" t="s">
        <v>4307</v>
      </c>
      <c r="J1887" s="3" t="str">
        <f>HYPERLINK("https://www.boe.es/gazeta/dias/1813/09/13/pdfs/GRE-1813-118E.pdf#page=8","Abrir facsímil")</f>
        <v>Abrir facsímil</v>
      </c>
      <c r="K1887" s="3" t="s">
        <v>22</v>
      </c>
    </row>
    <row r="1888" spans="1:11" ht="42" customHeight="1">
      <c r="A1888" s="2" t="s">
        <v>4308</v>
      </c>
      <c r="B1888" s="2" t="s">
        <v>4309</v>
      </c>
      <c r="C1888" s="2" t="s">
        <v>16</v>
      </c>
      <c r="D1888" s="2" t="s">
        <v>17</v>
      </c>
      <c r="E1888" s="5">
        <v>-31726</v>
      </c>
      <c r="F1888" s="3" t="s">
        <v>533</v>
      </c>
      <c r="G1888" s="3" t="s">
        <v>82</v>
      </c>
      <c r="H1888" s="2" t="s">
        <v>20</v>
      </c>
      <c r="I1888" s="2" t="s">
        <v>4310</v>
      </c>
      <c r="J1888" s="3" t="str">
        <f>HYPERLINK("https://www.boe.es/gazeta/dias/1813/02/18/pdfs/GRE-1813-21.pdf#page=5","Abrir facsímil")</f>
        <v>Abrir facsímil</v>
      </c>
      <c r="K1888" s="3" t="s">
        <v>22</v>
      </c>
    </row>
    <row r="1889" spans="1:11" ht="42" customHeight="1">
      <c r="A1889" s="2" t="s">
        <v>4311</v>
      </c>
      <c r="B1889" s="2" t="s">
        <v>4312</v>
      </c>
      <c r="C1889" s="2" t="s">
        <v>16</v>
      </c>
      <c r="D1889" s="2" t="s">
        <v>97</v>
      </c>
      <c r="E1889" s="5">
        <v>-31445</v>
      </c>
      <c r="F1889" s="3" t="s">
        <v>299</v>
      </c>
      <c r="G1889" s="3" t="s">
        <v>300</v>
      </c>
      <c r="H1889" s="2" t="s">
        <v>20</v>
      </c>
      <c r="I1889" s="2" t="s">
        <v>4313</v>
      </c>
      <c r="J1889" s="3" t="str">
        <f>HYPERLINK("https://www.boe.es/gazeta/dias/1813/11/26/pdfs/GRE-1813-156E.pdf#page=3","Abrir facsímil")</f>
        <v>Abrir facsímil</v>
      </c>
      <c r="K1889" s="3" t="s">
        <v>22</v>
      </c>
    </row>
    <row r="1890" spans="1:11" ht="42" customHeight="1">
      <c r="A1890" s="2" t="s">
        <v>4314</v>
      </c>
      <c r="B1890" s="2" t="s">
        <v>4315</v>
      </c>
      <c r="C1890" s="2" t="s">
        <v>16</v>
      </c>
      <c r="D1890" s="2" t="s">
        <v>97</v>
      </c>
      <c r="E1890" s="5">
        <v>-31548</v>
      </c>
      <c r="F1890" s="3" t="s">
        <v>1680</v>
      </c>
      <c r="G1890" s="3" t="s">
        <v>54</v>
      </c>
      <c r="H1890" s="2" t="s">
        <v>20</v>
      </c>
      <c r="I1890" s="2" t="s">
        <v>4316</v>
      </c>
      <c r="J1890" s="3" t="str">
        <f>HYPERLINK("https://www.boe.es/gazeta/dias/1813/08/15/pdfs/GRE-1813-104E.pdf#page=3","Abrir facsímil")</f>
        <v>Abrir facsímil</v>
      </c>
      <c r="K1890" s="3" t="s">
        <v>22</v>
      </c>
    </row>
    <row r="1891" spans="1:11" ht="42" customHeight="1">
      <c r="A1891" s="2" t="s">
        <v>4317</v>
      </c>
      <c r="B1891" s="2" t="s">
        <v>4317</v>
      </c>
      <c r="C1891" s="2" t="s">
        <v>16</v>
      </c>
      <c r="D1891" s="2" t="s">
        <v>17</v>
      </c>
      <c r="E1891" s="5">
        <v>-31486</v>
      </c>
      <c r="F1891" s="3" t="s">
        <v>1284</v>
      </c>
      <c r="G1891" s="3" t="s">
        <v>95</v>
      </c>
      <c r="H1891" s="2" t="s">
        <v>20</v>
      </c>
      <c r="I1891" s="2" t="s">
        <v>4318</v>
      </c>
      <c r="J1891" s="3" t="str">
        <f>HYPERLINK("https://www.boe.es/gazeta/dias/1813/10/16/pdfs/GMR-1813-60.pdf#page=6","Abrir facsímil")</f>
        <v>Abrir facsímil</v>
      </c>
      <c r="K1891" s="3" t="s">
        <v>22</v>
      </c>
    </row>
    <row r="1892" spans="1:11" ht="42" customHeight="1">
      <c r="A1892" s="2" t="s">
        <v>4319</v>
      </c>
      <c r="B1892" s="2" t="s">
        <v>4320</v>
      </c>
      <c r="C1892" s="2" t="s">
        <v>34</v>
      </c>
      <c r="D1892" s="2" t="s">
        <v>35</v>
      </c>
      <c r="E1892" s="5">
        <v>-31658</v>
      </c>
      <c r="F1892" s="3" t="s">
        <v>1113</v>
      </c>
      <c r="G1892" s="3" t="s">
        <v>1091</v>
      </c>
      <c r="H1892" s="2" t="s">
        <v>20</v>
      </c>
      <c r="I1892" s="2" t="s">
        <v>4321</v>
      </c>
      <c r="J1892" s="3" t="str">
        <f>HYPERLINK("https://www.boe.es/gazeta/dias/1813/04/27/pdfs/GRE-1813-52.pdf#page=7","Abrir facsímil")</f>
        <v>Abrir facsímil</v>
      </c>
      <c r="K1892" s="3" t="s">
        <v>22</v>
      </c>
    </row>
    <row r="1893" spans="1:11" ht="42" customHeight="1">
      <c r="A1893" s="2" t="s">
        <v>4322</v>
      </c>
      <c r="B1893" s="2" t="s">
        <v>4322</v>
      </c>
      <c r="C1893" s="2" t="s">
        <v>16</v>
      </c>
      <c r="D1893" s="2" t="s">
        <v>17</v>
      </c>
      <c r="E1893" s="5">
        <v>-31739</v>
      </c>
      <c r="F1893" s="3" t="s">
        <v>784</v>
      </c>
      <c r="G1893" s="3" t="s">
        <v>19</v>
      </c>
      <c r="H1893" s="2" t="s">
        <v>20</v>
      </c>
      <c r="I1893" s="2" t="s">
        <v>4323</v>
      </c>
      <c r="J1893" s="3" t="str">
        <f>HYPERLINK("https://www.boe.es/gazeta/dias/1813/02/05/pdfs/GMD-1813-36.pdf#page=4","Abrir facsímil")</f>
        <v>Abrir facsímil</v>
      </c>
      <c r="K1893" s="3" t="s">
        <v>22</v>
      </c>
    </row>
    <row r="1894" spans="1:11" ht="42" customHeight="1">
      <c r="A1894" s="2" t="s">
        <v>4324</v>
      </c>
      <c r="B1894" s="2" t="s">
        <v>4324</v>
      </c>
      <c r="C1894" s="2" t="s">
        <v>16</v>
      </c>
      <c r="D1894" s="2" t="s">
        <v>17</v>
      </c>
      <c r="E1894" s="5">
        <v>-31652</v>
      </c>
      <c r="F1894" s="3" t="s">
        <v>3062</v>
      </c>
      <c r="G1894" s="3" t="s">
        <v>58</v>
      </c>
      <c r="H1894" s="2" t="s">
        <v>20</v>
      </c>
      <c r="I1894" s="2" t="s">
        <v>4325</v>
      </c>
      <c r="J1894" s="3" t="str">
        <f>HYPERLINK("https://www.boe.es/gazeta/dias/1813/05/03/pdfs/GMD-1813-123.pdf#page=2","Abrir facsímil")</f>
        <v>Abrir facsímil</v>
      </c>
      <c r="K1894" s="3" t="s">
        <v>22</v>
      </c>
    </row>
    <row r="1895" spans="1:11" ht="42" customHeight="1">
      <c r="A1895" s="2" t="s">
        <v>4326</v>
      </c>
      <c r="B1895" s="2" t="s">
        <v>4326</v>
      </c>
      <c r="C1895" s="2" t="s">
        <v>16</v>
      </c>
      <c r="D1895" s="2" t="s">
        <v>97</v>
      </c>
      <c r="E1895" s="5">
        <v>-31519</v>
      </c>
      <c r="F1895" s="3" t="s">
        <v>312</v>
      </c>
      <c r="G1895" s="3" t="s">
        <v>65</v>
      </c>
      <c r="H1895" s="2" t="s">
        <v>20</v>
      </c>
      <c r="I1895" s="2" t="s">
        <v>4327</v>
      </c>
      <c r="J1895" s="3" t="str">
        <f>HYPERLINK("https://www.boe.es/gazeta/dias/1813/09/13/pdfs/GRE-1813-118E.pdf#page=1","Abrir facsímil")</f>
        <v>Abrir facsímil</v>
      </c>
      <c r="K1895" s="3" t="s">
        <v>22</v>
      </c>
    </row>
    <row r="1896" spans="1:11" ht="42" customHeight="1">
      <c r="A1896" s="2" t="s">
        <v>4328</v>
      </c>
      <c r="B1896" s="2" t="s">
        <v>4328</v>
      </c>
      <c r="C1896" s="2" t="s">
        <v>16</v>
      </c>
      <c r="D1896" s="2" t="s">
        <v>17</v>
      </c>
      <c r="E1896" s="5">
        <v>-31665</v>
      </c>
      <c r="F1896" s="3" t="s">
        <v>396</v>
      </c>
      <c r="G1896" s="3" t="s">
        <v>397</v>
      </c>
      <c r="H1896" s="2" t="s">
        <v>20</v>
      </c>
      <c r="I1896" s="2" t="s">
        <v>4329</v>
      </c>
      <c r="J1896" s="3" t="str">
        <f>HYPERLINK("https://www.boe.es/gazeta/dias/1813/04/20/pdfs/GRE-1813-49.pdf#page=8","Abrir facsímil")</f>
        <v>Abrir facsímil</v>
      </c>
      <c r="K1896" s="3" t="s">
        <v>22</v>
      </c>
    </row>
    <row r="1897" spans="1:11" ht="42" customHeight="1">
      <c r="A1897" s="2" t="s">
        <v>4330</v>
      </c>
      <c r="B1897" s="2" t="s">
        <v>4330</v>
      </c>
      <c r="C1897" s="2" t="s">
        <v>16</v>
      </c>
      <c r="D1897" s="2" t="s">
        <v>17</v>
      </c>
      <c r="E1897" s="5">
        <v>-31703</v>
      </c>
      <c r="F1897" s="3" t="s">
        <v>4331</v>
      </c>
      <c r="G1897" s="3" t="s">
        <v>4332</v>
      </c>
      <c r="H1897" s="2" t="s">
        <v>20</v>
      </c>
      <c r="I1897" s="2" t="s">
        <v>4333</v>
      </c>
      <c r="J1897" s="3" t="str">
        <f>HYPERLINK("https://www.boe.es/gazeta/dias/1813/03/13/pdfs/GRE-1813-32.pdf#page=4","Abrir facsímil")</f>
        <v>Abrir facsímil</v>
      </c>
      <c r="K1897" s="3" t="s">
        <v>22</v>
      </c>
    </row>
    <row r="1898" spans="1:11" ht="42" customHeight="1">
      <c r="A1898" s="2" t="s">
        <v>4334</v>
      </c>
      <c r="B1898" s="2" t="s">
        <v>4334</v>
      </c>
      <c r="C1898" s="2" t="s">
        <v>16</v>
      </c>
      <c r="D1898" s="2" t="s">
        <v>17</v>
      </c>
      <c r="E1898" s="5">
        <v>-31542</v>
      </c>
      <c r="F1898" s="3" t="s">
        <v>347</v>
      </c>
      <c r="G1898" s="3" t="s">
        <v>54</v>
      </c>
      <c r="H1898" s="2" t="s">
        <v>20</v>
      </c>
      <c r="I1898" s="2" t="s">
        <v>4335</v>
      </c>
      <c r="J1898" s="3" t="str">
        <f>HYPERLINK("https://www.boe.es/gazeta/dias/1813/08/21/pdfs/GMR-1813-31.pdf#page=3","Abrir facsímil")</f>
        <v>Abrir facsímil</v>
      </c>
      <c r="K1898" s="3" t="s">
        <v>22</v>
      </c>
    </row>
    <row r="1899" spans="1:11" ht="42" customHeight="1">
      <c r="A1899" s="2" t="s">
        <v>4336</v>
      </c>
      <c r="B1899" s="2" t="s">
        <v>4336</v>
      </c>
      <c r="C1899" s="2" t="s">
        <v>16</v>
      </c>
      <c r="D1899" s="2" t="s">
        <v>17</v>
      </c>
      <c r="E1899" s="5">
        <v>-31511</v>
      </c>
      <c r="F1899" s="3" t="s">
        <v>935</v>
      </c>
      <c r="G1899" s="3" t="s">
        <v>313</v>
      </c>
      <c r="H1899" s="2" t="s">
        <v>20</v>
      </c>
      <c r="I1899" s="2" t="s">
        <v>4337</v>
      </c>
      <c r="J1899" s="3" t="str">
        <f>HYPERLINK("https://www.boe.es/gazeta/dias/1813/09/21/pdfs/GMR-1813-46.pdf#page=9","Abrir facsímil")</f>
        <v>Abrir facsímil</v>
      </c>
      <c r="K1899" s="3" t="s">
        <v>22</v>
      </c>
    </row>
    <row r="1900" spans="1:11" ht="42" customHeight="1">
      <c r="A1900" s="2" t="s">
        <v>4338</v>
      </c>
      <c r="B1900" s="2" t="s">
        <v>4339</v>
      </c>
      <c r="C1900" s="2" t="s">
        <v>16</v>
      </c>
      <c r="D1900" s="2" t="s">
        <v>17</v>
      </c>
      <c r="E1900" s="5">
        <v>-31716</v>
      </c>
      <c r="F1900" s="3" t="s">
        <v>1652</v>
      </c>
      <c r="G1900" s="3" t="s">
        <v>54</v>
      </c>
      <c r="H1900" s="2" t="s">
        <v>20</v>
      </c>
      <c r="I1900" s="2" t="s">
        <v>4340</v>
      </c>
      <c r="J1900" s="3" t="str">
        <f>HYPERLINK("https://www.boe.es/gazeta/dias/1813/02/28/pdfs/GMD-1813-59.pdf#page=3","Abrir facsímil")</f>
        <v>Abrir facsímil</v>
      </c>
      <c r="K1900" s="3" t="s">
        <v>22</v>
      </c>
    </row>
    <row r="1901" spans="1:11" ht="42" customHeight="1">
      <c r="A1901" s="2" t="s">
        <v>4341</v>
      </c>
      <c r="B1901" s="2" t="s">
        <v>4342</v>
      </c>
      <c r="C1901" s="2" t="s">
        <v>16</v>
      </c>
      <c r="D1901" s="2" t="s">
        <v>17</v>
      </c>
      <c r="E1901" s="5">
        <v>-31481</v>
      </c>
      <c r="F1901" s="3" t="s">
        <v>40</v>
      </c>
      <c r="G1901" s="3" t="s">
        <v>28</v>
      </c>
      <c r="H1901" s="2" t="s">
        <v>20</v>
      </c>
      <c r="I1901" s="2" t="s">
        <v>4343</v>
      </c>
      <c r="J1901" s="3" t="str">
        <f>HYPERLINK("https://www.boe.es/gazeta/dias/1813/10/21/pdfs/GMR-1813-62.pdf#page=8","Abrir facsímil")</f>
        <v>Abrir facsímil</v>
      </c>
      <c r="K1901" s="3" t="s">
        <v>22</v>
      </c>
    </row>
    <row r="1902" spans="1:11" ht="42" customHeight="1">
      <c r="A1902" s="2" t="s">
        <v>4344</v>
      </c>
      <c r="B1902" s="2" t="s">
        <v>4345</v>
      </c>
      <c r="C1902" s="2" t="s">
        <v>34</v>
      </c>
      <c r="D1902" s="2" t="s">
        <v>35</v>
      </c>
      <c r="E1902" s="5">
        <v>-31521</v>
      </c>
      <c r="F1902" s="3" t="s">
        <v>1282</v>
      </c>
      <c r="G1902" s="3" t="s">
        <v>258</v>
      </c>
      <c r="H1902" s="2" t="s">
        <v>20</v>
      </c>
      <c r="I1902" s="2" t="s">
        <v>4346</v>
      </c>
      <c r="J1902" s="3" t="str">
        <f>HYPERLINK("https://www.boe.es/gazeta/dias/1813/09/11/pdfs/GMR-1813-41.pdf#page=12","Abrir facsímil")</f>
        <v>Abrir facsímil</v>
      </c>
      <c r="K1902" s="3" t="s">
        <v>22</v>
      </c>
    </row>
    <row r="1903" spans="1:11" ht="42" customHeight="1">
      <c r="A1903" s="2" t="s">
        <v>4347</v>
      </c>
      <c r="B1903" s="2" t="s">
        <v>4348</v>
      </c>
      <c r="C1903" s="2" t="s">
        <v>16</v>
      </c>
      <c r="D1903" s="2" t="s">
        <v>17</v>
      </c>
      <c r="E1903" s="5">
        <v>-31551</v>
      </c>
      <c r="F1903" s="3" t="s">
        <v>4349</v>
      </c>
      <c r="G1903" s="3" t="s">
        <v>19</v>
      </c>
      <c r="H1903" s="2" t="s">
        <v>20</v>
      </c>
      <c r="I1903" s="2" t="s">
        <v>4350</v>
      </c>
      <c r="J1903" s="3" t="str">
        <f>HYPERLINK("https://www.boe.es/gazeta/dias/1813/08/12/pdfs/GRE-1813-102.pdf#page=4","Abrir facsímil")</f>
        <v>Abrir facsímil</v>
      </c>
      <c r="K1903" s="3" t="s">
        <v>22</v>
      </c>
    </row>
    <row r="1904" spans="1:11" ht="42" customHeight="1">
      <c r="A1904" s="2" t="s">
        <v>4351</v>
      </c>
      <c r="B1904" s="2" t="s">
        <v>4352</v>
      </c>
      <c r="C1904" s="2" t="s">
        <v>109</v>
      </c>
      <c r="D1904" s="2" t="s">
        <v>26</v>
      </c>
      <c r="E1904" s="5">
        <v>-31551</v>
      </c>
      <c r="F1904" s="3" t="s">
        <v>4349</v>
      </c>
      <c r="G1904" s="3" t="s">
        <v>19</v>
      </c>
      <c r="H1904" s="2" t="s">
        <v>20</v>
      </c>
      <c r="I1904" s="2" t="s">
        <v>4353</v>
      </c>
      <c r="J1904" s="3" t="str">
        <f>HYPERLINK("https://www.boe.es/gazeta/dias/1813/08/12/pdfs/GRE-1813-102.pdf#page=4","Abrir facsímil")</f>
        <v>Abrir facsímil</v>
      </c>
      <c r="K1904" s="3" t="s">
        <v>22</v>
      </c>
    </row>
    <row r="1905" spans="1:11" ht="42" customHeight="1">
      <c r="A1905" s="2" t="s">
        <v>4354</v>
      </c>
      <c r="B1905" s="2" t="s">
        <v>4355</v>
      </c>
      <c r="C1905" s="2" t="s">
        <v>187</v>
      </c>
      <c r="D1905" s="2" t="s">
        <v>26</v>
      </c>
      <c r="E1905" s="5">
        <v>-31752</v>
      </c>
      <c r="F1905" s="3" t="s">
        <v>182</v>
      </c>
      <c r="G1905" s="3" t="s">
        <v>183</v>
      </c>
      <c r="H1905" s="2" t="s">
        <v>20</v>
      </c>
      <c r="I1905" s="2" t="s">
        <v>4356</v>
      </c>
      <c r="J1905" s="3" t="str">
        <f>HYPERLINK("https://www.boe.es/gazeta/dias/1813/01/23/pdfs/GRE-1813-10.pdf#page=8","Abrir facsímil")</f>
        <v>Abrir facsímil</v>
      </c>
      <c r="K1905" s="3" t="s">
        <v>22</v>
      </c>
    </row>
    <row r="1906" spans="1:11" ht="42" customHeight="1">
      <c r="A1906" s="2" t="s">
        <v>4357</v>
      </c>
      <c r="B1906" s="2" t="s">
        <v>4357</v>
      </c>
      <c r="C1906" s="2" t="s">
        <v>34</v>
      </c>
      <c r="D1906" s="2" t="s">
        <v>35</v>
      </c>
      <c r="E1906" s="5">
        <v>-31514</v>
      </c>
      <c r="F1906" s="3" t="s">
        <v>2099</v>
      </c>
      <c r="G1906" s="3" t="s">
        <v>4358</v>
      </c>
      <c r="H1906" s="2" t="s">
        <v>20</v>
      </c>
      <c r="I1906" s="2" t="s">
        <v>4359</v>
      </c>
      <c r="J1906" s="3" t="str">
        <f>HYPERLINK("https://www.boe.es/gazeta/dias/1813/09/18/pdfs/GMR-1813-45.pdf#page=7","Abrir facsímil")</f>
        <v>Abrir facsímil</v>
      </c>
      <c r="K1906" s="3" t="s">
        <v>22</v>
      </c>
    </row>
    <row r="1907" spans="1:11" ht="42" customHeight="1">
      <c r="A1907" s="2" t="s">
        <v>4360</v>
      </c>
      <c r="B1907" s="2" t="s">
        <v>4361</v>
      </c>
      <c r="C1907" s="2" t="s">
        <v>34</v>
      </c>
      <c r="D1907" s="2" t="s">
        <v>35</v>
      </c>
      <c r="E1907" s="5">
        <v>-31518</v>
      </c>
      <c r="F1907" s="3" t="s">
        <v>155</v>
      </c>
      <c r="G1907" s="3" t="s">
        <v>82</v>
      </c>
      <c r="H1907" s="2" t="s">
        <v>20</v>
      </c>
      <c r="I1907" s="2" t="s">
        <v>4362</v>
      </c>
      <c r="J1907" s="3" t="str">
        <f>HYPERLINK("https://www.boe.es/gazeta/dias/1813/09/14/pdfs/GRE-1813-119.pdf#page=5","Abrir facsímil")</f>
        <v>Abrir facsímil</v>
      </c>
      <c r="K1907" s="3" t="s">
        <v>22</v>
      </c>
    </row>
    <row r="1908" spans="1:11" ht="42" customHeight="1">
      <c r="A1908" s="2" t="s">
        <v>4363</v>
      </c>
      <c r="B1908" s="2" t="s">
        <v>4363</v>
      </c>
      <c r="C1908" s="2" t="s">
        <v>69</v>
      </c>
      <c r="D1908" s="2" t="s">
        <v>26</v>
      </c>
      <c r="E1908" s="5">
        <v>-31486</v>
      </c>
      <c r="F1908" s="3" t="s">
        <v>597</v>
      </c>
      <c r="G1908" s="3" t="s">
        <v>54</v>
      </c>
      <c r="H1908" s="2" t="s">
        <v>20</v>
      </c>
      <c r="I1908" s="2" t="s">
        <v>4364</v>
      </c>
      <c r="J1908" s="3" t="str">
        <f>HYPERLINK("https://www.boe.es/gazeta/dias/1813/10/16/pdfs/GRE-1813-135.pdf#page=3","Abrir facsímil")</f>
        <v>Abrir facsímil</v>
      </c>
      <c r="K1908" s="3" t="s">
        <v>22</v>
      </c>
    </row>
    <row r="1909" spans="1:11" ht="42" customHeight="1">
      <c r="A1909" s="2" t="s">
        <v>4365</v>
      </c>
      <c r="B1909" s="2" t="s">
        <v>4365</v>
      </c>
      <c r="C1909" s="2" t="s">
        <v>16</v>
      </c>
      <c r="D1909" s="2" t="s">
        <v>17</v>
      </c>
      <c r="E1909" s="5">
        <v>-31726</v>
      </c>
      <c r="F1909" s="3" t="s">
        <v>533</v>
      </c>
      <c r="G1909" s="3" t="s">
        <v>1377</v>
      </c>
      <c r="H1909" s="2" t="s">
        <v>20</v>
      </c>
      <c r="I1909" s="2" t="s">
        <v>4366</v>
      </c>
      <c r="J1909" s="3" t="str">
        <f>HYPERLINK("https://www.boe.es/gazeta/dias/1813/02/18/pdfs/GRE-1813-21.pdf#page=3","Abrir facsímil")</f>
        <v>Abrir facsímil</v>
      </c>
      <c r="K1909" s="3" t="s">
        <v>22</v>
      </c>
    </row>
    <row r="1910" spans="1:11" ht="42" customHeight="1">
      <c r="A1910" s="2" t="s">
        <v>4367</v>
      </c>
      <c r="B1910" s="2" t="s">
        <v>4367</v>
      </c>
      <c r="C1910" s="2" t="s">
        <v>34</v>
      </c>
      <c r="D1910" s="2" t="s">
        <v>35</v>
      </c>
      <c r="E1910" s="5">
        <v>-31567</v>
      </c>
      <c r="F1910" s="3" t="s">
        <v>820</v>
      </c>
      <c r="G1910" s="3" t="s">
        <v>71</v>
      </c>
      <c r="H1910" s="2" t="s">
        <v>20</v>
      </c>
      <c r="I1910" s="2" t="s">
        <v>4368</v>
      </c>
      <c r="J1910" s="3" t="str">
        <f>HYPERLINK("https://www.boe.es/gazeta/dias/1813/07/27/pdfs/GMR-1813-21.pdf#page=16","Abrir facsímil")</f>
        <v>Abrir facsímil</v>
      </c>
      <c r="K1910" s="3" t="s">
        <v>22</v>
      </c>
    </row>
    <row r="1911" spans="1:11" ht="42" customHeight="1">
      <c r="A1911" s="2" t="s">
        <v>4369</v>
      </c>
      <c r="B1911" s="2" t="s">
        <v>4369</v>
      </c>
      <c r="C1911" s="2" t="s">
        <v>16</v>
      </c>
      <c r="D1911" s="2" t="s">
        <v>17</v>
      </c>
      <c r="E1911" s="5">
        <v>-31486</v>
      </c>
      <c r="F1911" s="3" t="s">
        <v>597</v>
      </c>
      <c r="G1911" s="3" t="s">
        <v>58</v>
      </c>
      <c r="H1911" s="2" t="s">
        <v>20</v>
      </c>
      <c r="I1911" s="2" t="s">
        <v>4370</v>
      </c>
      <c r="J1911" s="3" t="str">
        <f>HYPERLINK("https://www.boe.es/gazeta/dias/1813/10/16/pdfs/GRE-1813-135.pdf#page=2","Abrir facsímil")</f>
        <v>Abrir facsímil</v>
      </c>
      <c r="K1911" s="3" t="s">
        <v>22</v>
      </c>
    </row>
    <row r="1912" spans="1:11" ht="42" customHeight="1">
      <c r="A1912" s="2" t="s">
        <v>4371</v>
      </c>
      <c r="B1912" s="2" t="s">
        <v>4371</v>
      </c>
      <c r="C1912" s="2" t="s">
        <v>16</v>
      </c>
      <c r="D1912" s="2" t="s">
        <v>17</v>
      </c>
      <c r="E1912" s="5">
        <v>-31728</v>
      </c>
      <c r="F1912" s="3" t="s">
        <v>1434</v>
      </c>
      <c r="G1912" s="3" t="s">
        <v>2541</v>
      </c>
      <c r="H1912" s="2" t="s">
        <v>20</v>
      </c>
      <c r="I1912" s="2" t="s">
        <v>4372</v>
      </c>
      <c r="J1912" s="3" t="str">
        <f>HYPERLINK("https://www.boe.es/gazeta/dias/1813/02/16/pdfs/GRE-1813-20.pdf#page=8","Abrir facsímil")</f>
        <v>Abrir facsímil</v>
      </c>
      <c r="K1912" s="3" t="s">
        <v>22</v>
      </c>
    </row>
    <row r="1913" spans="1:11" ht="42" customHeight="1">
      <c r="A1913" s="2" t="s">
        <v>4373</v>
      </c>
      <c r="B1913" s="2" t="s">
        <v>4374</v>
      </c>
      <c r="C1913" s="2" t="s">
        <v>16</v>
      </c>
      <c r="D1913" s="2" t="s">
        <v>17</v>
      </c>
      <c r="E1913" s="5">
        <v>-31585</v>
      </c>
      <c r="F1913" s="3" t="s">
        <v>177</v>
      </c>
      <c r="G1913" s="3" t="s">
        <v>178</v>
      </c>
      <c r="H1913" s="2" t="s">
        <v>20</v>
      </c>
      <c r="I1913" s="2" t="s">
        <v>4375</v>
      </c>
      <c r="J1913" s="3" t="str">
        <f>HYPERLINK("https://www.boe.es/gazeta/dias/1813/07/09/pdfs/GMR-1813-16.pdf#page=11","Abrir facsímil")</f>
        <v>Abrir facsímil</v>
      </c>
      <c r="K1913" s="3" t="s">
        <v>22</v>
      </c>
    </row>
    <row r="1914" spans="1:11" ht="42" customHeight="1">
      <c r="A1914" s="2" t="s">
        <v>4376</v>
      </c>
      <c r="B1914" s="2" t="s">
        <v>4377</v>
      </c>
      <c r="C1914" s="2" t="s">
        <v>16</v>
      </c>
      <c r="D1914" s="2" t="s">
        <v>17</v>
      </c>
      <c r="E1914" s="5">
        <v>-31585</v>
      </c>
      <c r="F1914" s="3" t="s">
        <v>177</v>
      </c>
      <c r="G1914" s="3" t="s">
        <v>258</v>
      </c>
      <c r="H1914" s="2" t="s">
        <v>20</v>
      </c>
      <c r="I1914" s="2" t="s">
        <v>4378</v>
      </c>
      <c r="J1914" s="3" t="str">
        <f>HYPERLINK("https://www.boe.es/gazeta/dias/1813/07/09/pdfs/GMR-1813-16.pdf#page=12","Abrir facsímil")</f>
        <v>Abrir facsímil</v>
      </c>
      <c r="K1914" s="3" t="s">
        <v>22</v>
      </c>
    </row>
    <row r="1915" spans="1:11" ht="42" customHeight="1">
      <c r="A1915" s="2" t="s">
        <v>4379</v>
      </c>
      <c r="B1915" s="2" t="s">
        <v>4380</v>
      </c>
      <c r="C1915" s="2" t="s">
        <v>16</v>
      </c>
      <c r="D1915" s="2" t="s">
        <v>17</v>
      </c>
      <c r="E1915" s="5">
        <v>-31592</v>
      </c>
      <c r="F1915" s="3" t="s">
        <v>175</v>
      </c>
      <c r="G1915" s="3" t="s">
        <v>471</v>
      </c>
      <c r="H1915" s="2" t="s">
        <v>20</v>
      </c>
      <c r="I1915" s="2" t="s">
        <v>4381</v>
      </c>
      <c r="J1915" s="3" t="str">
        <f>HYPERLINK("https://www.boe.es/gazeta/dias/1813/07/02/pdfs/GRE-1813-82.pdf#page=7","Abrir facsímil")</f>
        <v>Abrir facsímil</v>
      </c>
      <c r="K1915" s="3" t="s">
        <v>22</v>
      </c>
    </row>
    <row r="1916" spans="1:11" ht="42" customHeight="1">
      <c r="A1916" s="2" t="s">
        <v>4382</v>
      </c>
      <c r="B1916" s="2" t="s">
        <v>4382</v>
      </c>
      <c r="C1916" s="2" t="s">
        <v>25</v>
      </c>
      <c r="D1916" s="2" t="s">
        <v>26</v>
      </c>
      <c r="E1916" s="5">
        <v>-31458</v>
      </c>
      <c r="F1916" s="3" t="s">
        <v>1171</v>
      </c>
      <c r="G1916" s="3" t="s">
        <v>58</v>
      </c>
      <c r="H1916" s="2" t="s">
        <v>20</v>
      </c>
      <c r="I1916" s="2" t="s">
        <v>4383</v>
      </c>
      <c r="J1916" s="3" t="str">
        <f>HYPERLINK("https://www.boe.es/gazeta/dias/1813/11/13/pdfs/GRE-1813-149.pdf#page=2","Abrir facsímil")</f>
        <v>Abrir facsímil</v>
      </c>
      <c r="K1916" s="3" t="s">
        <v>22</v>
      </c>
    </row>
    <row r="1917" spans="1:11" ht="42" customHeight="1">
      <c r="A1917" s="2" t="s">
        <v>4384</v>
      </c>
      <c r="B1917" s="2" t="s">
        <v>4385</v>
      </c>
      <c r="C1917" s="2" t="s">
        <v>16</v>
      </c>
      <c r="D1917" s="2" t="s">
        <v>17</v>
      </c>
      <c r="E1917" s="5">
        <v>-31605</v>
      </c>
      <c r="F1917" s="3" t="s">
        <v>884</v>
      </c>
      <c r="G1917" s="3" t="s">
        <v>87</v>
      </c>
      <c r="H1917" s="2" t="s">
        <v>20</v>
      </c>
      <c r="I1917" s="2" t="s">
        <v>4386</v>
      </c>
      <c r="J1917" s="3" t="str">
        <f>HYPERLINK("https://www.boe.es/gazeta/dias/1813/06/19/pdfs/GRE-1813-76.pdf#page=7","Abrir facsímil")</f>
        <v>Abrir facsímil</v>
      </c>
      <c r="K1917" s="3" t="s">
        <v>22</v>
      </c>
    </row>
    <row r="1918" spans="1:11" ht="42" customHeight="1">
      <c r="A1918" s="2" t="s">
        <v>4387</v>
      </c>
      <c r="B1918" s="2" t="s">
        <v>4388</v>
      </c>
      <c r="C1918" s="2" t="s">
        <v>435</v>
      </c>
      <c r="D1918" s="2" t="s">
        <v>26</v>
      </c>
      <c r="E1918" s="5">
        <v>-31577</v>
      </c>
      <c r="F1918" s="3" t="s">
        <v>586</v>
      </c>
      <c r="G1918" s="3" t="s">
        <v>28</v>
      </c>
      <c r="H1918" s="2" t="s">
        <v>20</v>
      </c>
      <c r="I1918" s="2" t="s">
        <v>4389</v>
      </c>
      <c r="J1918" s="3" t="str">
        <f>HYPERLINK("https://www.boe.es/gazeta/dias/1813/07/17/pdfs/GRE-1813-90.pdf#page=8","Abrir facsímil")</f>
        <v>Abrir facsímil</v>
      </c>
      <c r="K1918" s="3" t="s">
        <v>22</v>
      </c>
    </row>
    <row r="1919" spans="1:11" ht="42" customHeight="1">
      <c r="A1919" s="2" t="s">
        <v>4390</v>
      </c>
      <c r="B1919" s="2" t="s">
        <v>4390</v>
      </c>
      <c r="C1919" s="2" t="s">
        <v>16</v>
      </c>
      <c r="D1919" s="2" t="s">
        <v>17</v>
      </c>
      <c r="E1919" s="5">
        <v>-31430</v>
      </c>
      <c r="F1919" s="3" t="s">
        <v>1161</v>
      </c>
      <c r="G1919" s="3" t="s">
        <v>65</v>
      </c>
      <c r="H1919" s="2" t="s">
        <v>20</v>
      </c>
      <c r="I1919" s="2" t="s">
        <v>4391</v>
      </c>
      <c r="J1919" s="3" t="str">
        <f>HYPERLINK("https://www.boe.es/gazeta/dias/1813/12/11/pdfs/GMR-1813-86.pdf#page=1","Abrir facsímil")</f>
        <v>Abrir facsímil</v>
      </c>
      <c r="K1919" s="3" t="s">
        <v>22</v>
      </c>
    </row>
    <row r="1920" spans="1:11" ht="42" customHeight="1">
      <c r="A1920" s="2" t="s">
        <v>4392</v>
      </c>
      <c r="B1920" s="2" t="s">
        <v>4393</v>
      </c>
      <c r="C1920" s="2" t="s">
        <v>34</v>
      </c>
      <c r="D1920" s="2" t="s">
        <v>35</v>
      </c>
      <c r="E1920" s="5">
        <v>-31658</v>
      </c>
      <c r="F1920" s="3" t="s">
        <v>1113</v>
      </c>
      <c r="G1920" s="3" t="s">
        <v>1091</v>
      </c>
      <c r="H1920" s="2" t="s">
        <v>20</v>
      </c>
      <c r="I1920" s="2" t="s">
        <v>4394</v>
      </c>
      <c r="J1920" s="3" t="str">
        <f>HYPERLINK("https://www.boe.es/gazeta/dias/1813/04/27/pdfs/GRE-1813-52.pdf#page=7","Abrir facsímil")</f>
        <v>Abrir facsímil</v>
      </c>
      <c r="K1920" s="3" t="s">
        <v>22</v>
      </c>
    </row>
    <row r="1921" spans="1:11" ht="42" customHeight="1">
      <c r="A1921" s="2" t="s">
        <v>4395</v>
      </c>
      <c r="B1921" s="2" t="s">
        <v>4396</v>
      </c>
      <c r="C1921" s="2" t="s">
        <v>16</v>
      </c>
      <c r="D1921" s="2" t="s">
        <v>17</v>
      </c>
      <c r="E1921" s="5">
        <v>-31514</v>
      </c>
      <c r="F1921" s="3" t="s">
        <v>2099</v>
      </c>
      <c r="G1921" s="3" t="s">
        <v>19</v>
      </c>
      <c r="H1921" s="2" t="s">
        <v>20</v>
      </c>
      <c r="I1921" s="2" t="s">
        <v>4397</v>
      </c>
      <c r="J1921" s="3" t="str">
        <f>HYPERLINK("https://www.boe.es/gazeta/dias/1813/09/18/pdfs/GMR-1813-45.pdf#page=4","Abrir facsímil")</f>
        <v>Abrir facsímil</v>
      </c>
      <c r="K1921" s="3" t="s">
        <v>22</v>
      </c>
    </row>
    <row r="1922" spans="1:11" ht="42" customHeight="1">
      <c r="A1922" s="2" t="s">
        <v>4398</v>
      </c>
      <c r="B1922" s="2" t="s">
        <v>4399</v>
      </c>
      <c r="C1922" s="2" t="s">
        <v>16</v>
      </c>
      <c r="D1922" s="2" t="s">
        <v>17</v>
      </c>
      <c r="E1922" s="5">
        <v>-31516</v>
      </c>
      <c r="F1922" s="3" t="s">
        <v>246</v>
      </c>
      <c r="G1922" s="3" t="s">
        <v>247</v>
      </c>
      <c r="H1922" s="2" t="s">
        <v>20</v>
      </c>
      <c r="I1922" s="2" t="s">
        <v>4400</v>
      </c>
      <c r="J1922" s="3" t="str">
        <f>HYPERLINK("https://www.boe.es/gazeta/dias/1813/09/16/pdfs/GMR-1813-43.pdf#page=8","Abrir facsímil")</f>
        <v>Abrir facsímil</v>
      </c>
      <c r="K1922" s="3" t="s">
        <v>22</v>
      </c>
    </row>
    <row r="1923" spans="1:11" ht="42" customHeight="1">
      <c r="A1923" s="2" t="s">
        <v>4401</v>
      </c>
      <c r="B1923" s="2" t="s">
        <v>4402</v>
      </c>
      <c r="C1923" s="2" t="s">
        <v>34</v>
      </c>
      <c r="D1923" s="2" t="s">
        <v>35</v>
      </c>
      <c r="E1923" s="5">
        <v>-31467</v>
      </c>
      <c r="F1923" s="3" t="s">
        <v>120</v>
      </c>
      <c r="G1923" s="3" t="s">
        <v>28</v>
      </c>
      <c r="H1923" s="2" t="s">
        <v>20</v>
      </c>
      <c r="I1923" s="2" t="s">
        <v>4403</v>
      </c>
      <c r="J1923" s="3" t="str">
        <f>HYPERLINK("https://www.boe.es/gazeta/dias/1813/11/04/pdfs/GMR-1813-68.pdf#page=8","Abrir facsímil")</f>
        <v>Abrir facsímil</v>
      </c>
      <c r="K1923" s="3" t="s">
        <v>22</v>
      </c>
    </row>
    <row r="1924" spans="1:11" ht="42" customHeight="1">
      <c r="A1924" s="2" t="s">
        <v>4404</v>
      </c>
      <c r="B1924" s="2" t="s">
        <v>4404</v>
      </c>
      <c r="C1924" s="2" t="s">
        <v>16</v>
      </c>
      <c r="D1924" s="2" t="s">
        <v>17</v>
      </c>
      <c r="E1924" s="5">
        <v>-31614</v>
      </c>
      <c r="F1924" s="3" t="s">
        <v>498</v>
      </c>
      <c r="G1924" s="3" t="s">
        <v>95</v>
      </c>
      <c r="H1924" s="2" t="s">
        <v>20</v>
      </c>
      <c r="I1924" s="2" t="s">
        <v>4405</v>
      </c>
      <c r="J1924" s="3" t="str">
        <f>HYPERLINK("https://www.boe.es/gazeta/dias/1813/06/10/pdfs/GRE-1813-72.pdf#page=6","Abrir facsímil")</f>
        <v>Abrir facsímil</v>
      </c>
      <c r="K1924" s="3" t="s">
        <v>22</v>
      </c>
    </row>
    <row r="1925" spans="1:11" ht="42" customHeight="1">
      <c r="A1925" s="2" t="s">
        <v>4406</v>
      </c>
      <c r="B1925" s="2" t="s">
        <v>4407</v>
      </c>
      <c r="C1925" s="2" t="s">
        <v>16</v>
      </c>
      <c r="D1925" s="2" t="s">
        <v>17</v>
      </c>
      <c r="E1925" s="5">
        <v>-31614</v>
      </c>
      <c r="F1925" s="3" t="s">
        <v>498</v>
      </c>
      <c r="G1925" s="3" t="s">
        <v>95</v>
      </c>
      <c r="H1925" s="2" t="s">
        <v>20</v>
      </c>
      <c r="I1925" s="2" t="s">
        <v>4408</v>
      </c>
      <c r="J1925" s="3" t="str">
        <f>HYPERLINK("https://www.boe.es/gazeta/dias/1813/06/10/pdfs/GRE-1813-72.pdf#page=6","Abrir facsímil")</f>
        <v>Abrir facsímil</v>
      </c>
      <c r="K1925" s="3" t="s">
        <v>22</v>
      </c>
    </row>
    <row r="1926" spans="1:11" ht="42" customHeight="1">
      <c r="A1926" s="2" t="s">
        <v>4409</v>
      </c>
      <c r="B1926" s="2" t="s">
        <v>4410</v>
      </c>
      <c r="C1926" s="2" t="s">
        <v>34</v>
      </c>
      <c r="D1926" s="2" t="s">
        <v>35</v>
      </c>
      <c r="E1926" s="5">
        <v>-31476</v>
      </c>
      <c r="F1926" s="3" t="s">
        <v>158</v>
      </c>
      <c r="G1926" s="3" t="s">
        <v>28</v>
      </c>
      <c r="H1926" s="2" t="s">
        <v>20</v>
      </c>
      <c r="I1926" s="2" t="s">
        <v>4411</v>
      </c>
      <c r="J1926" s="3" t="str">
        <f>HYPERLINK("https://www.boe.es/gazeta/dias/1813/10/26/pdfs/GMR-1813-64.pdf#page=8","Abrir facsímil")</f>
        <v>Abrir facsímil</v>
      </c>
      <c r="K1926" s="3" t="s">
        <v>22</v>
      </c>
    </row>
    <row r="1927" spans="1:11" ht="42" customHeight="1">
      <c r="A1927" s="2" t="s">
        <v>4412</v>
      </c>
      <c r="B1927" s="2" t="s">
        <v>4413</v>
      </c>
      <c r="C1927" s="2" t="s">
        <v>16</v>
      </c>
      <c r="D1927" s="2" t="s">
        <v>17</v>
      </c>
      <c r="E1927" s="5">
        <v>-31689</v>
      </c>
      <c r="F1927" s="3" t="s">
        <v>48</v>
      </c>
      <c r="G1927" s="3" t="s">
        <v>1196</v>
      </c>
      <c r="H1927" s="2" t="s">
        <v>20</v>
      </c>
      <c r="I1927" s="2" t="s">
        <v>4414</v>
      </c>
      <c r="J1927" s="3" t="str">
        <f>HYPERLINK("https://www.boe.es/gazeta/dias/1813/03/27/pdfs/GRE-1813-38.pdf#page=5","Abrir facsímil")</f>
        <v>Abrir facsímil</v>
      </c>
      <c r="K1927" s="3" t="s">
        <v>22</v>
      </c>
    </row>
    <row r="1928" spans="1:11" ht="42" customHeight="1">
      <c r="A1928" s="2" t="s">
        <v>4415</v>
      </c>
      <c r="B1928" s="2" t="s">
        <v>4416</v>
      </c>
      <c r="C1928" s="2" t="s">
        <v>34</v>
      </c>
      <c r="D1928" s="2" t="s">
        <v>35</v>
      </c>
      <c r="E1928" s="5">
        <v>-31709</v>
      </c>
      <c r="F1928" s="3" t="s">
        <v>36</v>
      </c>
      <c r="G1928" s="3" t="s">
        <v>303</v>
      </c>
      <c r="H1928" s="2" t="s">
        <v>20</v>
      </c>
      <c r="I1928" s="2" t="s">
        <v>4417</v>
      </c>
      <c r="J1928" s="3" t="str">
        <f>HYPERLINK("https://www.boe.es/gazeta/dias/1813/03/07/pdfs/GMD-1813-66.pdf#page=3","Abrir facsímil")</f>
        <v>Abrir facsímil</v>
      </c>
      <c r="K1928" s="3" t="s">
        <v>22</v>
      </c>
    </row>
    <row r="1929" spans="1:11" ht="42" customHeight="1">
      <c r="A1929" s="2" t="s">
        <v>4418</v>
      </c>
      <c r="B1929" s="2" t="s">
        <v>4419</v>
      </c>
      <c r="C1929" s="2" t="s">
        <v>16</v>
      </c>
      <c r="D1929" s="2" t="s">
        <v>17</v>
      </c>
      <c r="E1929" s="5">
        <v>-31658</v>
      </c>
      <c r="F1929" s="3" t="s">
        <v>1113</v>
      </c>
      <c r="G1929" s="3" t="s">
        <v>1091</v>
      </c>
      <c r="H1929" s="2" t="s">
        <v>20</v>
      </c>
      <c r="I1929" s="2" t="s">
        <v>4420</v>
      </c>
      <c r="J1929" s="3" t="str">
        <f>HYPERLINK("https://www.boe.es/gazeta/dias/1813/04/27/pdfs/GRE-1813-52.pdf#page=7","Abrir facsímil")</f>
        <v>Abrir facsímil</v>
      </c>
      <c r="K1929" s="3" t="s">
        <v>22</v>
      </c>
    </row>
    <row r="1930" spans="1:11" ht="42" customHeight="1">
      <c r="A1930" s="2" t="s">
        <v>4421</v>
      </c>
      <c r="B1930" s="2" t="s">
        <v>4422</v>
      </c>
      <c r="C1930" s="2" t="s">
        <v>25</v>
      </c>
      <c r="D1930" s="2" t="s">
        <v>26</v>
      </c>
      <c r="E1930" s="5">
        <v>-31770</v>
      </c>
      <c r="F1930" s="3" t="s">
        <v>1738</v>
      </c>
      <c r="G1930" s="3" t="s">
        <v>95</v>
      </c>
      <c r="H1930" s="2" t="s">
        <v>20</v>
      </c>
      <c r="I1930" s="2" t="s">
        <v>4423</v>
      </c>
      <c r="J1930" s="3" t="str">
        <f>HYPERLINK("https://www.boe.es/gazeta/dias/1813/01/05/pdfs/GRE-1813-2.pdf#page=6","Abrir facsímil")</f>
        <v>Abrir facsímil</v>
      </c>
      <c r="K1930" s="3" t="s">
        <v>22</v>
      </c>
    </row>
    <row r="1931" spans="1:11" ht="42" customHeight="1">
      <c r="A1931" s="2" t="s">
        <v>4424</v>
      </c>
      <c r="B1931" s="2" t="s">
        <v>4425</v>
      </c>
      <c r="C1931" s="2" t="s">
        <v>277</v>
      </c>
      <c r="D1931" s="2" t="s">
        <v>26</v>
      </c>
      <c r="E1931" s="5">
        <v>-31719</v>
      </c>
      <c r="F1931" s="3" t="s">
        <v>251</v>
      </c>
      <c r="G1931" s="3" t="s">
        <v>19</v>
      </c>
      <c r="H1931" s="2" t="s">
        <v>20</v>
      </c>
      <c r="I1931" s="2" t="s">
        <v>4426</v>
      </c>
      <c r="J1931" s="3" t="str">
        <f>HYPERLINK("https://www.boe.es/gazeta/dias/1813/02/25/pdfs/GMD-1813-56.pdf#page=4","Abrir facsímil")</f>
        <v>Abrir facsímil</v>
      </c>
      <c r="K1931" s="3" t="s">
        <v>22</v>
      </c>
    </row>
    <row r="1932" spans="1:11" ht="42" customHeight="1">
      <c r="A1932" s="2" t="s">
        <v>4427</v>
      </c>
      <c r="B1932" s="2" t="s">
        <v>4428</v>
      </c>
      <c r="C1932" s="2" t="s">
        <v>34</v>
      </c>
      <c r="D1932" s="2" t="s">
        <v>35</v>
      </c>
      <c r="E1932" s="5">
        <v>-31631</v>
      </c>
      <c r="F1932" s="3" t="s">
        <v>2792</v>
      </c>
      <c r="G1932" s="3" t="s">
        <v>19</v>
      </c>
      <c r="H1932" s="2" t="s">
        <v>20</v>
      </c>
      <c r="I1932" s="2" t="s">
        <v>4429</v>
      </c>
      <c r="J1932" s="3" t="str">
        <f>HYPERLINK("https://www.boe.es/gazeta/dias/1813/05/24/pdfs/GMD-1813-144.pdf#page=4","Abrir facsímil")</f>
        <v>Abrir facsímil</v>
      </c>
      <c r="K1932" s="3" t="s">
        <v>22</v>
      </c>
    </row>
    <row r="1933" spans="1:11" ht="42" customHeight="1">
      <c r="A1933" s="2" t="s">
        <v>4430</v>
      </c>
      <c r="B1933" s="2" t="s">
        <v>4431</v>
      </c>
      <c r="C1933" s="2" t="s">
        <v>16</v>
      </c>
      <c r="D1933" s="2" t="s">
        <v>17</v>
      </c>
      <c r="E1933" s="5">
        <v>-31709</v>
      </c>
      <c r="F1933" s="3" t="s">
        <v>36</v>
      </c>
      <c r="G1933" s="3" t="s">
        <v>58</v>
      </c>
      <c r="H1933" s="2" t="s">
        <v>20</v>
      </c>
      <c r="I1933" s="2" t="s">
        <v>4432</v>
      </c>
      <c r="J1933" s="3" t="str">
        <f>HYPERLINK("https://www.boe.es/gazeta/dias/1813/03/07/pdfs/GMD-1813-66.pdf#page=2","Abrir facsímil")</f>
        <v>Abrir facsímil</v>
      </c>
      <c r="K1933" s="3" t="s">
        <v>22</v>
      </c>
    </row>
    <row r="1934" spans="1:11" ht="42" customHeight="1">
      <c r="A1934" s="2" t="s">
        <v>4433</v>
      </c>
      <c r="B1934" s="2" t="s">
        <v>4433</v>
      </c>
      <c r="C1934" s="2" t="s">
        <v>16</v>
      </c>
      <c r="D1934" s="2" t="s">
        <v>17</v>
      </c>
      <c r="E1934" s="5">
        <v>-31423</v>
      </c>
      <c r="F1934" s="3" t="s">
        <v>340</v>
      </c>
      <c r="G1934" s="3" t="s">
        <v>19</v>
      </c>
      <c r="H1934" s="2" t="s">
        <v>20</v>
      </c>
      <c r="I1934" s="2" t="s">
        <v>4434</v>
      </c>
      <c r="J1934" s="3" t="str">
        <f>HYPERLINK("https://www.boe.es/gazeta/dias/1813/12/18/pdfs/GRE-1813-166.pdf#page=4","Abrir facsímil")</f>
        <v>Abrir facsímil</v>
      </c>
      <c r="K1934" s="3" t="s">
        <v>22</v>
      </c>
    </row>
    <row r="1935" spans="1:11" ht="42" customHeight="1">
      <c r="A1935" s="2" t="s">
        <v>4435</v>
      </c>
      <c r="B1935" s="2" t="s">
        <v>4435</v>
      </c>
      <c r="C1935" s="2" t="s">
        <v>16</v>
      </c>
      <c r="D1935" s="2" t="s">
        <v>17</v>
      </c>
      <c r="E1935" s="5">
        <v>-31430</v>
      </c>
      <c r="F1935" s="3" t="s">
        <v>1161</v>
      </c>
      <c r="G1935" s="3" t="s">
        <v>58</v>
      </c>
      <c r="H1935" s="2" t="s">
        <v>20</v>
      </c>
      <c r="I1935" s="2" t="s">
        <v>4436</v>
      </c>
      <c r="J1935" s="3" t="str">
        <f>HYPERLINK("https://www.boe.es/gazeta/dias/1813/12/11/pdfs/GMR-1813-86.pdf#page=2","Abrir facsímil")</f>
        <v>Abrir facsímil</v>
      </c>
      <c r="K1935" s="3" t="s">
        <v>22</v>
      </c>
    </row>
    <row r="1936" spans="1:11" ht="42" customHeight="1">
      <c r="A1936" s="2" t="s">
        <v>4437</v>
      </c>
      <c r="B1936" s="2" t="s">
        <v>4437</v>
      </c>
      <c r="C1936" s="2" t="s">
        <v>16</v>
      </c>
      <c r="D1936" s="2" t="s">
        <v>17</v>
      </c>
      <c r="E1936" s="5">
        <v>-31453</v>
      </c>
      <c r="F1936" s="3" t="s">
        <v>887</v>
      </c>
      <c r="G1936" s="3" t="s">
        <v>82</v>
      </c>
      <c r="H1936" s="2" t="s">
        <v>20</v>
      </c>
      <c r="I1936" s="2" t="s">
        <v>4438</v>
      </c>
      <c r="J1936" s="3" t="str">
        <f>HYPERLINK("https://www.boe.es/gazeta/dias/1813/11/18/pdfs/GMR-1813-76.pdf#page=5","Abrir facsímil")</f>
        <v>Abrir facsímil</v>
      </c>
      <c r="K1936" s="3" t="s">
        <v>22</v>
      </c>
    </row>
    <row r="1937" spans="1:11" ht="42" customHeight="1">
      <c r="A1937" s="2" t="s">
        <v>4437</v>
      </c>
      <c r="B1937" s="2" t="s">
        <v>4437</v>
      </c>
      <c r="C1937" s="2" t="s">
        <v>16</v>
      </c>
      <c r="D1937" s="2" t="s">
        <v>17</v>
      </c>
      <c r="E1937" s="5">
        <v>-31430</v>
      </c>
      <c r="F1937" s="3" t="s">
        <v>1161</v>
      </c>
      <c r="G1937" s="3" t="s">
        <v>58</v>
      </c>
      <c r="H1937" s="2" t="s">
        <v>20</v>
      </c>
      <c r="I1937" s="2" t="s">
        <v>4439</v>
      </c>
      <c r="J1937" s="3" t="str">
        <f>HYPERLINK("https://www.boe.es/gazeta/dias/1813/12/11/pdfs/GMR-1813-86.pdf#page=2","Abrir facsímil")</f>
        <v>Abrir facsímil</v>
      </c>
      <c r="K1937" s="3" t="s">
        <v>22</v>
      </c>
    </row>
    <row r="1938" spans="1:11" ht="42" customHeight="1">
      <c r="A1938" s="2" t="s">
        <v>4440</v>
      </c>
      <c r="B1938" s="2" t="s">
        <v>4441</v>
      </c>
      <c r="C1938" s="2" t="s">
        <v>16</v>
      </c>
      <c r="D1938" s="2" t="s">
        <v>17</v>
      </c>
      <c r="E1938" s="5">
        <v>-31432</v>
      </c>
      <c r="F1938" s="3" t="s">
        <v>803</v>
      </c>
      <c r="G1938" s="3" t="s">
        <v>28</v>
      </c>
      <c r="H1938" s="2" t="s">
        <v>20</v>
      </c>
      <c r="I1938" s="2" t="s">
        <v>4442</v>
      </c>
      <c r="J1938" s="3" t="str">
        <f>HYPERLINK("https://www.boe.es/gazeta/dias/1813/12/09/pdfs/GRE-1813-162.pdf#page=8","Abrir facsímil")</f>
        <v>Abrir facsímil</v>
      </c>
      <c r="K1938" s="3" t="s">
        <v>22</v>
      </c>
    </row>
    <row r="1939" spans="1:11" ht="42" customHeight="1">
      <c r="A1939" s="2" t="s">
        <v>4443</v>
      </c>
      <c r="B1939" s="2" t="s">
        <v>4443</v>
      </c>
      <c r="C1939" s="2" t="s">
        <v>25</v>
      </c>
      <c r="D1939" s="2" t="s">
        <v>26</v>
      </c>
      <c r="E1939" s="5">
        <v>-31632</v>
      </c>
      <c r="F1939" s="3" t="s">
        <v>4444</v>
      </c>
      <c r="G1939" s="3" t="s">
        <v>54</v>
      </c>
      <c r="H1939" s="2" t="s">
        <v>20</v>
      </c>
      <c r="I1939" s="2" t="s">
        <v>4445</v>
      </c>
      <c r="J1939" s="3" t="str">
        <f>HYPERLINK("https://www.boe.es/gazeta/dias/1813/05/23/pdfs/GMD-1813-143.pdf#page=3","Abrir facsímil")</f>
        <v>Abrir facsímil</v>
      </c>
      <c r="K1939" s="3" t="s">
        <v>22</v>
      </c>
    </row>
    <row r="1940" spans="1:11" ht="42" customHeight="1">
      <c r="A1940" s="2" t="s">
        <v>4446</v>
      </c>
      <c r="B1940" s="2" t="s">
        <v>4446</v>
      </c>
      <c r="C1940" s="2" t="s">
        <v>25</v>
      </c>
      <c r="D1940" s="2" t="s">
        <v>26</v>
      </c>
      <c r="E1940" s="5">
        <v>-31460</v>
      </c>
      <c r="F1940" s="3" t="s">
        <v>1468</v>
      </c>
      <c r="G1940" s="3" t="s">
        <v>4447</v>
      </c>
      <c r="H1940" s="2" t="s">
        <v>20</v>
      </c>
      <c r="I1940" s="2" t="s">
        <v>4448</v>
      </c>
      <c r="J1940" s="3" t="str">
        <f>HYPERLINK("https://www.boe.es/gazeta/dias/1813/11/11/pdfs/GRE-1813-147.pdf#page=6","Abrir facsímil")</f>
        <v>Abrir facsímil</v>
      </c>
      <c r="K1940" s="3" t="s">
        <v>22</v>
      </c>
    </row>
    <row r="1941" spans="1:11" ht="42" customHeight="1">
      <c r="A1941" s="2" t="s">
        <v>4449</v>
      </c>
      <c r="B1941" s="2" t="s">
        <v>4449</v>
      </c>
      <c r="C1941" s="2" t="s">
        <v>25</v>
      </c>
      <c r="D1941" s="2" t="s">
        <v>26</v>
      </c>
      <c r="E1941" s="5">
        <v>-31664</v>
      </c>
      <c r="F1941" s="3" t="s">
        <v>1144</v>
      </c>
      <c r="G1941" s="3" t="s">
        <v>65</v>
      </c>
      <c r="H1941" s="2" t="s">
        <v>20</v>
      </c>
      <c r="I1941" s="2" t="s">
        <v>4450</v>
      </c>
      <c r="J1941" s="3" t="str">
        <f>HYPERLINK("https://www.boe.es/gazeta/dias/1813/04/21/pdfs/GMD-1813-111.pdf#page=1","Abrir facsímil")</f>
        <v>Abrir facsímil</v>
      </c>
      <c r="K1941" s="3" t="s">
        <v>22</v>
      </c>
    </row>
    <row r="1942" spans="1:11" ht="42" customHeight="1">
      <c r="A1942" s="2" t="s">
        <v>4449</v>
      </c>
      <c r="B1942" s="2" t="s">
        <v>4449</v>
      </c>
      <c r="C1942" s="2" t="s">
        <v>187</v>
      </c>
      <c r="D1942" s="2" t="s">
        <v>26</v>
      </c>
      <c r="E1942" s="5">
        <v>-31553</v>
      </c>
      <c r="F1942" s="3" t="s">
        <v>592</v>
      </c>
      <c r="G1942" s="3" t="s">
        <v>65</v>
      </c>
      <c r="H1942" s="2" t="s">
        <v>20</v>
      </c>
      <c r="I1942" s="2" t="s">
        <v>4451</v>
      </c>
      <c r="J1942" s="3" t="str">
        <f>HYPERLINK("https://www.boe.es/gazeta/dias/1813/08/10/pdfs/GRE-1813-101.pdf#page=1","Abrir facsímil")</f>
        <v>Abrir facsímil</v>
      </c>
      <c r="K1942" s="3" t="s">
        <v>22</v>
      </c>
    </row>
    <row r="1943" spans="1:11" ht="42" customHeight="1">
      <c r="A1943" s="2" t="s">
        <v>4452</v>
      </c>
      <c r="B1943" s="2" t="s">
        <v>4452</v>
      </c>
      <c r="C1943" s="2" t="s">
        <v>16</v>
      </c>
      <c r="D1943" s="2" t="s">
        <v>17</v>
      </c>
      <c r="E1943" s="5">
        <v>-31418</v>
      </c>
      <c r="F1943" s="3" t="s">
        <v>147</v>
      </c>
      <c r="G1943" s="3" t="s">
        <v>65</v>
      </c>
      <c r="H1943" s="2" t="s">
        <v>20</v>
      </c>
      <c r="I1943" s="2" t="s">
        <v>4453</v>
      </c>
      <c r="J1943" s="3" t="str">
        <f>HYPERLINK("https://www.boe.es/gazeta/dias/1813/12/23/pdfs/GRE-1813-168.pdf#page=1","Abrir facsímil")</f>
        <v>Abrir facsímil</v>
      </c>
      <c r="K1943" s="3" t="s">
        <v>22</v>
      </c>
    </row>
    <row r="1944" spans="1:11" ht="42" customHeight="1">
      <c r="A1944" s="2" t="s">
        <v>4454</v>
      </c>
      <c r="B1944" s="2" t="s">
        <v>4454</v>
      </c>
      <c r="C1944" s="2" t="s">
        <v>34</v>
      </c>
      <c r="D1944" s="2" t="s">
        <v>35</v>
      </c>
      <c r="E1944" s="5">
        <v>-31705</v>
      </c>
      <c r="F1944" s="3" t="s">
        <v>4455</v>
      </c>
      <c r="G1944" s="3" t="s">
        <v>58</v>
      </c>
      <c r="H1944" s="2" t="s">
        <v>20</v>
      </c>
      <c r="I1944" s="2" t="s">
        <v>4456</v>
      </c>
      <c r="J1944" s="3" t="str">
        <f>HYPERLINK("https://www.boe.es/gazeta/dias/1813/03/11/pdfs/GMD-1813-70.pdf#page=2","Abrir facsímil")</f>
        <v>Abrir facsímil</v>
      </c>
      <c r="K1944" s="3" t="s">
        <v>22</v>
      </c>
    </row>
    <row r="1945" spans="1:11" ht="42" customHeight="1">
      <c r="A1945" s="2" t="s">
        <v>4457</v>
      </c>
      <c r="B1945" s="2" t="s">
        <v>4458</v>
      </c>
      <c r="C1945" s="2" t="s">
        <v>16</v>
      </c>
      <c r="D1945" s="2" t="s">
        <v>17</v>
      </c>
      <c r="E1945" s="5">
        <v>-31425</v>
      </c>
      <c r="F1945" s="3" t="s">
        <v>1955</v>
      </c>
      <c r="G1945" s="3" t="s">
        <v>19</v>
      </c>
      <c r="H1945" s="2" t="s">
        <v>29</v>
      </c>
      <c r="I1945" s="2" t="s">
        <v>4459</v>
      </c>
      <c r="J1945" s="3" t="str">
        <f>HYPERLINK("https://www.boe.es/gazeta/dias/1813/12/16/pdfs/GMR-1813-88.pdf#page=4","Abrir facsímil")</f>
        <v>Abrir facsímil</v>
      </c>
      <c r="K1945" s="3" t="s">
        <v>31</v>
      </c>
    </row>
    <row r="1946" spans="1:11" ht="42" customHeight="1">
      <c r="A1946" s="2" t="s">
        <v>4460</v>
      </c>
      <c r="B1946" s="2" t="s">
        <v>4461</v>
      </c>
      <c r="C1946" s="2" t="s">
        <v>16</v>
      </c>
      <c r="D1946" s="2" t="s">
        <v>17</v>
      </c>
      <c r="E1946" s="5">
        <v>-31416</v>
      </c>
      <c r="F1946" s="3" t="s">
        <v>110</v>
      </c>
      <c r="G1946" s="3" t="s">
        <v>1590</v>
      </c>
      <c r="H1946" s="2" t="s">
        <v>20</v>
      </c>
      <c r="I1946" s="2" t="s">
        <v>4462</v>
      </c>
      <c r="J1946" s="3" t="str">
        <f>HYPERLINK("https://www.boe.es/gazeta/dias/1813/12/25/pdfs/GRE-1813-169.pdf#page=4","Abrir facsímil")</f>
        <v>Abrir facsímil</v>
      </c>
      <c r="K1946" s="3" t="s">
        <v>22</v>
      </c>
    </row>
    <row r="1947" spans="1:11" ht="42" customHeight="1">
      <c r="A1947" s="2" t="s">
        <v>4463</v>
      </c>
      <c r="B1947" s="2" t="s">
        <v>4464</v>
      </c>
      <c r="C1947" s="2" t="s">
        <v>16</v>
      </c>
      <c r="D1947" s="2" t="s">
        <v>17</v>
      </c>
      <c r="E1947" s="5">
        <v>-31430</v>
      </c>
      <c r="F1947" s="3" t="s">
        <v>1731</v>
      </c>
      <c r="G1947" s="3" t="s">
        <v>82</v>
      </c>
      <c r="H1947" s="2" t="s">
        <v>29</v>
      </c>
      <c r="I1947" s="2" t="s">
        <v>4465</v>
      </c>
      <c r="J1947" s="3" t="str">
        <f>HYPERLINK("https://www.boe.es/gazeta/dias/1813/12/11/pdfs/GRE-1813-163.pdf#page=5","Abrir facsímil")</f>
        <v>Abrir facsímil</v>
      </c>
      <c r="K1947" s="3" t="s">
        <v>31</v>
      </c>
    </row>
    <row r="1948" spans="1:11" ht="42" customHeight="1">
      <c r="A1948" s="2" t="s">
        <v>4466</v>
      </c>
      <c r="B1948" s="2" t="s">
        <v>4466</v>
      </c>
      <c r="C1948" s="2" t="s">
        <v>16</v>
      </c>
      <c r="D1948" s="2" t="s">
        <v>17</v>
      </c>
      <c r="E1948" s="5">
        <v>-31455</v>
      </c>
      <c r="F1948" s="3" t="s">
        <v>693</v>
      </c>
      <c r="G1948" s="3" t="s">
        <v>58</v>
      </c>
      <c r="H1948" s="2" t="s">
        <v>20</v>
      </c>
      <c r="I1948" s="2" t="s">
        <v>4467</v>
      </c>
      <c r="J1948" s="3" t="str">
        <f>HYPERLINK("https://www.boe.es/gazeta/dias/1813/11/16/pdfs/GRE-1813-150.pdf#page=2","Abrir facsímil")</f>
        <v>Abrir facsímil</v>
      </c>
      <c r="K1948" s="3" t="s">
        <v>22</v>
      </c>
    </row>
    <row r="1949" spans="1:11" ht="42" customHeight="1">
      <c r="A1949" s="2" t="s">
        <v>4468</v>
      </c>
      <c r="B1949" s="2" t="s">
        <v>4469</v>
      </c>
      <c r="C1949" s="2" t="s">
        <v>16</v>
      </c>
      <c r="D1949" s="2" t="s">
        <v>17</v>
      </c>
      <c r="E1949" s="5">
        <v>-31763</v>
      </c>
      <c r="F1949" s="3" t="s">
        <v>4470</v>
      </c>
      <c r="G1949" s="3" t="s">
        <v>65</v>
      </c>
      <c r="H1949" s="2" t="s">
        <v>20</v>
      </c>
      <c r="I1949" s="2" t="s">
        <v>4471</v>
      </c>
      <c r="J1949" s="3" t="str">
        <f>HYPERLINK("https://www.boe.es/gazeta/dias/1813/01/12/pdfs/GMD-1813-12.pdf#page=1","Abrir facsímil")</f>
        <v>Abrir facsímil</v>
      </c>
      <c r="K1949" s="3" t="s">
        <v>22</v>
      </c>
    </row>
    <row r="1950" spans="1:11" ht="42" customHeight="1">
      <c r="A1950" s="2" t="s">
        <v>4472</v>
      </c>
      <c r="B1950" s="2" t="s">
        <v>4472</v>
      </c>
      <c r="C1950" s="2" t="s">
        <v>16</v>
      </c>
      <c r="D1950" s="2" t="s">
        <v>17</v>
      </c>
      <c r="E1950" s="5">
        <v>-31446</v>
      </c>
      <c r="F1950" s="3" t="s">
        <v>1078</v>
      </c>
      <c r="G1950" s="3" t="s">
        <v>58</v>
      </c>
      <c r="H1950" s="2" t="s">
        <v>20</v>
      </c>
      <c r="I1950" s="2" t="s">
        <v>4473</v>
      </c>
      <c r="J1950" s="3" t="str">
        <f>HYPERLINK("https://www.boe.es/gazeta/dias/1813/11/25/pdfs/GRE-1813-154.pdf#page=2","Abrir facsímil")</f>
        <v>Abrir facsímil</v>
      </c>
      <c r="K1950" s="3" t="s">
        <v>22</v>
      </c>
    </row>
    <row r="1951" spans="1:11" ht="42" customHeight="1">
      <c r="A1951" s="2" t="s">
        <v>4474</v>
      </c>
      <c r="B1951" s="2" t="s">
        <v>4474</v>
      </c>
      <c r="C1951" s="2" t="s">
        <v>16</v>
      </c>
      <c r="D1951" s="2" t="s">
        <v>17</v>
      </c>
      <c r="E1951" s="5">
        <v>-31430</v>
      </c>
      <c r="F1951" s="3" t="s">
        <v>1731</v>
      </c>
      <c r="G1951" s="3" t="s">
        <v>58</v>
      </c>
      <c r="H1951" s="2" t="s">
        <v>20</v>
      </c>
      <c r="I1951" s="2" t="s">
        <v>4475</v>
      </c>
      <c r="J1951" s="3" t="str">
        <f>HYPERLINK("https://www.boe.es/gazeta/dias/1813/12/11/pdfs/GRE-1813-163.pdf#page=2","Abrir facsímil")</f>
        <v>Abrir facsímil</v>
      </c>
      <c r="K1951" s="3" t="s">
        <v>22</v>
      </c>
    </row>
    <row r="1952" spans="1:11" ht="42" customHeight="1">
      <c r="A1952" s="2" t="s">
        <v>4476</v>
      </c>
      <c r="B1952" s="2" t="s">
        <v>4476</v>
      </c>
      <c r="C1952" s="2" t="s">
        <v>16</v>
      </c>
      <c r="D1952" s="2" t="s">
        <v>97</v>
      </c>
      <c r="E1952" s="5">
        <v>-31499</v>
      </c>
      <c r="F1952" s="3" t="s">
        <v>220</v>
      </c>
      <c r="G1952" s="3" t="s">
        <v>1788</v>
      </c>
      <c r="H1952" s="2" t="s">
        <v>20</v>
      </c>
      <c r="I1952" s="2" t="s">
        <v>4477</v>
      </c>
      <c r="J1952" s="3" t="str">
        <f>HYPERLINK("https://www.boe.es/gazeta/dias/1813/10/03/pdfs/GMR-1813-53E.pdf#page=4","Abrir facsímil")</f>
        <v>Abrir facsímil</v>
      </c>
      <c r="K1952" s="3" t="s">
        <v>22</v>
      </c>
    </row>
    <row r="1953" spans="1:11" ht="42" customHeight="1">
      <c r="A1953" s="2" t="s">
        <v>4476</v>
      </c>
      <c r="B1953" s="2" t="s">
        <v>4476</v>
      </c>
      <c r="C1953" s="2" t="s">
        <v>16</v>
      </c>
      <c r="D1953" s="2" t="s">
        <v>17</v>
      </c>
      <c r="E1953" s="5">
        <v>-31451</v>
      </c>
      <c r="F1953" s="3" t="s">
        <v>127</v>
      </c>
      <c r="G1953" s="3" t="s">
        <v>19</v>
      </c>
      <c r="H1953" s="2" t="s">
        <v>20</v>
      </c>
      <c r="I1953" s="2" t="s">
        <v>4478</v>
      </c>
      <c r="J1953" s="3" t="str">
        <f>HYPERLINK("https://www.boe.es/gazeta/dias/1813/11/20/pdfs/GRE-1813-152.pdf#page=4","Abrir facsímil")</f>
        <v>Abrir facsímil</v>
      </c>
      <c r="K1953" s="3" t="s">
        <v>22</v>
      </c>
    </row>
    <row r="1954" spans="1:11" ht="42" customHeight="1">
      <c r="A1954" s="2" t="s">
        <v>4479</v>
      </c>
      <c r="B1954" s="2" t="s">
        <v>4479</v>
      </c>
      <c r="C1954" s="2" t="s">
        <v>16</v>
      </c>
      <c r="D1954" s="2" t="s">
        <v>17</v>
      </c>
      <c r="E1954" s="5">
        <v>-31420</v>
      </c>
      <c r="F1954" s="3" t="s">
        <v>145</v>
      </c>
      <c r="G1954" s="3" t="s">
        <v>19</v>
      </c>
      <c r="H1954" s="2" t="s">
        <v>20</v>
      </c>
      <c r="I1954" s="2" t="s">
        <v>4480</v>
      </c>
      <c r="J1954" s="3" t="str">
        <f>HYPERLINK("https://www.boe.es/gazeta/dias/1813/12/21/pdfs/GMR-1813-90.pdf#page=4","Abrir facsímil")</f>
        <v>Abrir facsímil</v>
      </c>
      <c r="K1954" s="3" t="s">
        <v>22</v>
      </c>
    </row>
    <row r="1955" spans="1:11" ht="42" customHeight="1">
      <c r="A1955" s="2" t="s">
        <v>4481</v>
      </c>
      <c r="B1955" s="2" t="s">
        <v>4481</v>
      </c>
      <c r="C1955" s="2" t="s">
        <v>16</v>
      </c>
      <c r="D1955" s="2" t="s">
        <v>17</v>
      </c>
      <c r="E1955" s="5">
        <v>-31430</v>
      </c>
      <c r="F1955" s="3" t="s">
        <v>1731</v>
      </c>
      <c r="G1955" s="3" t="s">
        <v>65</v>
      </c>
      <c r="H1955" s="2" t="s">
        <v>20</v>
      </c>
      <c r="I1955" s="2" t="s">
        <v>4482</v>
      </c>
      <c r="J1955" s="3" t="str">
        <f>HYPERLINK("https://www.boe.es/gazeta/dias/1813/12/11/pdfs/GRE-1813-163.pdf#page=1","Abrir facsímil")</f>
        <v>Abrir facsímil</v>
      </c>
      <c r="K1955" s="3" t="s">
        <v>22</v>
      </c>
    </row>
    <row r="1956" spans="1:11" ht="42" customHeight="1">
      <c r="A1956" s="2" t="s">
        <v>4483</v>
      </c>
      <c r="B1956" s="2" t="s">
        <v>4483</v>
      </c>
      <c r="C1956" s="2" t="s">
        <v>16</v>
      </c>
      <c r="D1956" s="2" t="s">
        <v>17</v>
      </c>
      <c r="E1956" s="5">
        <v>-31551</v>
      </c>
      <c r="F1956" s="3" t="s">
        <v>954</v>
      </c>
      <c r="G1956" s="3" t="s">
        <v>54</v>
      </c>
      <c r="H1956" s="2" t="s">
        <v>20</v>
      </c>
      <c r="I1956" s="2" t="s">
        <v>4484</v>
      </c>
      <c r="J1956" s="3" t="str">
        <f>HYPERLINK("https://www.boe.es/gazeta/dias/1813/08/12/pdfs/GMR-1813-27.pdf#page=3","Abrir facsímil")</f>
        <v>Abrir facsímil</v>
      </c>
      <c r="K1956" s="3" t="s">
        <v>22</v>
      </c>
    </row>
    <row r="1957" spans="1:11" ht="42" customHeight="1">
      <c r="A1957" s="2" t="s">
        <v>4485</v>
      </c>
      <c r="B1957" s="2" t="s">
        <v>4485</v>
      </c>
      <c r="C1957" s="2" t="s">
        <v>16</v>
      </c>
      <c r="D1957" s="2" t="s">
        <v>17</v>
      </c>
      <c r="E1957" s="5">
        <v>-31434</v>
      </c>
      <c r="F1957" s="3" t="s">
        <v>18</v>
      </c>
      <c r="G1957" s="3" t="s">
        <v>87</v>
      </c>
      <c r="H1957" s="2" t="s">
        <v>20</v>
      </c>
      <c r="I1957" s="2" t="s">
        <v>4486</v>
      </c>
      <c r="J1957" s="3" t="str">
        <f>HYPERLINK("https://www.boe.es/gazeta/dias/1813/12/07/pdfs/GRE-1813-161.pdf#page=7","Abrir facsímil")</f>
        <v>Abrir facsímil</v>
      </c>
      <c r="K1957" s="3" t="s">
        <v>22</v>
      </c>
    </row>
    <row r="1958" spans="1:11" ht="42" customHeight="1">
      <c r="A1958" s="2" t="s">
        <v>4487</v>
      </c>
      <c r="B1958" s="2" t="s">
        <v>4487</v>
      </c>
      <c r="C1958" s="2" t="s">
        <v>16</v>
      </c>
      <c r="D1958" s="2" t="s">
        <v>17</v>
      </c>
      <c r="E1958" s="5">
        <v>-31588</v>
      </c>
      <c r="F1958" s="3" t="s">
        <v>2402</v>
      </c>
      <c r="G1958" s="3" t="s">
        <v>54</v>
      </c>
      <c r="H1958" s="2" t="s">
        <v>20</v>
      </c>
      <c r="I1958" s="2" t="s">
        <v>4488</v>
      </c>
      <c r="J1958" s="3" t="str">
        <f>HYPERLINK("https://www.boe.es/gazeta/dias/1813/07/06/pdfs/GRE-1813-84.pdf#page=3","Abrir facsímil")</f>
        <v>Abrir facsímil</v>
      </c>
      <c r="K1958" s="3" t="s">
        <v>22</v>
      </c>
    </row>
    <row r="1959" spans="1:11" ht="42" customHeight="1">
      <c r="A1959" s="2" t="s">
        <v>4489</v>
      </c>
      <c r="B1959" s="2" t="s">
        <v>4489</v>
      </c>
      <c r="C1959" s="2" t="s">
        <v>16</v>
      </c>
      <c r="D1959" s="2" t="s">
        <v>17</v>
      </c>
      <c r="E1959" s="5">
        <v>-31497</v>
      </c>
      <c r="F1959" s="3" t="s">
        <v>223</v>
      </c>
      <c r="G1959" s="3" t="s">
        <v>95</v>
      </c>
      <c r="H1959" s="2" t="s">
        <v>20</v>
      </c>
      <c r="I1959" s="2" t="s">
        <v>4490</v>
      </c>
      <c r="J1959" s="3" t="str">
        <f>HYPERLINK("https://www.boe.es/gazeta/dias/1813/10/05/pdfs/GRE-1813-130.pdf#page=6","Abrir facsímil")</f>
        <v>Abrir facsímil</v>
      </c>
      <c r="K1959" s="3" t="s">
        <v>22</v>
      </c>
    </row>
    <row r="1960" spans="1:11" ht="42" customHeight="1">
      <c r="A1960" s="2" t="s">
        <v>4489</v>
      </c>
      <c r="B1960" s="2" t="s">
        <v>4489</v>
      </c>
      <c r="C1960" s="2" t="s">
        <v>16</v>
      </c>
      <c r="D1960" s="2" t="s">
        <v>17</v>
      </c>
      <c r="E1960" s="5">
        <v>-31481</v>
      </c>
      <c r="F1960" s="3" t="s">
        <v>380</v>
      </c>
      <c r="G1960" s="3" t="s">
        <v>54</v>
      </c>
      <c r="H1960" s="2" t="s">
        <v>20</v>
      </c>
      <c r="I1960" s="2" t="s">
        <v>4491</v>
      </c>
      <c r="J1960" s="3" t="str">
        <f>HYPERLINK("https://www.boe.es/gazeta/dias/1813/10/21/pdfs/GRE-1813-137.pdf#page=3","Abrir facsímil")</f>
        <v>Abrir facsímil</v>
      </c>
      <c r="K1960" s="3" t="s">
        <v>22</v>
      </c>
    </row>
    <row r="1961" spans="1:11" ht="42" customHeight="1">
      <c r="A1961" s="2" t="s">
        <v>4489</v>
      </c>
      <c r="B1961" s="2" t="s">
        <v>4489</v>
      </c>
      <c r="C1961" s="2" t="s">
        <v>16</v>
      </c>
      <c r="D1961" s="2" t="s">
        <v>17</v>
      </c>
      <c r="E1961" s="5">
        <v>-31462</v>
      </c>
      <c r="F1961" s="3" t="s">
        <v>1028</v>
      </c>
      <c r="G1961" s="3" t="s">
        <v>54</v>
      </c>
      <c r="H1961" s="2" t="s">
        <v>20</v>
      </c>
      <c r="I1961" s="2" t="s">
        <v>4492</v>
      </c>
      <c r="J1961" s="3" t="str">
        <f>HYPERLINK("https://www.boe.es/gazeta/dias/1813/11/09/pdfs/GMR-1813-71.pdf#page=3","Abrir facsímil")</f>
        <v>Abrir facsímil</v>
      </c>
      <c r="K1961" s="3" t="s">
        <v>22</v>
      </c>
    </row>
    <row r="1962" spans="1:11" ht="42" customHeight="1">
      <c r="A1962" s="2" t="s">
        <v>4489</v>
      </c>
      <c r="B1962" s="2" t="s">
        <v>4489</v>
      </c>
      <c r="C1962" s="2" t="s">
        <v>16</v>
      </c>
      <c r="D1962" s="2" t="s">
        <v>17</v>
      </c>
      <c r="E1962" s="5">
        <v>-31455</v>
      </c>
      <c r="F1962" s="3" t="s">
        <v>693</v>
      </c>
      <c r="G1962" s="3" t="s">
        <v>1588</v>
      </c>
      <c r="H1962" s="2" t="s">
        <v>20</v>
      </c>
      <c r="I1962" s="2" t="s">
        <v>4493</v>
      </c>
      <c r="J1962" s="3" t="str">
        <f>HYPERLINK("https://www.boe.es/gazeta/dias/1813/11/16/pdfs/GRE-1813-150.pdf#page=4","Abrir facsímil")</f>
        <v>Abrir facsímil</v>
      </c>
      <c r="K1962" s="3" t="s">
        <v>22</v>
      </c>
    </row>
    <row r="1963" spans="1:11" ht="42" customHeight="1">
      <c r="A1963" s="2" t="s">
        <v>4487</v>
      </c>
      <c r="B1963" s="2" t="s">
        <v>4487</v>
      </c>
      <c r="C1963" s="2" t="s">
        <v>16</v>
      </c>
      <c r="D1963" s="2" t="s">
        <v>17</v>
      </c>
      <c r="E1963" s="5">
        <v>-31451</v>
      </c>
      <c r="F1963" s="3" t="s">
        <v>127</v>
      </c>
      <c r="G1963" s="3" t="s">
        <v>58</v>
      </c>
      <c r="H1963" s="2" t="s">
        <v>20</v>
      </c>
      <c r="I1963" s="2" t="s">
        <v>4494</v>
      </c>
      <c r="J1963" s="3" t="str">
        <f>HYPERLINK("https://www.boe.es/gazeta/dias/1813/11/20/pdfs/GRE-1813-152.pdf#page=2","Abrir facsímil")</f>
        <v>Abrir facsímil</v>
      </c>
      <c r="K1963" s="3" t="s">
        <v>22</v>
      </c>
    </row>
    <row r="1964" spans="1:11" ht="42" customHeight="1">
      <c r="A1964" s="2" t="s">
        <v>4489</v>
      </c>
      <c r="B1964" s="2" t="s">
        <v>4489</v>
      </c>
      <c r="C1964" s="2" t="s">
        <v>16</v>
      </c>
      <c r="D1964" s="2" t="s">
        <v>17</v>
      </c>
      <c r="E1964" s="5">
        <v>-31448</v>
      </c>
      <c r="F1964" s="3" t="s">
        <v>325</v>
      </c>
      <c r="G1964" s="3" t="s">
        <v>95</v>
      </c>
      <c r="H1964" s="2" t="s">
        <v>20</v>
      </c>
      <c r="I1964" s="2" t="s">
        <v>4495</v>
      </c>
      <c r="J1964" s="3" t="str">
        <f>HYPERLINK("https://www.boe.es/gazeta/dias/1813/11/23/pdfs/GMR-1813-78.pdf#page=6","Abrir facsímil")</f>
        <v>Abrir facsímil</v>
      </c>
      <c r="K1964" s="3" t="s">
        <v>22</v>
      </c>
    </row>
    <row r="1965" spans="1:11" ht="42" customHeight="1">
      <c r="A1965" s="2" t="s">
        <v>4489</v>
      </c>
      <c r="B1965" s="2" t="s">
        <v>4489</v>
      </c>
      <c r="C1965" s="2" t="s">
        <v>16</v>
      </c>
      <c r="D1965" s="2" t="s">
        <v>17</v>
      </c>
      <c r="E1965" s="5">
        <v>-31448</v>
      </c>
      <c r="F1965" s="3" t="s">
        <v>325</v>
      </c>
      <c r="G1965" s="3" t="s">
        <v>87</v>
      </c>
      <c r="H1965" s="2" t="s">
        <v>20</v>
      </c>
      <c r="I1965" s="2" t="s">
        <v>4496</v>
      </c>
      <c r="J1965" s="3" t="str">
        <f>HYPERLINK("https://www.boe.es/gazeta/dias/1813/11/23/pdfs/GMR-1813-78.pdf#page=7","Abrir facsímil")</f>
        <v>Abrir facsímil</v>
      </c>
      <c r="K1965" s="3" t="s">
        <v>22</v>
      </c>
    </row>
    <row r="1966" spans="1:11" ht="42" customHeight="1">
      <c r="A1966" s="2" t="s">
        <v>4489</v>
      </c>
      <c r="B1966" s="2" t="s">
        <v>4489</v>
      </c>
      <c r="C1966" s="2" t="s">
        <v>16</v>
      </c>
      <c r="D1966" s="2" t="s">
        <v>17</v>
      </c>
      <c r="E1966" s="5">
        <v>-31432</v>
      </c>
      <c r="F1966" s="3" t="s">
        <v>702</v>
      </c>
      <c r="G1966" s="3" t="s">
        <v>65</v>
      </c>
      <c r="H1966" s="2" t="s">
        <v>20</v>
      </c>
      <c r="I1966" s="2" t="s">
        <v>4497</v>
      </c>
      <c r="J1966" s="3" t="str">
        <f>HYPERLINK("https://www.boe.es/gazeta/dias/1813/12/09/pdfs/GMR-1813-85.pdf#page=1","Abrir facsímil")</f>
        <v>Abrir facsímil</v>
      </c>
      <c r="K1966" s="3" t="s">
        <v>22</v>
      </c>
    </row>
    <row r="1967" spans="1:11" ht="42" customHeight="1">
      <c r="A1967" s="2" t="s">
        <v>4489</v>
      </c>
      <c r="B1967" s="2" t="s">
        <v>4489</v>
      </c>
      <c r="C1967" s="2" t="s">
        <v>16</v>
      </c>
      <c r="D1967" s="2" t="s">
        <v>17</v>
      </c>
      <c r="E1967" s="5">
        <v>-31425</v>
      </c>
      <c r="F1967" s="3" t="s">
        <v>1955</v>
      </c>
      <c r="G1967" s="3" t="s">
        <v>19</v>
      </c>
      <c r="H1967" s="2" t="s">
        <v>20</v>
      </c>
      <c r="I1967" s="2" t="s">
        <v>4498</v>
      </c>
      <c r="J1967" s="3" t="str">
        <f>HYPERLINK("https://www.boe.es/gazeta/dias/1813/12/16/pdfs/GMR-1813-88.pdf#page=4","Abrir facsímil")</f>
        <v>Abrir facsímil</v>
      </c>
      <c r="K1967" s="3" t="s">
        <v>22</v>
      </c>
    </row>
    <row r="1968" spans="1:11" ht="42" customHeight="1">
      <c r="A1968" s="2" t="s">
        <v>4489</v>
      </c>
      <c r="B1968" s="2" t="s">
        <v>4489</v>
      </c>
      <c r="C1968" s="2" t="s">
        <v>16</v>
      </c>
      <c r="D1968" s="2" t="s">
        <v>17</v>
      </c>
      <c r="E1968" s="5">
        <v>-31425</v>
      </c>
      <c r="F1968" s="3" t="s">
        <v>1955</v>
      </c>
      <c r="G1968" s="3" t="s">
        <v>82</v>
      </c>
      <c r="H1968" s="2" t="s">
        <v>20</v>
      </c>
      <c r="I1968" s="2" t="s">
        <v>4499</v>
      </c>
      <c r="J1968" s="3" t="str">
        <f>HYPERLINK("https://www.boe.es/gazeta/dias/1813/12/16/pdfs/GMR-1813-88.pdf#page=5","Abrir facsímil")</f>
        <v>Abrir facsímil</v>
      </c>
      <c r="K1968" s="3" t="s">
        <v>22</v>
      </c>
    </row>
    <row r="1969" spans="1:11" ht="42" customHeight="1">
      <c r="A1969" s="2" t="s">
        <v>4489</v>
      </c>
      <c r="B1969" s="2" t="s">
        <v>4489</v>
      </c>
      <c r="C1969" s="2" t="s">
        <v>16</v>
      </c>
      <c r="D1969" s="2" t="s">
        <v>17</v>
      </c>
      <c r="E1969" s="5">
        <v>-31420</v>
      </c>
      <c r="F1969" s="3" t="s">
        <v>145</v>
      </c>
      <c r="G1969" s="3" t="s">
        <v>19</v>
      </c>
      <c r="H1969" s="2" t="s">
        <v>20</v>
      </c>
      <c r="I1969" s="2" t="s">
        <v>4500</v>
      </c>
      <c r="J1969" s="3" t="str">
        <f>HYPERLINK("https://www.boe.es/gazeta/dias/1813/12/21/pdfs/GMR-1813-90.pdf#page=4","Abrir facsímil")</f>
        <v>Abrir facsímil</v>
      </c>
      <c r="K1969" s="3" t="s">
        <v>22</v>
      </c>
    </row>
    <row r="1970" spans="1:11" ht="42" customHeight="1">
      <c r="A1970" s="2" t="s">
        <v>4487</v>
      </c>
      <c r="B1970" s="2" t="s">
        <v>4487</v>
      </c>
      <c r="C1970" s="2" t="s">
        <v>16</v>
      </c>
      <c r="D1970" s="2" t="s">
        <v>17</v>
      </c>
      <c r="E1970" s="5">
        <v>-31416</v>
      </c>
      <c r="F1970" s="3" t="s">
        <v>110</v>
      </c>
      <c r="G1970" s="3" t="s">
        <v>1590</v>
      </c>
      <c r="H1970" s="2" t="s">
        <v>20</v>
      </c>
      <c r="I1970" s="2" t="s">
        <v>4501</v>
      </c>
      <c r="J1970" s="3" t="str">
        <f>HYPERLINK("https://www.boe.es/gazeta/dias/1813/12/25/pdfs/GRE-1813-169.pdf#page=4","Abrir facsímil")</f>
        <v>Abrir facsímil</v>
      </c>
      <c r="K1970" s="3" t="s">
        <v>22</v>
      </c>
    </row>
    <row r="1971" spans="1:11" ht="42" customHeight="1">
      <c r="A1971" s="2" t="s">
        <v>4502</v>
      </c>
      <c r="B1971" s="2" t="s">
        <v>4502</v>
      </c>
      <c r="C1971" s="2" t="s">
        <v>16</v>
      </c>
      <c r="D1971" s="2" t="s">
        <v>17</v>
      </c>
      <c r="E1971" s="5">
        <v>-31448</v>
      </c>
      <c r="F1971" s="3" t="s">
        <v>325</v>
      </c>
      <c r="G1971" s="3" t="s">
        <v>87</v>
      </c>
      <c r="H1971" s="2" t="s">
        <v>20</v>
      </c>
      <c r="I1971" s="2" t="s">
        <v>4503</v>
      </c>
      <c r="J1971" s="3" t="str">
        <f>HYPERLINK("https://www.boe.es/gazeta/dias/1813/11/23/pdfs/GMR-1813-78.pdf#page=7","Abrir facsímil")</f>
        <v>Abrir facsímil</v>
      </c>
      <c r="K1971" s="3" t="s">
        <v>22</v>
      </c>
    </row>
    <row r="1972" spans="1:11" ht="42" customHeight="1">
      <c r="A1972" s="2" t="s">
        <v>4504</v>
      </c>
      <c r="B1972" s="2" t="s">
        <v>4504</v>
      </c>
      <c r="C1972" s="2" t="s">
        <v>16</v>
      </c>
      <c r="D1972" s="2" t="s">
        <v>17</v>
      </c>
      <c r="E1972" s="5">
        <v>-31497</v>
      </c>
      <c r="F1972" s="3" t="s">
        <v>223</v>
      </c>
      <c r="G1972" s="3" t="s">
        <v>82</v>
      </c>
      <c r="H1972" s="2" t="s">
        <v>20</v>
      </c>
      <c r="I1972" s="2" t="s">
        <v>4505</v>
      </c>
      <c r="J1972" s="3" t="str">
        <f>HYPERLINK("https://www.boe.es/gazeta/dias/1813/10/05/pdfs/GRE-1813-130.pdf#page=5","Abrir facsímil")</f>
        <v>Abrir facsímil</v>
      </c>
      <c r="K1972" s="3" t="s">
        <v>22</v>
      </c>
    </row>
    <row r="1973" spans="1:11" ht="42" customHeight="1">
      <c r="A1973" s="2" t="s">
        <v>4506</v>
      </c>
      <c r="B1973" s="2" t="s">
        <v>4506</v>
      </c>
      <c r="C1973" s="2" t="s">
        <v>16</v>
      </c>
      <c r="D1973" s="2" t="s">
        <v>17</v>
      </c>
      <c r="E1973" s="5">
        <v>-31458</v>
      </c>
      <c r="F1973" s="3" t="s">
        <v>2315</v>
      </c>
      <c r="G1973" s="3" t="s">
        <v>19</v>
      </c>
      <c r="H1973" s="2" t="s">
        <v>20</v>
      </c>
      <c r="I1973" s="2" t="s">
        <v>4507</v>
      </c>
      <c r="J1973" s="3" t="str">
        <f>HYPERLINK("https://www.boe.es/gazeta/dias/1813/11/13/pdfs/GMR-1813-73.pdf#page=4","Abrir facsímil")</f>
        <v>Abrir facsímil</v>
      </c>
      <c r="K1973" s="3" t="s">
        <v>22</v>
      </c>
    </row>
    <row r="1974" spans="1:11" ht="42" customHeight="1">
      <c r="A1974" s="2" t="s">
        <v>4508</v>
      </c>
      <c r="B1974" s="2" t="s">
        <v>4508</v>
      </c>
      <c r="C1974" s="2" t="s">
        <v>16</v>
      </c>
      <c r="D1974" s="2" t="s">
        <v>17</v>
      </c>
      <c r="E1974" s="5">
        <v>-31462</v>
      </c>
      <c r="F1974" s="3" t="s">
        <v>1028</v>
      </c>
      <c r="G1974" s="3" t="s">
        <v>54</v>
      </c>
      <c r="H1974" s="2" t="s">
        <v>20</v>
      </c>
      <c r="I1974" s="2" t="s">
        <v>4509</v>
      </c>
      <c r="J1974" s="3" t="str">
        <f>HYPERLINK("https://www.boe.es/gazeta/dias/1813/11/09/pdfs/GMR-1813-71.pdf#page=3","Abrir facsímil")</f>
        <v>Abrir facsímil</v>
      </c>
      <c r="K1974" s="3" t="s">
        <v>22</v>
      </c>
    </row>
    <row r="1975" spans="1:11" ht="42" customHeight="1">
      <c r="A1975" s="2" t="s">
        <v>4510</v>
      </c>
      <c r="B1975" s="2" t="s">
        <v>4510</v>
      </c>
      <c r="C1975" s="2" t="s">
        <v>16</v>
      </c>
      <c r="D1975" s="2" t="s">
        <v>97</v>
      </c>
      <c r="E1975" s="5">
        <v>-31499</v>
      </c>
      <c r="F1975" s="3" t="s">
        <v>220</v>
      </c>
      <c r="G1975" s="3" t="s">
        <v>65</v>
      </c>
      <c r="H1975" s="2" t="s">
        <v>20</v>
      </c>
      <c r="I1975" s="2" t="s">
        <v>4511</v>
      </c>
      <c r="J1975" s="3" t="str">
        <f>HYPERLINK("https://www.boe.es/gazeta/dias/1813/10/03/pdfs/GMR-1813-53E.pdf#page=1","Abrir facsímil")</f>
        <v>Abrir facsímil</v>
      </c>
      <c r="K1975" s="3" t="s">
        <v>22</v>
      </c>
    </row>
    <row r="1976" spans="1:11" ht="42" customHeight="1">
      <c r="A1976" s="2" t="s">
        <v>4510</v>
      </c>
      <c r="B1976" s="2" t="s">
        <v>4510</v>
      </c>
      <c r="C1976" s="2" t="s">
        <v>16</v>
      </c>
      <c r="D1976" s="2" t="s">
        <v>97</v>
      </c>
      <c r="E1976" s="5">
        <v>-31499</v>
      </c>
      <c r="F1976" s="3" t="s">
        <v>220</v>
      </c>
      <c r="G1976" s="3" t="s">
        <v>54</v>
      </c>
      <c r="H1976" s="2" t="s">
        <v>20</v>
      </c>
      <c r="I1976" s="2" t="s">
        <v>4512</v>
      </c>
      <c r="J1976" s="3" t="str">
        <f>HYPERLINK("https://www.boe.es/gazeta/dias/1813/10/03/pdfs/GMR-1813-53E.pdf#page=3","Abrir facsímil")</f>
        <v>Abrir facsímil</v>
      </c>
      <c r="K1976" s="3" t="s">
        <v>22</v>
      </c>
    </row>
    <row r="1977" spans="1:11" ht="42" customHeight="1">
      <c r="A1977" s="2" t="s">
        <v>4513</v>
      </c>
      <c r="B1977" s="2" t="s">
        <v>4513</v>
      </c>
      <c r="C1977" s="2" t="s">
        <v>16</v>
      </c>
      <c r="D1977" s="2" t="s">
        <v>17</v>
      </c>
      <c r="E1977" s="5">
        <v>-31469</v>
      </c>
      <c r="F1977" s="3" t="s">
        <v>1452</v>
      </c>
      <c r="G1977" s="3" t="s">
        <v>54</v>
      </c>
      <c r="H1977" s="2" t="s">
        <v>20</v>
      </c>
      <c r="I1977" s="2" t="s">
        <v>4514</v>
      </c>
      <c r="J1977" s="3" t="str">
        <f>HYPERLINK("https://www.boe.es/gazeta/dias/1813/11/02/pdfs/GRE-1813-143.pdf#page=3","Abrir facsímil")</f>
        <v>Abrir facsímil</v>
      </c>
      <c r="K1977" s="3" t="s">
        <v>22</v>
      </c>
    </row>
    <row r="1978" spans="1:11" ht="42" customHeight="1">
      <c r="A1978" s="2" t="s">
        <v>4515</v>
      </c>
      <c r="B1978" s="2" t="s">
        <v>4515</v>
      </c>
      <c r="C1978" s="2" t="s">
        <v>16</v>
      </c>
      <c r="D1978" s="2" t="s">
        <v>17</v>
      </c>
      <c r="E1978" s="5">
        <v>-31462</v>
      </c>
      <c r="F1978" s="3" t="s">
        <v>1028</v>
      </c>
      <c r="G1978" s="3" t="s">
        <v>58</v>
      </c>
      <c r="H1978" s="2" t="s">
        <v>20</v>
      </c>
      <c r="I1978" s="2" t="s">
        <v>4516</v>
      </c>
      <c r="J1978" s="3" t="str">
        <f>HYPERLINK("https://www.boe.es/gazeta/dias/1813/11/09/pdfs/GMR-1813-71.pdf#page=2","Abrir facsímil")</f>
        <v>Abrir facsímil</v>
      </c>
      <c r="K1978" s="3" t="s">
        <v>22</v>
      </c>
    </row>
    <row r="1979" spans="1:11" ht="42" customHeight="1">
      <c r="A1979" s="2" t="s">
        <v>4517</v>
      </c>
      <c r="B1979" s="2" t="s">
        <v>4517</v>
      </c>
      <c r="C1979" s="2" t="s">
        <v>16</v>
      </c>
      <c r="D1979" s="2" t="s">
        <v>17</v>
      </c>
      <c r="E1979" s="5">
        <v>-31451</v>
      </c>
      <c r="F1979" s="3" t="s">
        <v>2325</v>
      </c>
      <c r="G1979" s="3" t="s">
        <v>58</v>
      </c>
      <c r="H1979" s="2" t="s">
        <v>20</v>
      </c>
      <c r="I1979" s="2" t="s">
        <v>4518</v>
      </c>
      <c r="J1979" s="3" t="str">
        <f>HYPERLINK("https://www.boe.es/gazeta/dias/1813/11/20/pdfs/GMR-1813-77.pdf#page=2","Abrir facsímil")</f>
        <v>Abrir facsímil</v>
      </c>
      <c r="K1979" s="3" t="s">
        <v>22</v>
      </c>
    </row>
    <row r="1980" spans="1:11" ht="42" customHeight="1">
      <c r="A1980" s="2" t="s">
        <v>4510</v>
      </c>
      <c r="B1980" s="2" t="s">
        <v>4510</v>
      </c>
      <c r="C1980" s="2" t="s">
        <v>16</v>
      </c>
      <c r="D1980" s="2" t="s">
        <v>17</v>
      </c>
      <c r="E1980" s="5">
        <v>-31448</v>
      </c>
      <c r="F1980" s="3" t="s">
        <v>325</v>
      </c>
      <c r="G1980" s="3" t="s">
        <v>87</v>
      </c>
      <c r="H1980" s="2" t="s">
        <v>20</v>
      </c>
      <c r="I1980" s="2" t="s">
        <v>4519</v>
      </c>
      <c r="J1980" s="3" t="str">
        <f>HYPERLINK("https://www.boe.es/gazeta/dias/1813/11/23/pdfs/GMR-1813-78.pdf#page=7","Abrir facsímil")</f>
        <v>Abrir facsímil</v>
      </c>
      <c r="K1980" s="3" t="s">
        <v>22</v>
      </c>
    </row>
    <row r="1981" spans="1:11" ht="42" customHeight="1">
      <c r="A1981" s="2" t="s">
        <v>4517</v>
      </c>
      <c r="B1981" s="2" t="s">
        <v>4517</v>
      </c>
      <c r="C1981" s="2" t="s">
        <v>16</v>
      </c>
      <c r="D1981" s="2" t="s">
        <v>17</v>
      </c>
      <c r="E1981" s="5">
        <v>-31418</v>
      </c>
      <c r="F1981" s="3" t="s">
        <v>147</v>
      </c>
      <c r="G1981" s="3" t="s">
        <v>58</v>
      </c>
      <c r="H1981" s="2" t="s">
        <v>20</v>
      </c>
      <c r="I1981" s="2" t="s">
        <v>4520</v>
      </c>
      <c r="J1981" s="3" t="str">
        <f>HYPERLINK("https://www.boe.es/gazeta/dias/1813/12/23/pdfs/GRE-1813-168.pdf#page=2","Abrir facsímil")</f>
        <v>Abrir facsímil</v>
      </c>
      <c r="K1981" s="3" t="s">
        <v>22</v>
      </c>
    </row>
    <row r="1982" spans="1:11" ht="42" customHeight="1">
      <c r="A1982" s="2" t="s">
        <v>4521</v>
      </c>
      <c r="B1982" s="2" t="s">
        <v>4521</v>
      </c>
      <c r="C1982" s="2" t="s">
        <v>16</v>
      </c>
      <c r="D1982" s="2" t="s">
        <v>17</v>
      </c>
      <c r="E1982" s="5">
        <v>-31474</v>
      </c>
      <c r="F1982" s="3" t="s">
        <v>130</v>
      </c>
      <c r="G1982" s="3" t="s">
        <v>95</v>
      </c>
      <c r="H1982" s="2" t="s">
        <v>20</v>
      </c>
      <c r="I1982" s="2" t="s">
        <v>4522</v>
      </c>
      <c r="J1982" s="3" t="str">
        <f>HYPERLINK("https://www.boe.es/gazeta/dias/1813/10/28/pdfs/GRE-1813-141.pdf#page=6","Abrir facsímil")</f>
        <v>Abrir facsímil</v>
      </c>
      <c r="K1982" s="3" t="s">
        <v>22</v>
      </c>
    </row>
    <row r="1983" spans="1:11" ht="42" customHeight="1">
      <c r="A1983" s="2" t="s">
        <v>4523</v>
      </c>
      <c r="B1983" s="2" t="s">
        <v>4523</v>
      </c>
      <c r="C1983" s="2" t="s">
        <v>16</v>
      </c>
      <c r="D1983" s="2" t="s">
        <v>17</v>
      </c>
      <c r="E1983" s="5">
        <v>-31532</v>
      </c>
      <c r="F1983" s="3" t="s">
        <v>1728</v>
      </c>
      <c r="G1983" s="3" t="s">
        <v>95</v>
      </c>
      <c r="H1983" s="2" t="s">
        <v>20</v>
      </c>
      <c r="I1983" s="2" t="s">
        <v>4524</v>
      </c>
      <c r="J1983" s="3" t="str">
        <f>HYPERLINK("https://www.boe.es/gazeta/dias/1813/08/31/pdfs/GMR-1813-35.pdf#page=6","Abrir facsímil")</f>
        <v>Abrir facsímil</v>
      </c>
      <c r="K1983" s="3" t="s">
        <v>22</v>
      </c>
    </row>
    <row r="1984" spans="1:11" ht="42" customHeight="1">
      <c r="A1984" s="2" t="s">
        <v>4525</v>
      </c>
      <c r="B1984" s="2" t="s">
        <v>4525</v>
      </c>
      <c r="C1984" s="2" t="s">
        <v>16</v>
      </c>
      <c r="D1984" s="2" t="s">
        <v>17</v>
      </c>
      <c r="E1984" s="5">
        <v>-31472</v>
      </c>
      <c r="F1984" s="3" t="s">
        <v>1942</v>
      </c>
      <c r="G1984" s="3" t="s">
        <v>19</v>
      </c>
      <c r="H1984" s="2" t="s">
        <v>20</v>
      </c>
      <c r="I1984" s="2" t="s">
        <v>4526</v>
      </c>
      <c r="J1984" s="3" t="str">
        <f>HYPERLINK("https://www.boe.es/gazeta/dias/1813/10/30/pdfs/GRE-1813-142.pdf#page=4","Abrir facsímil")</f>
        <v>Abrir facsímil</v>
      </c>
      <c r="K1984" s="3" t="s">
        <v>22</v>
      </c>
    </row>
    <row r="1985" spans="1:11" ht="42" customHeight="1">
      <c r="A1985" s="2" t="s">
        <v>4527</v>
      </c>
      <c r="B1985" s="2" t="s">
        <v>4527</v>
      </c>
      <c r="C1985" s="2" t="s">
        <v>16</v>
      </c>
      <c r="D1985" s="2" t="s">
        <v>17</v>
      </c>
      <c r="E1985" s="5">
        <v>-31430</v>
      </c>
      <c r="F1985" s="3" t="s">
        <v>1731</v>
      </c>
      <c r="G1985" s="3" t="s">
        <v>58</v>
      </c>
      <c r="H1985" s="2" t="s">
        <v>20</v>
      </c>
      <c r="I1985" s="2" t="s">
        <v>4528</v>
      </c>
      <c r="J1985" s="3" t="str">
        <f>HYPERLINK("https://www.boe.es/gazeta/dias/1813/12/11/pdfs/GRE-1813-163.pdf#page=2","Abrir facsímil")</f>
        <v>Abrir facsímil</v>
      </c>
      <c r="K1985" s="3" t="s">
        <v>22</v>
      </c>
    </row>
    <row r="1986" spans="1:11" ht="42" customHeight="1">
      <c r="A1986" s="2" t="s">
        <v>4529</v>
      </c>
      <c r="B1986" s="2" t="s">
        <v>4529</v>
      </c>
      <c r="C1986" s="2" t="s">
        <v>16</v>
      </c>
      <c r="D1986" s="2" t="s">
        <v>17</v>
      </c>
      <c r="E1986" s="5">
        <v>-31453</v>
      </c>
      <c r="F1986" s="3" t="s">
        <v>695</v>
      </c>
      <c r="G1986" s="3" t="s">
        <v>54</v>
      </c>
      <c r="H1986" s="2" t="s">
        <v>20</v>
      </c>
      <c r="I1986" s="2" t="s">
        <v>4530</v>
      </c>
      <c r="J1986" s="3" t="str">
        <f>HYPERLINK("https://www.boe.es/gazeta/dias/1813/11/18/pdfs/GRE-1813-151.pdf#page=3","Abrir facsímil")</f>
        <v>Abrir facsímil</v>
      </c>
      <c r="K1986" s="3" t="s">
        <v>22</v>
      </c>
    </row>
    <row r="1987" spans="1:11" ht="42" customHeight="1">
      <c r="A1987" s="2" t="s">
        <v>4531</v>
      </c>
      <c r="B1987" s="2" t="s">
        <v>4532</v>
      </c>
      <c r="C1987" s="2" t="s">
        <v>16</v>
      </c>
      <c r="D1987" s="2" t="s">
        <v>17</v>
      </c>
      <c r="E1987" s="5">
        <v>-31606</v>
      </c>
      <c r="F1987" s="3" t="s">
        <v>124</v>
      </c>
      <c r="G1987" s="3" t="s">
        <v>58</v>
      </c>
      <c r="H1987" s="2" t="s">
        <v>29</v>
      </c>
      <c r="I1987" s="2" t="s">
        <v>4533</v>
      </c>
      <c r="J1987" s="3" t="str">
        <f>HYPERLINK("https://www.boe.es/gazeta/dias/1813/06/18/pdfs/GMR-1813-7.pdf#page=2","Abrir facsímil")</f>
        <v>Abrir facsímil</v>
      </c>
      <c r="K1987" s="3" t="s">
        <v>31</v>
      </c>
    </row>
    <row r="1988" spans="1:11" ht="42" customHeight="1">
      <c r="A1988" s="2" t="s">
        <v>4534</v>
      </c>
      <c r="B1988" s="2" t="s">
        <v>4534</v>
      </c>
      <c r="C1988" s="2" t="s">
        <v>16</v>
      </c>
      <c r="D1988" s="2" t="s">
        <v>17</v>
      </c>
      <c r="E1988" s="5">
        <v>-31413</v>
      </c>
      <c r="F1988" s="3" t="s">
        <v>152</v>
      </c>
      <c r="G1988" s="3" t="s">
        <v>54</v>
      </c>
      <c r="H1988" s="2" t="s">
        <v>20</v>
      </c>
      <c r="I1988" s="2" t="s">
        <v>4535</v>
      </c>
      <c r="J1988" s="3" t="str">
        <f>HYPERLINK("https://www.boe.es/gazeta/dias/1813/12/28/pdfs/GRE-1813-170.pdf#page=3","Abrir facsímil")</f>
        <v>Abrir facsímil</v>
      </c>
      <c r="K1988" s="3" t="s">
        <v>22</v>
      </c>
    </row>
    <row r="1989" spans="1:11" ht="42" customHeight="1">
      <c r="A1989" s="2" t="s">
        <v>4536</v>
      </c>
      <c r="B1989" s="2" t="s">
        <v>4536</v>
      </c>
      <c r="C1989" s="2" t="s">
        <v>16</v>
      </c>
      <c r="D1989" s="2" t="s">
        <v>17</v>
      </c>
      <c r="E1989" s="5">
        <v>-31651</v>
      </c>
      <c r="F1989" s="3" t="s">
        <v>579</v>
      </c>
      <c r="G1989" s="3" t="s">
        <v>65</v>
      </c>
      <c r="H1989" s="2" t="s">
        <v>20</v>
      </c>
      <c r="I1989" s="2" t="s">
        <v>4537</v>
      </c>
      <c r="J1989" s="3" t="str">
        <f>HYPERLINK("https://www.boe.es/gazeta/dias/1813/05/04/pdfs/GRE-1813-55.pdf#page=1","Abrir facsímil")</f>
        <v>Abrir facsímil</v>
      </c>
      <c r="K1989" s="3" t="s">
        <v>22</v>
      </c>
    </row>
    <row r="1990" spans="1:11" ht="42" customHeight="1">
      <c r="A1990" s="2" t="s">
        <v>4538</v>
      </c>
      <c r="B1990" s="2" t="s">
        <v>4538</v>
      </c>
      <c r="C1990" s="2" t="s">
        <v>16</v>
      </c>
      <c r="D1990" s="2" t="s">
        <v>17</v>
      </c>
      <c r="E1990" s="5">
        <v>-31726</v>
      </c>
      <c r="F1990" s="3" t="s">
        <v>533</v>
      </c>
      <c r="G1990" s="3" t="s">
        <v>3365</v>
      </c>
      <c r="H1990" s="2" t="s">
        <v>20</v>
      </c>
      <c r="I1990" s="2" t="s">
        <v>4539</v>
      </c>
      <c r="J1990" s="3" t="str">
        <f>HYPERLINK("https://www.boe.es/gazeta/dias/1813/02/18/pdfs/GRE-1813-21.pdf#page=2","Abrir facsímil")</f>
        <v>Abrir facsímil</v>
      </c>
      <c r="K1990" s="3" t="s">
        <v>22</v>
      </c>
    </row>
    <row r="1991" spans="1:11" ht="42" customHeight="1">
      <c r="A1991" s="2" t="s">
        <v>4538</v>
      </c>
      <c r="B1991" s="2" t="s">
        <v>4538</v>
      </c>
      <c r="C1991" s="2" t="s">
        <v>16</v>
      </c>
      <c r="D1991" s="2" t="s">
        <v>17</v>
      </c>
      <c r="E1991" s="5">
        <v>-31726</v>
      </c>
      <c r="F1991" s="3" t="s">
        <v>533</v>
      </c>
      <c r="G1991" s="3" t="s">
        <v>1377</v>
      </c>
      <c r="H1991" s="2" t="s">
        <v>20</v>
      </c>
      <c r="I1991" s="2" t="s">
        <v>4540</v>
      </c>
      <c r="J1991" s="3" t="str">
        <f>HYPERLINK("https://www.boe.es/gazeta/dias/1813/02/18/pdfs/GRE-1813-21.pdf#page=3","Abrir facsímil")</f>
        <v>Abrir facsímil</v>
      </c>
      <c r="K1991" s="3" t="s">
        <v>22</v>
      </c>
    </row>
    <row r="1992" spans="1:11" ht="42" customHeight="1">
      <c r="A1992" s="2" t="s">
        <v>4541</v>
      </c>
      <c r="B1992" s="2" t="s">
        <v>4541</v>
      </c>
      <c r="C1992" s="2" t="s">
        <v>16</v>
      </c>
      <c r="D1992" s="2" t="s">
        <v>17</v>
      </c>
      <c r="E1992" s="5">
        <v>-31621</v>
      </c>
      <c r="F1992" s="3" t="s">
        <v>1825</v>
      </c>
      <c r="G1992" s="3" t="s">
        <v>82</v>
      </c>
      <c r="H1992" s="2" t="s">
        <v>20</v>
      </c>
      <c r="I1992" s="2" t="s">
        <v>4542</v>
      </c>
      <c r="J1992" s="3" t="str">
        <f>HYPERLINK("https://www.boe.es/gazeta/dias/1813/06/03/pdfs/GMR-1813-1.pdf#page=5","Abrir facsímil")</f>
        <v>Abrir facsímil</v>
      </c>
      <c r="K1992" s="3" t="s">
        <v>22</v>
      </c>
    </row>
    <row r="1993" spans="1:11" ht="42" customHeight="1">
      <c r="A1993" s="2" t="s">
        <v>4543</v>
      </c>
      <c r="B1993" s="2" t="s">
        <v>4543</v>
      </c>
      <c r="C1993" s="2" t="s">
        <v>16</v>
      </c>
      <c r="D1993" s="2" t="s">
        <v>17</v>
      </c>
      <c r="E1993" s="5">
        <v>-31726</v>
      </c>
      <c r="F1993" s="3" t="s">
        <v>533</v>
      </c>
      <c r="G1993" s="3" t="s">
        <v>3365</v>
      </c>
      <c r="H1993" s="2" t="s">
        <v>20</v>
      </c>
      <c r="I1993" s="2" t="s">
        <v>4544</v>
      </c>
      <c r="J1993" s="3" t="str">
        <f>HYPERLINK("https://www.boe.es/gazeta/dias/1813/02/18/pdfs/GRE-1813-21.pdf#page=2","Abrir facsímil")</f>
        <v>Abrir facsímil</v>
      </c>
      <c r="K1993" s="3" t="s">
        <v>22</v>
      </c>
    </row>
    <row r="1994" spans="1:11" ht="42" customHeight="1">
      <c r="A1994" s="2" t="s">
        <v>4543</v>
      </c>
      <c r="B1994" s="2" t="s">
        <v>4543</v>
      </c>
      <c r="C1994" s="2" t="s">
        <v>16</v>
      </c>
      <c r="D1994" s="2" t="s">
        <v>17</v>
      </c>
      <c r="E1994" s="5">
        <v>-31602</v>
      </c>
      <c r="F1994" s="3" t="s">
        <v>4545</v>
      </c>
      <c r="G1994" s="3" t="s">
        <v>65</v>
      </c>
      <c r="H1994" s="2" t="s">
        <v>20</v>
      </c>
      <c r="I1994" s="2" t="s">
        <v>4546</v>
      </c>
      <c r="J1994" s="3" t="str">
        <f>HYPERLINK("https://www.boe.es/gazeta/dias/1813/06/22/pdfs/GRE-1813-77.pdf#page=1","Abrir facsímil")</f>
        <v>Abrir facsímil</v>
      </c>
      <c r="K1994" s="3" t="s">
        <v>22</v>
      </c>
    </row>
    <row r="1995" spans="1:11" ht="42" customHeight="1">
      <c r="A1995" s="2" t="s">
        <v>4543</v>
      </c>
      <c r="B1995" s="2" t="s">
        <v>4543</v>
      </c>
      <c r="C1995" s="2" t="s">
        <v>16</v>
      </c>
      <c r="D1995" s="2" t="s">
        <v>17</v>
      </c>
      <c r="E1995" s="5">
        <v>-31602</v>
      </c>
      <c r="F1995" s="3" t="s">
        <v>4545</v>
      </c>
      <c r="G1995" s="3" t="s">
        <v>58</v>
      </c>
      <c r="H1995" s="2" t="s">
        <v>20</v>
      </c>
      <c r="I1995" s="2" t="s">
        <v>4547</v>
      </c>
      <c r="J1995" s="3" t="str">
        <f>HYPERLINK("https://www.boe.es/gazeta/dias/1813/06/22/pdfs/GRE-1813-77.pdf#page=2","Abrir facsímil")</f>
        <v>Abrir facsímil</v>
      </c>
      <c r="K1995" s="3" t="s">
        <v>22</v>
      </c>
    </row>
    <row r="1996" spans="1:11" ht="42" customHeight="1">
      <c r="A1996" s="2" t="s">
        <v>4543</v>
      </c>
      <c r="B1996" s="2" t="s">
        <v>4543</v>
      </c>
      <c r="C1996" s="2" t="s">
        <v>16</v>
      </c>
      <c r="D1996" s="2" t="s">
        <v>17</v>
      </c>
      <c r="E1996" s="5">
        <v>-31602</v>
      </c>
      <c r="F1996" s="3" t="s">
        <v>4545</v>
      </c>
      <c r="G1996" s="3" t="s">
        <v>54</v>
      </c>
      <c r="H1996" s="2" t="s">
        <v>20</v>
      </c>
      <c r="I1996" s="2" t="s">
        <v>4548</v>
      </c>
      <c r="J1996" s="3" t="str">
        <f>HYPERLINK("https://www.boe.es/gazeta/dias/1813/06/22/pdfs/GRE-1813-77.pdf#page=3","Abrir facsímil")</f>
        <v>Abrir facsímil</v>
      </c>
      <c r="K1996" s="3" t="s">
        <v>22</v>
      </c>
    </row>
    <row r="1997" spans="1:11" ht="42" customHeight="1">
      <c r="A1997" s="2" t="s">
        <v>4543</v>
      </c>
      <c r="B1997" s="2" t="s">
        <v>4543</v>
      </c>
      <c r="C1997" s="2" t="s">
        <v>16</v>
      </c>
      <c r="D1997" s="2" t="s">
        <v>17</v>
      </c>
      <c r="E1997" s="5">
        <v>-31600</v>
      </c>
      <c r="F1997" s="3" t="s">
        <v>2121</v>
      </c>
      <c r="G1997" s="3" t="s">
        <v>65</v>
      </c>
      <c r="H1997" s="2" t="s">
        <v>20</v>
      </c>
      <c r="I1997" s="2" t="s">
        <v>4549</v>
      </c>
      <c r="J1997" s="3" t="str">
        <f>HYPERLINK("https://www.boe.es/gazeta/dias/1813/06/24/pdfs/GRE-1813-78.pdf#page=1","Abrir facsímil")</f>
        <v>Abrir facsímil</v>
      </c>
      <c r="K1997" s="3" t="s">
        <v>22</v>
      </c>
    </row>
    <row r="1998" spans="1:11" ht="42" customHeight="1">
      <c r="A1998" s="2" t="s">
        <v>4543</v>
      </c>
      <c r="B1998" s="2" t="s">
        <v>4543</v>
      </c>
      <c r="C1998" s="2" t="s">
        <v>16</v>
      </c>
      <c r="D1998" s="2" t="s">
        <v>17</v>
      </c>
      <c r="E1998" s="5">
        <v>-31448</v>
      </c>
      <c r="F1998" s="3" t="s">
        <v>57</v>
      </c>
      <c r="G1998" s="3" t="s">
        <v>2218</v>
      </c>
      <c r="H1998" s="2" t="s">
        <v>20</v>
      </c>
      <c r="I1998" s="2" t="s">
        <v>4550</v>
      </c>
      <c r="J1998" s="3" t="str">
        <f>HYPERLINK("https://www.boe.es/gazeta/dias/1813/11/23/pdfs/GRE-1813-153.pdf#page=4","Abrir facsímil")</f>
        <v>Abrir facsímil</v>
      </c>
      <c r="K1998" s="3" t="s">
        <v>22</v>
      </c>
    </row>
    <row r="1999" spans="1:11" ht="42" customHeight="1">
      <c r="A1999" s="2" t="s">
        <v>4551</v>
      </c>
      <c r="B1999" s="2" t="s">
        <v>4552</v>
      </c>
      <c r="C1999" s="2" t="s">
        <v>25</v>
      </c>
      <c r="D1999" s="2" t="s">
        <v>26</v>
      </c>
      <c r="E1999" s="5">
        <v>-31559</v>
      </c>
      <c r="F1999" s="3" t="s">
        <v>1485</v>
      </c>
      <c r="G1999" s="3" t="s">
        <v>1486</v>
      </c>
      <c r="H1999" s="2" t="s">
        <v>29</v>
      </c>
      <c r="I1999" s="2" t="s">
        <v>4553</v>
      </c>
      <c r="J1999" s="3" t="str">
        <f>HYPERLINK("https://www.boe.es/gazeta/dias/1813/08/04/pdfs/GRE-1813-113.pdf#page=8","Abrir facsímil")</f>
        <v>Abrir facsímil</v>
      </c>
      <c r="K1999" s="3" t="s">
        <v>31</v>
      </c>
    </row>
    <row r="2000" spans="1:11" ht="42" customHeight="1">
      <c r="A2000" s="2" t="s">
        <v>4551</v>
      </c>
      <c r="B2000" s="2" t="s">
        <v>4552</v>
      </c>
      <c r="C2000" s="2" t="s">
        <v>25</v>
      </c>
      <c r="D2000" s="2" t="s">
        <v>26</v>
      </c>
      <c r="E2000" s="5">
        <v>-31528</v>
      </c>
      <c r="F2000" s="3" t="s">
        <v>1485</v>
      </c>
      <c r="G2000" s="3" t="s">
        <v>1486</v>
      </c>
      <c r="H2000" s="2" t="s">
        <v>29</v>
      </c>
      <c r="I2000" s="2" t="s">
        <v>4553</v>
      </c>
      <c r="J2000" s="3" t="str">
        <f>HYPERLINK("https://www.boe.es/gazeta/dias/1813/09/04/pdfs/GRE-1813-113.pdf#page=8","Abrir facsímil")</f>
        <v>Abrir facsímil</v>
      </c>
      <c r="K2000" s="3" t="s">
        <v>31</v>
      </c>
    </row>
    <row r="2001" spans="1:11" ht="42" customHeight="1">
      <c r="A2001" s="2" t="s">
        <v>4554</v>
      </c>
      <c r="B2001" s="2" t="s">
        <v>4555</v>
      </c>
      <c r="C2001" s="2" t="s">
        <v>25</v>
      </c>
      <c r="D2001" s="2" t="s">
        <v>26</v>
      </c>
      <c r="E2001" s="5">
        <v>-31675</v>
      </c>
      <c r="F2001" s="3" t="s">
        <v>27</v>
      </c>
      <c r="G2001" s="3" t="s">
        <v>648</v>
      </c>
      <c r="H2001" s="2" t="s">
        <v>29</v>
      </c>
      <c r="I2001" s="2" t="s">
        <v>4556</v>
      </c>
      <c r="J2001" s="3" t="str">
        <f>HYPERLINK("https://www.boe.es/gazeta/dias/1813/04/10/pdfs/GRE-1813-44.pdf#page=7","Abrir facsímil")</f>
        <v>Abrir facsímil</v>
      </c>
      <c r="K2001" s="3" t="s">
        <v>31</v>
      </c>
    </row>
    <row r="2002" spans="1:11" ht="42" customHeight="1">
      <c r="A2002" s="2" t="s">
        <v>4557</v>
      </c>
      <c r="B2002" s="2" t="s">
        <v>4558</v>
      </c>
      <c r="C2002" s="2" t="s">
        <v>16</v>
      </c>
      <c r="D2002" s="2" t="s">
        <v>17</v>
      </c>
      <c r="E2002" s="5">
        <v>-31453</v>
      </c>
      <c r="F2002" s="3" t="s">
        <v>887</v>
      </c>
      <c r="G2002" s="3" t="s">
        <v>4559</v>
      </c>
      <c r="H2002" s="2" t="s">
        <v>29</v>
      </c>
      <c r="I2002" s="2" t="s">
        <v>4560</v>
      </c>
      <c r="J2002" s="3" t="str">
        <f>HYPERLINK("https://www.boe.es/gazeta/dias/1813/11/18/pdfs/GMR-1813-76.pdf#page=12","Abrir facsímil")</f>
        <v>Abrir facsímil</v>
      </c>
      <c r="K2002" s="3" t="s">
        <v>31</v>
      </c>
    </row>
    <row r="2003" spans="1:11" ht="42" customHeight="1">
      <c r="A2003" s="2" t="s">
        <v>4561</v>
      </c>
      <c r="B2003" s="2" t="s">
        <v>4562</v>
      </c>
      <c r="C2003" s="2" t="s">
        <v>16</v>
      </c>
      <c r="D2003" s="2" t="s">
        <v>97</v>
      </c>
      <c r="E2003" s="5">
        <v>-31623</v>
      </c>
      <c r="F2003" s="3" t="s">
        <v>786</v>
      </c>
      <c r="G2003" s="3" t="s">
        <v>65</v>
      </c>
      <c r="H2003" s="2" t="s">
        <v>29</v>
      </c>
      <c r="I2003" s="2" t="s">
        <v>4563</v>
      </c>
      <c r="J2003" s="3" t="str">
        <f>HYPERLINK("https://www.boe.es/gazeta/dias/1813/06/01/pdfs/GRE-1813-68E.pdf#page=1","Abrir facsímil")</f>
        <v>Abrir facsímil</v>
      </c>
      <c r="K2003" s="3" t="s">
        <v>31</v>
      </c>
    </row>
    <row r="2004" spans="1:11" ht="42" customHeight="1">
      <c r="A2004" s="2" t="s">
        <v>4564</v>
      </c>
      <c r="B2004" s="2" t="s">
        <v>4565</v>
      </c>
      <c r="C2004" s="2" t="s">
        <v>16</v>
      </c>
      <c r="D2004" s="2" t="s">
        <v>17</v>
      </c>
      <c r="E2004" s="5">
        <v>-31542</v>
      </c>
      <c r="F2004" s="3" t="s">
        <v>347</v>
      </c>
      <c r="G2004" s="3" t="s">
        <v>28</v>
      </c>
      <c r="H2004" s="2" t="s">
        <v>29</v>
      </c>
      <c r="I2004" s="2" t="s">
        <v>4566</v>
      </c>
      <c r="J2004" s="3" t="str">
        <f>HYPERLINK("https://www.boe.es/gazeta/dias/1813/08/21/pdfs/GMR-1813-31.pdf#page=8","Abrir facsímil")</f>
        <v>Abrir facsímil</v>
      </c>
      <c r="K2004" s="3" t="s">
        <v>31</v>
      </c>
    </row>
    <row r="2005" spans="1:11" ht="42" customHeight="1">
      <c r="A2005" s="2" t="s">
        <v>4567</v>
      </c>
      <c r="B2005" s="2" t="s">
        <v>4568</v>
      </c>
      <c r="C2005" s="2" t="s">
        <v>34</v>
      </c>
      <c r="D2005" s="2" t="s">
        <v>35</v>
      </c>
      <c r="E2005" s="5">
        <v>-31732</v>
      </c>
      <c r="F2005" s="3" t="s">
        <v>1904</v>
      </c>
      <c r="G2005" s="3" t="s">
        <v>19</v>
      </c>
      <c r="H2005" s="2" t="s">
        <v>29</v>
      </c>
      <c r="I2005" s="2" t="s">
        <v>4569</v>
      </c>
      <c r="J2005" s="3" t="str">
        <f>HYPERLINK("https://www.boe.es/gazeta/dias/1813/02/12/pdfs/GMD-1813-43.pdf#page=4","Abrir facsímil")</f>
        <v>Abrir facsímil</v>
      </c>
      <c r="K2005" s="3" t="s">
        <v>31</v>
      </c>
    </row>
    <row r="2006" spans="1:11" ht="42" customHeight="1">
      <c r="A2006" s="2" t="s">
        <v>4570</v>
      </c>
      <c r="B2006" s="2" t="s">
        <v>4571</v>
      </c>
      <c r="C2006" s="2" t="s">
        <v>16</v>
      </c>
      <c r="D2006" s="2" t="s">
        <v>17</v>
      </c>
      <c r="E2006" s="5">
        <v>-31738</v>
      </c>
      <c r="F2006" s="3" t="s">
        <v>556</v>
      </c>
      <c r="G2006" s="3" t="s">
        <v>28</v>
      </c>
      <c r="H2006" s="2" t="s">
        <v>29</v>
      </c>
      <c r="I2006" s="2" t="s">
        <v>4572</v>
      </c>
      <c r="J2006" s="3" t="str">
        <f>HYPERLINK("https://www.boe.es/gazeta/dias/1813/02/06/pdfs/GRE-1813-16.pdf#page=8","Abrir facsímil")</f>
        <v>Abrir facsímil</v>
      </c>
      <c r="K2006" s="3" t="s">
        <v>31</v>
      </c>
    </row>
    <row r="2007" spans="1:11" ht="42" customHeight="1">
      <c r="A2007" s="2" t="s">
        <v>4573</v>
      </c>
      <c r="B2007" s="2" t="s">
        <v>4574</v>
      </c>
      <c r="C2007" s="2" t="s">
        <v>16</v>
      </c>
      <c r="D2007" s="2" t="s">
        <v>97</v>
      </c>
      <c r="E2007" s="5">
        <v>-31519</v>
      </c>
      <c r="F2007" s="3" t="s">
        <v>312</v>
      </c>
      <c r="G2007" s="3" t="s">
        <v>28</v>
      </c>
      <c r="H2007" s="2" t="s">
        <v>29</v>
      </c>
      <c r="I2007" s="2" t="s">
        <v>4575</v>
      </c>
      <c r="J2007" s="3" t="str">
        <f>HYPERLINK("https://www.boe.es/gazeta/dias/1813/09/13/pdfs/GRE-1813-118E.pdf#page=8","Abrir facsímil")</f>
        <v>Abrir facsímil</v>
      </c>
      <c r="K2007" s="3" t="s">
        <v>31</v>
      </c>
    </row>
    <row r="2008" spans="1:11" ht="42" customHeight="1">
      <c r="A2008" s="2" t="s">
        <v>4576</v>
      </c>
      <c r="B2008" s="2" t="s">
        <v>4577</v>
      </c>
      <c r="C2008" s="2" t="s">
        <v>16</v>
      </c>
      <c r="D2008" s="2" t="s">
        <v>17</v>
      </c>
      <c r="E2008" s="5">
        <v>-31467</v>
      </c>
      <c r="F2008" s="3" t="s">
        <v>120</v>
      </c>
      <c r="G2008" s="3" t="s">
        <v>82</v>
      </c>
      <c r="H2008" s="2" t="s">
        <v>29</v>
      </c>
      <c r="I2008" s="2" t="s">
        <v>4578</v>
      </c>
      <c r="J2008" s="3" t="str">
        <f>HYPERLINK("https://www.boe.es/gazeta/dias/1813/11/04/pdfs/GMR-1813-68.pdf#page=5","Abrir facsímil")</f>
        <v>Abrir facsímil</v>
      </c>
      <c r="K2008" s="3" t="s">
        <v>31</v>
      </c>
    </row>
    <row r="2009" spans="1:11" ht="42" customHeight="1">
      <c r="A2009" s="2" t="s">
        <v>4579</v>
      </c>
      <c r="B2009" s="2" t="s">
        <v>4580</v>
      </c>
      <c r="C2009" s="2" t="s">
        <v>16</v>
      </c>
      <c r="D2009" s="2" t="s">
        <v>17</v>
      </c>
      <c r="E2009" s="5">
        <v>-31537</v>
      </c>
      <c r="F2009" s="3" t="s">
        <v>138</v>
      </c>
      <c r="G2009" s="3" t="s">
        <v>82</v>
      </c>
      <c r="H2009" s="2" t="s">
        <v>29</v>
      </c>
      <c r="I2009" s="2" t="s">
        <v>4581</v>
      </c>
      <c r="J2009" s="3" t="str">
        <f>HYPERLINK("https://www.boe.es/gazeta/dias/1813/08/26/pdfs/GMR-1813-33.pdf#page=5","Abrir facsímil")</f>
        <v>Abrir facsímil</v>
      </c>
      <c r="K2009" s="3" t="s">
        <v>31</v>
      </c>
    </row>
    <row r="2010" spans="1:11" ht="42" customHeight="1">
      <c r="A2010" s="2" t="s">
        <v>4582</v>
      </c>
      <c r="B2010" s="2" t="s">
        <v>4583</v>
      </c>
      <c r="C2010" s="2" t="s">
        <v>25</v>
      </c>
      <c r="D2010" s="2" t="s">
        <v>26</v>
      </c>
      <c r="E2010" s="5">
        <v>-31416</v>
      </c>
      <c r="F2010" s="3" t="s">
        <v>278</v>
      </c>
      <c r="G2010" s="3" t="s">
        <v>207</v>
      </c>
      <c r="H2010" s="2" t="s">
        <v>29</v>
      </c>
      <c r="I2010" s="2" t="s">
        <v>4584</v>
      </c>
      <c r="J2010" s="3" t="str">
        <f>HYPERLINK("https://www.boe.es/gazeta/dias/1813/12/25/pdfs/GMR-1813-92.pdf#page=10","Abrir facsímil")</f>
        <v>Abrir facsímil</v>
      </c>
      <c r="K2010" s="3" t="s">
        <v>31</v>
      </c>
    </row>
    <row r="2011" spans="1:11" ht="42" customHeight="1">
      <c r="A2011" s="2" t="s">
        <v>4585</v>
      </c>
      <c r="B2011" s="2" t="s">
        <v>4585</v>
      </c>
      <c r="C2011" s="2" t="s">
        <v>16</v>
      </c>
      <c r="D2011" s="2" t="s">
        <v>17</v>
      </c>
      <c r="E2011" s="5">
        <v>-31582</v>
      </c>
      <c r="F2011" s="3" t="s">
        <v>907</v>
      </c>
      <c r="G2011" s="3" t="s">
        <v>19</v>
      </c>
      <c r="H2011" s="2" t="s">
        <v>20</v>
      </c>
      <c r="I2011" s="2" t="s">
        <v>4586</v>
      </c>
      <c r="J2011" s="3" t="str">
        <f>HYPERLINK("https://www.boe.es/gazeta/dias/1813/07/12/pdfs/GRE-1813-87.pdf#page=4","Abrir facsímil")</f>
        <v>Abrir facsímil</v>
      </c>
      <c r="K2011" s="3" t="s">
        <v>22</v>
      </c>
    </row>
    <row r="2012" spans="1:11" ht="42" customHeight="1">
      <c r="A2012" s="2" t="s">
        <v>4585</v>
      </c>
      <c r="B2012" s="2" t="s">
        <v>4585</v>
      </c>
      <c r="C2012" s="2" t="s">
        <v>16</v>
      </c>
      <c r="D2012" s="2" t="s">
        <v>17</v>
      </c>
      <c r="E2012" s="5">
        <v>-31571</v>
      </c>
      <c r="F2012" s="3" t="s">
        <v>788</v>
      </c>
      <c r="G2012" s="3" t="s">
        <v>2657</v>
      </c>
      <c r="H2012" s="2" t="s">
        <v>20</v>
      </c>
      <c r="I2012" s="2" t="s">
        <v>4587</v>
      </c>
      <c r="J2012" s="3" t="str">
        <f>HYPERLINK("https://www.boe.es/gazeta/dias/1813/07/23/pdfs/GMR-1813-20.pdf#page=11","Abrir facsímil")</f>
        <v>Abrir facsímil</v>
      </c>
      <c r="K2012" s="3" t="s">
        <v>22</v>
      </c>
    </row>
    <row r="2013" spans="1:11" ht="42" customHeight="1">
      <c r="A2013" s="2" t="s">
        <v>4588</v>
      </c>
      <c r="B2013" s="2" t="s">
        <v>4588</v>
      </c>
      <c r="C2013" s="2" t="s">
        <v>109</v>
      </c>
      <c r="D2013" s="2" t="s">
        <v>26</v>
      </c>
      <c r="E2013" s="5">
        <v>-31712</v>
      </c>
      <c r="F2013" s="3" t="s">
        <v>719</v>
      </c>
      <c r="G2013" s="3" t="s">
        <v>58</v>
      </c>
      <c r="H2013" s="2" t="s">
        <v>20</v>
      </c>
      <c r="I2013" s="2" t="s">
        <v>4589</v>
      </c>
      <c r="J2013" s="3" t="str">
        <f>HYPERLINK("https://www.boe.es/gazeta/dias/1813/03/04/pdfs/GMD-1813-63.pdf#page=2","Abrir facsímil")</f>
        <v>Abrir facsímil</v>
      </c>
      <c r="K2013" s="3" t="s">
        <v>22</v>
      </c>
    </row>
    <row r="2014" spans="1:11" ht="42" customHeight="1">
      <c r="A2014" s="2" t="s">
        <v>4590</v>
      </c>
      <c r="B2014" s="2" t="s">
        <v>4590</v>
      </c>
      <c r="C2014" s="2" t="s">
        <v>16</v>
      </c>
      <c r="D2014" s="2" t="s">
        <v>17</v>
      </c>
      <c r="E2014" s="5">
        <v>-31735</v>
      </c>
      <c r="F2014" s="3" t="s">
        <v>558</v>
      </c>
      <c r="G2014" s="3" t="s">
        <v>4591</v>
      </c>
      <c r="H2014" s="2" t="s">
        <v>20</v>
      </c>
      <c r="I2014" s="2" t="s">
        <v>4592</v>
      </c>
      <c r="J2014" s="3" t="str">
        <f>HYPERLINK("https://www.boe.es/gazeta/dias/1813/02/09/pdfs/GRE-1813-17.pdf#page=6","Abrir facsímil")</f>
        <v>Abrir facsímil</v>
      </c>
      <c r="K2014" s="3" t="s">
        <v>22</v>
      </c>
    </row>
    <row r="2015" spans="1:11" ht="42" customHeight="1">
      <c r="A2015" s="2" t="s">
        <v>4593</v>
      </c>
      <c r="B2015" s="2" t="s">
        <v>4593</v>
      </c>
      <c r="C2015" s="2" t="s">
        <v>34</v>
      </c>
      <c r="D2015" s="2" t="s">
        <v>35</v>
      </c>
      <c r="E2015" s="5">
        <v>-31462</v>
      </c>
      <c r="F2015" s="3" t="s">
        <v>1028</v>
      </c>
      <c r="G2015" s="3" t="s">
        <v>1029</v>
      </c>
      <c r="H2015" s="2" t="s">
        <v>20</v>
      </c>
      <c r="I2015" s="2" t="s">
        <v>4594</v>
      </c>
      <c r="J2015" s="3" t="str">
        <f>HYPERLINK("https://www.boe.es/gazeta/dias/1813/11/09/pdfs/GMR-1813-71.pdf#page=8","Abrir facsímil")</f>
        <v>Abrir facsímil</v>
      </c>
      <c r="K2015" s="3" t="s">
        <v>22</v>
      </c>
    </row>
    <row r="2016" spans="1:11" ht="42" customHeight="1">
      <c r="A2016" s="2" t="s">
        <v>4595</v>
      </c>
      <c r="B2016" s="2" t="s">
        <v>4595</v>
      </c>
      <c r="C2016" s="2" t="s">
        <v>16</v>
      </c>
      <c r="D2016" s="2" t="s">
        <v>17</v>
      </c>
      <c r="E2016" s="5">
        <v>-31571</v>
      </c>
      <c r="F2016" s="3" t="s">
        <v>788</v>
      </c>
      <c r="G2016" s="3" t="s">
        <v>82</v>
      </c>
      <c r="H2016" s="2" t="s">
        <v>20</v>
      </c>
      <c r="I2016" s="2" t="s">
        <v>4596</v>
      </c>
      <c r="J2016" s="3" t="str">
        <f>HYPERLINK("https://www.boe.es/gazeta/dias/1813/07/23/pdfs/GMR-1813-20.pdf#page=5","Abrir facsímil")</f>
        <v>Abrir facsímil</v>
      </c>
      <c r="K2016" s="3" t="s">
        <v>22</v>
      </c>
    </row>
    <row r="2017" spans="1:11" ht="42" customHeight="1">
      <c r="A2017" s="2" t="s">
        <v>4597</v>
      </c>
      <c r="B2017" s="2" t="s">
        <v>4597</v>
      </c>
      <c r="C2017" s="2" t="s">
        <v>16</v>
      </c>
      <c r="D2017" s="2" t="s">
        <v>17</v>
      </c>
      <c r="E2017" s="5">
        <v>-31637</v>
      </c>
      <c r="F2017" s="3" t="s">
        <v>855</v>
      </c>
      <c r="G2017" s="3" t="s">
        <v>65</v>
      </c>
      <c r="H2017" s="2" t="s">
        <v>20</v>
      </c>
      <c r="I2017" s="2" t="s">
        <v>4598</v>
      </c>
      <c r="J2017" s="3" t="str">
        <f>HYPERLINK("https://www.boe.es/gazeta/dias/1813/05/18/pdfs/GMD-1813-138.pdf#page=1","Abrir facsímil")</f>
        <v>Abrir facsímil</v>
      </c>
      <c r="K2017" s="3" t="s">
        <v>22</v>
      </c>
    </row>
    <row r="2018" spans="1:11" ht="42" customHeight="1">
      <c r="A2018" s="2" t="s">
        <v>4599</v>
      </c>
      <c r="B2018" s="2" t="s">
        <v>4599</v>
      </c>
      <c r="C2018" s="2" t="s">
        <v>16</v>
      </c>
      <c r="D2018" s="2" t="s">
        <v>17</v>
      </c>
      <c r="E2018" s="5">
        <v>-31511</v>
      </c>
      <c r="F2018" s="3" t="s">
        <v>935</v>
      </c>
      <c r="G2018" s="3" t="s">
        <v>207</v>
      </c>
      <c r="H2018" s="2" t="s">
        <v>20</v>
      </c>
      <c r="I2018" s="2" t="s">
        <v>4600</v>
      </c>
      <c r="J2018" s="3" t="str">
        <f>HYPERLINK("https://www.boe.es/gazeta/dias/1813/09/21/pdfs/GMR-1813-46.pdf#page=10","Abrir facsímil")</f>
        <v>Abrir facsímil</v>
      </c>
      <c r="K2018" s="3" t="s">
        <v>22</v>
      </c>
    </row>
    <row r="2019" spans="1:11" ht="42" customHeight="1">
      <c r="A2019" s="2" t="s">
        <v>4601</v>
      </c>
      <c r="B2019" s="2" t="s">
        <v>4601</v>
      </c>
      <c r="C2019" s="2" t="s">
        <v>16</v>
      </c>
      <c r="D2019" s="2" t="s">
        <v>97</v>
      </c>
      <c r="E2019" s="5">
        <v>-31519</v>
      </c>
      <c r="F2019" s="3" t="s">
        <v>312</v>
      </c>
      <c r="G2019" s="3" t="s">
        <v>19</v>
      </c>
      <c r="H2019" s="2" t="s">
        <v>20</v>
      </c>
      <c r="I2019" s="2" t="s">
        <v>4602</v>
      </c>
      <c r="J2019" s="3" t="str">
        <f>HYPERLINK("https://www.boe.es/gazeta/dias/1813/09/13/pdfs/GRE-1813-118E.pdf#page=4","Abrir facsímil")</f>
        <v>Abrir facsímil</v>
      </c>
      <c r="K2019" s="3" t="s">
        <v>22</v>
      </c>
    </row>
    <row r="2020" spans="1:11" ht="42" customHeight="1">
      <c r="A2020" s="2" t="s">
        <v>4603</v>
      </c>
      <c r="B2020" s="2" t="s">
        <v>4603</v>
      </c>
      <c r="C2020" s="2" t="s">
        <v>34</v>
      </c>
      <c r="D2020" s="2" t="s">
        <v>35</v>
      </c>
      <c r="E2020" s="5">
        <v>-31739</v>
      </c>
      <c r="F2020" s="3" t="s">
        <v>784</v>
      </c>
      <c r="G2020" s="3" t="s">
        <v>65</v>
      </c>
      <c r="H2020" s="2" t="s">
        <v>20</v>
      </c>
      <c r="I2020" s="2" t="s">
        <v>4604</v>
      </c>
      <c r="J2020" s="3" t="str">
        <f>HYPERLINK("https://www.boe.es/gazeta/dias/1813/02/05/pdfs/GMD-1813-36.pdf#page=1","Abrir facsímil")</f>
        <v>Abrir facsímil</v>
      </c>
      <c r="K2020" s="3" t="s">
        <v>22</v>
      </c>
    </row>
    <row r="2021" spans="1:11" ht="42" customHeight="1">
      <c r="A2021" s="2" t="s">
        <v>4605</v>
      </c>
      <c r="B2021" s="2" t="s">
        <v>4605</v>
      </c>
      <c r="C2021" s="2" t="s">
        <v>16</v>
      </c>
      <c r="D2021" s="2" t="s">
        <v>17</v>
      </c>
      <c r="E2021" s="5">
        <v>-31585</v>
      </c>
      <c r="F2021" s="3" t="s">
        <v>177</v>
      </c>
      <c r="G2021" s="3" t="s">
        <v>207</v>
      </c>
      <c r="H2021" s="2" t="s">
        <v>20</v>
      </c>
      <c r="I2021" s="2" t="s">
        <v>4606</v>
      </c>
      <c r="J2021" s="3" t="str">
        <f>HYPERLINK("https://www.boe.es/gazeta/dias/1813/07/09/pdfs/GMR-1813-16.pdf#page=10","Abrir facsímil")</f>
        <v>Abrir facsímil</v>
      </c>
      <c r="K2021" s="3" t="s">
        <v>22</v>
      </c>
    </row>
    <row r="2022" spans="1:11" ht="42" customHeight="1">
      <c r="A2022" s="2" t="s">
        <v>4607</v>
      </c>
      <c r="B2022" s="2" t="s">
        <v>4607</v>
      </c>
      <c r="C2022" s="2" t="s">
        <v>16</v>
      </c>
      <c r="D2022" s="2" t="s">
        <v>17</v>
      </c>
      <c r="E2022" s="5">
        <v>-31537</v>
      </c>
      <c r="F2022" s="3" t="s">
        <v>138</v>
      </c>
      <c r="G2022" s="3" t="s">
        <v>178</v>
      </c>
      <c r="H2022" s="2" t="s">
        <v>20</v>
      </c>
      <c r="I2022" s="2" t="s">
        <v>4608</v>
      </c>
      <c r="J2022" s="3" t="str">
        <f>HYPERLINK("https://www.boe.es/gazeta/dias/1813/08/26/pdfs/GMR-1813-33.pdf#page=11","Abrir facsímil")</f>
        <v>Abrir facsímil</v>
      </c>
      <c r="K2022" s="3" t="s">
        <v>22</v>
      </c>
    </row>
    <row r="2023" spans="1:11" ht="42" customHeight="1">
      <c r="A2023" s="2" t="s">
        <v>4609</v>
      </c>
      <c r="B2023" s="2" t="s">
        <v>4609</v>
      </c>
      <c r="C2023" s="2" t="s">
        <v>16</v>
      </c>
      <c r="D2023" s="2" t="s">
        <v>17</v>
      </c>
      <c r="E2023" s="5">
        <v>-31592</v>
      </c>
      <c r="F2023" s="3" t="s">
        <v>175</v>
      </c>
      <c r="G2023" s="3" t="s">
        <v>82</v>
      </c>
      <c r="H2023" s="2" t="s">
        <v>20</v>
      </c>
      <c r="I2023" s="2" t="s">
        <v>4610</v>
      </c>
      <c r="J2023" s="3" t="str">
        <f>HYPERLINK("https://www.boe.es/gazeta/dias/1813/07/02/pdfs/GRE-1813-82.pdf#page=5","Abrir facsímil")</f>
        <v>Abrir facsímil</v>
      </c>
      <c r="K2023" s="3" t="s">
        <v>22</v>
      </c>
    </row>
    <row r="2024" spans="1:11" ht="42" customHeight="1">
      <c r="A2024" s="2" t="s">
        <v>4611</v>
      </c>
      <c r="B2024" s="2" t="s">
        <v>4611</v>
      </c>
      <c r="C2024" s="2" t="s">
        <v>16</v>
      </c>
      <c r="D2024" s="2" t="s">
        <v>17</v>
      </c>
      <c r="E2024" s="5">
        <v>-31585</v>
      </c>
      <c r="F2024" s="3" t="s">
        <v>177</v>
      </c>
      <c r="G2024" s="3" t="s">
        <v>28</v>
      </c>
      <c r="H2024" s="2" t="s">
        <v>20</v>
      </c>
      <c r="I2024" s="2" t="s">
        <v>4612</v>
      </c>
      <c r="J2024" s="3" t="str">
        <f>HYPERLINK("https://www.boe.es/gazeta/dias/1813/07/09/pdfs/GMR-1813-16.pdf#page=8","Abrir facsímil")</f>
        <v>Abrir facsímil</v>
      </c>
      <c r="K2024" s="3" t="s">
        <v>22</v>
      </c>
    </row>
    <row r="2025" spans="1:11" ht="42" customHeight="1">
      <c r="A2025" s="2" t="s">
        <v>4613</v>
      </c>
      <c r="B2025" s="2" t="s">
        <v>4613</v>
      </c>
      <c r="C2025" s="2" t="s">
        <v>16</v>
      </c>
      <c r="D2025" s="2" t="s">
        <v>17</v>
      </c>
      <c r="E2025" s="5">
        <v>-31585</v>
      </c>
      <c r="F2025" s="3" t="s">
        <v>177</v>
      </c>
      <c r="G2025" s="3" t="s">
        <v>207</v>
      </c>
      <c r="H2025" s="2" t="s">
        <v>20</v>
      </c>
      <c r="I2025" s="2" t="s">
        <v>4614</v>
      </c>
      <c r="J2025" s="3" t="str">
        <f>HYPERLINK("https://www.boe.es/gazeta/dias/1813/07/09/pdfs/GMR-1813-16.pdf#page=10","Abrir facsímil")</f>
        <v>Abrir facsímil</v>
      </c>
      <c r="K2025" s="3" t="s">
        <v>22</v>
      </c>
    </row>
    <row r="2026" spans="1:11" ht="42" customHeight="1">
      <c r="A2026" s="2" t="s">
        <v>4613</v>
      </c>
      <c r="B2026" s="2" t="s">
        <v>4613</v>
      </c>
      <c r="C2026" s="2" t="s">
        <v>34</v>
      </c>
      <c r="D2026" s="2" t="s">
        <v>35</v>
      </c>
      <c r="E2026" s="5">
        <v>-31585</v>
      </c>
      <c r="F2026" s="3" t="s">
        <v>177</v>
      </c>
      <c r="G2026" s="3" t="s">
        <v>28</v>
      </c>
      <c r="H2026" s="2" t="s">
        <v>20</v>
      </c>
      <c r="I2026" s="2" t="s">
        <v>4615</v>
      </c>
      <c r="J2026" s="3" t="str">
        <f>HYPERLINK("https://www.boe.es/gazeta/dias/1813/07/09/pdfs/GMR-1813-16.pdf#page=8","Abrir facsímil")</f>
        <v>Abrir facsímil</v>
      </c>
      <c r="K2026" s="3" t="s">
        <v>22</v>
      </c>
    </row>
    <row r="2027" spans="1:11" ht="42" customHeight="1">
      <c r="A2027" s="2" t="s">
        <v>4616</v>
      </c>
      <c r="B2027" s="2" t="s">
        <v>4616</v>
      </c>
      <c r="C2027" s="2" t="s">
        <v>16</v>
      </c>
      <c r="D2027" s="2" t="s">
        <v>17</v>
      </c>
      <c r="E2027" s="5">
        <v>-31532</v>
      </c>
      <c r="F2027" s="3" t="s">
        <v>215</v>
      </c>
      <c r="G2027" s="3" t="s">
        <v>54</v>
      </c>
      <c r="H2027" s="2" t="s">
        <v>20</v>
      </c>
      <c r="I2027" s="2" t="s">
        <v>4617</v>
      </c>
      <c r="J2027" s="3" t="str">
        <f>HYPERLINK("https://www.boe.es/gazeta/dias/1813/08/31/pdfs/GRE-1813-111.pdf#page=3","Abrir facsímil")</f>
        <v>Abrir facsímil</v>
      </c>
      <c r="K2027" s="3" t="s">
        <v>22</v>
      </c>
    </row>
    <row r="2028" spans="1:11" ht="42" customHeight="1">
      <c r="A2028" s="2" t="s">
        <v>4613</v>
      </c>
      <c r="B2028" s="2" t="s">
        <v>4613</v>
      </c>
      <c r="C2028" s="2" t="s">
        <v>16</v>
      </c>
      <c r="D2028" s="2" t="s">
        <v>17</v>
      </c>
      <c r="E2028" s="5">
        <v>-31483</v>
      </c>
      <c r="F2028" s="3" t="s">
        <v>1292</v>
      </c>
      <c r="G2028" s="3" t="s">
        <v>2347</v>
      </c>
      <c r="H2028" s="2" t="s">
        <v>20</v>
      </c>
      <c r="I2028" s="2" t="s">
        <v>4618</v>
      </c>
      <c r="J2028" s="3" t="str">
        <f>HYPERLINK("https://www.boe.es/gazeta/dias/1813/10/19/pdfs/GMR-1813-61.pdf#page=10","Abrir facsímil")</f>
        <v>Abrir facsímil</v>
      </c>
      <c r="K2028" s="3" t="s">
        <v>22</v>
      </c>
    </row>
    <row r="2029" spans="1:11" ht="42" customHeight="1">
      <c r="A2029" s="2" t="s">
        <v>4613</v>
      </c>
      <c r="B2029" s="2" t="s">
        <v>4613</v>
      </c>
      <c r="C2029" s="2" t="s">
        <v>16</v>
      </c>
      <c r="D2029" s="2" t="s">
        <v>97</v>
      </c>
      <c r="E2029" s="5">
        <v>-31479</v>
      </c>
      <c r="F2029" s="3" t="s">
        <v>290</v>
      </c>
      <c r="G2029" s="3" t="s">
        <v>54</v>
      </c>
      <c r="H2029" s="2" t="s">
        <v>20</v>
      </c>
      <c r="I2029" s="2" t="s">
        <v>4619</v>
      </c>
      <c r="J2029" s="3" t="str">
        <f>HYPERLINK("https://www.boe.es/gazeta/dias/1813/10/23/pdfs/GRE-1813-139E.pdf#page=3","Abrir facsímil")</f>
        <v>Abrir facsímil</v>
      </c>
      <c r="K2029" s="3" t="s">
        <v>22</v>
      </c>
    </row>
    <row r="2030" spans="1:11" ht="42" customHeight="1">
      <c r="A2030" s="2" t="s">
        <v>4613</v>
      </c>
      <c r="B2030" s="2" t="s">
        <v>4613</v>
      </c>
      <c r="C2030" s="2" t="s">
        <v>16</v>
      </c>
      <c r="D2030" s="2" t="s">
        <v>17</v>
      </c>
      <c r="E2030" s="5">
        <v>-31472</v>
      </c>
      <c r="F2030" s="3" t="s">
        <v>1942</v>
      </c>
      <c r="G2030" s="3" t="s">
        <v>95</v>
      </c>
      <c r="H2030" s="2" t="s">
        <v>20</v>
      </c>
      <c r="I2030" s="2" t="s">
        <v>4620</v>
      </c>
      <c r="J2030" s="3" t="str">
        <f>HYPERLINK("https://www.boe.es/gazeta/dias/1813/10/30/pdfs/GRE-1813-142.pdf#page=6","Abrir facsímil")</f>
        <v>Abrir facsímil</v>
      </c>
      <c r="K2030" s="3" t="s">
        <v>22</v>
      </c>
    </row>
    <row r="2031" spans="1:11" ht="42" customHeight="1">
      <c r="A2031" s="2" t="s">
        <v>4613</v>
      </c>
      <c r="B2031" s="2" t="s">
        <v>4613</v>
      </c>
      <c r="C2031" s="2" t="s">
        <v>16</v>
      </c>
      <c r="D2031" s="2" t="s">
        <v>17</v>
      </c>
      <c r="E2031" s="5">
        <v>-31467</v>
      </c>
      <c r="F2031" s="3" t="s">
        <v>120</v>
      </c>
      <c r="G2031" s="3" t="s">
        <v>95</v>
      </c>
      <c r="H2031" s="2" t="s">
        <v>20</v>
      </c>
      <c r="I2031" s="2" t="s">
        <v>4621</v>
      </c>
      <c r="J2031" s="3" t="str">
        <f>HYPERLINK("https://www.boe.es/gazeta/dias/1813/11/04/pdfs/GMR-1813-68.pdf#page=6","Abrir facsímil")</f>
        <v>Abrir facsímil</v>
      </c>
      <c r="K2031" s="3" t="s">
        <v>22</v>
      </c>
    </row>
    <row r="2032" spans="1:11" ht="42" customHeight="1">
      <c r="A2032" s="2" t="s">
        <v>4622</v>
      </c>
      <c r="B2032" s="2" t="s">
        <v>4622</v>
      </c>
      <c r="C2032" s="2" t="s">
        <v>16</v>
      </c>
      <c r="D2032" s="2" t="s">
        <v>97</v>
      </c>
      <c r="E2032" s="5">
        <v>-31548</v>
      </c>
      <c r="F2032" s="3" t="s">
        <v>1680</v>
      </c>
      <c r="G2032" s="3" t="s">
        <v>534</v>
      </c>
      <c r="H2032" s="2" t="s">
        <v>20</v>
      </c>
      <c r="I2032" s="2" t="s">
        <v>4623</v>
      </c>
      <c r="J2032" s="3" t="str">
        <f>HYPERLINK("https://www.boe.es/gazeta/dias/1813/08/15/pdfs/GRE-1813-104E.pdf#page=4","Abrir facsímil")</f>
        <v>Abrir facsímil</v>
      </c>
      <c r="K2032" s="3" t="s">
        <v>22</v>
      </c>
    </row>
    <row r="2033" spans="1:11" ht="42" customHeight="1">
      <c r="A2033" s="2" t="s">
        <v>4622</v>
      </c>
      <c r="B2033" s="2" t="s">
        <v>4622</v>
      </c>
      <c r="C2033" s="2" t="s">
        <v>16</v>
      </c>
      <c r="D2033" s="2" t="s">
        <v>97</v>
      </c>
      <c r="E2033" s="5">
        <v>-31548</v>
      </c>
      <c r="F2033" s="3" t="s">
        <v>1680</v>
      </c>
      <c r="G2033" s="3" t="s">
        <v>82</v>
      </c>
      <c r="H2033" s="2" t="s">
        <v>20</v>
      </c>
      <c r="I2033" s="2" t="s">
        <v>4624</v>
      </c>
      <c r="J2033" s="3" t="str">
        <f>HYPERLINK("https://www.boe.es/gazeta/dias/1813/08/15/pdfs/GRE-1813-104E.pdf#page=5","Abrir facsímil")</f>
        <v>Abrir facsímil</v>
      </c>
      <c r="K2033" s="3" t="s">
        <v>22</v>
      </c>
    </row>
    <row r="2034" spans="1:11" ht="42" customHeight="1">
      <c r="A2034" s="2" t="s">
        <v>4622</v>
      </c>
      <c r="B2034" s="2" t="s">
        <v>4622</v>
      </c>
      <c r="C2034" s="2" t="s">
        <v>16</v>
      </c>
      <c r="D2034" s="2" t="s">
        <v>17</v>
      </c>
      <c r="E2034" s="5">
        <v>-31537</v>
      </c>
      <c r="F2034" s="3" t="s">
        <v>138</v>
      </c>
      <c r="G2034" s="3" t="s">
        <v>178</v>
      </c>
      <c r="H2034" s="2" t="s">
        <v>20</v>
      </c>
      <c r="I2034" s="2" t="s">
        <v>4625</v>
      </c>
      <c r="J2034" s="3" t="str">
        <f>HYPERLINK("https://www.boe.es/gazeta/dias/1813/08/26/pdfs/GMR-1813-33.pdf#page=11","Abrir facsímil")</f>
        <v>Abrir facsímil</v>
      </c>
      <c r="K2034" s="3" t="s">
        <v>22</v>
      </c>
    </row>
    <row r="2035" spans="1:11" ht="42" customHeight="1">
      <c r="A2035" s="2" t="s">
        <v>4622</v>
      </c>
      <c r="B2035" s="2" t="s">
        <v>4622</v>
      </c>
      <c r="C2035" s="2" t="s">
        <v>16</v>
      </c>
      <c r="D2035" s="2" t="s">
        <v>17</v>
      </c>
      <c r="E2035" s="5">
        <v>-31537</v>
      </c>
      <c r="F2035" s="3" t="s">
        <v>138</v>
      </c>
      <c r="G2035" s="3" t="s">
        <v>258</v>
      </c>
      <c r="H2035" s="2" t="s">
        <v>20</v>
      </c>
      <c r="I2035" s="2" t="s">
        <v>4626</v>
      </c>
      <c r="J2035" s="3" t="str">
        <f>HYPERLINK("https://www.boe.es/gazeta/dias/1813/08/26/pdfs/GMR-1813-33.pdf#page=12","Abrir facsímil")</f>
        <v>Abrir facsímil</v>
      </c>
      <c r="K2035" s="3" t="s">
        <v>22</v>
      </c>
    </row>
    <row r="2036" spans="1:11" ht="42" customHeight="1">
      <c r="A2036" s="2" t="s">
        <v>4622</v>
      </c>
      <c r="B2036" s="2" t="s">
        <v>4622</v>
      </c>
      <c r="C2036" s="2" t="s">
        <v>16</v>
      </c>
      <c r="D2036" s="2" t="s">
        <v>97</v>
      </c>
      <c r="E2036" s="5">
        <v>-31519</v>
      </c>
      <c r="F2036" s="3" t="s">
        <v>312</v>
      </c>
      <c r="G2036" s="3" t="s">
        <v>4627</v>
      </c>
      <c r="H2036" s="2" t="s">
        <v>20</v>
      </c>
      <c r="I2036" s="2" t="s">
        <v>4628</v>
      </c>
      <c r="J2036" s="3" t="str">
        <f>HYPERLINK("https://www.boe.es/gazeta/dias/1813/09/13/pdfs/GRE-1813-118E.pdf#page=3","Abrir facsímil")</f>
        <v>Abrir facsímil</v>
      </c>
      <c r="K2036" s="3" t="s">
        <v>22</v>
      </c>
    </row>
    <row r="2037" spans="1:11" ht="42" customHeight="1">
      <c r="A2037" s="2" t="s">
        <v>4622</v>
      </c>
      <c r="B2037" s="2" t="s">
        <v>4622</v>
      </c>
      <c r="C2037" s="2" t="s">
        <v>16</v>
      </c>
      <c r="D2037" s="2" t="s">
        <v>97</v>
      </c>
      <c r="E2037" s="5">
        <v>-31519</v>
      </c>
      <c r="F2037" s="3" t="s">
        <v>312</v>
      </c>
      <c r="G2037" s="3" t="s">
        <v>19</v>
      </c>
      <c r="H2037" s="2" t="s">
        <v>20</v>
      </c>
      <c r="I2037" s="2" t="s">
        <v>4629</v>
      </c>
      <c r="J2037" s="3" t="str">
        <f>HYPERLINK("https://www.boe.es/gazeta/dias/1813/09/13/pdfs/GRE-1813-118E.pdf#page=4","Abrir facsímil")</f>
        <v>Abrir facsímil</v>
      </c>
      <c r="K2037" s="3" t="s">
        <v>22</v>
      </c>
    </row>
    <row r="2038" spans="1:11" ht="42" customHeight="1">
      <c r="A2038" s="2" t="s">
        <v>4630</v>
      </c>
      <c r="B2038" s="2" t="s">
        <v>4630</v>
      </c>
      <c r="C2038" s="2" t="s">
        <v>16</v>
      </c>
      <c r="D2038" s="2" t="s">
        <v>17</v>
      </c>
      <c r="E2038" s="5">
        <v>-31511</v>
      </c>
      <c r="F2038" s="3" t="s">
        <v>935</v>
      </c>
      <c r="G2038" s="3" t="s">
        <v>207</v>
      </c>
      <c r="H2038" s="2" t="s">
        <v>20</v>
      </c>
      <c r="I2038" s="2" t="s">
        <v>4631</v>
      </c>
      <c r="J2038" s="3" t="str">
        <f>HYPERLINK("https://www.boe.es/gazeta/dias/1813/09/21/pdfs/GMR-1813-46.pdf#page=10","Abrir facsímil")</f>
        <v>Abrir facsímil</v>
      </c>
      <c r="K2038" s="3" t="s">
        <v>22</v>
      </c>
    </row>
    <row r="2039" spans="1:11" ht="42" customHeight="1">
      <c r="A2039" s="2" t="s">
        <v>4622</v>
      </c>
      <c r="B2039" s="2" t="s">
        <v>4622</v>
      </c>
      <c r="C2039" s="2" t="s">
        <v>16</v>
      </c>
      <c r="D2039" s="2" t="s">
        <v>17</v>
      </c>
      <c r="E2039" s="5">
        <v>-31511</v>
      </c>
      <c r="F2039" s="3" t="s">
        <v>935</v>
      </c>
      <c r="G2039" s="3" t="s">
        <v>178</v>
      </c>
      <c r="H2039" s="2" t="s">
        <v>20</v>
      </c>
      <c r="I2039" s="2" t="s">
        <v>4632</v>
      </c>
      <c r="J2039" s="3" t="str">
        <f>HYPERLINK("https://www.boe.es/gazeta/dias/1813/09/21/pdfs/GMR-1813-46.pdf#page=11","Abrir facsímil")</f>
        <v>Abrir facsímil</v>
      </c>
      <c r="K2039" s="3" t="s">
        <v>22</v>
      </c>
    </row>
    <row r="2040" spans="1:11" ht="42" customHeight="1">
      <c r="A2040" s="2" t="s">
        <v>4633</v>
      </c>
      <c r="B2040" s="2" t="s">
        <v>4633</v>
      </c>
      <c r="C2040" s="2" t="s">
        <v>16</v>
      </c>
      <c r="D2040" s="2" t="s">
        <v>17</v>
      </c>
      <c r="E2040" s="5">
        <v>-31537</v>
      </c>
      <c r="F2040" s="3" t="s">
        <v>138</v>
      </c>
      <c r="G2040" s="3" t="s">
        <v>178</v>
      </c>
      <c r="H2040" s="2" t="s">
        <v>20</v>
      </c>
      <c r="I2040" s="2" t="s">
        <v>4634</v>
      </c>
      <c r="J2040" s="3" t="str">
        <f>HYPERLINK("https://www.boe.es/gazeta/dias/1813/08/26/pdfs/GMR-1813-33.pdf#page=11","Abrir facsímil")</f>
        <v>Abrir facsímil</v>
      </c>
      <c r="K2040" s="3" t="s">
        <v>22</v>
      </c>
    </row>
    <row r="2041" spans="1:11" ht="42" customHeight="1">
      <c r="A2041" s="2" t="s">
        <v>4635</v>
      </c>
      <c r="B2041" s="2" t="s">
        <v>4635</v>
      </c>
      <c r="C2041" s="2" t="s">
        <v>16</v>
      </c>
      <c r="D2041" s="2" t="s">
        <v>97</v>
      </c>
      <c r="E2041" s="5">
        <v>-31548</v>
      </c>
      <c r="F2041" s="3" t="s">
        <v>1680</v>
      </c>
      <c r="G2041" s="3" t="s">
        <v>82</v>
      </c>
      <c r="H2041" s="2" t="s">
        <v>20</v>
      </c>
      <c r="I2041" s="2" t="s">
        <v>4636</v>
      </c>
      <c r="J2041" s="3" t="str">
        <f>HYPERLINK("https://www.boe.es/gazeta/dias/1813/08/15/pdfs/GRE-1813-104E.pdf#page=5","Abrir facsímil")</f>
        <v>Abrir facsímil</v>
      </c>
      <c r="K2041" s="3" t="s">
        <v>22</v>
      </c>
    </row>
    <row r="2042" spans="1:11" ht="42" customHeight="1">
      <c r="A2042" s="2" t="s">
        <v>4637</v>
      </c>
      <c r="B2042" s="2" t="s">
        <v>4637</v>
      </c>
      <c r="C2042" s="2" t="s">
        <v>16</v>
      </c>
      <c r="D2042" s="2" t="s">
        <v>17</v>
      </c>
      <c r="E2042" s="5">
        <v>-31677</v>
      </c>
      <c r="F2042" s="3" t="s">
        <v>4220</v>
      </c>
      <c r="G2042" s="3" t="s">
        <v>58</v>
      </c>
      <c r="H2042" s="2" t="s">
        <v>20</v>
      </c>
      <c r="I2042" s="2" t="s">
        <v>4638</v>
      </c>
      <c r="J2042" s="3" t="str">
        <f>HYPERLINK("https://www.boe.es/gazeta/dias/1813/04/08/pdfs/GMD-1813-98.pdf#page=2","Abrir facsímil")</f>
        <v>Abrir facsímil</v>
      </c>
      <c r="K2042" s="3" t="s">
        <v>22</v>
      </c>
    </row>
    <row r="2043" spans="1:11" ht="42" customHeight="1">
      <c r="A2043" s="2" t="s">
        <v>4639</v>
      </c>
      <c r="B2043" s="2" t="s">
        <v>4640</v>
      </c>
      <c r="C2043" s="2" t="s">
        <v>16</v>
      </c>
      <c r="D2043" s="2" t="s">
        <v>17</v>
      </c>
      <c r="E2043" s="5">
        <v>-31451</v>
      </c>
      <c r="F2043" s="3" t="s">
        <v>127</v>
      </c>
      <c r="G2043" s="3" t="s">
        <v>87</v>
      </c>
      <c r="H2043" s="2" t="s">
        <v>20</v>
      </c>
      <c r="I2043" s="2" t="s">
        <v>4641</v>
      </c>
      <c r="J2043" s="3" t="str">
        <f>HYPERLINK("https://www.boe.es/gazeta/dias/1813/11/20/pdfs/GRE-1813-152.pdf#page=7","Abrir facsímil")</f>
        <v>Abrir facsímil</v>
      </c>
      <c r="K2043" s="3" t="s">
        <v>22</v>
      </c>
    </row>
    <row r="2044" spans="1:11" ht="42" customHeight="1">
      <c r="A2044" s="2" t="s">
        <v>4639</v>
      </c>
      <c r="B2044" s="2" t="s">
        <v>4640</v>
      </c>
      <c r="C2044" s="2" t="s">
        <v>16</v>
      </c>
      <c r="D2044" s="2" t="s">
        <v>17</v>
      </c>
      <c r="E2044" s="5">
        <v>-31451</v>
      </c>
      <c r="F2044" s="3" t="s">
        <v>127</v>
      </c>
      <c r="G2044" s="3" t="s">
        <v>28</v>
      </c>
      <c r="H2044" s="2" t="s">
        <v>20</v>
      </c>
      <c r="I2044" s="2" t="s">
        <v>4642</v>
      </c>
      <c r="J2044" s="3" t="str">
        <f>HYPERLINK("https://www.boe.es/gazeta/dias/1813/11/20/pdfs/GRE-1813-152.pdf#page=8","Abrir facsímil")</f>
        <v>Abrir facsímil</v>
      </c>
      <c r="K2044" s="3" t="s">
        <v>22</v>
      </c>
    </row>
    <row r="2045" spans="1:11" ht="42" customHeight="1">
      <c r="A2045" s="2" t="s">
        <v>4639</v>
      </c>
      <c r="B2045" s="2" t="s">
        <v>4640</v>
      </c>
      <c r="C2045" s="2" t="s">
        <v>16</v>
      </c>
      <c r="D2045" s="2" t="s">
        <v>17</v>
      </c>
      <c r="E2045" s="5">
        <v>-31444</v>
      </c>
      <c r="F2045" s="3" t="s">
        <v>389</v>
      </c>
      <c r="G2045" s="3" t="s">
        <v>87</v>
      </c>
      <c r="H2045" s="2" t="s">
        <v>20</v>
      </c>
      <c r="I2045" s="2" t="s">
        <v>4643</v>
      </c>
      <c r="J2045" s="3" t="str">
        <f>HYPERLINK("https://www.boe.es/gazeta/dias/1813/11/27/pdfs/GMR-1813-80.pdf#page=7","Abrir facsímil")</f>
        <v>Abrir facsímil</v>
      </c>
      <c r="K2045" s="3" t="s">
        <v>22</v>
      </c>
    </row>
    <row r="2046" spans="1:11" ht="42" customHeight="1">
      <c r="A2046" s="2" t="s">
        <v>4644</v>
      </c>
      <c r="B2046" s="2" t="s">
        <v>4644</v>
      </c>
      <c r="C2046" s="2" t="s">
        <v>187</v>
      </c>
      <c r="D2046" s="2" t="s">
        <v>26</v>
      </c>
      <c r="E2046" s="5">
        <v>-31588</v>
      </c>
      <c r="F2046" s="3" t="s">
        <v>1535</v>
      </c>
      <c r="G2046" s="3" t="s">
        <v>19</v>
      </c>
      <c r="H2046" s="2" t="s">
        <v>20</v>
      </c>
      <c r="I2046" s="2" t="s">
        <v>4645</v>
      </c>
      <c r="J2046" s="3" t="str">
        <f>HYPERLINK("https://www.boe.es/gazeta/dias/1813/07/06/pdfs/GMR-1813-15.pdf#page=4","Abrir facsímil")</f>
        <v>Abrir facsímil</v>
      </c>
      <c r="K2046" s="3" t="s">
        <v>22</v>
      </c>
    </row>
    <row r="2047" spans="1:11" ht="42" customHeight="1">
      <c r="A2047" s="2" t="s">
        <v>4646</v>
      </c>
      <c r="B2047" s="2" t="s">
        <v>4647</v>
      </c>
      <c r="C2047" s="2" t="s">
        <v>16</v>
      </c>
      <c r="D2047" s="2" t="s">
        <v>97</v>
      </c>
      <c r="E2047" s="5">
        <v>-31511</v>
      </c>
      <c r="F2047" s="3" t="s">
        <v>3791</v>
      </c>
      <c r="G2047" s="3" t="s">
        <v>4648</v>
      </c>
      <c r="H2047" s="2" t="s">
        <v>29</v>
      </c>
      <c r="I2047" s="2" t="s">
        <v>4649</v>
      </c>
      <c r="J2047" s="3" t="str">
        <f>HYPERLINK("https://www.boe.es/gazeta/dias/1813/09/21/pdfs/GRE-1813-124E.pdf#page=2","Abrir facsímil")</f>
        <v>Abrir facsímil</v>
      </c>
      <c r="K2047" s="3" t="s">
        <v>31</v>
      </c>
    </row>
    <row r="2048" spans="1:11" ht="42" customHeight="1">
      <c r="A2048" s="2" t="s">
        <v>4650</v>
      </c>
      <c r="B2048" s="2" t="s">
        <v>4650</v>
      </c>
      <c r="C2048" s="2" t="s">
        <v>16</v>
      </c>
      <c r="D2048" s="2" t="s">
        <v>17</v>
      </c>
      <c r="E2048" s="5">
        <v>-31637</v>
      </c>
      <c r="F2048" s="3" t="s">
        <v>234</v>
      </c>
      <c r="G2048" s="3" t="s">
        <v>95</v>
      </c>
      <c r="H2048" s="2" t="s">
        <v>20</v>
      </c>
      <c r="I2048" s="2" t="s">
        <v>4651</v>
      </c>
      <c r="J2048" s="3" t="str">
        <f>HYPERLINK("https://www.boe.es/gazeta/dias/1813/05/18/pdfs/GRE-1813-61.pdf#page=6","Abrir facsímil")</f>
        <v>Abrir facsímil</v>
      </c>
      <c r="K2048" s="3" t="s">
        <v>22</v>
      </c>
    </row>
    <row r="2049" spans="1:11" ht="42" customHeight="1">
      <c r="A2049" s="2" t="s">
        <v>4652</v>
      </c>
      <c r="B2049" s="2" t="s">
        <v>4652</v>
      </c>
      <c r="C2049" s="2" t="s">
        <v>16</v>
      </c>
      <c r="D2049" s="2" t="s">
        <v>17</v>
      </c>
      <c r="E2049" s="5">
        <v>-31602</v>
      </c>
      <c r="F2049" s="3" t="s">
        <v>2117</v>
      </c>
      <c r="G2049" s="3" t="s">
        <v>3006</v>
      </c>
      <c r="H2049" s="2" t="s">
        <v>20</v>
      </c>
      <c r="I2049" s="2" t="s">
        <v>4653</v>
      </c>
      <c r="J2049" s="3" t="str">
        <f>HYPERLINK("https://www.boe.es/gazeta/dias/1813/06/22/pdfs/GMR-1813-9.pdf#page=15","Abrir facsímil")</f>
        <v>Abrir facsímil</v>
      </c>
      <c r="K2049" s="3" t="s">
        <v>22</v>
      </c>
    </row>
    <row r="2050" spans="1:11" ht="42" customHeight="1">
      <c r="A2050" s="2" t="s">
        <v>4654</v>
      </c>
      <c r="B2050" s="2" t="s">
        <v>4654</v>
      </c>
      <c r="C2050" s="2" t="s">
        <v>16</v>
      </c>
      <c r="D2050" s="2" t="s">
        <v>17</v>
      </c>
      <c r="E2050" s="5">
        <v>-31474</v>
      </c>
      <c r="F2050" s="3" t="s">
        <v>130</v>
      </c>
      <c r="G2050" s="3" t="s">
        <v>87</v>
      </c>
      <c r="H2050" s="2" t="s">
        <v>20</v>
      </c>
      <c r="I2050" s="2" t="s">
        <v>4655</v>
      </c>
      <c r="J2050" s="3" t="str">
        <f>HYPERLINK("https://www.boe.es/gazeta/dias/1813/10/28/pdfs/GRE-1813-141.pdf#page=7","Abrir facsímil")</f>
        <v>Abrir facsímil</v>
      </c>
      <c r="K2050" s="3" t="s">
        <v>22</v>
      </c>
    </row>
    <row r="2051" spans="1:11" ht="42" customHeight="1">
      <c r="A2051" s="2" t="s">
        <v>4656</v>
      </c>
      <c r="B2051" s="2" t="s">
        <v>4656</v>
      </c>
      <c r="C2051" s="2" t="s">
        <v>16</v>
      </c>
      <c r="D2051" s="2" t="s">
        <v>17</v>
      </c>
      <c r="E2051" s="5">
        <v>-31602</v>
      </c>
      <c r="F2051" s="3" t="s">
        <v>2117</v>
      </c>
      <c r="G2051" s="3" t="s">
        <v>71</v>
      </c>
      <c r="H2051" s="2" t="s">
        <v>20</v>
      </c>
      <c r="I2051" s="2" t="s">
        <v>4657</v>
      </c>
      <c r="J2051" s="3" t="str">
        <f>HYPERLINK("https://www.boe.es/gazeta/dias/1813/06/22/pdfs/GMR-1813-9.pdf#page=16","Abrir facsímil")</f>
        <v>Abrir facsímil</v>
      </c>
      <c r="K2051" s="3" t="s">
        <v>22</v>
      </c>
    </row>
    <row r="2052" spans="1:11" ht="42" customHeight="1">
      <c r="A2052" s="2" t="s">
        <v>4658</v>
      </c>
      <c r="B2052" s="2" t="s">
        <v>4658</v>
      </c>
      <c r="C2052" s="2" t="s">
        <v>16</v>
      </c>
      <c r="D2052" s="2" t="s">
        <v>17</v>
      </c>
      <c r="E2052" s="5">
        <v>-31690</v>
      </c>
      <c r="F2052" s="3" t="s">
        <v>2575</v>
      </c>
      <c r="G2052" s="3" t="s">
        <v>58</v>
      </c>
      <c r="H2052" s="2" t="s">
        <v>20</v>
      </c>
      <c r="I2052" s="2" t="s">
        <v>4659</v>
      </c>
      <c r="J2052" s="3" t="str">
        <f>HYPERLINK("https://www.boe.es/gazeta/dias/1813/03/26/pdfs/GMD-1813-85.pdf#page=2","Abrir facsímil")</f>
        <v>Abrir facsímil</v>
      </c>
      <c r="K2052" s="3" t="s">
        <v>22</v>
      </c>
    </row>
    <row r="2053" spans="1:11" ht="42" customHeight="1">
      <c r="A2053" s="2" t="s">
        <v>4660</v>
      </c>
      <c r="B2053" s="2" t="s">
        <v>4660</v>
      </c>
      <c r="C2053" s="2" t="s">
        <v>16</v>
      </c>
      <c r="D2053" s="2" t="s">
        <v>17</v>
      </c>
      <c r="E2053" s="5">
        <v>-31759</v>
      </c>
      <c r="F2053" s="3" t="s">
        <v>419</v>
      </c>
      <c r="G2053" s="3" t="s">
        <v>19</v>
      </c>
      <c r="H2053" s="2" t="s">
        <v>20</v>
      </c>
      <c r="I2053" s="2" t="s">
        <v>4661</v>
      </c>
      <c r="J2053" s="3" t="str">
        <f>HYPERLINK("https://www.boe.es/gazeta/dias/1813/01/16/pdfs/GRE-1813-7.pdf#page=4","Abrir facsímil")</f>
        <v>Abrir facsímil</v>
      </c>
      <c r="K2053" s="3" t="s">
        <v>22</v>
      </c>
    </row>
    <row r="2054" spans="1:11" ht="42" customHeight="1">
      <c r="A2054" s="2" t="s">
        <v>4660</v>
      </c>
      <c r="B2054" s="2" t="s">
        <v>4660</v>
      </c>
      <c r="C2054" s="2" t="s">
        <v>34</v>
      </c>
      <c r="D2054" s="2" t="s">
        <v>35</v>
      </c>
      <c r="E2054" s="5">
        <v>-31709</v>
      </c>
      <c r="F2054" s="3" t="s">
        <v>36</v>
      </c>
      <c r="G2054" s="3" t="s">
        <v>58</v>
      </c>
      <c r="H2054" s="2" t="s">
        <v>20</v>
      </c>
      <c r="I2054" s="2" t="s">
        <v>4662</v>
      </c>
      <c r="J2054" s="3" t="str">
        <f>HYPERLINK("https://www.boe.es/gazeta/dias/1813/03/07/pdfs/GMD-1813-66.pdf#page=2","Abrir facsímil")</f>
        <v>Abrir facsímil</v>
      </c>
      <c r="K2054" s="3" t="s">
        <v>22</v>
      </c>
    </row>
    <row r="2055" spans="1:11" ht="42" customHeight="1">
      <c r="A2055" s="2" t="s">
        <v>4660</v>
      </c>
      <c r="B2055" s="2" t="s">
        <v>4660</v>
      </c>
      <c r="C2055" s="2" t="s">
        <v>34</v>
      </c>
      <c r="D2055" s="2" t="s">
        <v>35</v>
      </c>
      <c r="E2055" s="5">
        <v>-31696</v>
      </c>
      <c r="F2055" s="3" t="s">
        <v>4663</v>
      </c>
      <c r="G2055" s="3" t="s">
        <v>19</v>
      </c>
      <c r="H2055" s="2" t="s">
        <v>20</v>
      </c>
      <c r="I2055" s="2" t="s">
        <v>4664</v>
      </c>
      <c r="J2055" s="3" t="str">
        <f>HYPERLINK("https://www.boe.es/gazeta/dias/1813/03/20/pdfs/GMD-1813-79.pdf#page=4","Abrir facsímil")</f>
        <v>Abrir facsímil</v>
      </c>
      <c r="K2055" s="3" t="s">
        <v>22</v>
      </c>
    </row>
    <row r="2056" spans="1:11" ht="42" customHeight="1">
      <c r="A2056" s="2" t="s">
        <v>4660</v>
      </c>
      <c r="B2056" s="2" t="s">
        <v>4660</v>
      </c>
      <c r="C2056" s="2" t="s">
        <v>16</v>
      </c>
      <c r="D2056" s="2" t="s">
        <v>17</v>
      </c>
      <c r="E2056" s="5">
        <v>-31674</v>
      </c>
      <c r="F2056" s="3" t="s">
        <v>2773</v>
      </c>
      <c r="G2056" s="3" t="s">
        <v>19</v>
      </c>
      <c r="H2056" s="2" t="s">
        <v>20</v>
      </c>
      <c r="I2056" s="2" t="s">
        <v>4665</v>
      </c>
      <c r="J2056" s="3" t="str">
        <f>HYPERLINK("https://www.boe.es/gazeta/dias/1813/04/11/pdfs/GMD-1813-101.pdf#page=4","Abrir facsímil")</f>
        <v>Abrir facsímil</v>
      </c>
      <c r="K2056" s="3" t="s">
        <v>22</v>
      </c>
    </row>
    <row r="2057" spans="1:11" ht="42" customHeight="1">
      <c r="A2057" s="2" t="s">
        <v>4660</v>
      </c>
      <c r="B2057" s="2" t="s">
        <v>4660</v>
      </c>
      <c r="C2057" s="2" t="s">
        <v>16</v>
      </c>
      <c r="D2057" s="2" t="s">
        <v>17</v>
      </c>
      <c r="E2057" s="5">
        <v>-31645</v>
      </c>
      <c r="F2057" s="3" t="s">
        <v>4666</v>
      </c>
      <c r="G2057" s="3" t="s">
        <v>19</v>
      </c>
      <c r="H2057" s="2" t="s">
        <v>20</v>
      </c>
      <c r="I2057" s="2" t="s">
        <v>4667</v>
      </c>
      <c r="J2057" s="3" t="str">
        <f>HYPERLINK("https://www.boe.es/gazeta/dias/1813/05/10/pdfs/GMD-1813-130.pdf#page=4","Abrir facsímil")</f>
        <v>Abrir facsímil</v>
      </c>
      <c r="K2057" s="3" t="s">
        <v>22</v>
      </c>
    </row>
    <row r="2058" spans="1:11" ht="42" customHeight="1">
      <c r="A2058" s="2" t="s">
        <v>4660</v>
      </c>
      <c r="B2058" s="2" t="s">
        <v>4660</v>
      </c>
      <c r="C2058" s="2" t="s">
        <v>34</v>
      </c>
      <c r="D2058" s="2" t="s">
        <v>35</v>
      </c>
      <c r="E2058" s="5">
        <v>-31642</v>
      </c>
      <c r="F2058" s="3" t="s">
        <v>2091</v>
      </c>
      <c r="G2058" s="3" t="s">
        <v>54</v>
      </c>
      <c r="H2058" s="2" t="s">
        <v>20</v>
      </c>
      <c r="I2058" s="2" t="s">
        <v>4668</v>
      </c>
      <c r="J2058" s="3" t="str">
        <f>HYPERLINK("https://www.boe.es/gazeta/dias/1813/05/13/pdfs/GMD-1813-133.pdf#page=3","Abrir facsímil")</f>
        <v>Abrir facsímil</v>
      </c>
      <c r="K2058" s="3" t="s">
        <v>22</v>
      </c>
    </row>
    <row r="2059" spans="1:11" ht="42" customHeight="1">
      <c r="A2059" s="2" t="s">
        <v>4669</v>
      </c>
      <c r="B2059" s="2" t="s">
        <v>4669</v>
      </c>
      <c r="C2059" s="2" t="s">
        <v>16</v>
      </c>
      <c r="D2059" s="2" t="s">
        <v>17</v>
      </c>
      <c r="E2059" s="5">
        <v>-31525</v>
      </c>
      <c r="F2059" s="3" t="s">
        <v>135</v>
      </c>
      <c r="G2059" s="3" t="s">
        <v>54</v>
      </c>
      <c r="H2059" s="2" t="s">
        <v>20</v>
      </c>
      <c r="I2059" s="2" t="s">
        <v>4670</v>
      </c>
      <c r="J2059" s="3" t="str">
        <f>HYPERLINK("https://www.boe.es/gazeta/dias/1813/09/07/pdfs/GMR-1813-38.pdf#page=3","Abrir facsímil")</f>
        <v>Abrir facsímil</v>
      </c>
      <c r="K2059" s="3" t="s">
        <v>22</v>
      </c>
    </row>
    <row r="2060" spans="1:11" ht="42" customHeight="1">
      <c r="A2060" s="2" t="s">
        <v>4669</v>
      </c>
      <c r="B2060" s="2" t="s">
        <v>4669</v>
      </c>
      <c r="C2060" s="2" t="s">
        <v>16</v>
      </c>
      <c r="D2060" s="2" t="s">
        <v>17</v>
      </c>
      <c r="E2060" s="5">
        <v>-31518</v>
      </c>
      <c r="F2060" s="3" t="s">
        <v>1090</v>
      </c>
      <c r="G2060" s="3" t="s">
        <v>54</v>
      </c>
      <c r="H2060" s="2" t="s">
        <v>20</v>
      </c>
      <c r="I2060" s="2" t="s">
        <v>4671</v>
      </c>
      <c r="J2060" s="3" t="str">
        <f>HYPERLINK("https://www.boe.es/gazeta/dias/1813/09/14/pdfs/GMR-1813-42.pdf#page=3","Abrir facsímil")</f>
        <v>Abrir facsímil</v>
      </c>
      <c r="K2060" s="3" t="s">
        <v>22</v>
      </c>
    </row>
    <row r="2061" spans="1:11" ht="42" customHeight="1">
      <c r="A2061" s="2" t="s">
        <v>4672</v>
      </c>
      <c r="B2061" s="2" t="s">
        <v>4672</v>
      </c>
      <c r="C2061" s="2" t="s">
        <v>16</v>
      </c>
      <c r="D2061" s="2" t="s">
        <v>17</v>
      </c>
      <c r="E2061" s="5">
        <v>-31509</v>
      </c>
      <c r="F2061" s="3" t="s">
        <v>202</v>
      </c>
      <c r="G2061" s="3" t="s">
        <v>65</v>
      </c>
      <c r="H2061" s="2" t="s">
        <v>20</v>
      </c>
      <c r="I2061" s="2" t="s">
        <v>4673</v>
      </c>
      <c r="J2061" s="3" t="str">
        <f>HYPERLINK("https://www.boe.es/gazeta/dias/1813/09/23/pdfs/GMR-1813-47.pdf#page=1","Abrir facsímil")</f>
        <v>Abrir facsímil</v>
      </c>
      <c r="K2061" s="3" t="s">
        <v>22</v>
      </c>
    </row>
    <row r="2062" spans="1:11" ht="42" customHeight="1">
      <c r="A2062" s="2" t="s">
        <v>4660</v>
      </c>
      <c r="B2062" s="2" t="s">
        <v>4660</v>
      </c>
      <c r="C2062" s="2" t="s">
        <v>16</v>
      </c>
      <c r="D2062" s="2" t="s">
        <v>17</v>
      </c>
      <c r="E2062" s="5">
        <v>-31507</v>
      </c>
      <c r="F2062" s="3" t="s">
        <v>2294</v>
      </c>
      <c r="G2062" s="3" t="s">
        <v>2765</v>
      </c>
      <c r="H2062" s="2" t="s">
        <v>20</v>
      </c>
      <c r="I2062" s="2" t="s">
        <v>4674</v>
      </c>
      <c r="J2062" s="3" t="str">
        <f>HYPERLINK("https://www.boe.es/gazeta/dias/1813/09/25/pdfs/GRE-1813-126.pdf#page=2","Abrir facsímil")</f>
        <v>Abrir facsímil</v>
      </c>
      <c r="K2062" s="3" t="s">
        <v>22</v>
      </c>
    </row>
    <row r="2063" spans="1:11" ht="42" customHeight="1">
      <c r="A2063" s="2" t="s">
        <v>4660</v>
      </c>
      <c r="B2063" s="2" t="s">
        <v>4660</v>
      </c>
      <c r="C2063" s="2" t="s">
        <v>34</v>
      </c>
      <c r="D2063" s="2" t="s">
        <v>35</v>
      </c>
      <c r="E2063" s="5">
        <v>-31507</v>
      </c>
      <c r="F2063" s="3" t="s">
        <v>2294</v>
      </c>
      <c r="G2063" s="3" t="s">
        <v>54</v>
      </c>
      <c r="H2063" s="2" t="s">
        <v>20</v>
      </c>
      <c r="I2063" s="2" t="s">
        <v>4675</v>
      </c>
      <c r="J2063" s="3" t="str">
        <f>HYPERLINK("https://www.boe.es/gazeta/dias/1813/09/25/pdfs/GRE-1813-126.pdf#page=3","Abrir facsímil")</f>
        <v>Abrir facsímil</v>
      </c>
      <c r="K2063" s="3" t="s">
        <v>22</v>
      </c>
    </row>
    <row r="2064" spans="1:11" ht="42" customHeight="1">
      <c r="A2064" s="2" t="s">
        <v>4660</v>
      </c>
      <c r="B2064" s="2" t="s">
        <v>4660</v>
      </c>
      <c r="C2064" s="2" t="s">
        <v>16</v>
      </c>
      <c r="D2064" s="2" t="s">
        <v>17</v>
      </c>
      <c r="E2064" s="5">
        <v>-31420</v>
      </c>
      <c r="F2064" s="3" t="s">
        <v>145</v>
      </c>
      <c r="G2064" s="3" t="s">
        <v>58</v>
      </c>
      <c r="H2064" s="2" t="s">
        <v>20</v>
      </c>
      <c r="I2064" s="2" t="s">
        <v>4676</v>
      </c>
      <c r="J2064" s="3" t="str">
        <f>HYPERLINK("https://www.boe.es/gazeta/dias/1813/12/21/pdfs/GMR-1813-90.pdf#page=2","Abrir facsímil")</f>
        <v>Abrir facsímil</v>
      </c>
      <c r="K2064" s="3" t="s">
        <v>22</v>
      </c>
    </row>
    <row r="2065" spans="1:11" ht="42" customHeight="1">
      <c r="A2065" s="2" t="s">
        <v>4677</v>
      </c>
      <c r="B2065" s="2" t="s">
        <v>4677</v>
      </c>
      <c r="C2065" s="2" t="s">
        <v>16</v>
      </c>
      <c r="D2065" s="2" t="s">
        <v>17</v>
      </c>
      <c r="E2065" s="5">
        <v>-31595</v>
      </c>
      <c r="F2065" s="3" t="s">
        <v>1319</v>
      </c>
      <c r="G2065" s="3" t="s">
        <v>65</v>
      </c>
      <c r="H2065" s="2" t="s">
        <v>20</v>
      </c>
      <c r="I2065" s="2" t="s">
        <v>4678</v>
      </c>
      <c r="J2065" s="3" t="str">
        <f>HYPERLINK("https://www.boe.es/gazeta/dias/1813/06/29/pdfs/GRE-1813-80.pdf#page=1","Abrir facsímil")</f>
        <v>Abrir facsímil</v>
      </c>
      <c r="K2065" s="3" t="s">
        <v>22</v>
      </c>
    </row>
    <row r="2066" spans="1:11" ht="42" customHeight="1">
      <c r="A2066" s="2" t="s">
        <v>4677</v>
      </c>
      <c r="B2066" s="2" t="s">
        <v>4677</v>
      </c>
      <c r="C2066" s="2" t="s">
        <v>16</v>
      </c>
      <c r="D2066" s="2" t="s">
        <v>17</v>
      </c>
      <c r="E2066" s="5">
        <v>-31581</v>
      </c>
      <c r="F2066" s="3" t="s">
        <v>1321</v>
      </c>
      <c r="G2066" s="3" t="s">
        <v>65</v>
      </c>
      <c r="H2066" s="2" t="s">
        <v>20</v>
      </c>
      <c r="I2066" s="2" t="s">
        <v>4679</v>
      </c>
      <c r="J2066" s="3" t="str">
        <f>HYPERLINK("https://www.boe.es/gazeta/dias/1813/07/13/pdfs/GMR-1813-17.pdf#page=1","Abrir facsímil")</f>
        <v>Abrir facsímil</v>
      </c>
      <c r="K2066" s="3" t="s">
        <v>22</v>
      </c>
    </row>
    <row r="2067" spans="1:11" ht="42" customHeight="1">
      <c r="A2067" s="2" t="s">
        <v>4680</v>
      </c>
      <c r="B2067" s="2" t="s">
        <v>4680</v>
      </c>
      <c r="C2067" s="2" t="s">
        <v>16</v>
      </c>
      <c r="D2067" s="2" t="s">
        <v>17</v>
      </c>
      <c r="E2067" s="5">
        <v>-31690</v>
      </c>
      <c r="F2067" s="3" t="s">
        <v>2575</v>
      </c>
      <c r="G2067" s="3" t="s">
        <v>58</v>
      </c>
      <c r="H2067" s="2" t="s">
        <v>20</v>
      </c>
      <c r="I2067" s="2" t="s">
        <v>4681</v>
      </c>
      <c r="J2067" s="3" t="str">
        <f>HYPERLINK("https://www.boe.es/gazeta/dias/1813/03/26/pdfs/GMD-1813-85.pdf#page=2","Abrir facsímil")</f>
        <v>Abrir facsímil</v>
      </c>
      <c r="K2067" s="3" t="s">
        <v>22</v>
      </c>
    </row>
    <row r="2068" spans="1:11" ht="42" customHeight="1">
      <c r="A2068" s="2" t="s">
        <v>4682</v>
      </c>
      <c r="B2068" s="2" t="s">
        <v>4682</v>
      </c>
      <c r="C2068" s="2" t="s">
        <v>16</v>
      </c>
      <c r="D2068" s="2" t="s">
        <v>17</v>
      </c>
      <c r="E2068" s="5">
        <v>-31595</v>
      </c>
      <c r="F2068" s="3" t="s">
        <v>1319</v>
      </c>
      <c r="G2068" s="3" t="s">
        <v>58</v>
      </c>
      <c r="H2068" s="2" t="s">
        <v>20</v>
      </c>
      <c r="I2068" s="2" t="s">
        <v>4683</v>
      </c>
      <c r="J2068" s="3" t="str">
        <f>HYPERLINK("https://www.boe.es/gazeta/dias/1813/06/29/pdfs/GRE-1813-80.pdf#page=2","Abrir facsímil")</f>
        <v>Abrir facsímil</v>
      </c>
      <c r="K2068" s="3" t="s">
        <v>22</v>
      </c>
    </row>
    <row r="2069" spans="1:11" ht="42" customHeight="1">
      <c r="A2069" s="2" t="s">
        <v>4684</v>
      </c>
      <c r="B2069" s="2" t="s">
        <v>4684</v>
      </c>
      <c r="C2069" s="2" t="s">
        <v>16</v>
      </c>
      <c r="D2069" s="2" t="s">
        <v>17</v>
      </c>
      <c r="E2069" s="5">
        <v>-31766</v>
      </c>
      <c r="F2069" s="3" t="s">
        <v>1356</v>
      </c>
      <c r="G2069" s="3" t="s">
        <v>1357</v>
      </c>
      <c r="H2069" s="2" t="s">
        <v>20</v>
      </c>
      <c r="I2069" s="2" t="s">
        <v>4685</v>
      </c>
      <c r="J2069" s="3" t="str">
        <f>HYPERLINK("https://www.boe.es/gazeta/dias/1813/01/09/pdfs/GRE-1813-4.pdf#page=3","Abrir facsímil")</f>
        <v>Abrir facsímil</v>
      </c>
      <c r="K2069" s="3" t="s">
        <v>22</v>
      </c>
    </row>
    <row r="2070" spans="1:11" ht="42" customHeight="1">
      <c r="A2070" s="2" t="s">
        <v>4684</v>
      </c>
      <c r="B2070" s="2" t="s">
        <v>4684</v>
      </c>
      <c r="C2070" s="2" t="s">
        <v>16</v>
      </c>
      <c r="D2070" s="2" t="s">
        <v>17</v>
      </c>
      <c r="E2070" s="5">
        <v>-31745</v>
      </c>
      <c r="F2070" s="3" t="s">
        <v>445</v>
      </c>
      <c r="G2070" s="3" t="s">
        <v>65</v>
      </c>
      <c r="H2070" s="2" t="s">
        <v>20</v>
      </c>
      <c r="I2070" s="2" t="s">
        <v>4686</v>
      </c>
      <c r="J2070" s="3" t="str">
        <f>HYPERLINK("https://www.boe.es/gazeta/dias/1813/01/30/pdfs/GRE-1813-13.pdf#page=1","Abrir facsímil")</f>
        <v>Abrir facsímil</v>
      </c>
      <c r="K2070" s="3" t="s">
        <v>22</v>
      </c>
    </row>
    <row r="2071" spans="1:11" ht="42" customHeight="1">
      <c r="A2071" s="2" t="s">
        <v>4684</v>
      </c>
      <c r="B2071" s="2" t="s">
        <v>4684</v>
      </c>
      <c r="C2071" s="2" t="s">
        <v>16</v>
      </c>
      <c r="D2071" s="2" t="s">
        <v>17</v>
      </c>
      <c r="E2071" s="5">
        <v>-31733</v>
      </c>
      <c r="F2071" s="3" t="s">
        <v>3036</v>
      </c>
      <c r="G2071" s="3" t="s">
        <v>82</v>
      </c>
      <c r="H2071" s="2" t="s">
        <v>20</v>
      </c>
      <c r="I2071" s="2" t="s">
        <v>4687</v>
      </c>
      <c r="J2071" s="3" t="str">
        <f>HYPERLINK("https://www.boe.es/gazeta/dias/1813/02/11/pdfs/GRE-1813-18.pdf#page=5","Abrir facsímil")</f>
        <v>Abrir facsímil</v>
      </c>
      <c r="K2071" s="3" t="s">
        <v>22</v>
      </c>
    </row>
    <row r="2072" spans="1:11" ht="42" customHeight="1">
      <c r="A2072" s="2" t="s">
        <v>4684</v>
      </c>
      <c r="B2072" s="2" t="s">
        <v>4684</v>
      </c>
      <c r="C2072" s="2" t="s">
        <v>16</v>
      </c>
      <c r="D2072" s="2" t="s">
        <v>17</v>
      </c>
      <c r="E2072" s="5">
        <v>-31731</v>
      </c>
      <c r="F2072" s="3" t="s">
        <v>866</v>
      </c>
      <c r="G2072" s="3" t="s">
        <v>4688</v>
      </c>
      <c r="H2072" s="2" t="s">
        <v>20</v>
      </c>
      <c r="I2072" s="2" t="s">
        <v>4689</v>
      </c>
      <c r="J2072" s="3" t="str">
        <f>HYPERLINK("https://www.boe.es/gazeta/dias/1813/02/13/pdfs/GRE-1813-19.pdf#page=5","Abrir facsímil")</f>
        <v>Abrir facsímil</v>
      </c>
      <c r="K2072" s="3" t="s">
        <v>22</v>
      </c>
    </row>
    <row r="2073" spans="1:11" ht="42" customHeight="1">
      <c r="A2073" s="2" t="s">
        <v>4684</v>
      </c>
      <c r="B2073" s="2" t="s">
        <v>4684</v>
      </c>
      <c r="C2073" s="2" t="s">
        <v>16</v>
      </c>
      <c r="D2073" s="2" t="s">
        <v>17</v>
      </c>
      <c r="E2073" s="5">
        <v>-31728</v>
      </c>
      <c r="F2073" s="3" t="s">
        <v>1434</v>
      </c>
      <c r="G2073" s="3" t="s">
        <v>54</v>
      </c>
      <c r="H2073" s="2" t="s">
        <v>20</v>
      </c>
      <c r="I2073" s="2" t="s">
        <v>4690</v>
      </c>
      <c r="J2073" s="3" t="str">
        <f>HYPERLINK("https://www.boe.es/gazeta/dias/1813/02/16/pdfs/GRE-1813-20.pdf#page=3","Abrir facsímil")</f>
        <v>Abrir facsímil</v>
      </c>
      <c r="K2073" s="3" t="s">
        <v>22</v>
      </c>
    </row>
    <row r="2074" spans="1:11" ht="42" customHeight="1">
      <c r="A2074" s="2" t="s">
        <v>4684</v>
      </c>
      <c r="B2074" s="2" t="s">
        <v>4684</v>
      </c>
      <c r="C2074" s="2" t="s">
        <v>16</v>
      </c>
      <c r="D2074" s="2" t="s">
        <v>17</v>
      </c>
      <c r="E2074" s="5">
        <v>-31581</v>
      </c>
      <c r="F2074" s="3" t="s">
        <v>1321</v>
      </c>
      <c r="G2074" s="3" t="s">
        <v>58</v>
      </c>
      <c r="H2074" s="2" t="s">
        <v>20</v>
      </c>
      <c r="I2074" s="2" t="s">
        <v>4691</v>
      </c>
      <c r="J2074" s="3" t="str">
        <f>HYPERLINK("https://www.boe.es/gazeta/dias/1813/07/13/pdfs/GMR-1813-17.pdf#page=2","Abrir facsímil")</f>
        <v>Abrir facsímil</v>
      </c>
      <c r="K2074" s="3" t="s">
        <v>22</v>
      </c>
    </row>
    <row r="2075" spans="1:11" ht="42" customHeight="1">
      <c r="A2075" s="2" t="s">
        <v>4692</v>
      </c>
      <c r="B2075" s="2" t="s">
        <v>4693</v>
      </c>
      <c r="C2075" s="2" t="s">
        <v>16</v>
      </c>
      <c r="D2075" s="2" t="s">
        <v>17</v>
      </c>
      <c r="E2075" s="5">
        <v>-31497</v>
      </c>
      <c r="F2075" s="3" t="s">
        <v>1457</v>
      </c>
      <c r="G2075" s="3" t="s">
        <v>87</v>
      </c>
      <c r="H2075" s="2" t="s">
        <v>20</v>
      </c>
      <c r="I2075" s="2" t="s">
        <v>4694</v>
      </c>
      <c r="J2075" s="3" t="str">
        <f>HYPERLINK("https://www.boe.es/gazeta/dias/1813/10/05/pdfs/GMR-1813-54.pdf#page=7","Abrir facsímil")</f>
        <v>Abrir facsímil</v>
      </c>
      <c r="K2075" s="3" t="s">
        <v>22</v>
      </c>
    </row>
    <row r="2076" spans="1:11" ht="42" customHeight="1">
      <c r="A2076" s="2" t="s">
        <v>4695</v>
      </c>
      <c r="B2076" s="2" t="s">
        <v>4695</v>
      </c>
      <c r="C2076" s="2" t="s">
        <v>16</v>
      </c>
      <c r="D2076" s="2" t="s">
        <v>17</v>
      </c>
      <c r="E2076" s="5">
        <v>-31559</v>
      </c>
      <c r="F2076" s="3" t="s">
        <v>1485</v>
      </c>
      <c r="G2076" s="3" t="s">
        <v>54</v>
      </c>
      <c r="H2076" s="2" t="s">
        <v>20</v>
      </c>
      <c r="I2076" s="2" t="s">
        <v>4696</v>
      </c>
      <c r="J2076" s="3" t="str">
        <f>HYPERLINK("https://www.boe.es/gazeta/dias/1813/08/04/pdfs/GRE-1813-113.pdf#page=3","Abrir facsímil")</f>
        <v>Abrir facsímil</v>
      </c>
      <c r="K2076" s="3" t="s">
        <v>22</v>
      </c>
    </row>
    <row r="2077" spans="1:11" ht="42" customHeight="1">
      <c r="A2077" s="2" t="s">
        <v>4695</v>
      </c>
      <c r="B2077" s="2" t="s">
        <v>4695</v>
      </c>
      <c r="C2077" s="2" t="s">
        <v>16</v>
      </c>
      <c r="D2077" s="2" t="s">
        <v>17</v>
      </c>
      <c r="E2077" s="5">
        <v>-31528</v>
      </c>
      <c r="F2077" s="3" t="s">
        <v>1485</v>
      </c>
      <c r="G2077" s="3" t="s">
        <v>54</v>
      </c>
      <c r="H2077" s="2" t="s">
        <v>20</v>
      </c>
      <c r="I2077" s="2" t="s">
        <v>4696</v>
      </c>
      <c r="J2077" s="3" t="str">
        <f>HYPERLINK("https://www.boe.es/gazeta/dias/1813/09/04/pdfs/GRE-1813-113.pdf#page=3","Abrir facsímil")</f>
        <v>Abrir facsímil</v>
      </c>
      <c r="K2077" s="3" t="s">
        <v>22</v>
      </c>
    </row>
    <row r="2078" spans="1:11" ht="42" customHeight="1">
      <c r="A2078" s="2" t="s">
        <v>4697</v>
      </c>
      <c r="B2078" s="2" t="s">
        <v>4697</v>
      </c>
      <c r="C2078" s="2" t="s">
        <v>16</v>
      </c>
      <c r="D2078" s="2" t="s">
        <v>17</v>
      </c>
      <c r="E2078" s="5">
        <v>-31481</v>
      </c>
      <c r="F2078" s="3" t="s">
        <v>40</v>
      </c>
      <c r="G2078" s="3" t="s">
        <v>54</v>
      </c>
      <c r="H2078" s="2" t="s">
        <v>20</v>
      </c>
      <c r="I2078" s="2" t="s">
        <v>4698</v>
      </c>
      <c r="J2078" s="3" t="str">
        <f>HYPERLINK("https://www.boe.es/gazeta/dias/1813/10/21/pdfs/GMR-1813-62.pdf#page=3","Abrir facsímil")</f>
        <v>Abrir facsímil</v>
      </c>
      <c r="K2078" s="3" t="s">
        <v>22</v>
      </c>
    </row>
    <row r="2079" spans="1:11" ht="42" customHeight="1">
      <c r="A2079" s="2" t="s">
        <v>4699</v>
      </c>
      <c r="B2079" s="2" t="s">
        <v>4699</v>
      </c>
      <c r="C2079" s="2" t="s">
        <v>16</v>
      </c>
      <c r="D2079" s="2" t="s">
        <v>17</v>
      </c>
      <c r="E2079" s="5">
        <v>-31773</v>
      </c>
      <c r="F2079" s="3" t="s">
        <v>3667</v>
      </c>
      <c r="G2079" s="3" t="s">
        <v>58</v>
      </c>
      <c r="H2079" s="2" t="s">
        <v>20</v>
      </c>
      <c r="I2079" s="2" t="s">
        <v>4700</v>
      </c>
      <c r="J2079" s="3" t="str">
        <f>HYPERLINK("https://www.boe.es/gazeta/dias/1813/01/02/pdfs/GRE-1813-1.pdf#page=2","Abrir facsímil")</f>
        <v>Abrir facsímil</v>
      </c>
      <c r="K2079" s="3" t="s">
        <v>22</v>
      </c>
    </row>
    <row r="2080" spans="1:11" ht="42" customHeight="1">
      <c r="A2080" s="2" t="s">
        <v>4699</v>
      </c>
      <c r="B2080" s="2" t="s">
        <v>4699</v>
      </c>
      <c r="C2080" s="2" t="s">
        <v>16</v>
      </c>
      <c r="D2080" s="2" t="s">
        <v>17</v>
      </c>
      <c r="E2080" s="5">
        <v>-31766</v>
      </c>
      <c r="F2080" s="3" t="s">
        <v>1356</v>
      </c>
      <c r="G2080" s="3" t="s">
        <v>4701</v>
      </c>
      <c r="H2080" s="2" t="s">
        <v>20</v>
      </c>
      <c r="I2080" s="2" t="s">
        <v>4702</v>
      </c>
      <c r="J2080" s="3" t="str">
        <f>HYPERLINK("https://www.boe.es/gazeta/dias/1813/01/09/pdfs/GRE-1813-4.pdf#page=4","Abrir facsímil")</f>
        <v>Abrir facsímil</v>
      </c>
      <c r="K2080" s="3" t="s">
        <v>22</v>
      </c>
    </row>
    <row r="2081" spans="1:11" ht="42" customHeight="1">
      <c r="A2081" s="2" t="s">
        <v>4699</v>
      </c>
      <c r="B2081" s="2" t="s">
        <v>4699</v>
      </c>
      <c r="C2081" s="2" t="s">
        <v>16</v>
      </c>
      <c r="D2081" s="2" t="s">
        <v>17</v>
      </c>
      <c r="E2081" s="5">
        <v>-31766</v>
      </c>
      <c r="F2081" s="3" t="s">
        <v>1356</v>
      </c>
      <c r="G2081" s="3" t="s">
        <v>4703</v>
      </c>
      <c r="H2081" s="2" t="s">
        <v>20</v>
      </c>
      <c r="I2081" s="2" t="s">
        <v>4704</v>
      </c>
      <c r="J2081" s="3" t="str">
        <f>HYPERLINK("https://www.boe.es/gazeta/dias/1813/01/09/pdfs/GRE-1813-4.pdf#page=5","Abrir facsímil")</f>
        <v>Abrir facsímil</v>
      </c>
      <c r="K2081" s="3" t="s">
        <v>22</v>
      </c>
    </row>
    <row r="2082" spans="1:11" ht="42" customHeight="1">
      <c r="A2082" s="2" t="s">
        <v>4699</v>
      </c>
      <c r="B2082" s="2" t="s">
        <v>4699</v>
      </c>
      <c r="C2082" s="2" t="s">
        <v>16</v>
      </c>
      <c r="D2082" s="2" t="s">
        <v>17</v>
      </c>
      <c r="E2082" s="5">
        <v>-31752</v>
      </c>
      <c r="F2082" s="3" t="s">
        <v>182</v>
      </c>
      <c r="G2082" s="3" t="s">
        <v>65</v>
      </c>
      <c r="H2082" s="2" t="s">
        <v>20</v>
      </c>
      <c r="I2082" s="2" t="s">
        <v>4705</v>
      </c>
      <c r="J2082" s="3" t="str">
        <f>HYPERLINK("https://www.boe.es/gazeta/dias/1813/01/23/pdfs/GRE-1813-10.pdf#page=1","Abrir facsímil")</f>
        <v>Abrir facsímil</v>
      </c>
      <c r="K2082" s="3" t="s">
        <v>22</v>
      </c>
    </row>
    <row r="2083" spans="1:11" ht="42" customHeight="1">
      <c r="A2083" s="2" t="s">
        <v>4699</v>
      </c>
      <c r="B2083" s="2" t="s">
        <v>4699</v>
      </c>
      <c r="C2083" s="2" t="s">
        <v>25</v>
      </c>
      <c r="D2083" s="2" t="s">
        <v>26</v>
      </c>
      <c r="E2083" s="5">
        <v>-31733</v>
      </c>
      <c r="F2083" s="3" t="s">
        <v>3036</v>
      </c>
      <c r="G2083" s="3" t="s">
        <v>54</v>
      </c>
      <c r="H2083" s="2" t="s">
        <v>20</v>
      </c>
      <c r="I2083" s="2" t="s">
        <v>4706</v>
      </c>
      <c r="J2083" s="3" t="str">
        <f>HYPERLINK("https://www.boe.es/gazeta/dias/1813/02/11/pdfs/GRE-1813-18.pdf#page=3","Abrir facsímil")</f>
        <v>Abrir facsímil</v>
      </c>
      <c r="K2083" s="3" t="s">
        <v>22</v>
      </c>
    </row>
    <row r="2084" spans="1:11" ht="42" customHeight="1">
      <c r="A2084" s="2" t="s">
        <v>4699</v>
      </c>
      <c r="B2084" s="2" t="s">
        <v>4699</v>
      </c>
      <c r="C2084" s="2" t="s">
        <v>16</v>
      </c>
      <c r="D2084" s="2" t="s">
        <v>17</v>
      </c>
      <c r="E2084" s="5">
        <v>-31731</v>
      </c>
      <c r="F2084" s="3" t="s">
        <v>866</v>
      </c>
      <c r="G2084" s="3" t="s">
        <v>54</v>
      </c>
      <c r="H2084" s="2" t="s">
        <v>20</v>
      </c>
      <c r="I2084" s="2" t="s">
        <v>4707</v>
      </c>
      <c r="J2084" s="3" t="str">
        <f>HYPERLINK("https://www.boe.es/gazeta/dias/1813/02/13/pdfs/GRE-1813-19.pdf#page=3","Abrir facsímil")</f>
        <v>Abrir facsímil</v>
      </c>
      <c r="K2084" s="3" t="s">
        <v>22</v>
      </c>
    </row>
    <row r="2085" spans="1:11" ht="42" customHeight="1">
      <c r="A2085" s="2" t="s">
        <v>4699</v>
      </c>
      <c r="B2085" s="2" t="s">
        <v>4699</v>
      </c>
      <c r="C2085" s="2" t="s">
        <v>16</v>
      </c>
      <c r="D2085" s="2" t="s">
        <v>17</v>
      </c>
      <c r="E2085" s="5">
        <v>-31654</v>
      </c>
      <c r="F2085" s="3" t="s">
        <v>1519</v>
      </c>
      <c r="G2085" s="3" t="s">
        <v>54</v>
      </c>
      <c r="H2085" s="2" t="s">
        <v>20</v>
      </c>
      <c r="I2085" s="2" t="s">
        <v>4708</v>
      </c>
      <c r="J2085" s="3" t="str">
        <f>HYPERLINK("https://www.boe.es/gazeta/dias/1813/05/01/pdfs/GRE-1813-54.pdf#page=3","Abrir facsímil")</f>
        <v>Abrir facsímil</v>
      </c>
      <c r="K2085" s="3" t="s">
        <v>22</v>
      </c>
    </row>
    <row r="2086" spans="1:11" ht="42" customHeight="1">
      <c r="A2086" s="2" t="s">
        <v>4699</v>
      </c>
      <c r="B2086" s="2" t="s">
        <v>4699</v>
      </c>
      <c r="C2086" s="2" t="s">
        <v>25</v>
      </c>
      <c r="D2086" s="2" t="s">
        <v>26</v>
      </c>
      <c r="E2086" s="5">
        <v>-31644</v>
      </c>
      <c r="F2086" s="3" t="s">
        <v>3904</v>
      </c>
      <c r="G2086" s="3" t="s">
        <v>4709</v>
      </c>
      <c r="H2086" s="2" t="s">
        <v>20</v>
      </c>
      <c r="I2086" s="2" t="s">
        <v>4710</v>
      </c>
      <c r="J2086" s="3" t="str">
        <f>HYPERLINK("https://www.boe.es/gazeta/dias/1813/05/11/pdfs/GRE-1813-58.pdf#page=2","Abrir facsímil")</f>
        <v>Abrir facsímil</v>
      </c>
      <c r="K2086" s="3" t="s">
        <v>22</v>
      </c>
    </row>
    <row r="2087" spans="1:11" ht="42" customHeight="1">
      <c r="A2087" s="2" t="s">
        <v>4699</v>
      </c>
      <c r="B2087" s="2" t="s">
        <v>4699</v>
      </c>
      <c r="C2087" s="2" t="s">
        <v>16</v>
      </c>
      <c r="D2087" s="2" t="s">
        <v>17</v>
      </c>
      <c r="E2087" s="5">
        <v>-31623</v>
      </c>
      <c r="F2087" s="3" t="s">
        <v>267</v>
      </c>
      <c r="G2087" s="3" t="s">
        <v>58</v>
      </c>
      <c r="H2087" s="2" t="s">
        <v>20</v>
      </c>
      <c r="I2087" s="2" t="s">
        <v>4711</v>
      </c>
      <c r="J2087" s="3" t="str">
        <f>HYPERLINK("https://www.boe.es/gazeta/dias/1813/06/01/pdfs/GRE-1813-67.pdf#page=2","Abrir facsímil")</f>
        <v>Abrir facsímil</v>
      </c>
      <c r="K2087" s="3" t="s">
        <v>22</v>
      </c>
    </row>
    <row r="2088" spans="1:11" ht="42" customHeight="1">
      <c r="A2088" s="2" t="s">
        <v>4699</v>
      </c>
      <c r="B2088" s="2" t="s">
        <v>4699</v>
      </c>
      <c r="C2088" s="2" t="s">
        <v>16</v>
      </c>
      <c r="D2088" s="2" t="s">
        <v>17</v>
      </c>
      <c r="E2088" s="5">
        <v>-31613</v>
      </c>
      <c r="F2088" s="3" t="s">
        <v>1629</v>
      </c>
      <c r="G2088" s="3" t="s">
        <v>2177</v>
      </c>
      <c r="H2088" s="2" t="s">
        <v>20</v>
      </c>
      <c r="I2088" s="2" t="s">
        <v>4712</v>
      </c>
      <c r="J2088" s="3" t="str">
        <f>HYPERLINK("https://www.boe.es/gazeta/dias/1813/06/11/pdfs/GMR-1813-4.pdf#page=5","Abrir facsímil")</f>
        <v>Abrir facsímil</v>
      </c>
      <c r="K2088" s="3" t="s">
        <v>22</v>
      </c>
    </row>
    <row r="2089" spans="1:11" ht="42" customHeight="1">
      <c r="A2089" s="2" t="s">
        <v>4699</v>
      </c>
      <c r="B2089" s="2" t="s">
        <v>4699</v>
      </c>
      <c r="C2089" s="2" t="s">
        <v>16</v>
      </c>
      <c r="D2089" s="2" t="s">
        <v>17</v>
      </c>
      <c r="E2089" s="5">
        <v>-31613</v>
      </c>
      <c r="F2089" s="3" t="s">
        <v>1629</v>
      </c>
      <c r="G2089" s="3" t="s">
        <v>54</v>
      </c>
      <c r="H2089" s="2" t="s">
        <v>20</v>
      </c>
      <c r="I2089" s="2" t="s">
        <v>4713</v>
      </c>
      <c r="J2089" s="3" t="str">
        <f>HYPERLINK("https://www.boe.es/gazeta/dias/1813/06/11/pdfs/GMR-1813-4.pdf#page=3","Abrir facsímil")</f>
        <v>Abrir facsímil</v>
      </c>
      <c r="K2089" s="3" t="s">
        <v>22</v>
      </c>
    </row>
    <row r="2090" spans="1:11" ht="42" customHeight="1">
      <c r="A2090" s="2" t="s">
        <v>4699</v>
      </c>
      <c r="B2090" s="2" t="s">
        <v>4699</v>
      </c>
      <c r="C2090" s="2" t="s">
        <v>16</v>
      </c>
      <c r="D2090" s="2" t="s">
        <v>17</v>
      </c>
      <c r="E2090" s="5">
        <v>-31584</v>
      </c>
      <c r="F2090" s="3" t="s">
        <v>114</v>
      </c>
      <c r="G2090" s="3" t="s">
        <v>54</v>
      </c>
      <c r="H2090" s="2" t="s">
        <v>20</v>
      </c>
      <c r="I2090" s="2" t="s">
        <v>4714</v>
      </c>
      <c r="J2090" s="3" t="str">
        <f>HYPERLINK("https://www.boe.es/gazeta/dias/1813/07/10/pdfs/GRE-1813-86.pdf#page=3","Abrir facsímil")</f>
        <v>Abrir facsímil</v>
      </c>
      <c r="K2090" s="3" t="s">
        <v>22</v>
      </c>
    </row>
    <row r="2091" spans="1:11" ht="42" customHeight="1">
      <c r="A2091" s="2" t="s">
        <v>4699</v>
      </c>
      <c r="B2091" s="2" t="s">
        <v>4699</v>
      </c>
      <c r="C2091" s="2" t="s">
        <v>16</v>
      </c>
      <c r="D2091" s="2" t="s">
        <v>17</v>
      </c>
      <c r="E2091" s="5">
        <v>-31479</v>
      </c>
      <c r="F2091" s="3" t="s">
        <v>322</v>
      </c>
      <c r="G2091" s="3" t="s">
        <v>82</v>
      </c>
      <c r="H2091" s="2" t="s">
        <v>20</v>
      </c>
      <c r="I2091" s="2" t="s">
        <v>4715</v>
      </c>
      <c r="J2091" s="3" t="str">
        <f>HYPERLINK("https://www.boe.es/gazeta/dias/1813/10/23/pdfs/GMR-1813-63.pdf#page=5","Abrir facsímil")</f>
        <v>Abrir facsímil</v>
      </c>
      <c r="K2091" s="3" t="s">
        <v>22</v>
      </c>
    </row>
    <row r="2092" spans="1:11" ht="42" customHeight="1">
      <c r="A2092" s="2" t="s">
        <v>4699</v>
      </c>
      <c r="B2092" s="2" t="s">
        <v>4699</v>
      </c>
      <c r="C2092" s="2" t="s">
        <v>16</v>
      </c>
      <c r="D2092" s="2" t="s">
        <v>17</v>
      </c>
      <c r="E2092" s="5">
        <v>-31479</v>
      </c>
      <c r="F2092" s="3" t="s">
        <v>2383</v>
      </c>
      <c r="G2092" s="3" t="s">
        <v>19</v>
      </c>
      <c r="H2092" s="2" t="s">
        <v>20</v>
      </c>
      <c r="I2092" s="2" t="s">
        <v>4716</v>
      </c>
      <c r="J2092" s="3" t="str">
        <f>HYPERLINK("https://www.boe.es/gazeta/dias/1813/10/23/pdfs/GRE-1813-138.pdf#page=4","Abrir facsímil")</f>
        <v>Abrir facsímil</v>
      </c>
      <c r="K2092" s="3" t="s">
        <v>22</v>
      </c>
    </row>
    <row r="2093" spans="1:11" ht="42" customHeight="1">
      <c r="A2093" s="2" t="s">
        <v>4699</v>
      </c>
      <c r="B2093" s="2" t="s">
        <v>4699</v>
      </c>
      <c r="C2093" s="2" t="s">
        <v>16</v>
      </c>
      <c r="D2093" s="2" t="s">
        <v>17</v>
      </c>
      <c r="E2093" s="5">
        <v>-31472</v>
      </c>
      <c r="F2093" s="3" t="s">
        <v>1942</v>
      </c>
      <c r="G2093" s="3" t="s">
        <v>95</v>
      </c>
      <c r="H2093" s="2" t="s">
        <v>20</v>
      </c>
      <c r="I2093" s="2" t="s">
        <v>4717</v>
      </c>
      <c r="J2093" s="3" t="str">
        <f>HYPERLINK("https://www.boe.es/gazeta/dias/1813/10/30/pdfs/GRE-1813-142.pdf#page=6","Abrir facsímil")</f>
        <v>Abrir facsímil</v>
      </c>
      <c r="K2093" s="3" t="s">
        <v>22</v>
      </c>
    </row>
    <row r="2094" spans="1:11" ht="42" customHeight="1">
      <c r="A2094" s="2" t="s">
        <v>4699</v>
      </c>
      <c r="B2094" s="2" t="s">
        <v>4699</v>
      </c>
      <c r="C2094" s="2" t="s">
        <v>16</v>
      </c>
      <c r="D2094" s="2" t="s">
        <v>17</v>
      </c>
      <c r="E2094" s="5">
        <v>-31420</v>
      </c>
      <c r="F2094" s="3" t="s">
        <v>145</v>
      </c>
      <c r="G2094" s="3" t="s">
        <v>19</v>
      </c>
      <c r="H2094" s="2" t="s">
        <v>20</v>
      </c>
      <c r="I2094" s="2" t="s">
        <v>4718</v>
      </c>
      <c r="J2094" s="3" t="str">
        <f>HYPERLINK("https://www.boe.es/gazeta/dias/1813/12/21/pdfs/GMR-1813-90.pdf#page=4","Abrir facsímil")</f>
        <v>Abrir facsímil</v>
      </c>
      <c r="K2094" s="3" t="s">
        <v>22</v>
      </c>
    </row>
    <row r="2095" spans="1:11" ht="42" customHeight="1">
      <c r="A2095" s="2" t="s">
        <v>4699</v>
      </c>
      <c r="B2095" s="2" t="s">
        <v>4699</v>
      </c>
      <c r="C2095" s="2" t="s">
        <v>16</v>
      </c>
      <c r="D2095" s="2" t="s">
        <v>17</v>
      </c>
      <c r="E2095" s="5">
        <v>-31416</v>
      </c>
      <c r="F2095" s="3" t="s">
        <v>110</v>
      </c>
      <c r="G2095" s="3" t="s">
        <v>1590</v>
      </c>
      <c r="H2095" s="2" t="s">
        <v>20</v>
      </c>
      <c r="I2095" s="2" t="s">
        <v>4719</v>
      </c>
      <c r="J2095" s="3" t="str">
        <f>HYPERLINK("https://www.boe.es/gazeta/dias/1813/12/25/pdfs/GRE-1813-169.pdf#page=4","Abrir facsímil")</f>
        <v>Abrir facsímil</v>
      </c>
      <c r="K2095" s="3" t="s">
        <v>22</v>
      </c>
    </row>
    <row r="2096" spans="1:11" ht="42" customHeight="1">
      <c r="A2096" s="2" t="s">
        <v>4720</v>
      </c>
      <c r="B2096" s="2" t="s">
        <v>4721</v>
      </c>
      <c r="C2096" s="2" t="s">
        <v>34</v>
      </c>
      <c r="D2096" s="2" t="s">
        <v>35</v>
      </c>
      <c r="E2096" s="5">
        <v>-31709</v>
      </c>
      <c r="F2096" s="3" t="s">
        <v>36</v>
      </c>
      <c r="G2096" s="3" t="s">
        <v>303</v>
      </c>
      <c r="H2096" s="2" t="s">
        <v>20</v>
      </c>
      <c r="I2096" s="2" t="s">
        <v>4722</v>
      </c>
      <c r="J2096" s="3" t="str">
        <f>HYPERLINK("https://www.boe.es/gazeta/dias/1813/03/07/pdfs/GMD-1813-66.pdf#page=3","Abrir facsímil")</f>
        <v>Abrir facsímil</v>
      </c>
      <c r="K2096" s="3" t="s">
        <v>22</v>
      </c>
    </row>
    <row r="2097" spans="1:11" ht="42" customHeight="1">
      <c r="A2097" s="2" t="s">
        <v>4723</v>
      </c>
      <c r="B2097" s="2" t="s">
        <v>4723</v>
      </c>
      <c r="C2097" s="2" t="s">
        <v>16</v>
      </c>
      <c r="D2097" s="2" t="s">
        <v>17</v>
      </c>
      <c r="E2097" s="5">
        <v>-31727</v>
      </c>
      <c r="F2097" s="3" t="s">
        <v>3767</v>
      </c>
      <c r="G2097" s="3" t="s">
        <v>19</v>
      </c>
      <c r="H2097" s="2" t="s">
        <v>20</v>
      </c>
      <c r="I2097" s="2" t="s">
        <v>4724</v>
      </c>
      <c r="J2097" s="3" t="str">
        <f>HYPERLINK("https://www.boe.es/gazeta/dias/1813/02/17/pdfs/GMD-1813-48.pdf#page=4","Abrir facsímil")</f>
        <v>Abrir facsímil</v>
      </c>
      <c r="K2097" s="3" t="s">
        <v>22</v>
      </c>
    </row>
    <row r="2098" spans="1:11" ht="42" customHeight="1">
      <c r="A2098" s="2" t="s">
        <v>4725</v>
      </c>
      <c r="B2098" s="2" t="s">
        <v>4725</v>
      </c>
      <c r="C2098" s="2" t="s">
        <v>16</v>
      </c>
      <c r="D2098" s="2" t="s">
        <v>17</v>
      </c>
      <c r="E2098" s="5">
        <v>-31727</v>
      </c>
      <c r="F2098" s="3" t="s">
        <v>3767</v>
      </c>
      <c r="G2098" s="3" t="s">
        <v>19</v>
      </c>
      <c r="H2098" s="2" t="s">
        <v>20</v>
      </c>
      <c r="I2098" s="2" t="s">
        <v>4726</v>
      </c>
      <c r="J2098" s="3" t="str">
        <f>HYPERLINK("https://www.boe.es/gazeta/dias/1813/02/17/pdfs/GMD-1813-48.pdf#page=4","Abrir facsímil")</f>
        <v>Abrir facsímil</v>
      </c>
      <c r="K2098" s="3" t="s">
        <v>22</v>
      </c>
    </row>
    <row r="2099" spans="1:11" ht="42" customHeight="1">
      <c r="A2099" s="2" t="s">
        <v>4727</v>
      </c>
      <c r="B2099" s="2" t="s">
        <v>4727</v>
      </c>
      <c r="C2099" s="2" t="s">
        <v>16</v>
      </c>
      <c r="D2099" s="2" t="s">
        <v>97</v>
      </c>
      <c r="E2099" s="5">
        <v>-31519</v>
      </c>
      <c r="F2099" s="3" t="s">
        <v>312</v>
      </c>
      <c r="G2099" s="3" t="s">
        <v>19</v>
      </c>
      <c r="H2099" s="2" t="s">
        <v>20</v>
      </c>
      <c r="I2099" s="2" t="s">
        <v>4728</v>
      </c>
      <c r="J2099" s="3" t="str">
        <f>HYPERLINK("https://www.boe.es/gazeta/dias/1813/09/13/pdfs/GRE-1813-118E.pdf#page=4","Abrir facsímil")</f>
        <v>Abrir facsímil</v>
      </c>
      <c r="K2099" s="3" t="s">
        <v>22</v>
      </c>
    </row>
    <row r="2100" spans="1:11" ht="42" customHeight="1">
      <c r="A2100" s="2" t="s">
        <v>4729</v>
      </c>
      <c r="B2100" s="2" t="s">
        <v>4729</v>
      </c>
      <c r="C2100" s="2" t="s">
        <v>34</v>
      </c>
      <c r="D2100" s="2" t="s">
        <v>35</v>
      </c>
      <c r="E2100" s="5">
        <v>-31738</v>
      </c>
      <c r="F2100" s="3" t="s">
        <v>2045</v>
      </c>
      <c r="G2100" s="3" t="s">
        <v>58</v>
      </c>
      <c r="H2100" s="2" t="s">
        <v>20</v>
      </c>
      <c r="I2100" s="2" t="s">
        <v>4730</v>
      </c>
      <c r="J2100" s="3" t="str">
        <f>HYPERLINK("https://www.boe.es/gazeta/dias/1813/02/06/pdfs/GMD-1813-37.pdf#page=2","Abrir facsímil")</f>
        <v>Abrir facsímil</v>
      </c>
      <c r="K2100" s="3" t="s">
        <v>22</v>
      </c>
    </row>
    <row r="2101" spans="1:11" ht="42" customHeight="1">
      <c r="A2101" s="2" t="s">
        <v>4731</v>
      </c>
      <c r="B2101" s="2" t="s">
        <v>4731</v>
      </c>
      <c r="C2101" s="2" t="s">
        <v>16</v>
      </c>
      <c r="D2101" s="2" t="s">
        <v>17</v>
      </c>
      <c r="E2101" s="5">
        <v>-31743</v>
      </c>
      <c r="F2101" s="3" t="s">
        <v>2711</v>
      </c>
      <c r="G2101" s="3" t="s">
        <v>65</v>
      </c>
      <c r="H2101" s="2" t="s">
        <v>20</v>
      </c>
      <c r="I2101" s="2" t="s">
        <v>4732</v>
      </c>
      <c r="J2101" s="3" t="str">
        <f>HYPERLINK("https://www.boe.es/gazeta/dias/1813/02/01/pdfs/GMD-1813-32.pdf#page=1","Abrir facsímil")</f>
        <v>Abrir facsímil</v>
      </c>
      <c r="K2101" s="3" t="s">
        <v>22</v>
      </c>
    </row>
    <row r="2102" spans="1:11" ht="42" customHeight="1">
      <c r="A2102" s="2" t="s">
        <v>4733</v>
      </c>
      <c r="B2102" s="2" t="s">
        <v>4733</v>
      </c>
      <c r="C2102" s="2" t="s">
        <v>16</v>
      </c>
      <c r="D2102" s="2" t="s">
        <v>17</v>
      </c>
      <c r="E2102" s="5">
        <v>-31722</v>
      </c>
      <c r="F2102" s="3" t="s">
        <v>3675</v>
      </c>
      <c r="G2102" s="3" t="s">
        <v>65</v>
      </c>
      <c r="H2102" s="2" t="s">
        <v>20</v>
      </c>
      <c r="I2102" s="2" t="s">
        <v>4734</v>
      </c>
      <c r="J2102" s="3" t="str">
        <f>HYPERLINK("https://www.boe.es/gazeta/dias/1813/02/22/pdfs/GMD-1813-53.pdf#page=1","Abrir facsímil")</f>
        <v>Abrir facsímil</v>
      </c>
      <c r="K2102" s="3" t="s">
        <v>22</v>
      </c>
    </row>
    <row r="2103" spans="1:11" ht="42" customHeight="1">
      <c r="A2103" s="2" t="s">
        <v>4733</v>
      </c>
      <c r="B2103" s="2" t="s">
        <v>4733</v>
      </c>
      <c r="C2103" s="2" t="s">
        <v>16</v>
      </c>
      <c r="D2103" s="2" t="s">
        <v>17</v>
      </c>
      <c r="E2103" s="5">
        <v>-31720</v>
      </c>
      <c r="F2103" s="3" t="s">
        <v>672</v>
      </c>
      <c r="G2103" s="3" t="s">
        <v>65</v>
      </c>
      <c r="H2103" s="2" t="s">
        <v>20</v>
      </c>
      <c r="I2103" s="2" t="s">
        <v>4735</v>
      </c>
      <c r="J2103" s="3" t="str">
        <f>HYPERLINK("https://www.boe.es/gazeta/dias/1813/02/24/pdfs/GMD-1813-55.pdf#page=1","Abrir facsímil")</f>
        <v>Abrir facsímil</v>
      </c>
      <c r="K2103" s="3" t="s">
        <v>22</v>
      </c>
    </row>
    <row r="2104" spans="1:11" ht="42" customHeight="1">
      <c r="A2104" s="2" t="s">
        <v>4736</v>
      </c>
      <c r="B2104" s="2" t="s">
        <v>4736</v>
      </c>
      <c r="C2104" s="2" t="s">
        <v>16</v>
      </c>
      <c r="D2104" s="2" t="s">
        <v>17</v>
      </c>
      <c r="E2104" s="5">
        <v>-31551</v>
      </c>
      <c r="F2104" s="3" t="s">
        <v>954</v>
      </c>
      <c r="G2104" s="3" t="s">
        <v>65</v>
      </c>
      <c r="H2104" s="2" t="s">
        <v>20</v>
      </c>
      <c r="I2104" s="2" t="s">
        <v>4737</v>
      </c>
      <c r="J2104" s="3" t="str">
        <f>HYPERLINK("https://www.boe.es/gazeta/dias/1813/08/12/pdfs/GMR-1813-27.pdf#page=1","Abrir facsímil")</f>
        <v>Abrir facsímil</v>
      </c>
      <c r="K2104" s="3" t="s">
        <v>22</v>
      </c>
    </row>
    <row r="2105" spans="1:11" ht="42" customHeight="1">
      <c r="A2105" s="2" t="s">
        <v>4733</v>
      </c>
      <c r="B2105" s="2" t="s">
        <v>4733</v>
      </c>
      <c r="C2105" s="2" t="s">
        <v>16</v>
      </c>
      <c r="D2105" s="2" t="s">
        <v>17</v>
      </c>
      <c r="E2105" s="5">
        <v>-31551</v>
      </c>
      <c r="F2105" s="3" t="s">
        <v>954</v>
      </c>
      <c r="G2105" s="3" t="s">
        <v>58</v>
      </c>
      <c r="H2105" s="2" t="s">
        <v>20</v>
      </c>
      <c r="I2105" s="2" t="s">
        <v>4738</v>
      </c>
      <c r="J2105" s="3" t="str">
        <f>HYPERLINK("https://www.boe.es/gazeta/dias/1813/08/12/pdfs/GMR-1813-27.pdf#page=2","Abrir facsímil")</f>
        <v>Abrir facsímil</v>
      </c>
      <c r="K2105" s="3" t="s">
        <v>22</v>
      </c>
    </row>
    <row r="2106" spans="1:11" ht="42" customHeight="1">
      <c r="A2106" s="2" t="s">
        <v>4739</v>
      </c>
      <c r="B2106" s="2" t="s">
        <v>4739</v>
      </c>
      <c r="C2106" s="2" t="s">
        <v>16</v>
      </c>
      <c r="D2106" s="2" t="s">
        <v>17</v>
      </c>
      <c r="E2106" s="5">
        <v>-31724</v>
      </c>
      <c r="F2106" s="3" t="s">
        <v>684</v>
      </c>
      <c r="G2106" s="3" t="s">
        <v>54</v>
      </c>
      <c r="H2106" s="2" t="s">
        <v>20</v>
      </c>
      <c r="I2106" s="2" t="s">
        <v>4740</v>
      </c>
      <c r="J2106" s="3" t="str">
        <f>HYPERLINK("https://www.boe.es/gazeta/dias/1813/02/20/pdfs/GMD-1813-51.pdf#page=3","Abrir facsímil")</f>
        <v>Abrir facsímil</v>
      </c>
      <c r="K2106" s="3" t="s">
        <v>22</v>
      </c>
    </row>
    <row r="2107" spans="1:11" ht="42" customHeight="1">
      <c r="A2107" s="2" t="s">
        <v>4741</v>
      </c>
      <c r="B2107" s="2" t="s">
        <v>4741</v>
      </c>
      <c r="C2107" s="2" t="s">
        <v>16</v>
      </c>
      <c r="D2107" s="2" t="s">
        <v>17</v>
      </c>
      <c r="E2107" s="5">
        <v>-31711</v>
      </c>
      <c r="F2107" s="3" t="s">
        <v>90</v>
      </c>
      <c r="G2107" s="3" t="s">
        <v>54</v>
      </c>
      <c r="H2107" s="2" t="s">
        <v>20</v>
      </c>
      <c r="I2107" s="2" t="s">
        <v>4742</v>
      </c>
      <c r="J2107" s="3" t="str">
        <f>HYPERLINK("https://www.boe.es/gazeta/dias/1813/03/05/pdfs/GMD-1813-64.pdf#page=3","Abrir facsímil")</f>
        <v>Abrir facsímil</v>
      </c>
      <c r="K2107" s="3" t="s">
        <v>22</v>
      </c>
    </row>
    <row r="2108" spans="1:11" ht="42" customHeight="1">
      <c r="A2108" s="2" t="s">
        <v>4743</v>
      </c>
      <c r="B2108" s="2" t="s">
        <v>4743</v>
      </c>
      <c r="C2108" s="2" t="s">
        <v>16</v>
      </c>
      <c r="D2108" s="2" t="s">
        <v>17</v>
      </c>
      <c r="E2108" s="5">
        <v>-31710</v>
      </c>
      <c r="F2108" s="3" t="s">
        <v>4744</v>
      </c>
      <c r="G2108" s="3" t="s">
        <v>19</v>
      </c>
      <c r="H2108" s="2" t="s">
        <v>20</v>
      </c>
      <c r="I2108" s="2" t="s">
        <v>4745</v>
      </c>
      <c r="J2108" s="3" t="str">
        <f>HYPERLINK("https://www.boe.es/gazeta/dias/1813/03/06/pdfs/GMD-1813-65.pdf#page=4","Abrir facsímil")</f>
        <v>Abrir facsímil</v>
      </c>
      <c r="K2108" s="3" t="s">
        <v>22</v>
      </c>
    </row>
    <row r="2109" spans="1:11" ht="42" customHeight="1">
      <c r="A2109" s="2" t="s">
        <v>4743</v>
      </c>
      <c r="B2109" s="2" t="s">
        <v>4743</v>
      </c>
      <c r="C2109" s="2" t="s">
        <v>16</v>
      </c>
      <c r="D2109" s="2" t="s">
        <v>17</v>
      </c>
      <c r="E2109" s="5">
        <v>-31707</v>
      </c>
      <c r="F2109" s="3" t="s">
        <v>2195</v>
      </c>
      <c r="G2109" s="3" t="s">
        <v>58</v>
      </c>
      <c r="H2109" s="2" t="s">
        <v>20</v>
      </c>
      <c r="I2109" s="2" t="s">
        <v>4746</v>
      </c>
      <c r="J2109" s="3" t="str">
        <f>HYPERLINK("https://www.boe.es/gazeta/dias/1813/03/09/pdfs/GMD-1813-68.pdf#page=2","Abrir facsímil")</f>
        <v>Abrir facsímil</v>
      </c>
      <c r="K2109" s="3" t="s">
        <v>22</v>
      </c>
    </row>
    <row r="2110" spans="1:11" ht="42" customHeight="1">
      <c r="A2110" s="2" t="s">
        <v>4743</v>
      </c>
      <c r="B2110" s="2" t="s">
        <v>4743</v>
      </c>
      <c r="C2110" s="2" t="s">
        <v>16</v>
      </c>
      <c r="D2110" s="2" t="s">
        <v>17</v>
      </c>
      <c r="E2110" s="5">
        <v>-31706</v>
      </c>
      <c r="F2110" s="3" t="s">
        <v>2256</v>
      </c>
      <c r="G2110" s="3" t="s">
        <v>54</v>
      </c>
      <c r="H2110" s="2" t="s">
        <v>20</v>
      </c>
      <c r="I2110" s="2" t="s">
        <v>4747</v>
      </c>
      <c r="J2110" s="3" t="str">
        <f>HYPERLINK("https://www.boe.es/gazeta/dias/1813/03/10/pdfs/GMD-1813-69.pdf#page=3","Abrir facsímil")</f>
        <v>Abrir facsímil</v>
      </c>
      <c r="K2110" s="3" t="s">
        <v>22</v>
      </c>
    </row>
    <row r="2111" spans="1:11" ht="42" customHeight="1">
      <c r="A2111" s="2" t="s">
        <v>4743</v>
      </c>
      <c r="B2111" s="2" t="s">
        <v>4743</v>
      </c>
      <c r="C2111" s="2" t="s">
        <v>16</v>
      </c>
      <c r="D2111" s="2" t="s">
        <v>17</v>
      </c>
      <c r="E2111" s="5">
        <v>-31532</v>
      </c>
      <c r="F2111" s="3" t="s">
        <v>1728</v>
      </c>
      <c r="G2111" s="3" t="s">
        <v>4748</v>
      </c>
      <c r="H2111" s="2" t="s">
        <v>20</v>
      </c>
      <c r="I2111" s="2" t="s">
        <v>4749</v>
      </c>
      <c r="J2111" s="3" t="str">
        <f>HYPERLINK("https://www.boe.es/gazeta/dias/1813/08/31/pdfs/GMR-1813-35.pdf#page=7","Abrir facsímil")</f>
        <v>Abrir facsímil</v>
      </c>
      <c r="K2111" s="3" t="s">
        <v>22</v>
      </c>
    </row>
    <row r="2112" spans="1:11" ht="42" customHeight="1">
      <c r="A2112" s="2" t="s">
        <v>4743</v>
      </c>
      <c r="B2112" s="2" t="s">
        <v>4743</v>
      </c>
      <c r="C2112" s="2" t="s">
        <v>16</v>
      </c>
      <c r="D2112" s="2" t="s">
        <v>17</v>
      </c>
      <c r="E2112" s="5">
        <v>-31530</v>
      </c>
      <c r="F2112" s="3" t="s">
        <v>319</v>
      </c>
      <c r="G2112" s="3" t="s">
        <v>19</v>
      </c>
      <c r="H2112" s="2" t="s">
        <v>20</v>
      </c>
      <c r="I2112" s="2" t="s">
        <v>4750</v>
      </c>
      <c r="J2112" s="3" t="str">
        <f>HYPERLINK("https://www.boe.es/gazeta/dias/1813/09/02/pdfs/GRE-1813-112.pdf#page=4","Abrir facsímil")</f>
        <v>Abrir facsímil</v>
      </c>
      <c r="K2112" s="3" t="s">
        <v>22</v>
      </c>
    </row>
    <row r="2113" spans="1:11" ht="42" customHeight="1">
      <c r="A2113" s="2" t="s">
        <v>4743</v>
      </c>
      <c r="B2113" s="2" t="s">
        <v>4743</v>
      </c>
      <c r="C2113" s="2" t="s">
        <v>16</v>
      </c>
      <c r="D2113" s="2" t="s">
        <v>17</v>
      </c>
      <c r="E2113" s="5">
        <v>-31444</v>
      </c>
      <c r="F2113" s="3" t="s">
        <v>389</v>
      </c>
      <c r="G2113" s="3" t="s">
        <v>28</v>
      </c>
      <c r="H2113" s="2" t="s">
        <v>20</v>
      </c>
      <c r="I2113" s="2" t="s">
        <v>4751</v>
      </c>
      <c r="J2113" s="3" t="str">
        <f>HYPERLINK("https://www.boe.es/gazeta/dias/1813/11/27/pdfs/GMR-1813-80.pdf#page=8","Abrir facsímil")</f>
        <v>Abrir facsímil</v>
      </c>
      <c r="K2113" s="3" t="s">
        <v>22</v>
      </c>
    </row>
    <row r="2114" spans="1:11" ht="42" customHeight="1">
      <c r="A2114" s="2" t="s">
        <v>4743</v>
      </c>
      <c r="B2114" s="2" t="s">
        <v>4743</v>
      </c>
      <c r="C2114" s="2" t="s">
        <v>16</v>
      </c>
      <c r="D2114" s="2" t="s">
        <v>17</v>
      </c>
      <c r="E2114" s="5">
        <v>-31425</v>
      </c>
      <c r="F2114" s="3" t="s">
        <v>1669</v>
      </c>
      <c r="G2114" s="3" t="s">
        <v>95</v>
      </c>
      <c r="H2114" s="2" t="s">
        <v>20</v>
      </c>
      <c r="I2114" s="2" t="s">
        <v>4752</v>
      </c>
      <c r="J2114" s="3" t="str">
        <f>HYPERLINK("https://www.boe.es/gazeta/dias/1813/12/16/pdfs/GRE-1813-165.pdf#page=6","Abrir facsímil")</f>
        <v>Abrir facsímil</v>
      </c>
      <c r="K2114" s="3" t="s">
        <v>22</v>
      </c>
    </row>
    <row r="2115" spans="1:11" ht="42" customHeight="1">
      <c r="A2115" s="2" t="s">
        <v>4753</v>
      </c>
      <c r="B2115" s="2" t="s">
        <v>4753</v>
      </c>
      <c r="C2115" s="2" t="s">
        <v>16</v>
      </c>
      <c r="D2115" s="2" t="s">
        <v>17</v>
      </c>
      <c r="E2115" s="5">
        <v>-31717</v>
      </c>
      <c r="F2115" s="3" t="s">
        <v>4754</v>
      </c>
      <c r="G2115" s="3" t="s">
        <v>65</v>
      </c>
      <c r="H2115" s="2" t="s">
        <v>20</v>
      </c>
      <c r="I2115" s="2" t="s">
        <v>4755</v>
      </c>
      <c r="J2115" s="3" t="str">
        <f>HYPERLINK("https://www.boe.es/gazeta/dias/1813/02/27/pdfs/GMD-1813-58.pdf#page=1","Abrir facsímil")</f>
        <v>Abrir facsímil</v>
      </c>
      <c r="K2115" s="3" t="s">
        <v>22</v>
      </c>
    </row>
    <row r="2116" spans="1:11" ht="42" customHeight="1">
      <c r="A2116" s="2" t="s">
        <v>4753</v>
      </c>
      <c r="B2116" s="2" t="s">
        <v>4753</v>
      </c>
      <c r="C2116" s="2" t="s">
        <v>16</v>
      </c>
      <c r="D2116" s="2" t="s">
        <v>17</v>
      </c>
      <c r="E2116" s="5">
        <v>-31694</v>
      </c>
      <c r="F2116" s="3" t="s">
        <v>2756</v>
      </c>
      <c r="G2116" s="3" t="s">
        <v>65</v>
      </c>
      <c r="H2116" s="2" t="s">
        <v>20</v>
      </c>
      <c r="I2116" s="2" t="s">
        <v>4756</v>
      </c>
      <c r="J2116" s="3" t="str">
        <f>HYPERLINK("https://www.boe.es/gazeta/dias/1813/03/22/pdfs/GMD-1813-81.pdf#page=1","Abrir facsímil")</f>
        <v>Abrir facsímil</v>
      </c>
      <c r="K2116" s="3" t="s">
        <v>22</v>
      </c>
    </row>
    <row r="2117" spans="1:11" ht="42" customHeight="1">
      <c r="A2117" s="2" t="s">
        <v>4757</v>
      </c>
      <c r="B2117" s="2" t="s">
        <v>4757</v>
      </c>
      <c r="C2117" s="2" t="s">
        <v>16</v>
      </c>
      <c r="D2117" s="2" t="s">
        <v>17</v>
      </c>
      <c r="E2117" s="5">
        <v>-31773</v>
      </c>
      <c r="F2117" s="3" t="s">
        <v>3667</v>
      </c>
      <c r="G2117" s="3" t="s">
        <v>3375</v>
      </c>
      <c r="H2117" s="2" t="s">
        <v>20</v>
      </c>
      <c r="I2117" s="2" t="s">
        <v>4758</v>
      </c>
      <c r="J2117" s="3" t="str">
        <f>HYPERLINK("https://www.boe.es/gazeta/dias/1813/01/02/pdfs/GRE-1813-1.pdf#page=3","Abrir facsímil")</f>
        <v>Abrir facsímil</v>
      </c>
      <c r="K2117" s="3" t="s">
        <v>22</v>
      </c>
    </row>
    <row r="2118" spans="1:11" ht="42" customHeight="1">
      <c r="A2118" s="2" t="s">
        <v>4759</v>
      </c>
      <c r="B2118" s="2" t="s">
        <v>4759</v>
      </c>
      <c r="C2118" s="2" t="s">
        <v>16</v>
      </c>
      <c r="D2118" s="2" t="s">
        <v>17</v>
      </c>
      <c r="E2118" s="5">
        <v>-31535</v>
      </c>
      <c r="F2118" s="3" t="s">
        <v>894</v>
      </c>
      <c r="G2118" s="3" t="s">
        <v>895</v>
      </c>
      <c r="H2118" s="2" t="s">
        <v>20</v>
      </c>
      <c r="I2118" s="2" t="s">
        <v>4760</v>
      </c>
      <c r="J2118" s="3" t="str">
        <f>HYPERLINK("https://www.boe.es/gazeta/dias/1813/08/28/pdfs/GMR-1813-34.pdf#page=3","Abrir facsímil")</f>
        <v>Abrir facsímil</v>
      </c>
      <c r="K2118" s="3" t="s">
        <v>22</v>
      </c>
    </row>
    <row r="2119" spans="1:11" ht="42" customHeight="1">
      <c r="A2119" s="2" t="s">
        <v>4759</v>
      </c>
      <c r="B2119" s="2" t="s">
        <v>4759</v>
      </c>
      <c r="C2119" s="2" t="s">
        <v>16</v>
      </c>
      <c r="D2119" s="2" t="s">
        <v>17</v>
      </c>
      <c r="E2119" s="5">
        <v>-31530</v>
      </c>
      <c r="F2119" s="3" t="s">
        <v>319</v>
      </c>
      <c r="G2119" s="3" t="s">
        <v>54</v>
      </c>
      <c r="H2119" s="2" t="s">
        <v>20</v>
      </c>
      <c r="I2119" s="2" t="s">
        <v>4761</v>
      </c>
      <c r="J2119" s="3" t="str">
        <f>HYPERLINK("https://www.boe.es/gazeta/dias/1813/09/02/pdfs/GRE-1813-112.pdf#page=3","Abrir facsímil")</f>
        <v>Abrir facsímil</v>
      </c>
      <c r="K2119" s="3" t="s">
        <v>22</v>
      </c>
    </row>
    <row r="2120" spans="1:11" ht="42" customHeight="1">
      <c r="A2120" s="2" t="s">
        <v>4759</v>
      </c>
      <c r="B2120" s="2" t="s">
        <v>4759</v>
      </c>
      <c r="C2120" s="2" t="s">
        <v>16</v>
      </c>
      <c r="D2120" s="2" t="s">
        <v>17</v>
      </c>
      <c r="E2120" s="5">
        <v>-31530</v>
      </c>
      <c r="F2120" s="3" t="s">
        <v>319</v>
      </c>
      <c r="G2120" s="3" t="s">
        <v>19</v>
      </c>
      <c r="H2120" s="2" t="s">
        <v>20</v>
      </c>
      <c r="I2120" s="2" t="s">
        <v>4762</v>
      </c>
      <c r="J2120" s="3" t="str">
        <f>HYPERLINK("https://www.boe.es/gazeta/dias/1813/09/02/pdfs/GRE-1813-112.pdf#page=4","Abrir facsímil")</f>
        <v>Abrir facsímil</v>
      </c>
      <c r="K2120" s="3" t="s">
        <v>22</v>
      </c>
    </row>
    <row r="2121" spans="1:11" ht="42" customHeight="1">
      <c r="A2121" s="2" t="s">
        <v>4763</v>
      </c>
      <c r="B2121" s="2" t="s">
        <v>4764</v>
      </c>
      <c r="C2121" s="2" t="s">
        <v>16</v>
      </c>
      <c r="D2121" s="2" t="s">
        <v>17</v>
      </c>
      <c r="E2121" s="5">
        <v>-31467</v>
      </c>
      <c r="F2121" s="3" t="s">
        <v>1464</v>
      </c>
      <c r="G2121" s="3" t="s">
        <v>82</v>
      </c>
      <c r="H2121" s="2" t="s">
        <v>20</v>
      </c>
      <c r="I2121" s="2" t="s">
        <v>4765</v>
      </c>
      <c r="J2121" s="3" t="str">
        <f>HYPERLINK("https://www.boe.es/gazeta/dias/1813/11/04/pdfs/GRE-1813-144.pdf#page=5","Abrir facsímil")</f>
        <v>Abrir facsímil</v>
      </c>
      <c r="K2121" s="3" t="s">
        <v>22</v>
      </c>
    </row>
    <row r="2122" spans="1:11" ht="42" customHeight="1">
      <c r="A2122" s="2" t="s">
        <v>4766</v>
      </c>
      <c r="B2122" s="2" t="s">
        <v>4766</v>
      </c>
      <c r="C2122" s="2" t="s">
        <v>25</v>
      </c>
      <c r="D2122" s="2" t="s">
        <v>26</v>
      </c>
      <c r="E2122" s="5">
        <v>-31719</v>
      </c>
      <c r="F2122" s="3" t="s">
        <v>251</v>
      </c>
      <c r="G2122" s="3" t="s">
        <v>54</v>
      </c>
      <c r="H2122" s="2" t="s">
        <v>20</v>
      </c>
      <c r="I2122" s="2" t="s">
        <v>4767</v>
      </c>
      <c r="J2122" s="3" t="str">
        <f>HYPERLINK("https://www.boe.es/gazeta/dias/1813/02/25/pdfs/GMD-1813-56.pdf#page=3","Abrir facsímil")</f>
        <v>Abrir facsímil</v>
      </c>
      <c r="K2122" s="3" t="s">
        <v>22</v>
      </c>
    </row>
    <row r="2123" spans="1:11" ht="42" customHeight="1">
      <c r="A2123" s="2" t="s">
        <v>4768</v>
      </c>
      <c r="B2123" s="2" t="s">
        <v>4768</v>
      </c>
      <c r="C2123" s="2" t="s">
        <v>34</v>
      </c>
      <c r="D2123" s="2" t="s">
        <v>35</v>
      </c>
      <c r="E2123" s="5">
        <v>-31644</v>
      </c>
      <c r="F2123" s="3" t="s">
        <v>1979</v>
      </c>
      <c r="G2123" s="3" t="s">
        <v>54</v>
      </c>
      <c r="H2123" s="2" t="s">
        <v>20</v>
      </c>
      <c r="I2123" s="2" t="s">
        <v>4769</v>
      </c>
      <c r="J2123" s="3" t="str">
        <f>HYPERLINK("https://www.boe.es/gazeta/dias/1813/05/11/pdfs/GMD-1813-131.pdf#page=3","Abrir facsímil")</f>
        <v>Abrir facsímil</v>
      </c>
      <c r="K2123" s="3" t="s">
        <v>22</v>
      </c>
    </row>
    <row r="2124" spans="1:11" ht="42" customHeight="1">
      <c r="A2124" s="2" t="s">
        <v>4770</v>
      </c>
      <c r="B2124" s="2" t="s">
        <v>4770</v>
      </c>
      <c r="C2124" s="2" t="s">
        <v>34</v>
      </c>
      <c r="D2124" s="2" t="s">
        <v>35</v>
      </c>
      <c r="E2124" s="5">
        <v>-31747</v>
      </c>
      <c r="F2124" s="3" t="s">
        <v>4771</v>
      </c>
      <c r="G2124" s="3" t="s">
        <v>54</v>
      </c>
      <c r="H2124" s="2" t="s">
        <v>20</v>
      </c>
      <c r="I2124" s="2" t="s">
        <v>4772</v>
      </c>
      <c r="J2124" s="3" t="str">
        <f>HYPERLINK("https://www.boe.es/gazeta/dias/1813/01/28/pdfs/GMD-1813-28.pdf#page=3","Abrir facsímil")</f>
        <v>Abrir facsímil</v>
      </c>
      <c r="K2124" s="3" t="s">
        <v>22</v>
      </c>
    </row>
    <row r="2125" spans="1:11" ht="42" customHeight="1">
      <c r="A2125" s="2" t="s">
        <v>4773</v>
      </c>
      <c r="B2125" s="2" t="s">
        <v>4773</v>
      </c>
      <c r="C2125" s="2" t="s">
        <v>277</v>
      </c>
      <c r="D2125" s="2" t="s">
        <v>26</v>
      </c>
      <c r="E2125" s="5">
        <v>-31705</v>
      </c>
      <c r="F2125" s="3" t="s">
        <v>4455</v>
      </c>
      <c r="G2125" s="3" t="s">
        <v>54</v>
      </c>
      <c r="H2125" s="2" t="s">
        <v>20</v>
      </c>
      <c r="I2125" s="2" t="s">
        <v>4774</v>
      </c>
      <c r="J2125" s="3" t="str">
        <f>HYPERLINK("https://www.boe.es/gazeta/dias/1813/03/11/pdfs/GMD-1813-70.pdf#page=3","Abrir facsímil")</f>
        <v>Abrir facsímil</v>
      </c>
      <c r="K2125" s="3" t="s">
        <v>22</v>
      </c>
    </row>
    <row r="2126" spans="1:11" ht="42" customHeight="1">
      <c r="A2126" s="2" t="s">
        <v>4775</v>
      </c>
      <c r="B2126" s="2" t="s">
        <v>4776</v>
      </c>
      <c r="C2126" s="2" t="s">
        <v>16</v>
      </c>
      <c r="D2126" s="2" t="s">
        <v>17</v>
      </c>
      <c r="E2126" s="5">
        <v>-31766</v>
      </c>
      <c r="F2126" s="3" t="s">
        <v>1356</v>
      </c>
      <c r="G2126" s="3" t="s">
        <v>1357</v>
      </c>
      <c r="H2126" s="2" t="s">
        <v>20</v>
      </c>
      <c r="I2126" s="2" t="s">
        <v>4777</v>
      </c>
      <c r="J2126" s="3" t="str">
        <f>HYPERLINK("https://www.boe.es/gazeta/dias/1813/01/09/pdfs/GRE-1813-4.pdf#page=3","Abrir facsímil")</f>
        <v>Abrir facsímil</v>
      </c>
      <c r="K2126" s="3" t="s">
        <v>22</v>
      </c>
    </row>
    <row r="2127" spans="1:11" ht="42" customHeight="1">
      <c r="A2127" s="2" t="s">
        <v>4778</v>
      </c>
      <c r="B2127" s="2" t="s">
        <v>4778</v>
      </c>
      <c r="C2127" s="2" t="s">
        <v>109</v>
      </c>
      <c r="D2127" s="2" t="s">
        <v>26</v>
      </c>
      <c r="E2127" s="5">
        <v>-31726</v>
      </c>
      <c r="F2127" s="3" t="s">
        <v>493</v>
      </c>
      <c r="G2127" s="3" t="s">
        <v>58</v>
      </c>
      <c r="H2127" s="2" t="s">
        <v>20</v>
      </c>
      <c r="I2127" s="2" t="s">
        <v>4779</v>
      </c>
      <c r="J2127" s="3" t="str">
        <f>HYPERLINK("https://www.boe.es/gazeta/dias/1813/02/18/pdfs/GMD-1813-49.pdf#page=2","Abrir facsímil")</f>
        <v>Abrir facsímil</v>
      </c>
      <c r="K2127" s="3" t="s">
        <v>22</v>
      </c>
    </row>
    <row r="2128" spans="1:11" ht="42" customHeight="1">
      <c r="A2128" s="2" t="s">
        <v>4778</v>
      </c>
      <c r="B2128" s="2" t="s">
        <v>4778</v>
      </c>
      <c r="C2128" s="2" t="s">
        <v>16</v>
      </c>
      <c r="D2128" s="2" t="s">
        <v>17</v>
      </c>
      <c r="E2128" s="5">
        <v>-31726</v>
      </c>
      <c r="F2128" s="3" t="s">
        <v>493</v>
      </c>
      <c r="G2128" s="3" t="s">
        <v>54</v>
      </c>
      <c r="H2128" s="2" t="s">
        <v>20</v>
      </c>
      <c r="I2128" s="2" t="s">
        <v>4780</v>
      </c>
      <c r="J2128" s="3" t="str">
        <f>HYPERLINK("https://www.boe.es/gazeta/dias/1813/02/18/pdfs/GMD-1813-49.pdf#page=3","Abrir facsímil")</f>
        <v>Abrir facsímil</v>
      </c>
      <c r="K2128" s="3" t="s">
        <v>22</v>
      </c>
    </row>
    <row r="2129" spans="1:11" ht="42" customHeight="1">
      <c r="A2129" s="2" t="s">
        <v>4778</v>
      </c>
      <c r="B2129" s="2" t="s">
        <v>4778</v>
      </c>
      <c r="C2129" s="2" t="s">
        <v>16</v>
      </c>
      <c r="D2129" s="2" t="s">
        <v>17</v>
      </c>
      <c r="E2129" s="5">
        <v>-31726</v>
      </c>
      <c r="F2129" s="3" t="s">
        <v>493</v>
      </c>
      <c r="G2129" s="3" t="s">
        <v>19</v>
      </c>
      <c r="H2129" s="2" t="s">
        <v>20</v>
      </c>
      <c r="I2129" s="2" t="s">
        <v>4781</v>
      </c>
      <c r="J2129" s="3" t="str">
        <f>HYPERLINK("https://www.boe.es/gazeta/dias/1813/02/18/pdfs/GMD-1813-49.pdf#page=4","Abrir facsímil")</f>
        <v>Abrir facsímil</v>
      </c>
      <c r="K2129" s="3" t="s">
        <v>22</v>
      </c>
    </row>
    <row r="2130" spans="1:11" ht="42" customHeight="1">
      <c r="A2130" s="2" t="s">
        <v>4782</v>
      </c>
      <c r="B2130" s="2" t="s">
        <v>4782</v>
      </c>
      <c r="C2130" s="2" t="s">
        <v>16</v>
      </c>
      <c r="D2130" s="2" t="s">
        <v>17</v>
      </c>
      <c r="E2130" s="5">
        <v>-31418</v>
      </c>
      <c r="F2130" s="3" t="s">
        <v>147</v>
      </c>
      <c r="G2130" s="3" t="s">
        <v>54</v>
      </c>
      <c r="H2130" s="2" t="s">
        <v>20</v>
      </c>
      <c r="I2130" s="2" t="s">
        <v>4783</v>
      </c>
      <c r="J2130" s="3" t="str">
        <f>HYPERLINK("https://www.boe.es/gazeta/dias/1813/12/23/pdfs/GRE-1813-168.pdf#page=3","Abrir facsímil")</f>
        <v>Abrir facsímil</v>
      </c>
      <c r="K2130" s="3" t="s">
        <v>22</v>
      </c>
    </row>
    <row r="2131" spans="1:11" ht="42" customHeight="1">
      <c r="A2131" s="2" t="s">
        <v>4784</v>
      </c>
      <c r="B2131" s="2" t="s">
        <v>4784</v>
      </c>
      <c r="C2131" s="2" t="s">
        <v>16</v>
      </c>
      <c r="D2131" s="2" t="s">
        <v>17</v>
      </c>
      <c r="E2131" s="5">
        <v>-31705</v>
      </c>
      <c r="F2131" s="3" t="s">
        <v>4455</v>
      </c>
      <c r="G2131" s="3" t="s">
        <v>58</v>
      </c>
      <c r="H2131" s="2" t="s">
        <v>20</v>
      </c>
      <c r="I2131" s="2" t="s">
        <v>4785</v>
      </c>
      <c r="J2131" s="3" t="str">
        <f>HYPERLINK("https://www.boe.es/gazeta/dias/1813/03/11/pdfs/GMD-1813-70.pdf#page=2","Abrir facsímil")</f>
        <v>Abrir facsímil</v>
      </c>
      <c r="K2131" s="3" t="s">
        <v>22</v>
      </c>
    </row>
    <row r="2132" spans="1:11" ht="42" customHeight="1">
      <c r="A2132" s="2" t="s">
        <v>4786</v>
      </c>
      <c r="B2132" s="2" t="s">
        <v>4786</v>
      </c>
      <c r="C2132" s="2" t="s">
        <v>16</v>
      </c>
      <c r="D2132" s="2" t="s">
        <v>17</v>
      </c>
      <c r="E2132" s="5">
        <v>-31690</v>
      </c>
      <c r="F2132" s="3" t="s">
        <v>2575</v>
      </c>
      <c r="G2132" s="3" t="s">
        <v>58</v>
      </c>
      <c r="H2132" s="2" t="s">
        <v>20</v>
      </c>
      <c r="I2132" s="2" t="s">
        <v>4787</v>
      </c>
      <c r="J2132" s="3" t="str">
        <f>HYPERLINK("https://www.boe.es/gazeta/dias/1813/03/26/pdfs/GMD-1813-85.pdf#page=2","Abrir facsímil")</f>
        <v>Abrir facsímil</v>
      </c>
      <c r="K2132" s="3" t="s">
        <v>22</v>
      </c>
    </row>
    <row r="2133" spans="1:11" ht="42" customHeight="1">
      <c r="A2133" s="2" t="s">
        <v>4788</v>
      </c>
      <c r="B2133" s="2" t="s">
        <v>4788</v>
      </c>
      <c r="C2133" s="2" t="s">
        <v>16</v>
      </c>
      <c r="D2133" s="2" t="s">
        <v>17</v>
      </c>
      <c r="E2133" s="5">
        <v>-31585</v>
      </c>
      <c r="F2133" s="3" t="s">
        <v>177</v>
      </c>
      <c r="G2133" s="3" t="s">
        <v>207</v>
      </c>
      <c r="H2133" s="2" t="s">
        <v>20</v>
      </c>
      <c r="I2133" s="2" t="s">
        <v>4789</v>
      </c>
      <c r="J2133" s="3" t="str">
        <f>HYPERLINK("https://www.boe.es/gazeta/dias/1813/07/09/pdfs/GMR-1813-16.pdf#page=10","Abrir facsímil")</f>
        <v>Abrir facsímil</v>
      </c>
      <c r="K2133" s="3" t="s">
        <v>22</v>
      </c>
    </row>
    <row r="2134" spans="1:11" ht="42" customHeight="1">
      <c r="A2134" s="2" t="s">
        <v>4790</v>
      </c>
      <c r="B2134" s="2" t="s">
        <v>4790</v>
      </c>
      <c r="C2134" s="2" t="s">
        <v>16</v>
      </c>
      <c r="D2134" s="2" t="s">
        <v>17</v>
      </c>
      <c r="E2134" s="5">
        <v>-31592</v>
      </c>
      <c r="F2134" s="3" t="s">
        <v>175</v>
      </c>
      <c r="G2134" s="3" t="s">
        <v>82</v>
      </c>
      <c r="H2134" s="2" t="s">
        <v>20</v>
      </c>
      <c r="I2134" s="2" t="s">
        <v>4791</v>
      </c>
      <c r="J2134" s="3" t="str">
        <f>HYPERLINK("https://www.boe.es/gazeta/dias/1813/07/02/pdfs/GRE-1813-82.pdf#page=5","Abrir facsímil")</f>
        <v>Abrir facsímil</v>
      </c>
      <c r="K2134" s="3" t="s">
        <v>22</v>
      </c>
    </row>
    <row r="2135" spans="1:11" ht="42" customHeight="1">
      <c r="A2135" s="2" t="s">
        <v>4790</v>
      </c>
      <c r="B2135" s="2" t="s">
        <v>4790</v>
      </c>
      <c r="C2135" s="2" t="s">
        <v>16</v>
      </c>
      <c r="D2135" s="2" t="s">
        <v>17</v>
      </c>
      <c r="E2135" s="5">
        <v>-31511</v>
      </c>
      <c r="F2135" s="3" t="s">
        <v>2149</v>
      </c>
      <c r="G2135" s="3" t="s">
        <v>95</v>
      </c>
      <c r="H2135" s="2" t="s">
        <v>20</v>
      </c>
      <c r="I2135" s="2" t="s">
        <v>4792</v>
      </c>
      <c r="J2135" s="3" t="str">
        <f>HYPERLINK("https://www.boe.es/gazeta/dias/1813/09/21/pdfs/GRE-1813-122.pdf#page=6","Abrir facsímil")</f>
        <v>Abrir facsímil</v>
      </c>
      <c r="K2135" s="3" t="s">
        <v>22</v>
      </c>
    </row>
    <row r="2136" spans="1:11" ht="42" customHeight="1">
      <c r="A2136" s="2" t="s">
        <v>4793</v>
      </c>
      <c r="B2136" s="2" t="s">
        <v>4793</v>
      </c>
      <c r="C2136" s="2" t="s">
        <v>16</v>
      </c>
      <c r="D2136" s="2" t="s">
        <v>17</v>
      </c>
      <c r="E2136" s="5">
        <v>-31502</v>
      </c>
      <c r="F2136" s="3" t="s">
        <v>257</v>
      </c>
      <c r="G2136" s="3" t="s">
        <v>2029</v>
      </c>
      <c r="H2136" s="2" t="s">
        <v>20</v>
      </c>
      <c r="I2136" s="2" t="s">
        <v>4794</v>
      </c>
      <c r="J2136" s="3" t="str">
        <f>HYPERLINK("https://www.boe.es/gazeta/dias/1813/09/30/pdfs/GMR-1813-51.pdf#page=6","Abrir facsímil")</f>
        <v>Abrir facsímil</v>
      </c>
      <c r="K2136" s="3" t="s">
        <v>22</v>
      </c>
    </row>
    <row r="2137" spans="1:11" ht="42" customHeight="1">
      <c r="A2137" s="2" t="s">
        <v>4795</v>
      </c>
      <c r="B2137" s="2" t="s">
        <v>4795</v>
      </c>
      <c r="C2137" s="2" t="s">
        <v>16</v>
      </c>
      <c r="D2137" s="2" t="s">
        <v>17</v>
      </c>
      <c r="E2137" s="5">
        <v>-31516</v>
      </c>
      <c r="F2137" s="3" t="s">
        <v>1685</v>
      </c>
      <c r="G2137" s="3" t="s">
        <v>2625</v>
      </c>
      <c r="H2137" s="2" t="s">
        <v>20</v>
      </c>
      <c r="I2137" s="2" t="s">
        <v>4796</v>
      </c>
      <c r="J2137" s="3" t="str">
        <f>HYPERLINK("https://www.boe.es/gazeta/dias/1813/09/16/pdfs/GRE-1813-120.pdf#page=8","Abrir facsímil")</f>
        <v>Abrir facsímil</v>
      </c>
      <c r="K2137" s="3" t="s">
        <v>22</v>
      </c>
    </row>
    <row r="2138" spans="1:11" ht="42" customHeight="1">
      <c r="A2138" s="2" t="s">
        <v>4797</v>
      </c>
      <c r="B2138" s="2" t="s">
        <v>4797</v>
      </c>
      <c r="C2138" s="2" t="s">
        <v>435</v>
      </c>
      <c r="D2138" s="2" t="s">
        <v>26</v>
      </c>
      <c r="E2138" s="5">
        <v>-31651</v>
      </c>
      <c r="F2138" s="3" t="s">
        <v>1553</v>
      </c>
      <c r="G2138" s="3" t="s">
        <v>58</v>
      </c>
      <c r="H2138" s="2" t="s">
        <v>20</v>
      </c>
      <c r="I2138" s="2" t="s">
        <v>4798</v>
      </c>
      <c r="J2138" s="3" t="str">
        <f>HYPERLINK("https://www.boe.es/gazeta/dias/1813/05/04/pdfs/GMD-1813-124.pdf#page=2","Abrir facsímil")</f>
        <v>Abrir facsímil</v>
      </c>
      <c r="K2138" s="3" t="s">
        <v>22</v>
      </c>
    </row>
    <row r="2139" spans="1:11" ht="42" customHeight="1">
      <c r="A2139" s="2" t="s">
        <v>4799</v>
      </c>
      <c r="B2139" s="2" t="s">
        <v>4799</v>
      </c>
      <c r="C2139" s="2" t="s">
        <v>16</v>
      </c>
      <c r="D2139" s="2" t="s">
        <v>17</v>
      </c>
      <c r="E2139" s="5">
        <v>-31602</v>
      </c>
      <c r="F2139" s="3" t="s">
        <v>2117</v>
      </c>
      <c r="G2139" s="3" t="s">
        <v>87</v>
      </c>
      <c r="H2139" s="2" t="s">
        <v>20</v>
      </c>
      <c r="I2139" s="2" t="s">
        <v>4800</v>
      </c>
      <c r="J2139" s="3" t="str">
        <f>HYPERLINK("https://www.boe.es/gazeta/dias/1813/06/22/pdfs/GMR-1813-9.pdf#page=7","Abrir facsímil")</f>
        <v>Abrir facsímil</v>
      </c>
      <c r="K2139" s="3" t="s">
        <v>22</v>
      </c>
    </row>
    <row r="2140" spans="1:11" ht="42" customHeight="1">
      <c r="A2140" s="2" t="s">
        <v>4801</v>
      </c>
      <c r="B2140" s="2" t="s">
        <v>4801</v>
      </c>
      <c r="C2140" s="2" t="s">
        <v>69</v>
      </c>
      <c r="D2140" s="2" t="s">
        <v>26</v>
      </c>
      <c r="E2140" s="5">
        <v>-31685</v>
      </c>
      <c r="F2140" s="3" t="s">
        <v>2671</v>
      </c>
      <c r="G2140" s="3" t="s">
        <v>4802</v>
      </c>
      <c r="H2140" s="2" t="s">
        <v>20</v>
      </c>
      <c r="I2140" s="2" t="s">
        <v>4803</v>
      </c>
      <c r="J2140" s="3" t="str">
        <f>HYPERLINK("https://www.boe.es/gazeta/dias/1813/03/31/pdfs/GMD-1813-90.pdf#page=4","Abrir facsímil")</f>
        <v>Abrir facsímil</v>
      </c>
      <c r="K2140" s="3" t="s">
        <v>22</v>
      </c>
    </row>
    <row r="2141" spans="1:11" ht="42" customHeight="1">
      <c r="A2141" s="2" t="s">
        <v>4804</v>
      </c>
      <c r="B2141" s="2" t="s">
        <v>4805</v>
      </c>
      <c r="C2141" s="2" t="s">
        <v>34</v>
      </c>
      <c r="D2141" s="2" t="s">
        <v>35</v>
      </c>
      <c r="E2141" s="5">
        <v>-31709</v>
      </c>
      <c r="F2141" s="3" t="s">
        <v>36</v>
      </c>
      <c r="G2141" s="3" t="s">
        <v>303</v>
      </c>
      <c r="H2141" s="2" t="s">
        <v>20</v>
      </c>
      <c r="I2141" s="2" t="s">
        <v>4806</v>
      </c>
      <c r="J2141" s="3" t="str">
        <f>HYPERLINK("https://www.boe.es/gazeta/dias/1813/03/07/pdfs/GMD-1813-66.pdf#page=3","Abrir facsímil")</f>
        <v>Abrir facsímil</v>
      </c>
      <c r="K2141" s="3" t="s">
        <v>22</v>
      </c>
    </row>
    <row r="2142" spans="1:11" ht="42" customHeight="1">
      <c r="A2142" s="2" t="s">
        <v>4807</v>
      </c>
      <c r="B2142" s="2" t="s">
        <v>4808</v>
      </c>
      <c r="C2142" s="2" t="s">
        <v>34</v>
      </c>
      <c r="D2142" s="2" t="s">
        <v>35</v>
      </c>
      <c r="E2142" s="5">
        <v>-31709</v>
      </c>
      <c r="F2142" s="3" t="s">
        <v>36</v>
      </c>
      <c r="G2142" s="3" t="s">
        <v>303</v>
      </c>
      <c r="H2142" s="2" t="s">
        <v>20</v>
      </c>
      <c r="I2142" s="2" t="s">
        <v>4809</v>
      </c>
      <c r="J2142" s="3" t="str">
        <f>HYPERLINK("https://www.boe.es/gazeta/dias/1813/03/07/pdfs/GMD-1813-66.pdf#page=3","Abrir facsímil")</f>
        <v>Abrir facsímil</v>
      </c>
      <c r="K2142" s="3" t="s">
        <v>22</v>
      </c>
    </row>
    <row r="2143" spans="1:11" ht="42" customHeight="1">
      <c r="A2143" s="2" t="s">
        <v>4810</v>
      </c>
      <c r="B2143" s="2" t="s">
        <v>4810</v>
      </c>
      <c r="C2143" s="2" t="s">
        <v>16</v>
      </c>
      <c r="D2143" s="2" t="s">
        <v>17</v>
      </c>
      <c r="E2143" s="5">
        <v>-31710</v>
      </c>
      <c r="F2143" s="3" t="s">
        <v>4744</v>
      </c>
      <c r="G2143" s="3" t="s">
        <v>19</v>
      </c>
      <c r="H2143" s="2" t="s">
        <v>20</v>
      </c>
      <c r="I2143" s="2" t="s">
        <v>4811</v>
      </c>
      <c r="J2143" s="3" t="str">
        <f>HYPERLINK("https://www.boe.es/gazeta/dias/1813/03/06/pdfs/GMD-1813-65.pdf#page=4","Abrir facsímil")</f>
        <v>Abrir facsímil</v>
      </c>
      <c r="K2143" s="3" t="s">
        <v>22</v>
      </c>
    </row>
    <row r="2144" spans="1:11" ht="42" customHeight="1">
      <c r="A2144" s="2" t="s">
        <v>4812</v>
      </c>
      <c r="B2144" s="2" t="s">
        <v>4812</v>
      </c>
      <c r="C2144" s="2" t="s">
        <v>16</v>
      </c>
      <c r="D2144" s="2" t="s">
        <v>17</v>
      </c>
      <c r="E2144" s="5">
        <v>-31460</v>
      </c>
      <c r="F2144" s="3" t="s">
        <v>599</v>
      </c>
      <c r="G2144" s="3" t="s">
        <v>54</v>
      </c>
      <c r="H2144" s="2" t="s">
        <v>20</v>
      </c>
      <c r="I2144" s="2" t="s">
        <v>4813</v>
      </c>
      <c r="J2144" s="3" t="str">
        <f>HYPERLINK("https://www.boe.es/gazeta/dias/1813/11/11/pdfs/GMR-1813-72.pdf#page=3","Abrir facsímil")</f>
        <v>Abrir facsímil</v>
      </c>
      <c r="K2144" s="3" t="s">
        <v>22</v>
      </c>
    </row>
    <row r="2145" spans="1:11" ht="42" customHeight="1">
      <c r="A2145" s="2" t="s">
        <v>4814</v>
      </c>
      <c r="B2145" s="2" t="s">
        <v>4815</v>
      </c>
      <c r="C2145" s="2" t="s">
        <v>16</v>
      </c>
      <c r="D2145" s="2" t="s">
        <v>17</v>
      </c>
      <c r="E2145" s="5">
        <v>-31763</v>
      </c>
      <c r="F2145" s="3" t="s">
        <v>668</v>
      </c>
      <c r="G2145" s="3" t="s">
        <v>82</v>
      </c>
      <c r="H2145" s="2" t="s">
        <v>20</v>
      </c>
      <c r="I2145" s="2" t="s">
        <v>4816</v>
      </c>
      <c r="J2145" s="3" t="str">
        <f>HYPERLINK("https://www.boe.es/gazeta/dias/1813/01/12/pdfs/GRE-1813-5.pdf#page=5","Abrir facsímil")</f>
        <v>Abrir facsímil</v>
      </c>
      <c r="K2145" s="3" t="s">
        <v>22</v>
      </c>
    </row>
    <row r="2146" spans="1:11" ht="42" customHeight="1">
      <c r="A2146" s="2" t="s">
        <v>4817</v>
      </c>
      <c r="B2146" s="2" t="s">
        <v>4818</v>
      </c>
      <c r="C2146" s="2" t="s">
        <v>16</v>
      </c>
      <c r="D2146" s="2" t="s">
        <v>17</v>
      </c>
      <c r="E2146" s="5">
        <v>-31773</v>
      </c>
      <c r="F2146" s="3" t="s">
        <v>3667</v>
      </c>
      <c r="G2146" s="3" t="s">
        <v>65</v>
      </c>
      <c r="H2146" s="2" t="s">
        <v>20</v>
      </c>
      <c r="I2146" s="2" t="s">
        <v>4819</v>
      </c>
      <c r="J2146" s="3" t="str">
        <f>HYPERLINK("https://www.boe.es/gazeta/dias/1813/01/02/pdfs/GRE-1813-1.pdf#page=1","Abrir facsímil")</f>
        <v>Abrir facsímil</v>
      </c>
      <c r="K2146" s="3" t="s">
        <v>22</v>
      </c>
    </row>
    <row r="2147" spans="1:11" ht="42" customHeight="1">
      <c r="A2147" s="2" t="s">
        <v>4820</v>
      </c>
      <c r="B2147" s="2" t="s">
        <v>4821</v>
      </c>
      <c r="C2147" s="2" t="s">
        <v>16</v>
      </c>
      <c r="D2147" s="2" t="s">
        <v>17</v>
      </c>
      <c r="E2147" s="5">
        <v>-31763</v>
      </c>
      <c r="F2147" s="3" t="s">
        <v>668</v>
      </c>
      <c r="G2147" s="3" t="s">
        <v>19</v>
      </c>
      <c r="H2147" s="2" t="s">
        <v>20</v>
      </c>
      <c r="I2147" s="2" t="s">
        <v>4822</v>
      </c>
      <c r="J2147" s="3" t="str">
        <f>HYPERLINK("https://www.boe.es/gazeta/dias/1813/01/12/pdfs/GRE-1813-5.pdf#page=4","Abrir facsímil")</f>
        <v>Abrir facsímil</v>
      </c>
      <c r="K2147" s="3" t="s">
        <v>22</v>
      </c>
    </row>
    <row r="2148" spans="1:11" ht="42" customHeight="1">
      <c r="A2148" s="2" t="s">
        <v>4823</v>
      </c>
      <c r="B2148" s="2" t="s">
        <v>4824</v>
      </c>
      <c r="C2148" s="2" t="s">
        <v>16</v>
      </c>
      <c r="D2148" s="2" t="s">
        <v>17</v>
      </c>
      <c r="E2148" s="5">
        <v>-31773</v>
      </c>
      <c r="F2148" s="3" t="s">
        <v>3667</v>
      </c>
      <c r="G2148" s="3" t="s">
        <v>65</v>
      </c>
      <c r="H2148" s="2" t="s">
        <v>20</v>
      </c>
      <c r="I2148" s="2" t="s">
        <v>4825</v>
      </c>
      <c r="J2148" s="3" t="str">
        <f>HYPERLINK("https://www.boe.es/gazeta/dias/1813/01/02/pdfs/GRE-1813-1.pdf#page=1","Abrir facsímil")</f>
        <v>Abrir facsímil</v>
      </c>
      <c r="K2148" s="3" t="s">
        <v>22</v>
      </c>
    </row>
    <row r="2149" spans="1:11" ht="42" customHeight="1">
      <c r="A2149" s="2" t="s">
        <v>4826</v>
      </c>
      <c r="B2149" s="2" t="s">
        <v>4827</v>
      </c>
      <c r="C2149" s="2" t="s">
        <v>16</v>
      </c>
      <c r="D2149" s="2" t="s">
        <v>17</v>
      </c>
      <c r="E2149" s="5">
        <v>-31763</v>
      </c>
      <c r="F2149" s="3" t="s">
        <v>668</v>
      </c>
      <c r="G2149" s="3" t="s">
        <v>669</v>
      </c>
      <c r="H2149" s="2" t="s">
        <v>20</v>
      </c>
      <c r="I2149" s="2" t="s">
        <v>4828</v>
      </c>
      <c r="J2149" s="3" t="str">
        <f>HYPERLINK("https://www.boe.es/gazeta/dias/1813/01/12/pdfs/GRE-1813-5.pdf#page=6","Abrir facsímil")</f>
        <v>Abrir facsímil</v>
      </c>
      <c r="K2149" s="3" t="s">
        <v>22</v>
      </c>
    </row>
    <row r="2150" spans="1:11" ht="42" customHeight="1">
      <c r="A2150" s="2" t="s">
        <v>4829</v>
      </c>
      <c r="B2150" s="2" t="s">
        <v>4830</v>
      </c>
      <c r="C2150" s="2" t="s">
        <v>16</v>
      </c>
      <c r="D2150" s="2" t="s">
        <v>17</v>
      </c>
      <c r="E2150" s="5">
        <v>-31770</v>
      </c>
      <c r="F2150" s="3" t="s">
        <v>1738</v>
      </c>
      <c r="G2150" s="3" t="s">
        <v>2984</v>
      </c>
      <c r="H2150" s="2" t="s">
        <v>20</v>
      </c>
      <c r="I2150" s="2" t="s">
        <v>4831</v>
      </c>
      <c r="J2150" s="3" t="str">
        <f>HYPERLINK("https://www.boe.es/gazeta/dias/1813/01/05/pdfs/GRE-1813-2.pdf#page=4","Abrir facsímil")</f>
        <v>Abrir facsímil</v>
      </c>
      <c r="K2150" s="3" t="s">
        <v>22</v>
      </c>
    </row>
    <row r="2151" spans="1:11" ht="42" customHeight="1">
      <c r="A2151" s="2" t="s">
        <v>4832</v>
      </c>
      <c r="B2151" s="2" t="s">
        <v>4833</v>
      </c>
      <c r="C2151" s="2" t="s">
        <v>16</v>
      </c>
      <c r="D2151" s="2" t="s">
        <v>17</v>
      </c>
      <c r="E2151" s="5">
        <v>-31728</v>
      </c>
      <c r="F2151" s="3" t="s">
        <v>1434</v>
      </c>
      <c r="G2151" s="3" t="s">
        <v>65</v>
      </c>
      <c r="H2151" s="2" t="s">
        <v>20</v>
      </c>
      <c r="I2151" s="2" t="s">
        <v>4834</v>
      </c>
      <c r="J2151" s="3" t="str">
        <f>HYPERLINK("https://www.boe.es/gazeta/dias/1813/02/16/pdfs/GRE-1813-20.pdf#page=1","Abrir facsímil")</f>
        <v>Abrir facsímil</v>
      </c>
      <c r="K2151" s="3" t="s">
        <v>22</v>
      </c>
    </row>
    <row r="2152" spans="1:11" ht="42" customHeight="1">
      <c r="A2152" s="2" t="s">
        <v>4835</v>
      </c>
      <c r="B2152" s="2" t="s">
        <v>4835</v>
      </c>
      <c r="C2152" s="2" t="s">
        <v>16</v>
      </c>
      <c r="D2152" s="2" t="s">
        <v>17</v>
      </c>
      <c r="E2152" s="5">
        <v>-31453</v>
      </c>
      <c r="F2152" s="3" t="s">
        <v>887</v>
      </c>
      <c r="G2152" s="3" t="s">
        <v>1897</v>
      </c>
      <c r="H2152" s="2" t="s">
        <v>20</v>
      </c>
      <c r="I2152" s="2" t="s">
        <v>4836</v>
      </c>
      <c r="J2152" s="3" t="str">
        <f>HYPERLINK("https://www.boe.es/gazeta/dias/1813/11/18/pdfs/GMR-1813-76.pdf#page=6","Abrir facsímil")</f>
        <v>Abrir facsímil</v>
      </c>
      <c r="K2152" s="3" t="s">
        <v>22</v>
      </c>
    </row>
    <row r="2153" spans="1:11" ht="42" customHeight="1">
      <c r="A2153" s="2" t="s">
        <v>4837</v>
      </c>
      <c r="B2153" s="2" t="s">
        <v>4837</v>
      </c>
      <c r="C2153" s="2" t="s">
        <v>25</v>
      </c>
      <c r="D2153" s="2" t="s">
        <v>26</v>
      </c>
      <c r="E2153" s="5">
        <v>-31732</v>
      </c>
      <c r="F2153" s="3" t="s">
        <v>1904</v>
      </c>
      <c r="G2153" s="3" t="s">
        <v>19</v>
      </c>
      <c r="H2153" s="2" t="s">
        <v>20</v>
      </c>
      <c r="I2153" s="2" t="s">
        <v>4838</v>
      </c>
      <c r="J2153" s="3" t="str">
        <f>HYPERLINK("https://www.boe.es/gazeta/dias/1813/02/12/pdfs/GMD-1813-43.pdf#page=4","Abrir facsímil")</f>
        <v>Abrir facsímil</v>
      </c>
      <c r="K2153" s="3" t="s">
        <v>22</v>
      </c>
    </row>
    <row r="2154" spans="1:11" ht="42" customHeight="1">
      <c r="A2154" s="2" t="s">
        <v>4839</v>
      </c>
      <c r="B2154" s="2" t="s">
        <v>4840</v>
      </c>
      <c r="C2154" s="2" t="s">
        <v>16</v>
      </c>
      <c r="D2154" s="2" t="s">
        <v>97</v>
      </c>
      <c r="E2154" s="5">
        <v>-31670</v>
      </c>
      <c r="F2154" s="3" t="s">
        <v>98</v>
      </c>
      <c r="G2154" s="3" t="s">
        <v>4841</v>
      </c>
      <c r="H2154" s="2" t="s">
        <v>20</v>
      </c>
      <c r="I2154" s="2" t="s">
        <v>4842</v>
      </c>
      <c r="J2154" s="3" t="str">
        <f>HYPERLINK("https://www.boe.es/gazeta/dias/1813/04/15/pdfs/GRE-1813-47E.pdf#page=5","Abrir facsímil")</f>
        <v>Abrir facsímil</v>
      </c>
      <c r="K2154" s="3" t="s">
        <v>22</v>
      </c>
    </row>
    <row r="2155" spans="1:11" ht="42" customHeight="1">
      <c r="A2155" s="2" t="s">
        <v>4839</v>
      </c>
      <c r="B2155" s="2" t="s">
        <v>4840</v>
      </c>
      <c r="C2155" s="2" t="s">
        <v>16</v>
      </c>
      <c r="D2155" s="2" t="s">
        <v>17</v>
      </c>
      <c r="E2155" s="5">
        <v>-31577</v>
      </c>
      <c r="F2155" s="3" t="s">
        <v>586</v>
      </c>
      <c r="G2155" s="3" t="s">
        <v>95</v>
      </c>
      <c r="H2155" s="2" t="s">
        <v>20</v>
      </c>
      <c r="I2155" s="2" t="s">
        <v>4843</v>
      </c>
      <c r="J2155" s="3" t="str">
        <f>HYPERLINK("https://www.boe.es/gazeta/dias/1813/07/17/pdfs/GRE-1813-90.pdf#page=6","Abrir facsímil")</f>
        <v>Abrir facsímil</v>
      </c>
      <c r="K2155" s="3" t="s">
        <v>22</v>
      </c>
    </row>
    <row r="2156" spans="1:11" ht="42" customHeight="1">
      <c r="A2156" s="2" t="s">
        <v>4844</v>
      </c>
      <c r="B2156" s="2" t="s">
        <v>4844</v>
      </c>
      <c r="C2156" s="2" t="s">
        <v>16</v>
      </c>
      <c r="D2156" s="2" t="s">
        <v>17</v>
      </c>
      <c r="E2156" s="5">
        <v>-31720</v>
      </c>
      <c r="F2156" s="3" t="s">
        <v>672</v>
      </c>
      <c r="G2156" s="3" t="s">
        <v>65</v>
      </c>
      <c r="H2156" s="2" t="s">
        <v>20</v>
      </c>
      <c r="I2156" s="2" t="s">
        <v>4845</v>
      </c>
      <c r="J2156" s="3" t="str">
        <f>HYPERLINK("https://www.boe.es/gazeta/dias/1813/02/24/pdfs/GMD-1813-55.pdf#page=1","Abrir facsímil")</f>
        <v>Abrir facsímil</v>
      </c>
      <c r="K2156" s="3" t="s">
        <v>22</v>
      </c>
    </row>
    <row r="2157" spans="1:11" ht="42" customHeight="1">
      <c r="A2157" s="2" t="s">
        <v>4846</v>
      </c>
      <c r="B2157" s="2" t="s">
        <v>4846</v>
      </c>
      <c r="C2157" s="2" t="s">
        <v>16</v>
      </c>
      <c r="D2157" s="2" t="s">
        <v>17</v>
      </c>
      <c r="E2157" s="5">
        <v>-31770</v>
      </c>
      <c r="F2157" s="3" t="s">
        <v>1738</v>
      </c>
      <c r="G2157" s="3" t="s">
        <v>2709</v>
      </c>
      <c r="H2157" s="2" t="s">
        <v>20</v>
      </c>
      <c r="I2157" s="2" t="s">
        <v>4847</v>
      </c>
      <c r="J2157" s="3" t="str">
        <f>HYPERLINK("https://www.boe.es/gazeta/dias/1813/01/05/pdfs/GRE-1813-2.pdf#page=3","Abrir facsímil")</f>
        <v>Abrir facsímil</v>
      </c>
      <c r="K2157" s="3" t="s">
        <v>22</v>
      </c>
    </row>
    <row r="2158" spans="1:11" ht="42" customHeight="1">
      <c r="A2158" s="2" t="s">
        <v>4848</v>
      </c>
      <c r="B2158" s="2" t="s">
        <v>4848</v>
      </c>
      <c r="C2158" s="2" t="s">
        <v>16</v>
      </c>
      <c r="D2158" s="2" t="s">
        <v>17</v>
      </c>
      <c r="E2158" s="5">
        <v>-31448</v>
      </c>
      <c r="F2158" s="3" t="s">
        <v>325</v>
      </c>
      <c r="G2158" s="3" t="s">
        <v>82</v>
      </c>
      <c r="H2158" s="2" t="s">
        <v>20</v>
      </c>
      <c r="I2158" s="2" t="s">
        <v>4849</v>
      </c>
      <c r="J2158" s="3" t="str">
        <f>HYPERLINK("https://www.boe.es/gazeta/dias/1813/11/23/pdfs/GMR-1813-78.pdf#page=5","Abrir facsímil")</f>
        <v>Abrir facsímil</v>
      </c>
      <c r="K2158" s="3" t="s">
        <v>22</v>
      </c>
    </row>
    <row r="2159" spans="1:11" ht="42" customHeight="1">
      <c r="A2159" s="2" t="s">
        <v>4850</v>
      </c>
      <c r="B2159" s="2" t="s">
        <v>4850</v>
      </c>
      <c r="C2159" s="2" t="s">
        <v>16</v>
      </c>
      <c r="D2159" s="2" t="s">
        <v>17</v>
      </c>
      <c r="E2159" s="5">
        <v>-31680</v>
      </c>
      <c r="F2159" s="3" t="s">
        <v>4851</v>
      </c>
      <c r="G2159" s="3" t="s">
        <v>4852</v>
      </c>
      <c r="H2159" s="2" t="s">
        <v>20</v>
      </c>
      <c r="I2159" s="2" t="s">
        <v>4853</v>
      </c>
      <c r="J2159" s="3" t="str">
        <f>HYPERLINK("https://www.boe.es/gazeta/dias/1813/04/05/pdfs/GMD-1813-95.pdf#page=4","Abrir facsímil")</f>
        <v>Abrir facsímil</v>
      </c>
      <c r="K2159" s="3" t="s">
        <v>22</v>
      </c>
    </row>
    <row r="2160" spans="1:11" ht="42" customHeight="1">
      <c r="A2160" s="2" t="s">
        <v>4854</v>
      </c>
      <c r="B2160" s="2" t="s">
        <v>4855</v>
      </c>
      <c r="C2160" s="2" t="s">
        <v>16</v>
      </c>
      <c r="D2160" s="2" t="s">
        <v>17</v>
      </c>
      <c r="E2160" s="5">
        <v>-31465</v>
      </c>
      <c r="F2160" s="3" t="s">
        <v>407</v>
      </c>
      <c r="G2160" s="3" t="s">
        <v>3112</v>
      </c>
      <c r="H2160" s="2" t="s">
        <v>20</v>
      </c>
      <c r="I2160" s="2" t="s">
        <v>4856</v>
      </c>
      <c r="J2160" s="3" t="str">
        <f>HYPERLINK("https://www.boe.es/gazeta/dias/1813/11/06/pdfs/GMR-1813-70.pdf#page=6","Abrir facsímil")</f>
        <v>Abrir facsímil</v>
      </c>
      <c r="K2160" s="3" t="s">
        <v>22</v>
      </c>
    </row>
    <row r="2161" spans="1:11" ht="42" customHeight="1">
      <c r="A2161" s="2" t="s">
        <v>4857</v>
      </c>
      <c r="B2161" s="2" t="s">
        <v>4858</v>
      </c>
      <c r="C2161" s="2" t="s">
        <v>16</v>
      </c>
      <c r="D2161" s="2" t="s">
        <v>17</v>
      </c>
      <c r="E2161" s="5">
        <v>-31582</v>
      </c>
      <c r="F2161" s="3" t="s">
        <v>907</v>
      </c>
      <c r="G2161" s="3" t="s">
        <v>87</v>
      </c>
      <c r="H2161" s="2" t="s">
        <v>20</v>
      </c>
      <c r="I2161" s="2" t="s">
        <v>4859</v>
      </c>
      <c r="J2161" s="3" t="str">
        <f>HYPERLINK("https://www.boe.es/gazeta/dias/1813/07/12/pdfs/GRE-1813-87.pdf#page=7","Abrir facsímil")</f>
        <v>Abrir facsímil</v>
      </c>
      <c r="K2161" s="3" t="s">
        <v>22</v>
      </c>
    </row>
    <row r="2162" spans="1:11" ht="42" customHeight="1">
      <c r="A2162" s="2" t="s">
        <v>4860</v>
      </c>
      <c r="B2162" s="2" t="s">
        <v>4861</v>
      </c>
      <c r="C2162" s="2" t="s">
        <v>16</v>
      </c>
      <c r="D2162" s="2" t="s">
        <v>17</v>
      </c>
      <c r="E2162" s="5">
        <v>-31574</v>
      </c>
      <c r="F2162" s="3" t="s">
        <v>1343</v>
      </c>
      <c r="G2162" s="3" t="s">
        <v>178</v>
      </c>
      <c r="H2162" s="2" t="s">
        <v>20</v>
      </c>
      <c r="I2162" s="2" t="s">
        <v>4862</v>
      </c>
      <c r="J2162" s="3" t="str">
        <f>HYPERLINK("https://www.boe.es/gazeta/dias/1813/07/20/pdfs/GMR-1813-19.pdf#page=11","Abrir facsímil")</f>
        <v>Abrir facsímil</v>
      </c>
      <c r="K2162" s="3" t="s">
        <v>22</v>
      </c>
    </row>
    <row r="2163" spans="1:11" ht="42" customHeight="1">
      <c r="A2163" s="2" t="s">
        <v>4863</v>
      </c>
      <c r="B2163" s="2" t="s">
        <v>4864</v>
      </c>
      <c r="C2163" s="2" t="s">
        <v>16</v>
      </c>
      <c r="D2163" s="2" t="s">
        <v>17</v>
      </c>
      <c r="E2163" s="5">
        <v>-31462</v>
      </c>
      <c r="F2163" s="3" t="s">
        <v>1028</v>
      </c>
      <c r="G2163" s="3" t="s">
        <v>82</v>
      </c>
      <c r="H2163" s="2" t="s">
        <v>20</v>
      </c>
      <c r="I2163" s="2" t="s">
        <v>4865</v>
      </c>
      <c r="J2163" s="3" t="str">
        <f>HYPERLINK("https://www.boe.es/gazeta/dias/1813/11/09/pdfs/GMR-1813-71.pdf#page=5","Abrir facsímil")</f>
        <v>Abrir facsímil</v>
      </c>
      <c r="K2163" s="3" t="s">
        <v>22</v>
      </c>
    </row>
    <row r="2164" spans="1:11" ht="42" customHeight="1">
      <c r="A2164" s="2" t="s">
        <v>4866</v>
      </c>
      <c r="B2164" s="2" t="s">
        <v>4866</v>
      </c>
      <c r="C2164" s="2" t="s">
        <v>16</v>
      </c>
      <c r="D2164" s="2" t="s">
        <v>17</v>
      </c>
      <c r="E2164" s="5">
        <v>-31446</v>
      </c>
      <c r="F2164" s="3" t="s">
        <v>1078</v>
      </c>
      <c r="G2164" s="3" t="s">
        <v>58</v>
      </c>
      <c r="H2164" s="2" t="s">
        <v>20</v>
      </c>
      <c r="I2164" s="2" t="s">
        <v>4867</v>
      </c>
      <c r="J2164" s="3" t="str">
        <f>HYPERLINK("https://www.boe.es/gazeta/dias/1813/11/25/pdfs/GRE-1813-154.pdf#page=2","Abrir facsímil")</f>
        <v>Abrir facsímil</v>
      </c>
      <c r="K2164" s="3" t="s">
        <v>22</v>
      </c>
    </row>
    <row r="2165" spans="1:11" ht="42" customHeight="1">
      <c r="A2165" s="2" t="s">
        <v>4868</v>
      </c>
      <c r="B2165" s="2" t="s">
        <v>4869</v>
      </c>
      <c r="C2165" s="2" t="s">
        <v>16</v>
      </c>
      <c r="D2165" s="2" t="s">
        <v>97</v>
      </c>
      <c r="E2165" s="5">
        <v>-31499</v>
      </c>
      <c r="F2165" s="3" t="s">
        <v>220</v>
      </c>
      <c r="G2165" s="3" t="s">
        <v>87</v>
      </c>
      <c r="H2165" s="2" t="s">
        <v>20</v>
      </c>
      <c r="I2165" s="2" t="s">
        <v>4870</v>
      </c>
      <c r="J2165" s="3" t="str">
        <f>HYPERLINK("https://www.boe.es/gazeta/dias/1813/10/03/pdfs/GMR-1813-53E.pdf#page=7","Abrir facsímil")</f>
        <v>Abrir facsímil</v>
      </c>
      <c r="K2165" s="3" t="s">
        <v>22</v>
      </c>
    </row>
    <row r="2166" spans="1:11" ht="42" customHeight="1">
      <c r="A2166" s="2" t="s">
        <v>4871</v>
      </c>
      <c r="B2166" s="2" t="s">
        <v>4872</v>
      </c>
      <c r="C2166" s="2" t="s">
        <v>16</v>
      </c>
      <c r="D2166" s="2" t="s">
        <v>97</v>
      </c>
      <c r="E2166" s="5">
        <v>-31499</v>
      </c>
      <c r="F2166" s="3" t="s">
        <v>220</v>
      </c>
      <c r="G2166" s="3" t="s">
        <v>87</v>
      </c>
      <c r="H2166" s="2" t="s">
        <v>20</v>
      </c>
      <c r="I2166" s="2" t="s">
        <v>4873</v>
      </c>
      <c r="J2166" s="3" t="str">
        <f>HYPERLINK("https://www.boe.es/gazeta/dias/1813/10/03/pdfs/GMR-1813-53E.pdf#page=7","Abrir facsímil")</f>
        <v>Abrir facsímil</v>
      </c>
      <c r="K2166" s="3" t="s">
        <v>22</v>
      </c>
    </row>
    <row r="2167" spans="1:11" ht="42" customHeight="1">
      <c r="A2167" s="2" t="s">
        <v>4874</v>
      </c>
      <c r="B2167" s="2" t="s">
        <v>4874</v>
      </c>
      <c r="C2167" s="2" t="s">
        <v>16</v>
      </c>
      <c r="D2167" s="2" t="s">
        <v>17</v>
      </c>
      <c r="E2167" s="5">
        <v>-31448</v>
      </c>
      <c r="F2167" s="3" t="s">
        <v>57</v>
      </c>
      <c r="G2167" s="3" t="s">
        <v>58</v>
      </c>
      <c r="H2167" s="2" t="s">
        <v>20</v>
      </c>
      <c r="I2167" s="2" t="s">
        <v>4875</v>
      </c>
      <c r="J2167" s="3" t="str">
        <f>HYPERLINK("https://www.boe.es/gazeta/dias/1813/11/23/pdfs/GRE-1813-153.pdf#page=2","Abrir facsímil")</f>
        <v>Abrir facsímil</v>
      </c>
      <c r="K2167" s="3" t="s">
        <v>22</v>
      </c>
    </row>
    <row r="2168" spans="1:11" ht="42" customHeight="1">
      <c r="A2168" s="2" t="s">
        <v>4876</v>
      </c>
      <c r="B2168" s="2" t="s">
        <v>4877</v>
      </c>
      <c r="C2168" s="2" t="s">
        <v>16</v>
      </c>
      <c r="D2168" s="2" t="s">
        <v>17</v>
      </c>
      <c r="E2168" s="5">
        <v>-31462</v>
      </c>
      <c r="F2168" s="3" t="s">
        <v>1028</v>
      </c>
      <c r="G2168" s="3" t="s">
        <v>82</v>
      </c>
      <c r="H2168" s="2" t="s">
        <v>20</v>
      </c>
      <c r="I2168" s="2" t="s">
        <v>4878</v>
      </c>
      <c r="J2168" s="3" t="str">
        <f>HYPERLINK("https://www.boe.es/gazeta/dias/1813/11/09/pdfs/GMR-1813-71.pdf#page=5","Abrir facsímil")</f>
        <v>Abrir facsímil</v>
      </c>
      <c r="K2168" s="3" t="s">
        <v>22</v>
      </c>
    </row>
    <row r="2169" spans="1:11" ht="42" customHeight="1">
      <c r="A2169" s="2" t="s">
        <v>4876</v>
      </c>
      <c r="B2169" s="2" t="s">
        <v>4877</v>
      </c>
      <c r="C2169" s="2" t="s">
        <v>16</v>
      </c>
      <c r="D2169" s="2" t="s">
        <v>17</v>
      </c>
      <c r="E2169" s="5">
        <v>-31448</v>
      </c>
      <c r="F2169" s="3" t="s">
        <v>325</v>
      </c>
      <c r="G2169" s="3" t="s">
        <v>28</v>
      </c>
      <c r="H2169" s="2" t="s">
        <v>20</v>
      </c>
      <c r="I2169" s="2" t="s">
        <v>4879</v>
      </c>
      <c r="J2169" s="3" t="str">
        <f>HYPERLINK("https://www.boe.es/gazeta/dias/1813/11/23/pdfs/GMR-1813-78.pdf#page=8","Abrir facsímil")</f>
        <v>Abrir facsímil</v>
      </c>
      <c r="K2169" s="3" t="s">
        <v>22</v>
      </c>
    </row>
    <row r="2170" spans="1:11" ht="42" customHeight="1">
      <c r="A2170" s="2" t="s">
        <v>4876</v>
      </c>
      <c r="B2170" s="2" t="s">
        <v>4877</v>
      </c>
      <c r="C2170" s="2" t="s">
        <v>16</v>
      </c>
      <c r="D2170" s="2" t="s">
        <v>17</v>
      </c>
      <c r="E2170" s="5">
        <v>-31430</v>
      </c>
      <c r="F2170" s="3" t="s">
        <v>1161</v>
      </c>
      <c r="G2170" s="3" t="s">
        <v>19</v>
      </c>
      <c r="H2170" s="2" t="s">
        <v>20</v>
      </c>
      <c r="I2170" s="2" t="s">
        <v>4880</v>
      </c>
      <c r="J2170" s="3" t="str">
        <f>HYPERLINK("https://www.boe.es/gazeta/dias/1813/12/11/pdfs/GMR-1813-86.pdf#page=4","Abrir facsímil")</f>
        <v>Abrir facsímil</v>
      </c>
      <c r="K2170" s="3" t="s">
        <v>22</v>
      </c>
    </row>
    <row r="2171" spans="1:11" ht="42" customHeight="1">
      <c r="A2171" s="2" t="s">
        <v>4881</v>
      </c>
      <c r="B2171" s="2" t="s">
        <v>4882</v>
      </c>
      <c r="C2171" s="2" t="s">
        <v>16</v>
      </c>
      <c r="D2171" s="2" t="s">
        <v>17</v>
      </c>
      <c r="E2171" s="5">
        <v>-31592</v>
      </c>
      <c r="F2171" s="3" t="s">
        <v>1538</v>
      </c>
      <c r="G2171" s="3" t="s">
        <v>82</v>
      </c>
      <c r="H2171" s="2" t="s">
        <v>20</v>
      </c>
      <c r="I2171" s="2" t="s">
        <v>4883</v>
      </c>
      <c r="J2171" s="3" t="str">
        <f>HYPERLINK("https://www.boe.es/gazeta/dias/1813/07/02/pdfs/GMR-1813-14.pdf#page=5","Abrir facsímil")</f>
        <v>Abrir facsímil</v>
      </c>
      <c r="K2171" s="3" t="s">
        <v>22</v>
      </c>
    </row>
    <row r="2172" spans="1:11" ht="42" customHeight="1">
      <c r="A2172" s="2" t="s">
        <v>4884</v>
      </c>
      <c r="B2172" s="2" t="s">
        <v>4885</v>
      </c>
      <c r="C2172" s="2" t="s">
        <v>16</v>
      </c>
      <c r="D2172" s="2" t="s">
        <v>17</v>
      </c>
      <c r="E2172" s="5">
        <v>-31430</v>
      </c>
      <c r="F2172" s="3" t="s">
        <v>1731</v>
      </c>
      <c r="G2172" s="3" t="s">
        <v>54</v>
      </c>
      <c r="H2172" s="2" t="s">
        <v>20</v>
      </c>
      <c r="I2172" s="2" t="s">
        <v>4886</v>
      </c>
      <c r="J2172" s="3" t="str">
        <f>HYPERLINK("https://www.boe.es/gazeta/dias/1813/12/11/pdfs/GRE-1813-163.pdf#page=3","Abrir facsímil")</f>
        <v>Abrir facsímil</v>
      </c>
      <c r="K2172" s="3" t="s">
        <v>22</v>
      </c>
    </row>
    <row r="2173" spans="1:11" ht="42" customHeight="1">
      <c r="A2173" s="2" t="s">
        <v>4887</v>
      </c>
      <c r="B2173" s="2" t="s">
        <v>4887</v>
      </c>
      <c r="C2173" s="2" t="s">
        <v>16</v>
      </c>
      <c r="D2173" s="2" t="s">
        <v>17</v>
      </c>
      <c r="E2173" s="5">
        <v>-31588</v>
      </c>
      <c r="F2173" s="3" t="s">
        <v>1535</v>
      </c>
      <c r="G2173" s="3" t="s">
        <v>28</v>
      </c>
      <c r="H2173" s="2" t="s">
        <v>20</v>
      </c>
      <c r="I2173" s="2" t="s">
        <v>4888</v>
      </c>
      <c r="J2173" s="3" t="str">
        <f>HYPERLINK("https://www.boe.es/gazeta/dias/1813/07/06/pdfs/GMR-1813-15.pdf#page=8","Abrir facsímil")</f>
        <v>Abrir facsímil</v>
      </c>
      <c r="K2173" s="3" t="s">
        <v>22</v>
      </c>
    </row>
    <row r="2174" spans="1:11" ht="42" customHeight="1">
      <c r="A2174" s="2" t="s">
        <v>4889</v>
      </c>
      <c r="B2174" s="2" t="s">
        <v>4890</v>
      </c>
      <c r="C2174" s="2" t="s">
        <v>16</v>
      </c>
      <c r="D2174" s="2" t="s">
        <v>17</v>
      </c>
      <c r="E2174" s="5">
        <v>-31728</v>
      </c>
      <c r="F2174" s="3" t="s">
        <v>1434</v>
      </c>
      <c r="G2174" s="3" t="s">
        <v>65</v>
      </c>
      <c r="H2174" s="2" t="s">
        <v>20</v>
      </c>
      <c r="I2174" s="2" t="s">
        <v>4891</v>
      </c>
      <c r="J2174" s="3" t="str">
        <f>HYPERLINK("https://www.boe.es/gazeta/dias/1813/02/16/pdfs/GRE-1813-20.pdf#page=1","Abrir facsímil")</f>
        <v>Abrir facsímil</v>
      </c>
      <c r="K2174" s="3" t="s">
        <v>22</v>
      </c>
    </row>
    <row r="2175" spans="1:11" ht="42" customHeight="1">
      <c r="A2175" s="2" t="s">
        <v>4892</v>
      </c>
      <c r="B2175" s="2" t="s">
        <v>4892</v>
      </c>
      <c r="C2175" s="2" t="s">
        <v>16</v>
      </c>
      <c r="D2175" s="2" t="s">
        <v>17</v>
      </c>
      <c r="E2175" s="5">
        <v>-31732</v>
      </c>
      <c r="F2175" s="3" t="s">
        <v>1904</v>
      </c>
      <c r="G2175" s="3" t="s">
        <v>58</v>
      </c>
      <c r="H2175" s="2" t="s">
        <v>20</v>
      </c>
      <c r="I2175" s="2" t="s">
        <v>4893</v>
      </c>
      <c r="J2175" s="3" t="str">
        <f>HYPERLINK("https://www.boe.es/gazeta/dias/1813/02/12/pdfs/GMD-1813-43.pdf#page=2","Abrir facsímil")</f>
        <v>Abrir facsímil</v>
      </c>
      <c r="K2175" s="3" t="s">
        <v>22</v>
      </c>
    </row>
    <row r="2176" spans="1:11" ht="42" customHeight="1">
      <c r="A2176" s="2" t="s">
        <v>4892</v>
      </c>
      <c r="B2176" s="2" t="s">
        <v>4892</v>
      </c>
      <c r="C2176" s="2" t="s">
        <v>16</v>
      </c>
      <c r="D2176" s="2" t="s">
        <v>17</v>
      </c>
      <c r="E2176" s="5">
        <v>-31707</v>
      </c>
      <c r="F2176" s="3" t="s">
        <v>2195</v>
      </c>
      <c r="G2176" s="3" t="s">
        <v>54</v>
      </c>
      <c r="H2176" s="2" t="s">
        <v>20</v>
      </c>
      <c r="I2176" s="2" t="s">
        <v>4894</v>
      </c>
      <c r="J2176" s="3" t="str">
        <f>HYPERLINK("https://www.boe.es/gazeta/dias/1813/03/09/pdfs/GMD-1813-68.pdf#page=3","Abrir facsímil")</f>
        <v>Abrir facsímil</v>
      </c>
      <c r="K2176" s="3" t="s">
        <v>22</v>
      </c>
    </row>
    <row r="2177" spans="1:11" ht="42" customHeight="1">
      <c r="A2177" s="2" t="s">
        <v>4892</v>
      </c>
      <c r="B2177" s="2" t="s">
        <v>4892</v>
      </c>
      <c r="C2177" s="2" t="s">
        <v>16</v>
      </c>
      <c r="D2177" s="2" t="s">
        <v>17</v>
      </c>
      <c r="E2177" s="5">
        <v>-31706</v>
      </c>
      <c r="F2177" s="3" t="s">
        <v>2256</v>
      </c>
      <c r="G2177" s="3" t="s">
        <v>54</v>
      </c>
      <c r="H2177" s="2" t="s">
        <v>20</v>
      </c>
      <c r="I2177" s="2" t="s">
        <v>4895</v>
      </c>
      <c r="J2177" s="3" t="str">
        <f>HYPERLINK("https://www.boe.es/gazeta/dias/1813/03/10/pdfs/GMD-1813-69.pdf#page=3","Abrir facsímil")</f>
        <v>Abrir facsímil</v>
      </c>
      <c r="K2177" s="3" t="s">
        <v>22</v>
      </c>
    </row>
    <row r="2178" spans="1:11" ht="42" customHeight="1">
      <c r="A2178" s="2" t="s">
        <v>4892</v>
      </c>
      <c r="B2178" s="2" t="s">
        <v>4892</v>
      </c>
      <c r="C2178" s="2" t="s">
        <v>16</v>
      </c>
      <c r="D2178" s="2" t="s">
        <v>17</v>
      </c>
      <c r="E2178" s="5">
        <v>-31430</v>
      </c>
      <c r="F2178" s="3" t="s">
        <v>1161</v>
      </c>
      <c r="G2178" s="3" t="s">
        <v>54</v>
      </c>
      <c r="H2178" s="2" t="s">
        <v>20</v>
      </c>
      <c r="I2178" s="2" t="s">
        <v>4896</v>
      </c>
      <c r="J2178" s="3" t="str">
        <f>HYPERLINK("https://www.boe.es/gazeta/dias/1813/12/11/pdfs/GMR-1813-86.pdf#page=3","Abrir facsímil")</f>
        <v>Abrir facsímil</v>
      </c>
      <c r="K2178" s="3" t="s">
        <v>22</v>
      </c>
    </row>
    <row r="2179" spans="1:11" ht="42" customHeight="1">
      <c r="A2179" s="2" t="s">
        <v>4897</v>
      </c>
      <c r="B2179" s="2" t="s">
        <v>4897</v>
      </c>
      <c r="C2179" s="2" t="s">
        <v>16</v>
      </c>
      <c r="D2179" s="2" t="s">
        <v>17</v>
      </c>
      <c r="E2179" s="5">
        <v>-31539</v>
      </c>
      <c r="F2179" s="3" t="s">
        <v>1316</v>
      </c>
      <c r="G2179" s="3" t="s">
        <v>58</v>
      </c>
      <c r="H2179" s="2" t="s">
        <v>20</v>
      </c>
      <c r="I2179" s="2" t="s">
        <v>4898</v>
      </c>
      <c r="J2179" s="3" t="str">
        <f>HYPERLINK("https://www.boe.es/gazeta/dias/1813/08/24/pdfs/GMR-1813-32.pdf#page=2","Abrir facsímil")</f>
        <v>Abrir facsímil</v>
      </c>
      <c r="K2179" s="3" t="s">
        <v>22</v>
      </c>
    </row>
    <row r="2180" spans="1:11" ht="42" customHeight="1">
      <c r="A2180" s="2" t="s">
        <v>4899</v>
      </c>
      <c r="B2180" s="2" t="s">
        <v>4900</v>
      </c>
      <c r="C2180" s="2" t="s">
        <v>25</v>
      </c>
      <c r="D2180" s="2" t="s">
        <v>26</v>
      </c>
      <c r="E2180" s="5">
        <v>-31714</v>
      </c>
      <c r="F2180" s="3" t="s">
        <v>479</v>
      </c>
      <c r="G2180" s="3" t="s">
        <v>1002</v>
      </c>
      <c r="H2180" s="2" t="s">
        <v>20</v>
      </c>
      <c r="I2180" s="2" t="s">
        <v>4901</v>
      </c>
      <c r="J2180" s="3" t="str">
        <f>HYPERLINK("https://www.boe.es/gazeta/dias/1813/03/02/pdfs/GRE-1813-27.pdf#page=7","Abrir facsímil")</f>
        <v>Abrir facsímil</v>
      </c>
      <c r="K2180" s="3" t="s">
        <v>22</v>
      </c>
    </row>
    <row r="2181" spans="1:11" ht="42" customHeight="1">
      <c r="A2181" s="2" t="s">
        <v>4902</v>
      </c>
      <c r="B2181" s="2" t="s">
        <v>4903</v>
      </c>
      <c r="C2181" s="2" t="s">
        <v>25</v>
      </c>
      <c r="D2181" s="2" t="s">
        <v>26</v>
      </c>
      <c r="E2181" s="5">
        <v>-31719</v>
      </c>
      <c r="F2181" s="3" t="s">
        <v>1770</v>
      </c>
      <c r="G2181" s="3" t="s">
        <v>95</v>
      </c>
      <c r="H2181" s="2" t="s">
        <v>20</v>
      </c>
      <c r="I2181" s="2" t="s">
        <v>4904</v>
      </c>
      <c r="J2181" s="3" t="str">
        <f>HYPERLINK("https://www.boe.es/gazeta/dias/1813/02/25/pdfs/GRE-1813-24.pdf#page=6","Abrir facsímil")</f>
        <v>Abrir facsímil</v>
      </c>
      <c r="K2181" s="3" t="s">
        <v>22</v>
      </c>
    </row>
    <row r="2182" spans="1:11" ht="42" customHeight="1">
      <c r="A2182" s="2" t="s">
        <v>4902</v>
      </c>
      <c r="B2182" s="2" t="s">
        <v>4903</v>
      </c>
      <c r="C2182" s="2" t="s">
        <v>25</v>
      </c>
      <c r="D2182" s="2" t="s">
        <v>26</v>
      </c>
      <c r="E2182" s="5">
        <v>-31717</v>
      </c>
      <c r="F2182" s="3" t="s">
        <v>2338</v>
      </c>
      <c r="G2182" s="3" t="s">
        <v>2339</v>
      </c>
      <c r="H2182" s="2" t="s">
        <v>20</v>
      </c>
      <c r="I2182" s="2" t="s">
        <v>4905</v>
      </c>
      <c r="J2182" s="3" t="str">
        <f>HYPERLINK("https://www.boe.es/gazeta/dias/1813/02/27/pdfs/GRE-1813-25.pdf#page=7","Abrir facsímil")</f>
        <v>Abrir facsímil</v>
      </c>
      <c r="K2182" s="3" t="s">
        <v>22</v>
      </c>
    </row>
    <row r="2183" spans="1:11" ht="42" customHeight="1">
      <c r="A2183" s="2" t="s">
        <v>4902</v>
      </c>
      <c r="B2183" s="2" t="s">
        <v>4903</v>
      </c>
      <c r="C2183" s="2" t="s">
        <v>25</v>
      </c>
      <c r="D2183" s="2" t="s">
        <v>26</v>
      </c>
      <c r="E2183" s="5">
        <v>-31714</v>
      </c>
      <c r="F2183" s="3" t="s">
        <v>479</v>
      </c>
      <c r="G2183" s="3" t="s">
        <v>1002</v>
      </c>
      <c r="H2183" s="2" t="s">
        <v>20</v>
      </c>
      <c r="I2183" s="2" t="s">
        <v>4906</v>
      </c>
      <c r="J2183" s="3" t="str">
        <f>HYPERLINK("https://www.boe.es/gazeta/dias/1813/03/02/pdfs/GRE-1813-27.pdf#page=7","Abrir facsímil")</f>
        <v>Abrir facsímil</v>
      </c>
      <c r="K2183" s="3" t="s">
        <v>22</v>
      </c>
    </row>
    <row r="2184" spans="1:11" ht="42" customHeight="1">
      <c r="A2184" s="2" t="s">
        <v>4907</v>
      </c>
      <c r="B2184" s="2" t="s">
        <v>4908</v>
      </c>
      <c r="C2184" s="2" t="s">
        <v>25</v>
      </c>
      <c r="D2184" s="2" t="s">
        <v>26</v>
      </c>
      <c r="E2184" s="5">
        <v>-31767</v>
      </c>
      <c r="F2184" s="3" t="s">
        <v>1915</v>
      </c>
      <c r="G2184" s="3" t="s">
        <v>19</v>
      </c>
      <c r="H2184" s="2" t="s">
        <v>20</v>
      </c>
      <c r="I2184" s="2" t="s">
        <v>4909</v>
      </c>
      <c r="J2184" s="3" t="str">
        <f>HYPERLINK("https://www.boe.es/gazeta/dias/1813/01/08/pdfs/GMD-1813-8.pdf#page=4","Abrir facsímil")</f>
        <v>Abrir facsímil</v>
      </c>
      <c r="K2184" s="3" t="s">
        <v>22</v>
      </c>
    </row>
    <row r="2185" spans="1:11" ht="42" customHeight="1">
      <c r="A2185" s="2" t="s">
        <v>4910</v>
      </c>
      <c r="B2185" s="2" t="s">
        <v>4911</v>
      </c>
      <c r="C2185" s="2" t="s">
        <v>16</v>
      </c>
      <c r="D2185" s="2" t="s">
        <v>97</v>
      </c>
      <c r="E2185" s="5">
        <v>-31519</v>
      </c>
      <c r="F2185" s="3" t="s">
        <v>312</v>
      </c>
      <c r="G2185" s="3" t="s">
        <v>82</v>
      </c>
      <c r="H2185" s="2" t="s">
        <v>20</v>
      </c>
      <c r="I2185" s="2" t="s">
        <v>4912</v>
      </c>
      <c r="J2185" s="3" t="str">
        <f>HYPERLINK("https://www.boe.es/gazeta/dias/1813/09/13/pdfs/GRE-1813-118E.pdf#page=5","Abrir facsímil")</f>
        <v>Abrir facsímil</v>
      </c>
      <c r="K2185" s="3" t="s">
        <v>22</v>
      </c>
    </row>
    <row r="2186" spans="1:11" ht="42" customHeight="1">
      <c r="A2186" s="2" t="s">
        <v>4913</v>
      </c>
      <c r="B2186" s="2" t="s">
        <v>4914</v>
      </c>
      <c r="C2186" s="2" t="s">
        <v>16</v>
      </c>
      <c r="D2186" s="2" t="s">
        <v>17</v>
      </c>
      <c r="E2186" s="5">
        <v>-31623</v>
      </c>
      <c r="F2186" s="3" t="s">
        <v>267</v>
      </c>
      <c r="G2186" s="3" t="s">
        <v>676</v>
      </c>
      <c r="H2186" s="2" t="s">
        <v>20</v>
      </c>
      <c r="I2186" s="2" t="s">
        <v>4915</v>
      </c>
      <c r="J2186" s="3" t="str">
        <f>HYPERLINK("https://www.boe.es/gazeta/dias/1813/06/01/pdfs/GRE-1813-67.pdf#page=4","Abrir facsímil")</f>
        <v>Abrir facsímil</v>
      </c>
      <c r="K2186" s="3" t="s">
        <v>22</v>
      </c>
    </row>
    <row r="2187" spans="1:11" ht="42" customHeight="1">
      <c r="A2187" s="2" t="s">
        <v>4916</v>
      </c>
      <c r="B2187" s="2" t="s">
        <v>4917</v>
      </c>
      <c r="C2187" s="2" t="s">
        <v>16</v>
      </c>
      <c r="D2187" s="2" t="s">
        <v>17</v>
      </c>
      <c r="E2187" s="5">
        <v>-31745</v>
      </c>
      <c r="F2187" s="3" t="s">
        <v>445</v>
      </c>
      <c r="G2187" s="3" t="s">
        <v>28</v>
      </c>
      <c r="H2187" s="2" t="s">
        <v>20</v>
      </c>
      <c r="I2187" s="2" t="s">
        <v>4918</v>
      </c>
      <c r="J2187" s="3" t="str">
        <f>HYPERLINK("https://www.boe.es/gazeta/dias/1813/01/30/pdfs/GRE-1813-13.pdf#page=8","Abrir facsímil")</f>
        <v>Abrir facsímil</v>
      </c>
      <c r="K2187" s="3" t="s">
        <v>22</v>
      </c>
    </row>
    <row r="2188" spans="1:11" ht="42" customHeight="1">
      <c r="A2188" s="2" t="s">
        <v>4919</v>
      </c>
      <c r="B2188" s="2" t="s">
        <v>4920</v>
      </c>
      <c r="C2188" s="2" t="s">
        <v>34</v>
      </c>
      <c r="D2188" s="2" t="s">
        <v>35</v>
      </c>
      <c r="E2188" s="5">
        <v>-31504</v>
      </c>
      <c r="F2188" s="3" t="s">
        <v>192</v>
      </c>
      <c r="G2188" s="3" t="s">
        <v>82</v>
      </c>
      <c r="H2188" s="2" t="s">
        <v>20</v>
      </c>
      <c r="I2188" s="2" t="s">
        <v>4921</v>
      </c>
      <c r="J2188" s="3" t="str">
        <f>HYPERLINK("https://www.boe.es/gazeta/dias/1813/09/28/pdfs/GRE-1813-127.pdf#page=5","Abrir facsímil")</f>
        <v>Abrir facsímil</v>
      </c>
      <c r="K2188" s="3" t="s">
        <v>22</v>
      </c>
    </row>
    <row r="2189" spans="1:11" ht="42" customHeight="1">
      <c r="A2189" s="2" t="s">
        <v>4919</v>
      </c>
      <c r="B2189" s="2" t="s">
        <v>4920</v>
      </c>
      <c r="C2189" s="2" t="s">
        <v>34</v>
      </c>
      <c r="D2189" s="2" t="s">
        <v>35</v>
      </c>
      <c r="E2189" s="5">
        <v>-31495</v>
      </c>
      <c r="F2189" s="3" t="s">
        <v>194</v>
      </c>
      <c r="G2189" s="3" t="s">
        <v>82</v>
      </c>
      <c r="H2189" s="2" t="s">
        <v>20</v>
      </c>
      <c r="I2189" s="2" t="s">
        <v>4922</v>
      </c>
      <c r="J2189" s="3" t="str">
        <f>HYPERLINK("https://www.boe.es/gazeta/dias/1813/10/07/pdfs/GMR-1813-55.pdf#page=5","Abrir facsímil")</f>
        <v>Abrir facsímil</v>
      </c>
      <c r="K2189" s="3" t="s">
        <v>22</v>
      </c>
    </row>
    <row r="2190" spans="1:11" ht="42" customHeight="1">
      <c r="A2190" s="2" t="s">
        <v>4923</v>
      </c>
      <c r="B2190" s="2" t="s">
        <v>4924</v>
      </c>
      <c r="C2190" s="2" t="s">
        <v>16</v>
      </c>
      <c r="D2190" s="2" t="s">
        <v>17</v>
      </c>
      <c r="E2190" s="5">
        <v>-31582</v>
      </c>
      <c r="F2190" s="3" t="s">
        <v>907</v>
      </c>
      <c r="G2190" s="3" t="s">
        <v>87</v>
      </c>
      <c r="H2190" s="2" t="s">
        <v>20</v>
      </c>
      <c r="I2190" s="2" t="s">
        <v>4925</v>
      </c>
      <c r="J2190" s="3" t="str">
        <f>HYPERLINK("https://www.boe.es/gazeta/dias/1813/07/12/pdfs/GRE-1813-87.pdf#page=7","Abrir facsímil")</f>
        <v>Abrir facsímil</v>
      </c>
      <c r="K2190" s="3" t="s">
        <v>22</v>
      </c>
    </row>
    <row r="2191" spans="1:11" ht="42" customHeight="1">
      <c r="A2191" s="2" t="s">
        <v>4926</v>
      </c>
      <c r="B2191" s="2" t="s">
        <v>4927</v>
      </c>
      <c r="C2191" s="2" t="s">
        <v>16</v>
      </c>
      <c r="D2191" s="2" t="s">
        <v>17</v>
      </c>
      <c r="E2191" s="5">
        <v>-31574</v>
      </c>
      <c r="F2191" s="3" t="s">
        <v>1343</v>
      </c>
      <c r="G2191" s="3" t="s">
        <v>178</v>
      </c>
      <c r="H2191" s="2" t="s">
        <v>20</v>
      </c>
      <c r="I2191" s="2" t="s">
        <v>4928</v>
      </c>
      <c r="J2191" s="3" t="str">
        <f>HYPERLINK("https://www.boe.es/gazeta/dias/1813/07/20/pdfs/GMR-1813-19.pdf#page=11","Abrir facsímil")</f>
        <v>Abrir facsímil</v>
      </c>
      <c r="K2191" s="3" t="s">
        <v>22</v>
      </c>
    </row>
    <row r="2192" spans="1:11" ht="42" customHeight="1">
      <c r="A2192" s="2" t="s">
        <v>4929</v>
      </c>
      <c r="B2192" s="2" t="s">
        <v>4930</v>
      </c>
      <c r="C2192" s="2" t="s">
        <v>25</v>
      </c>
      <c r="D2192" s="2" t="s">
        <v>26</v>
      </c>
      <c r="E2192" s="5">
        <v>-31458</v>
      </c>
      <c r="F2192" s="3" t="s">
        <v>2315</v>
      </c>
      <c r="G2192" s="3" t="s">
        <v>2975</v>
      </c>
      <c r="H2192" s="2" t="s">
        <v>20</v>
      </c>
      <c r="I2192" s="2" t="s">
        <v>4931</v>
      </c>
      <c r="J2192" s="3" t="str">
        <f>HYPERLINK("https://www.boe.es/gazeta/dias/1813/11/13/pdfs/GMR-1813-73.pdf#page=6","Abrir facsímil")</f>
        <v>Abrir facsímil</v>
      </c>
      <c r="K2192" s="3" t="s">
        <v>22</v>
      </c>
    </row>
    <row r="2193" spans="1:11" ht="42" customHeight="1">
      <c r="A2193" s="2" t="s">
        <v>4932</v>
      </c>
      <c r="B2193" s="2" t="s">
        <v>4933</v>
      </c>
      <c r="C2193" s="2" t="s">
        <v>16</v>
      </c>
      <c r="D2193" s="2" t="s">
        <v>97</v>
      </c>
      <c r="E2193" s="5">
        <v>-31519</v>
      </c>
      <c r="F2193" s="3" t="s">
        <v>312</v>
      </c>
      <c r="G2193" s="3" t="s">
        <v>28</v>
      </c>
      <c r="H2193" s="2" t="s">
        <v>20</v>
      </c>
      <c r="I2193" s="2" t="s">
        <v>4934</v>
      </c>
      <c r="J2193" s="3" t="str">
        <f>HYPERLINK("https://www.boe.es/gazeta/dias/1813/09/13/pdfs/GRE-1813-118E.pdf#page=8","Abrir facsímil")</f>
        <v>Abrir facsímil</v>
      </c>
      <c r="K2193" s="3" t="s">
        <v>22</v>
      </c>
    </row>
    <row r="2194" spans="1:11" ht="42" customHeight="1">
      <c r="A2194" s="2" t="s">
        <v>4935</v>
      </c>
      <c r="B2194" s="2" t="s">
        <v>4936</v>
      </c>
      <c r="C2194" s="2" t="s">
        <v>25</v>
      </c>
      <c r="D2194" s="2" t="s">
        <v>26</v>
      </c>
      <c r="E2194" s="5">
        <v>-31745</v>
      </c>
      <c r="F2194" s="3" t="s">
        <v>445</v>
      </c>
      <c r="G2194" s="3" t="s">
        <v>28</v>
      </c>
      <c r="H2194" s="2" t="s">
        <v>20</v>
      </c>
      <c r="I2194" s="2" t="s">
        <v>4937</v>
      </c>
      <c r="J2194" s="3" t="str">
        <f>HYPERLINK("https://www.boe.es/gazeta/dias/1813/01/30/pdfs/GRE-1813-13.pdf#page=8","Abrir facsímil")</f>
        <v>Abrir facsímil</v>
      </c>
      <c r="K2194" s="3" t="s">
        <v>22</v>
      </c>
    </row>
    <row r="2195" spans="1:11" ht="42" customHeight="1">
      <c r="A2195" s="2" t="s">
        <v>4935</v>
      </c>
      <c r="B2195" s="2" t="s">
        <v>4936</v>
      </c>
      <c r="C2195" s="2" t="s">
        <v>277</v>
      </c>
      <c r="D2195" s="2" t="s">
        <v>26</v>
      </c>
      <c r="E2195" s="5">
        <v>-31411</v>
      </c>
      <c r="F2195" s="3" t="s">
        <v>3702</v>
      </c>
      <c r="G2195" s="3" t="s">
        <v>87</v>
      </c>
      <c r="H2195" s="2" t="s">
        <v>20</v>
      </c>
      <c r="I2195" s="2" t="s">
        <v>4938</v>
      </c>
      <c r="J2195" s="3" t="str">
        <f>HYPERLINK("https://www.boe.es/gazeta/dias/1813/12/30/pdfs/GRE-1813-171.pdf#page=7","Abrir facsímil")</f>
        <v>Abrir facsímil</v>
      </c>
      <c r="K2195" s="3" t="s">
        <v>22</v>
      </c>
    </row>
    <row r="2196" spans="1:11" ht="42" customHeight="1">
      <c r="A2196" s="2" t="s">
        <v>4939</v>
      </c>
      <c r="B2196" s="2" t="s">
        <v>4940</v>
      </c>
      <c r="C2196" s="2" t="s">
        <v>25</v>
      </c>
      <c r="D2196" s="2" t="s">
        <v>26</v>
      </c>
      <c r="E2196" s="5">
        <v>-31752</v>
      </c>
      <c r="F2196" s="3" t="s">
        <v>182</v>
      </c>
      <c r="G2196" s="3" t="s">
        <v>183</v>
      </c>
      <c r="H2196" s="2" t="s">
        <v>20</v>
      </c>
      <c r="I2196" s="2" t="s">
        <v>4941</v>
      </c>
      <c r="J2196" s="3" t="str">
        <f>HYPERLINK("https://www.boe.es/gazeta/dias/1813/01/23/pdfs/GRE-1813-10.pdf#page=8","Abrir facsímil")</f>
        <v>Abrir facsímil</v>
      </c>
      <c r="K2196" s="3" t="s">
        <v>22</v>
      </c>
    </row>
    <row r="2197" spans="1:11" ht="42" customHeight="1">
      <c r="A2197" s="2" t="s">
        <v>4942</v>
      </c>
      <c r="B2197" s="2" t="s">
        <v>4943</v>
      </c>
      <c r="C2197" s="2" t="s">
        <v>25</v>
      </c>
      <c r="D2197" s="2" t="s">
        <v>26</v>
      </c>
      <c r="E2197" s="5">
        <v>-31677</v>
      </c>
      <c r="F2197" s="3" t="s">
        <v>76</v>
      </c>
      <c r="G2197" s="3" t="s">
        <v>28</v>
      </c>
      <c r="H2197" s="2" t="s">
        <v>20</v>
      </c>
      <c r="I2197" s="2" t="s">
        <v>4944</v>
      </c>
      <c r="J2197" s="3" t="str">
        <f>HYPERLINK("https://www.boe.es/gazeta/dias/1813/04/08/pdfs/GRE-1813-43.pdf#page=8","Abrir facsímil")</f>
        <v>Abrir facsímil</v>
      </c>
      <c r="K2197" s="3" t="s">
        <v>22</v>
      </c>
    </row>
    <row r="2198" spans="1:11" ht="42" customHeight="1">
      <c r="A2198" s="2" t="s">
        <v>4945</v>
      </c>
      <c r="B2198" s="2" t="s">
        <v>4946</v>
      </c>
      <c r="C2198" s="2" t="s">
        <v>16</v>
      </c>
      <c r="D2198" s="2" t="s">
        <v>17</v>
      </c>
      <c r="E2198" s="5">
        <v>-31553</v>
      </c>
      <c r="F2198" s="3" t="s">
        <v>592</v>
      </c>
      <c r="G2198" s="3" t="s">
        <v>1065</v>
      </c>
      <c r="H2198" s="2" t="s">
        <v>20</v>
      </c>
      <c r="I2198" s="2" t="s">
        <v>4947</v>
      </c>
      <c r="J2198" s="3" t="str">
        <f>HYPERLINK("https://www.boe.es/gazeta/dias/1813/08/10/pdfs/GRE-1813-101.pdf#page=7","Abrir facsímil")</f>
        <v>Abrir facsímil</v>
      </c>
      <c r="K2198" s="3" t="s">
        <v>22</v>
      </c>
    </row>
    <row r="2199" spans="1:11" ht="42" customHeight="1">
      <c r="A2199" s="2" t="s">
        <v>4948</v>
      </c>
      <c r="B2199" s="2" t="s">
        <v>4949</v>
      </c>
      <c r="C2199" s="2" t="s">
        <v>25</v>
      </c>
      <c r="D2199" s="2" t="s">
        <v>97</v>
      </c>
      <c r="E2199" s="5">
        <v>-31519</v>
      </c>
      <c r="F2199" s="3" t="s">
        <v>312</v>
      </c>
      <c r="G2199" s="3" t="s">
        <v>28</v>
      </c>
      <c r="H2199" s="2" t="s">
        <v>20</v>
      </c>
      <c r="I2199" s="2" t="s">
        <v>4950</v>
      </c>
      <c r="J2199" s="3" t="str">
        <f>HYPERLINK("https://www.boe.es/gazeta/dias/1813/09/13/pdfs/GRE-1813-118E.pdf#page=8","Abrir facsímil")</f>
        <v>Abrir facsímil</v>
      </c>
      <c r="K2199" s="3" t="s">
        <v>22</v>
      </c>
    </row>
    <row r="2200" spans="1:11" ht="42" customHeight="1">
      <c r="A2200" s="2" t="s">
        <v>4948</v>
      </c>
      <c r="B2200" s="2" t="s">
        <v>4949</v>
      </c>
      <c r="C2200" s="2" t="s">
        <v>25</v>
      </c>
      <c r="D2200" s="2" t="s">
        <v>26</v>
      </c>
      <c r="E2200" s="5">
        <v>-31507</v>
      </c>
      <c r="F2200" s="3" t="s">
        <v>61</v>
      </c>
      <c r="G2200" s="3" t="s">
        <v>28</v>
      </c>
      <c r="H2200" s="2" t="s">
        <v>20</v>
      </c>
      <c r="I2200" s="2" t="s">
        <v>4951</v>
      </c>
      <c r="J2200" s="3" t="str">
        <f>HYPERLINK("https://www.boe.es/gazeta/dias/1813/09/25/pdfs/GMR-1813-48.pdf#page=8","Abrir facsímil")</f>
        <v>Abrir facsímil</v>
      </c>
      <c r="K2200" s="3" t="s">
        <v>22</v>
      </c>
    </row>
    <row r="2201" spans="1:11" ht="42" customHeight="1">
      <c r="A2201" s="2" t="s">
        <v>4952</v>
      </c>
      <c r="B2201" s="2" t="s">
        <v>4952</v>
      </c>
      <c r="C2201" s="2" t="s">
        <v>16</v>
      </c>
      <c r="D2201" s="2" t="s">
        <v>17</v>
      </c>
      <c r="E2201" s="5">
        <v>-31511</v>
      </c>
      <c r="F2201" s="3" t="s">
        <v>2149</v>
      </c>
      <c r="G2201" s="3" t="s">
        <v>95</v>
      </c>
      <c r="H2201" s="2" t="s">
        <v>20</v>
      </c>
      <c r="I2201" s="2" t="s">
        <v>4953</v>
      </c>
      <c r="J2201" s="3" t="str">
        <f>HYPERLINK("https://www.boe.es/gazeta/dias/1813/09/21/pdfs/GRE-1813-122.pdf#page=6","Abrir facsímil")</f>
        <v>Abrir facsímil</v>
      </c>
      <c r="K2201" s="3" t="s">
        <v>22</v>
      </c>
    </row>
    <row r="2202" spans="1:11" ht="42" customHeight="1">
      <c r="A2202" s="2" t="s">
        <v>4954</v>
      </c>
      <c r="B2202" s="2" t="s">
        <v>4954</v>
      </c>
      <c r="C2202" s="2" t="s">
        <v>16</v>
      </c>
      <c r="D2202" s="2" t="s">
        <v>17</v>
      </c>
      <c r="E2202" s="5">
        <v>-31516</v>
      </c>
      <c r="F2202" s="3" t="s">
        <v>1685</v>
      </c>
      <c r="G2202" s="3" t="s">
        <v>1686</v>
      </c>
      <c r="H2202" s="2" t="s">
        <v>20</v>
      </c>
      <c r="I2202" s="2" t="s">
        <v>4955</v>
      </c>
      <c r="J2202" s="3" t="str">
        <f>HYPERLINK("https://www.boe.es/gazeta/dias/1813/09/16/pdfs/GRE-1813-120.pdf#page=7","Abrir facsímil")</f>
        <v>Abrir facsímil</v>
      </c>
      <c r="K2202" s="3" t="s">
        <v>22</v>
      </c>
    </row>
    <row r="2203" spans="1:11" ht="42" customHeight="1">
      <c r="A2203" s="2" t="s">
        <v>4954</v>
      </c>
      <c r="B2203" s="2" t="s">
        <v>4954</v>
      </c>
      <c r="C2203" s="2" t="s">
        <v>16</v>
      </c>
      <c r="D2203" s="2" t="s">
        <v>17</v>
      </c>
      <c r="E2203" s="5">
        <v>-31516</v>
      </c>
      <c r="F2203" s="3" t="s">
        <v>1685</v>
      </c>
      <c r="G2203" s="3" t="s">
        <v>1797</v>
      </c>
      <c r="H2203" s="2" t="s">
        <v>20</v>
      </c>
      <c r="I2203" s="2" t="s">
        <v>4956</v>
      </c>
      <c r="J2203" s="3" t="str">
        <f>HYPERLINK("https://www.boe.es/gazeta/dias/1813/09/16/pdfs/GRE-1813-120.pdf#page=5","Abrir facsímil")</f>
        <v>Abrir facsímil</v>
      </c>
      <c r="K2203" s="3" t="s">
        <v>22</v>
      </c>
    </row>
    <row r="2204" spans="1:11" ht="42" customHeight="1">
      <c r="A2204" s="2" t="s">
        <v>4954</v>
      </c>
      <c r="B2204" s="2" t="s">
        <v>4954</v>
      </c>
      <c r="C2204" s="2" t="s">
        <v>16</v>
      </c>
      <c r="D2204" s="2" t="s">
        <v>17</v>
      </c>
      <c r="E2204" s="5">
        <v>-31502</v>
      </c>
      <c r="F2204" s="3" t="s">
        <v>257</v>
      </c>
      <c r="G2204" s="3" t="s">
        <v>2029</v>
      </c>
      <c r="H2204" s="2" t="s">
        <v>20</v>
      </c>
      <c r="I2204" s="2" t="s">
        <v>4957</v>
      </c>
      <c r="J2204" s="3" t="str">
        <f>HYPERLINK("https://www.boe.es/gazeta/dias/1813/09/30/pdfs/GMR-1813-51.pdf#page=6","Abrir facsímil")</f>
        <v>Abrir facsímil</v>
      </c>
      <c r="K2204" s="3" t="s">
        <v>22</v>
      </c>
    </row>
    <row r="2205" spans="1:11" ht="42" customHeight="1">
      <c r="A2205" s="2" t="s">
        <v>4954</v>
      </c>
      <c r="B2205" s="2" t="s">
        <v>4954</v>
      </c>
      <c r="C2205" s="2" t="s">
        <v>16</v>
      </c>
      <c r="D2205" s="2" t="s">
        <v>97</v>
      </c>
      <c r="E2205" s="5">
        <v>-31445</v>
      </c>
      <c r="F2205" s="3" t="s">
        <v>299</v>
      </c>
      <c r="G2205" s="3" t="s">
        <v>87</v>
      </c>
      <c r="H2205" s="2" t="s">
        <v>20</v>
      </c>
      <c r="I2205" s="2" t="s">
        <v>4958</v>
      </c>
      <c r="J2205" s="3" t="str">
        <f>HYPERLINK("https://www.boe.es/gazeta/dias/1813/11/26/pdfs/GRE-1813-156E.pdf#page=7","Abrir facsímil")</f>
        <v>Abrir facsímil</v>
      </c>
      <c r="K2205" s="3" t="s">
        <v>22</v>
      </c>
    </row>
    <row r="2206" spans="1:11" ht="42" customHeight="1">
      <c r="A2206" s="2" t="s">
        <v>4954</v>
      </c>
      <c r="B2206" s="2" t="s">
        <v>4954</v>
      </c>
      <c r="C2206" s="2" t="s">
        <v>16</v>
      </c>
      <c r="D2206" s="2" t="s">
        <v>17</v>
      </c>
      <c r="E2206" s="5">
        <v>-31432</v>
      </c>
      <c r="F2206" s="3" t="s">
        <v>702</v>
      </c>
      <c r="G2206" s="3" t="s">
        <v>87</v>
      </c>
      <c r="H2206" s="2" t="s">
        <v>20</v>
      </c>
      <c r="I2206" s="2" t="s">
        <v>4959</v>
      </c>
      <c r="J2206" s="3" t="str">
        <f>HYPERLINK("https://www.boe.es/gazeta/dias/1813/12/09/pdfs/GMR-1813-85.pdf#page=7","Abrir facsímil")</f>
        <v>Abrir facsímil</v>
      </c>
      <c r="K2206" s="3" t="s">
        <v>22</v>
      </c>
    </row>
    <row r="2207" spans="1:11" ht="42" customHeight="1">
      <c r="A2207" s="2" t="s">
        <v>4960</v>
      </c>
      <c r="B2207" s="2" t="s">
        <v>4960</v>
      </c>
      <c r="C2207" s="2" t="s">
        <v>16</v>
      </c>
      <c r="D2207" s="2" t="s">
        <v>17</v>
      </c>
      <c r="E2207" s="5">
        <v>-31581</v>
      </c>
      <c r="F2207" s="3" t="s">
        <v>3599</v>
      </c>
      <c r="G2207" s="3" t="s">
        <v>54</v>
      </c>
      <c r="H2207" s="2" t="s">
        <v>20</v>
      </c>
      <c r="I2207" s="2" t="s">
        <v>4961</v>
      </c>
      <c r="J2207" s="3" t="str">
        <f>HYPERLINK("https://www.boe.es/gazeta/dias/1813/07/13/pdfs/GRE-1813-88.pdf#page=3","Abrir facsímil")</f>
        <v>Abrir facsímil</v>
      </c>
      <c r="K2207" s="3" t="s">
        <v>22</v>
      </c>
    </row>
    <row r="2208" spans="1:11" ht="42" customHeight="1">
      <c r="A2208" s="2" t="s">
        <v>4962</v>
      </c>
      <c r="B2208" s="2" t="s">
        <v>4962</v>
      </c>
      <c r="C2208" s="2" t="s">
        <v>16</v>
      </c>
      <c r="D2208" s="2" t="s">
        <v>17</v>
      </c>
      <c r="E2208" s="5">
        <v>-31654</v>
      </c>
      <c r="F2208" s="3" t="s">
        <v>1519</v>
      </c>
      <c r="G2208" s="3" t="s">
        <v>1638</v>
      </c>
      <c r="H2208" s="2" t="s">
        <v>20</v>
      </c>
      <c r="I2208" s="2" t="s">
        <v>4963</v>
      </c>
      <c r="J2208" s="3" t="str">
        <f>HYPERLINK("https://www.boe.es/gazeta/dias/1813/05/01/pdfs/GRE-1813-54.pdf#page=6","Abrir facsímil")</f>
        <v>Abrir facsímil</v>
      </c>
      <c r="K2208" s="3" t="s">
        <v>22</v>
      </c>
    </row>
    <row r="2209" spans="1:11" ht="42" customHeight="1">
      <c r="A2209" s="2" t="s">
        <v>4964</v>
      </c>
      <c r="B2209" s="2" t="s">
        <v>4964</v>
      </c>
      <c r="C2209" s="2" t="s">
        <v>187</v>
      </c>
      <c r="D2209" s="2" t="s">
        <v>26</v>
      </c>
      <c r="E2209" s="5">
        <v>-31481</v>
      </c>
      <c r="F2209" s="3" t="s">
        <v>40</v>
      </c>
      <c r="G2209" s="3" t="s">
        <v>95</v>
      </c>
      <c r="H2209" s="2" t="s">
        <v>20</v>
      </c>
      <c r="I2209" s="2" t="s">
        <v>4965</v>
      </c>
      <c r="J2209" s="3" t="str">
        <f>HYPERLINK("https://www.boe.es/gazeta/dias/1813/10/21/pdfs/GMR-1813-62.pdf#page=6","Abrir facsímil")</f>
        <v>Abrir facsímil</v>
      </c>
      <c r="K2209" s="3" t="s">
        <v>22</v>
      </c>
    </row>
    <row r="2210" spans="1:11" ht="42" customHeight="1">
      <c r="A2210" s="2" t="s">
        <v>4966</v>
      </c>
      <c r="B2210" s="2" t="s">
        <v>4966</v>
      </c>
      <c r="C2210" s="2" t="s">
        <v>16</v>
      </c>
      <c r="D2210" s="2" t="s">
        <v>17</v>
      </c>
      <c r="E2210" s="5">
        <v>-31728</v>
      </c>
      <c r="F2210" s="3" t="s">
        <v>1434</v>
      </c>
      <c r="G2210" s="3" t="s">
        <v>54</v>
      </c>
      <c r="H2210" s="2" t="s">
        <v>20</v>
      </c>
      <c r="I2210" s="2" t="s">
        <v>4967</v>
      </c>
      <c r="J2210" s="3" t="str">
        <f>HYPERLINK("https://www.boe.es/gazeta/dias/1813/02/16/pdfs/GRE-1813-20.pdf#page=3","Abrir facsímil")</f>
        <v>Abrir facsímil</v>
      </c>
      <c r="K2210" s="3" t="s">
        <v>22</v>
      </c>
    </row>
    <row r="2211" spans="1:11" ht="42" customHeight="1">
      <c r="A2211" s="2" t="s">
        <v>4966</v>
      </c>
      <c r="B2211" s="2" t="s">
        <v>4966</v>
      </c>
      <c r="C2211" s="2" t="s">
        <v>16</v>
      </c>
      <c r="D2211" s="2" t="s">
        <v>17</v>
      </c>
      <c r="E2211" s="5">
        <v>-31679</v>
      </c>
      <c r="F2211" s="3" t="s">
        <v>571</v>
      </c>
      <c r="G2211" s="3" t="s">
        <v>95</v>
      </c>
      <c r="H2211" s="2" t="s">
        <v>20</v>
      </c>
      <c r="I2211" s="2" t="s">
        <v>4968</v>
      </c>
      <c r="J2211" s="3" t="str">
        <f>HYPERLINK("https://www.boe.es/gazeta/dias/1813/04/06/pdfs/GRE-1813-42.pdf#page=6","Abrir facsímil")</f>
        <v>Abrir facsímil</v>
      </c>
      <c r="K2211" s="3" t="s">
        <v>22</v>
      </c>
    </row>
    <row r="2212" spans="1:11" ht="42" customHeight="1">
      <c r="A2212" s="2" t="s">
        <v>4969</v>
      </c>
      <c r="B2212" s="2" t="s">
        <v>4969</v>
      </c>
      <c r="C2212" s="2" t="s">
        <v>16</v>
      </c>
      <c r="D2212" s="2" t="s">
        <v>17</v>
      </c>
      <c r="E2212" s="5">
        <v>-31476</v>
      </c>
      <c r="F2212" s="3" t="s">
        <v>229</v>
      </c>
      <c r="G2212" s="3" t="s">
        <v>19</v>
      </c>
      <c r="H2212" s="2" t="s">
        <v>20</v>
      </c>
      <c r="I2212" s="2" t="s">
        <v>4970</v>
      </c>
      <c r="J2212" s="3" t="str">
        <f>HYPERLINK("https://www.boe.es/gazeta/dias/1813/10/26/pdfs/GRE-1813-140.pdf#page=4","Abrir facsímil")</f>
        <v>Abrir facsímil</v>
      </c>
      <c r="K2212" s="3" t="s">
        <v>22</v>
      </c>
    </row>
    <row r="2213" spans="1:11" ht="42" customHeight="1">
      <c r="A2213" s="2" t="s">
        <v>4971</v>
      </c>
      <c r="B2213" s="2" t="s">
        <v>4971</v>
      </c>
      <c r="C2213" s="2" t="s">
        <v>16</v>
      </c>
      <c r="D2213" s="2" t="s">
        <v>17</v>
      </c>
      <c r="E2213" s="5">
        <v>-31427</v>
      </c>
      <c r="F2213" s="3" t="s">
        <v>489</v>
      </c>
      <c r="G2213" s="3" t="s">
        <v>19</v>
      </c>
      <c r="H2213" s="2" t="s">
        <v>20</v>
      </c>
      <c r="I2213" s="2" t="s">
        <v>4972</v>
      </c>
      <c r="J2213" s="3" t="str">
        <f>HYPERLINK("https://www.boe.es/gazeta/dias/1813/12/14/pdfs/GMR-1813-87.pdf#page=4","Abrir facsímil")</f>
        <v>Abrir facsímil</v>
      </c>
      <c r="K2213" s="3" t="s">
        <v>22</v>
      </c>
    </row>
    <row r="2214" spans="1:11" ht="42" customHeight="1">
      <c r="A2214" s="2" t="s">
        <v>4973</v>
      </c>
      <c r="B2214" s="2" t="s">
        <v>4973</v>
      </c>
      <c r="C2214" s="2" t="s">
        <v>16</v>
      </c>
      <c r="D2214" s="2" t="s">
        <v>17</v>
      </c>
      <c r="E2214" s="5">
        <v>-31724</v>
      </c>
      <c r="F2214" s="3" t="s">
        <v>684</v>
      </c>
      <c r="G2214" s="3" t="s">
        <v>1495</v>
      </c>
      <c r="H2214" s="2" t="s">
        <v>20</v>
      </c>
      <c r="I2214" s="2" t="s">
        <v>4974</v>
      </c>
      <c r="J2214" s="3" t="str">
        <f>HYPERLINK("https://www.boe.es/gazeta/dias/1813/02/20/pdfs/GMD-1813-51.pdf#page=4","Abrir facsímil")</f>
        <v>Abrir facsímil</v>
      </c>
      <c r="K2214" s="3" t="s">
        <v>22</v>
      </c>
    </row>
    <row r="2215" spans="1:11" ht="42" customHeight="1">
      <c r="A2215" s="2" t="s">
        <v>4975</v>
      </c>
      <c r="B2215" s="2" t="s">
        <v>4976</v>
      </c>
      <c r="C2215" s="2" t="s">
        <v>16</v>
      </c>
      <c r="D2215" s="2" t="s">
        <v>17</v>
      </c>
      <c r="E2215" s="5">
        <v>-31439</v>
      </c>
      <c r="F2215" s="3" t="s">
        <v>1298</v>
      </c>
      <c r="G2215" s="3" t="s">
        <v>87</v>
      </c>
      <c r="H2215" s="2" t="s">
        <v>20</v>
      </c>
      <c r="I2215" s="2" t="s">
        <v>4977</v>
      </c>
      <c r="J2215" s="3" t="str">
        <f>HYPERLINK("https://www.boe.es/gazeta/dias/1813/12/02/pdfs/GMR-1813-82.pdf#page=7","Abrir facsímil")</f>
        <v>Abrir facsímil</v>
      </c>
      <c r="K2215" s="3" t="s">
        <v>22</v>
      </c>
    </row>
    <row r="2216" spans="1:11" ht="42" customHeight="1">
      <c r="A2216" s="2" t="s">
        <v>4978</v>
      </c>
      <c r="B2216" s="2" t="s">
        <v>4978</v>
      </c>
      <c r="C2216" s="2" t="s">
        <v>16</v>
      </c>
      <c r="D2216" s="2" t="s">
        <v>17</v>
      </c>
      <c r="E2216" s="5">
        <v>-31698</v>
      </c>
      <c r="F2216" s="3" t="s">
        <v>470</v>
      </c>
      <c r="G2216" s="3" t="s">
        <v>4979</v>
      </c>
      <c r="H2216" s="2" t="s">
        <v>20</v>
      </c>
      <c r="I2216" s="2" t="s">
        <v>4980</v>
      </c>
      <c r="J2216" s="3" t="str">
        <f>HYPERLINK("https://www.boe.es/gazeta/dias/1813/03/18/pdfs/GRE-1813-34.pdf#page=6","Abrir facsímil")</f>
        <v>Abrir facsímil</v>
      </c>
      <c r="K2216" s="3" t="s">
        <v>22</v>
      </c>
    </row>
    <row r="2217" spans="1:11" ht="42" customHeight="1">
      <c r="A2217" s="2" t="s">
        <v>4981</v>
      </c>
      <c r="B2217" s="2" t="s">
        <v>4982</v>
      </c>
      <c r="C2217" s="2" t="s">
        <v>25</v>
      </c>
      <c r="D2217" s="2" t="s">
        <v>26</v>
      </c>
      <c r="E2217" s="5">
        <v>-31752</v>
      </c>
      <c r="F2217" s="3" t="s">
        <v>182</v>
      </c>
      <c r="G2217" s="3" t="s">
        <v>183</v>
      </c>
      <c r="H2217" s="2" t="s">
        <v>20</v>
      </c>
      <c r="I2217" s="2" t="s">
        <v>4983</v>
      </c>
      <c r="J2217" s="3" t="str">
        <f>HYPERLINK("https://www.boe.es/gazeta/dias/1813/01/23/pdfs/GRE-1813-10.pdf#page=8","Abrir facsímil")</f>
        <v>Abrir facsímil</v>
      </c>
      <c r="K2217" s="3" t="s">
        <v>22</v>
      </c>
    </row>
    <row r="2218" spans="1:11" ht="42" customHeight="1">
      <c r="A2218" s="2" t="s">
        <v>4984</v>
      </c>
      <c r="B2218" s="2" t="s">
        <v>4985</v>
      </c>
      <c r="C2218" s="2" t="s">
        <v>435</v>
      </c>
      <c r="D2218" s="2" t="s">
        <v>26</v>
      </c>
      <c r="E2218" s="5">
        <v>-31556</v>
      </c>
      <c r="F2218" s="3" t="s">
        <v>118</v>
      </c>
      <c r="G2218" s="3" t="s">
        <v>28</v>
      </c>
      <c r="H2218" s="2" t="s">
        <v>20</v>
      </c>
      <c r="I2218" s="2" t="s">
        <v>4986</v>
      </c>
      <c r="J2218" s="3" t="str">
        <f>HYPERLINK("https://www.boe.es/gazeta/dias/1813/08/07/pdfs/GMR-1813-25.pdf#page=8","Abrir facsímil")</f>
        <v>Abrir facsímil</v>
      </c>
      <c r="K2218" s="3" t="s">
        <v>22</v>
      </c>
    </row>
    <row r="2219" spans="1:11" ht="42" customHeight="1">
      <c r="A2219" s="2" t="s">
        <v>4987</v>
      </c>
      <c r="B2219" s="2" t="s">
        <v>4988</v>
      </c>
      <c r="C2219" s="2" t="s">
        <v>25</v>
      </c>
      <c r="D2219" s="2" t="s">
        <v>26</v>
      </c>
      <c r="E2219" s="5">
        <v>-31745</v>
      </c>
      <c r="F2219" s="3" t="s">
        <v>445</v>
      </c>
      <c r="G2219" s="3" t="s">
        <v>475</v>
      </c>
      <c r="H2219" s="2" t="s">
        <v>20</v>
      </c>
      <c r="I2219" s="2" t="s">
        <v>4989</v>
      </c>
      <c r="J2219" s="3" t="str">
        <f>HYPERLINK("https://www.boe.es/gazeta/dias/1813/01/30/pdfs/GRE-1813-13.pdf#page=7","Abrir facsímil")</f>
        <v>Abrir facsímil</v>
      </c>
      <c r="K2219" s="3" t="s">
        <v>22</v>
      </c>
    </row>
    <row r="2220" spans="1:11" ht="42" customHeight="1">
      <c r="A2220" s="2" t="s">
        <v>4990</v>
      </c>
      <c r="B2220" s="2" t="s">
        <v>4990</v>
      </c>
      <c r="C2220" s="2" t="s">
        <v>16</v>
      </c>
      <c r="D2220" s="2" t="s">
        <v>17</v>
      </c>
      <c r="E2220" s="5">
        <v>-31684</v>
      </c>
      <c r="F2220" s="3" t="s">
        <v>427</v>
      </c>
      <c r="G2220" s="3" t="s">
        <v>3023</v>
      </c>
      <c r="H2220" s="2" t="s">
        <v>20</v>
      </c>
      <c r="I2220" s="2" t="s">
        <v>4991</v>
      </c>
      <c r="J2220" s="3" t="str">
        <f>HYPERLINK("https://www.boe.es/gazeta/dias/1813/04/01/pdfs/GRE-1813-40.pdf#page=5","Abrir facsímil")</f>
        <v>Abrir facsímil</v>
      </c>
      <c r="K2220" s="3" t="s">
        <v>22</v>
      </c>
    </row>
    <row r="2221" spans="1:11" ht="42" customHeight="1">
      <c r="A2221" s="2" t="s">
        <v>4992</v>
      </c>
      <c r="B2221" s="2" t="s">
        <v>4992</v>
      </c>
      <c r="C2221" s="2" t="s">
        <v>16</v>
      </c>
      <c r="D2221" s="2" t="s">
        <v>17</v>
      </c>
      <c r="E2221" s="5">
        <v>-31585</v>
      </c>
      <c r="F2221" s="3" t="s">
        <v>177</v>
      </c>
      <c r="G2221" s="3" t="s">
        <v>178</v>
      </c>
      <c r="H2221" s="2" t="s">
        <v>20</v>
      </c>
      <c r="I2221" s="2" t="s">
        <v>4993</v>
      </c>
      <c r="J2221" s="3" t="str">
        <f>HYPERLINK("https://www.boe.es/gazeta/dias/1813/07/09/pdfs/GMR-1813-16.pdf#page=11","Abrir facsímil")</f>
        <v>Abrir facsímil</v>
      </c>
      <c r="K2221" s="3" t="s">
        <v>22</v>
      </c>
    </row>
    <row r="2222" spans="1:11" ht="42" customHeight="1">
      <c r="A2222" s="2" t="s">
        <v>4994</v>
      </c>
      <c r="B2222" s="2" t="s">
        <v>4994</v>
      </c>
      <c r="C2222" s="2" t="s">
        <v>16</v>
      </c>
      <c r="D2222" s="2" t="s">
        <v>17</v>
      </c>
      <c r="E2222" s="5">
        <v>-31592</v>
      </c>
      <c r="F2222" s="3" t="s">
        <v>175</v>
      </c>
      <c r="G2222" s="3" t="s">
        <v>95</v>
      </c>
      <c r="H2222" s="2" t="s">
        <v>20</v>
      </c>
      <c r="I2222" s="2" t="s">
        <v>4995</v>
      </c>
      <c r="J2222" s="3" t="str">
        <f>HYPERLINK("https://www.boe.es/gazeta/dias/1813/07/02/pdfs/GRE-1813-82.pdf#page=6","Abrir facsímil")</f>
        <v>Abrir facsímil</v>
      </c>
      <c r="K2222" s="3" t="s">
        <v>22</v>
      </c>
    </row>
    <row r="2223" spans="1:11" ht="42" customHeight="1">
      <c r="A2223" s="2" t="s">
        <v>4996</v>
      </c>
      <c r="B2223" s="2" t="s">
        <v>4997</v>
      </c>
      <c r="C2223" s="2" t="s">
        <v>16</v>
      </c>
      <c r="D2223" s="2" t="s">
        <v>17</v>
      </c>
      <c r="E2223" s="5">
        <v>-31619</v>
      </c>
      <c r="F2223" s="3" t="s">
        <v>749</v>
      </c>
      <c r="G2223" s="3" t="s">
        <v>54</v>
      </c>
      <c r="H2223" s="2" t="s">
        <v>20</v>
      </c>
      <c r="I2223" s="2" t="s">
        <v>4998</v>
      </c>
      <c r="J2223" s="3" t="str">
        <f>HYPERLINK("https://www.boe.es/gazeta/dias/1813/06/05/pdfs/GRE-1813-70.pdf#page=3","Abrir facsímil")</f>
        <v>Abrir facsímil</v>
      </c>
      <c r="K2223" s="3" t="s">
        <v>22</v>
      </c>
    </row>
    <row r="2224" spans="1:11" ht="42" customHeight="1">
      <c r="A2224" s="2" t="s">
        <v>4999</v>
      </c>
      <c r="B2224" s="2" t="s">
        <v>4999</v>
      </c>
      <c r="C2224" s="2" t="s">
        <v>16</v>
      </c>
      <c r="D2224" s="2" t="s">
        <v>17</v>
      </c>
      <c r="E2224" s="5">
        <v>-31745</v>
      </c>
      <c r="F2224" s="3" t="s">
        <v>445</v>
      </c>
      <c r="G2224" s="3" t="s">
        <v>58</v>
      </c>
      <c r="H2224" s="2" t="s">
        <v>20</v>
      </c>
      <c r="I2224" s="2" t="s">
        <v>5000</v>
      </c>
      <c r="J2224" s="3" t="str">
        <f>HYPERLINK("https://www.boe.es/gazeta/dias/1813/01/30/pdfs/GRE-1813-13.pdf#page=2","Abrir facsímil")</f>
        <v>Abrir facsímil</v>
      </c>
      <c r="K2224" s="3" t="s">
        <v>22</v>
      </c>
    </row>
    <row r="2225" spans="1:11" ht="42" customHeight="1">
      <c r="A2225" s="2" t="s">
        <v>5001</v>
      </c>
      <c r="B2225" s="2" t="s">
        <v>5002</v>
      </c>
      <c r="C2225" s="2" t="s">
        <v>16</v>
      </c>
      <c r="D2225" s="2" t="s">
        <v>17</v>
      </c>
      <c r="E2225" s="5">
        <v>-31458</v>
      </c>
      <c r="F2225" s="3" t="s">
        <v>1171</v>
      </c>
      <c r="G2225" s="3" t="s">
        <v>28</v>
      </c>
      <c r="H2225" s="2" t="s">
        <v>20</v>
      </c>
      <c r="I2225" s="2" t="s">
        <v>5003</v>
      </c>
      <c r="J2225" s="3" t="str">
        <f>HYPERLINK("https://www.boe.es/gazeta/dias/1813/11/13/pdfs/GRE-1813-149.pdf#page=8","Abrir facsímil")</f>
        <v>Abrir facsímil</v>
      </c>
      <c r="K2225" s="3" t="s">
        <v>22</v>
      </c>
    </row>
    <row r="2226" spans="1:11" ht="42" customHeight="1">
      <c r="A2226" s="2" t="s">
        <v>5004</v>
      </c>
      <c r="B2226" s="2" t="s">
        <v>5005</v>
      </c>
      <c r="C2226" s="2" t="s">
        <v>34</v>
      </c>
      <c r="D2226" s="2" t="s">
        <v>35</v>
      </c>
      <c r="E2226" s="5">
        <v>-31709</v>
      </c>
      <c r="F2226" s="3" t="s">
        <v>36</v>
      </c>
      <c r="G2226" s="3" t="s">
        <v>19</v>
      </c>
      <c r="H2226" s="2" t="s">
        <v>20</v>
      </c>
      <c r="I2226" s="2" t="s">
        <v>5006</v>
      </c>
      <c r="J2226" s="3" t="str">
        <f>HYPERLINK("https://www.boe.es/gazeta/dias/1813/03/07/pdfs/GMD-1813-66.pdf#page=4","Abrir facsímil")</f>
        <v>Abrir facsímil</v>
      </c>
      <c r="K2226" s="3" t="s">
        <v>22</v>
      </c>
    </row>
    <row r="2227" spans="1:11" ht="42" customHeight="1">
      <c r="A2227" s="2" t="s">
        <v>5007</v>
      </c>
      <c r="B2227" s="2" t="s">
        <v>5008</v>
      </c>
      <c r="C2227" s="2" t="s">
        <v>16</v>
      </c>
      <c r="D2227" s="2" t="s">
        <v>17</v>
      </c>
      <c r="E2227" s="5">
        <v>-31721</v>
      </c>
      <c r="F2227" s="3" t="s">
        <v>5009</v>
      </c>
      <c r="G2227" s="3" t="s">
        <v>58</v>
      </c>
      <c r="H2227" s="2" t="s">
        <v>20</v>
      </c>
      <c r="I2227" s="2" t="s">
        <v>5010</v>
      </c>
      <c r="J2227" s="3" t="str">
        <f>HYPERLINK("https://www.boe.es/gazeta/dias/1813/02/23/pdfs/GMD-1813-54.pdf#page=2","Abrir facsímil")</f>
        <v>Abrir facsímil</v>
      </c>
      <c r="K2227" s="3" t="s">
        <v>22</v>
      </c>
    </row>
    <row r="2228" spans="1:11" ht="42" customHeight="1">
      <c r="A2228" s="2" t="s">
        <v>5011</v>
      </c>
      <c r="B2228" s="2" t="s">
        <v>5011</v>
      </c>
      <c r="C2228" s="2" t="s">
        <v>16</v>
      </c>
      <c r="D2228" s="2" t="s">
        <v>17</v>
      </c>
      <c r="E2228" s="5">
        <v>-31652</v>
      </c>
      <c r="F2228" s="3" t="s">
        <v>3062</v>
      </c>
      <c r="G2228" s="3" t="s">
        <v>58</v>
      </c>
      <c r="H2228" s="2" t="s">
        <v>20</v>
      </c>
      <c r="I2228" s="2" t="s">
        <v>5012</v>
      </c>
      <c r="J2228" s="3" t="str">
        <f>HYPERLINK("https://www.boe.es/gazeta/dias/1813/05/03/pdfs/GMD-1813-123.pdf#page=2","Abrir facsímil")</f>
        <v>Abrir facsímil</v>
      </c>
      <c r="K2228" s="3" t="s">
        <v>22</v>
      </c>
    </row>
    <row r="2229" spans="1:11" ht="42" customHeight="1">
      <c r="A2229" s="2" t="s">
        <v>5013</v>
      </c>
      <c r="B2229" s="2" t="s">
        <v>5013</v>
      </c>
      <c r="C2229" s="2" t="s">
        <v>16</v>
      </c>
      <c r="D2229" s="2" t="s">
        <v>17</v>
      </c>
      <c r="E2229" s="5">
        <v>-31453</v>
      </c>
      <c r="F2229" s="3" t="s">
        <v>695</v>
      </c>
      <c r="G2229" s="3" t="s">
        <v>65</v>
      </c>
      <c r="H2229" s="2" t="s">
        <v>20</v>
      </c>
      <c r="I2229" s="2" t="s">
        <v>5014</v>
      </c>
      <c r="J2229" s="3" t="str">
        <f>HYPERLINK("https://www.boe.es/gazeta/dias/1813/11/18/pdfs/GRE-1813-151.pdf#page=1","Abrir facsímil")</f>
        <v>Abrir facsímil</v>
      </c>
      <c r="K2229" s="3" t="s">
        <v>22</v>
      </c>
    </row>
    <row r="2230" spans="1:11" ht="42" customHeight="1">
      <c r="A2230" s="2" t="s">
        <v>5015</v>
      </c>
      <c r="B2230" s="2" t="s">
        <v>5015</v>
      </c>
      <c r="C2230" s="2" t="s">
        <v>16</v>
      </c>
      <c r="D2230" s="2" t="s">
        <v>17</v>
      </c>
      <c r="E2230" s="5">
        <v>-31483</v>
      </c>
      <c r="F2230" s="3" t="s">
        <v>1292</v>
      </c>
      <c r="G2230" s="3" t="s">
        <v>58</v>
      </c>
      <c r="H2230" s="2" t="s">
        <v>20</v>
      </c>
      <c r="I2230" s="2" t="s">
        <v>5016</v>
      </c>
      <c r="J2230" s="3" t="str">
        <f>HYPERLINK("https://www.boe.es/gazeta/dias/1813/10/19/pdfs/GMR-1813-61.pdf#page=2","Abrir facsímil")</f>
        <v>Abrir facsímil</v>
      </c>
      <c r="K2230" s="3" t="s">
        <v>22</v>
      </c>
    </row>
    <row r="2231" spans="1:11" ht="42" customHeight="1">
      <c r="A2231" s="2" t="s">
        <v>5015</v>
      </c>
      <c r="B2231" s="2" t="s">
        <v>5015</v>
      </c>
      <c r="C2231" s="2" t="s">
        <v>16</v>
      </c>
      <c r="D2231" s="2" t="s">
        <v>17</v>
      </c>
      <c r="E2231" s="5">
        <v>-31481</v>
      </c>
      <c r="F2231" s="3" t="s">
        <v>380</v>
      </c>
      <c r="G2231" s="3" t="s">
        <v>58</v>
      </c>
      <c r="H2231" s="2" t="s">
        <v>20</v>
      </c>
      <c r="I2231" s="2" t="s">
        <v>5017</v>
      </c>
      <c r="J2231" s="3" t="str">
        <f>HYPERLINK("https://www.boe.es/gazeta/dias/1813/10/21/pdfs/GRE-1813-137.pdf#page=2","Abrir facsímil")</f>
        <v>Abrir facsímil</v>
      </c>
      <c r="K2231" s="3" t="s">
        <v>22</v>
      </c>
    </row>
    <row r="2232" spans="1:11" ht="42" customHeight="1">
      <c r="A2232" s="2" t="s">
        <v>5015</v>
      </c>
      <c r="B2232" s="2" t="s">
        <v>5015</v>
      </c>
      <c r="C2232" s="2" t="s">
        <v>16</v>
      </c>
      <c r="D2232" s="2" t="s">
        <v>17</v>
      </c>
      <c r="E2232" s="5">
        <v>-31469</v>
      </c>
      <c r="F2232" s="3" t="s">
        <v>1452</v>
      </c>
      <c r="G2232" s="3" t="s">
        <v>19</v>
      </c>
      <c r="H2232" s="2" t="s">
        <v>20</v>
      </c>
      <c r="I2232" s="2" t="s">
        <v>5018</v>
      </c>
      <c r="J2232" s="3" t="str">
        <f>HYPERLINK("https://www.boe.es/gazeta/dias/1813/11/02/pdfs/GRE-1813-143.pdf#page=4","Abrir facsímil")</f>
        <v>Abrir facsímil</v>
      </c>
      <c r="K2232" s="3" t="s">
        <v>22</v>
      </c>
    </row>
    <row r="2233" spans="1:11" ht="42" customHeight="1">
      <c r="A2233" s="2" t="s">
        <v>5019</v>
      </c>
      <c r="B2233" s="2" t="s">
        <v>5019</v>
      </c>
      <c r="C2233" s="2" t="s">
        <v>16</v>
      </c>
      <c r="D2233" s="2" t="s">
        <v>17</v>
      </c>
      <c r="E2233" s="5">
        <v>-31535</v>
      </c>
      <c r="F2233" s="3" t="s">
        <v>366</v>
      </c>
      <c r="G2233" s="3" t="s">
        <v>65</v>
      </c>
      <c r="H2233" s="2" t="s">
        <v>20</v>
      </c>
      <c r="I2233" s="2" t="s">
        <v>5020</v>
      </c>
      <c r="J2233" s="3" t="str">
        <f>HYPERLINK("https://www.boe.es/gazeta/dias/1813/08/28/pdfs/GRE-1813-110.pdf#page=1","Abrir facsímil")</f>
        <v>Abrir facsímil</v>
      </c>
      <c r="K2233" s="3" t="s">
        <v>22</v>
      </c>
    </row>
    <row r="2234" spans="1:11" ht="42" customHeight="1">
      <c r="A2234" s="2" t="s">
        <v>5019</v>
      </c>
      <c r="B2234" s="2" t="s">
        <v>5019</v>
      </c>
      <c r="C2234" s="2" t="s">
        <v>16</v>
      </c>
      <c r="D2234" s="2" t="s">
        <v>17</v>
      </c>
      <c r="E2234" s="5">
        <v>-31532</v>
      </c>
      <c r="F2234" s="3" t="s">
        <v>1728</v>
      </c>
      <c r="G2234" s="3" t="s">
        <v>65</v>
      </c>
      <c r="H2234" s="2" t="s">
        <v>20</v>
      </c>
      <c r="I2234" s="2" t="s">
        <v>5021</v>
      </c>
      <c r="J2234" s="3" t="str">
        <f>HYPERLINK("https://www.boe.es/gazeta/dias/1813/08/31/pdfs/GMR-1813-35.pdf#page=1","Abrir facsímil")</f>
        <v>Abrir facsímil</v>
      </c>
      <c r="K2234" s="3" t="s">
        <v>22</v>
      </c>
    </row>
    <row r="2235" spans="1:11" ht="42" customHeight="1">
      <c r="A2235" s="2" t="s">
        <v>5022</v>
      </c>
      <c r="B2235" s="2" t="s">
        <v>5022</v>
      </c>
      <c r="C2235" s="2" t="s">
        <v>16</v>
      </c>
      <c r="D2235" s="2" t="s">
        <v>17</v>
      </c>
      <c r="E2235" s="5">
        <v>-31523</v>
      </c>
      <c r="F2235" s="3" t="s">
        <v>2140</v>
      </c>
      <c r="G2235" s="3" t="s">
        <v>2141</v>
      </c>
      <c r="H2235" s="2" t="s">
        <v>20</v>
      </c>
      <c r="I2235" s="2" t="s">
        <v>5023</v>
      </c>
      <c r="J2235" s="3" t="str">
        <f>HYPERLINK("https://www.boe.es/gazeta/dias/1813/09/09/pdfs/GMR-1813-40.pdf#page=3","Abrir facsímil")</f>
        <v>Abrir facsímil</v>
      </c>
      <c r="K2235" s="3" t="s">
        <v>22</v>
      </c>
    </row>
    <row r="2236" spans="1:11" ht="42" customHeight="1">
      <c r="A2236" s="2" t="s">
        <v>5024</v>
      </c>
      <c r="B2236" s="2" t="s">
        <v>5024</v>
      </c>
      <c r="C2236" s="2" t="s">
        <v>34</v>
      </c>
      <c r="D2236" s="2" t="s">
        <v>35</v>
      </c>
      <c r="E2236" s="5">
        <v>-31539</v>
      </c>
      <c r="F2236" s="3" t="s">
        <v>1316</v>
      </c>
      <c r="G2236" s="3" t="s">
        <v>65</v>
      </c>
      <c r="H2236" s="2" t="s">
        <v>20</v>
      </c>
      <c r="I2236" s="2" t="s">
        <v>5025</v>
      </c>
      <c r="J2236" s="3" t="str">
        <f>HYPERLINK("https://www.boe.es/gazeta/dias/1813/08/24/pdfs/GMR-1813-32.pdf#page=1","Abrir facsímil")</f>
        <v>Abrir facsímil</v>
      </c>
      <c r="K2236" s="3" t="s">
        <v>22</v>
      </c>
    </row>
    <row r="2237" spans="1:11" ht="42" customHeight="1">
      <c r="A2237" s="2" t="s">
        <v>5026</v>
      </c>
      <c r="B2237" s="2" t="s">
        <v>5026</v>
      </c>
      <c r="C2237" s="2" t="s">
        <v>16</v>
      </c>
      <c r="D2237" s="2" t="s">
        <v>17</v>
      </c>
      <c r="E2237" s="5">
        <v>-31528</v>
      </c>
      <c r="F2237" s="3" t="s">
        <v>141</v>
      </c>
      <c r="G2237" s="3" t="s">
        <v>58</v>
      </c>
      <c r="H2237" s="2" t="s">
        <v>20</v>
      </c>
      <c r="I2237" s="2" t="s">
        <v>5027</v>
      </c>
      <c r="J2237" s="3" t="str">
        <f>HYPERLINK("https://www.boe.es/gazeta/dias/1813/09/04/pdfs/GMR-1813-37.pdf#page=2","Abrir facsímil")</f>
        <v>Abrir facsímil</v>
      </c>
      <c r="K2237" s="3" t="s">
        <v>22</v>
      </c>
    </row>
    <row r="2238" spans="1:11" ht="42" customHeight="1">
      <c r="A2238" s="2" t="s">
        <v>5028</v>
      </c>
      <c r="B2238" s="2" t="s">
        <v>5028</v>
      </c>
      <c r="C2238" s="2" t="s">
        <v>16</v>
      </c>
      <c r="D2238" s="2" t="s">
        <v>17</v>
      </c>
      <c r="E2238" s="5">
        <v>-31574</v>
      </c>
      <c r="F2238" s="3" t="s">
        <v>1343</v>
      </c>
      <c r="G2238" s="3" t="s">
        <v>82</v>
      </c>
      <c r="H2238" s="2" t="s">
        <v>20</v>
      </c>
      <c r="I2238" s="2" t="s">
        <v>5029</v>
      </c>
      <c r="J2238" s="3" t="str">
        <f>HYPERLINK("https://www.boe.es/gazeta/dias/1813/07/20/pdfs/GMR-1813-19.pdf#page=5","Abrir facsímil")</f>
        <v>Abrir facsímil</v>
      </c>
      <c r="K2238" s="3" t="s">
        <v>22</v>
      </c>
    </row>
    <row r="2239" spans="1:11" ht="42" customHeight="1">
      <c r="A2239" s="2" t="s">
        <v>5030</v>
      </c>
      <c r="B2239" s="2" t="s">
        <v>5030</v>
      </c>
      <c r="C2239" s="2" t="s">
        <v>16</v>
      </c>
      <c r="D2239" s="2" t="s">
        <v>17</v>
      </c>
      <c r="E2239" s="5">
        <v>-31556</v>
      </c>
      <c r="F2239" s="3" t="s">
        <v>118</v>
      </c>
      <c r="G2239" s="3" t="s">
        <v>58</v>
      </c>
      <c r="H2239" s="2" t="s">
        <v>20</v>
      </c>
      <c r="I2239" s="2" t="s">
        <v>5031</v>
      </c>
      <c r="J2239" s="3" t="str">
        <f>HYPERLINK("https://www.boe.es/gazeta/dias/1813/08/07/pdfs/GMR-1813-25.pdf#page=2","Abrir facsímil")</f>
        <v>Abrir facsímil</v>
      </c>
      <c r="K2239" s="3" t="s">
        <v>22</v>
      </c>
    </row>
    <row r="2240" spans="1:11" ht="42" customHeight="1">
      <c r="A2240" s="2" t="s">
        <v>5030</v>
      </c>
      <c r="B2240" s="2" t="s">
        <v>5030</v>
      </c>
      <c r="C2240" s="2" t="s">
        <v>16</v>
      </c>
      <c r="D2240" s="2" t="s">
        <v>17</v>
      </c>
      <c r="E2240" s="5">
        <v>-31556</v>
      </c>
      <c r="F2240" s="3" t="s">
        <v>118</v>
      </c>
      <c r="G2240" s="3" t="s">
        <v>54</v>
      </c>
      <c r="H2240" s="2" t="s">
        <v>20</v>
      </c>
      <c r="I2240" s="2" t="s">
        <v>5032</v>
      </c>
      <c r="J2240" s="3" t="str">
        <f>HYPERLINK("https://www.boe.es/gazeta/dias/1813/08/07/pdfs/GMR-1813-25.pdf#page=3","Abrir facsímil")</f>
        <v>Abrir facsímil</v>
      </c>
      <c r="K2240" s="3" t="s">
        <v>22</v>
      </c>
    </row>
    <row r="2241" spans="1:11" ht="42" customHeight="1">
      <c r="A2241" s="2" t="s">
        <v>5033</v>
      </c>
      <c r="B2241" s="2" t="s">
        <v>5033</v>
      </c>
      <c r="C2241" s="2" t="s">
        <v>16</v>
      </c>
      <c r="D2241" s="2" t="s">
        <v>17</v>
      </c>
      <c r="E2241" s="5">
        <v>-31642</v>
      </c>
      <c r="F2241" s="3" t="s">
        <v>582</v>
      </c>
      <c r="G2241" s="3" t="s">
        <v>65</v>
      </c>
      <c r="H2241" s="2" t="s">
        <v>20</v>
      </c>
      <c r="I2241" s="2" t="s">
        <v>5034</v>
      </c>
      <c r="J2241" s="3" t="str">
        <f>HYPERLINK("https://www.boe.es/gazeta/dias/1813/05/13/pdfs/GRE-1813-59.pdf#page=1","Abrir facsímil")</f>
        <v>Abrir facsímil</v>
      </c>
      <c r="K2241" s="3" t="s">
        <v>22</v>
      </c>
    </row>
    <row r="2242" spans="1:11" ht="42" customHeight="1">
      <c r="A2242" s="2" t="s">
        <v>5035</v>
      </c>
      <c r="B2242" s="2" t="s">
        <v>5036</v>
      </c>
      <c r="C2242" s="2" t="s">
        <v>34</v>
      </c>
      <c r="D2242" s="2" t="s">
        <v>35</v>
      </c>
      <c r="E2242" s="5">
        <v>-31710</v>
      </c>
      <c r="F2242" s="3" t="s">
        <v>2689</v>
      </c>
      <c r="G2242" s="3" t="s">
        <v>3142</v>
      </c>
      <c r="H2242" s="2" t="s">
        <v>20</v>
      </c>
      <c r="I2242" s="2" t="s">
        <v>5037</v>
      </c>
      <c r="J2242" s="3" t="str">
        <f>HYPERLINK("https://www.boe.es/gazeta/dias/1813/03/06/pdfs/GRE-1813-29.pdf#page=6","Abrir facsímil")</f>
        <v>Abrir facsímil</v>
      </c>
      <c r="K2242" s="3" t="s">
        <v>22</v>
      </c>
    </row>
    <row r="2243" spans="1:11" ht="42" customHeight="1">
      <c r="A2243" s="2" t="s">
        <v>5038</v>
      </c>
      <c r="B2243" s="2" t="s">
        <v>5038</v>
      </c>
      <c r="C2243" s="2" t="s">
        <v>34</v>
      </c>
      <c r="D2243" s="2" t="s">
        <v>35</v>
      </c>
      <c r="E2243" s="5">
        <v>-31726</v>
      </c>
      <c r="F2243" s="3" t="s">
        <v>533</v>
      </c>
      <c r="G2243" s="3" t="s">
        <v>82</v>
      </c>
      <c r="H2243" s="2" t="s">
        <v>20</v>
      </c>
      <c r="I2243" s="2" t="s">
        <v>5039</v>
      </c>
      <c r="J2243" s="3" t="str">
        <f>HYPERLINK("https://www.boe.es/gazeta/dias/1813/02/18/pdfs/GRE-1813-21.pdf#page=5","Abrir facsímil")</f>
        <v>Abrir facsímil</v>
      </c>
      <c r="K2243" s="3" t="s">
        <v>22</v>
      </c>
    </row>
    <row r="2244" spans="1:11" ht="42" customHeight="1">
      <c r="A2244" s="2" t="s">
        <v>5040</v>
      </c>
      <c r="B2244" s="2" t="s">
        <v>5040</v>
      </c>
      <c r="C2244" s="2" t="s">
        <v>16</v>
      </c>
      <c r="D2244" s="2" t="s">
        <v>17</v>
      </c>
      <c r="E2244" s="5">
        <v>-31748</v>
      </c>
      <c r="F2244" s="3" t="s">
        <v>5041</v>
      </c>
      <c r="G2244" s="3" t="s">
        <v>54</v>
      </c>
      <c r="H2244" s="2" t="s">
        <v>20</v>
      </c>
      <c r="I2244" s="2" t="s">
        <v>5042</v>
      </c>
      <c r="J2244" s="3" t="str">
        <f>HYPERLINK("https://www.boe.es/gazeta/dias/1813/01/27/pdfs/GMD-1813-27.pdf#page=3","Abrir facsímil")</f>
        <v>Abrir facsímil</v>
      </c>
      <c r="K2244" s="3" t="s">
        <v>22</v>
      </c>
    </row>
    <row r="2245" spans="1:11" ht="42" customHeight="1">
      <c r="A2245" s="2" t="s">
        <v>5043</v>
      </c>
      <c r="B2245" s="2" t="s">
        <v>5043</v>
      </c>
      <c r="C2245" s="2" t="s">
        <v>16</v>
      </c>
      <c r="D2245" s="2" t="s">
        <v>17</v>
      </c>
      <c r="E2245" s="5">
        <v>-31441</v>
      </c>
      <c r="F2245" s="3" t="s">
        <v>1952</v>
      </c>
      <c r="G2245" s="3" t="s">
        <v>19</v>
      </c>
      <c r="H2245" s="2" t="s">
        <v>20</v>
      </c>
      <c r="I2245" s="2" t="s">
        <v>5044</v>
      </c>
      <c r="J2245" s="3" t="str">
        <f>HYPERLINK("https://www.boe.es/gazeta/dias/1813/11/30/pdfs/GRE-1813-158.pdf#page=4","Abrir facsímil")</f>
        <v>Abrir facsímil</v>
      </c>
      <c r="K2245" s="3" t="s">
        <v>22</v>
      </c>
    </row>
    <row r="2246" spans="1:11" ht="42" customHeight="1">
      <c r="A2246" s="2" t="s">
        <v>5045</v>
      </c>
      <c r="B2246" s="2" t="s">
        <v>5045</v>
      </c>
      <c r="C2246" s="2" t="s">
        <v>16</v>
      </c>
      <c r="D2246" s="2" t="s">
        <v>17</v>
      </c>
      <c r="E2246" s="5">
        <v>-31502</v>
      </c>
      <c r="F2246" s="3" t="s">
        <v>1363</v>
      </c>
      <c r="G2246" s="3" t="s">
        <v>82</v>
      </c>
      <c r="H2246" s="2" t="s">
        <v>20</v>
      </c>
      <c r="I2246" s="2" t="s">
        <v>5046</v>
      </c>
      <c r="J2246" s="3" t="str">
        <f>HYPERLINK("https://www.boe.es/gazeta/dias/1813/09/30/pdfs/GRE-1813-128.pdf#page=5","Abrir facsímil")</f>
        <v>Abrir facsímil</v>
      </c>
      <c r="K2246" s="3" t="s">
        <v>22</v>
      </c>
    </row>
    <row r="2247" spans="1:11" ht="42" customHeight="1">
      <c r="A2247" s="2" t="s">
        <v>5047</v>
      </c>
      <c r="B2247" s="2" t="s">
        <v>5048</v>
      </c>
      <c r="C2247" s="2" t="s">
        <v>16</v>
      </c>
      <c r="D2247" s="2" t="s">
        <v>17</v>
      </c>
      <c r="E2247" s="5">
        <v>-31719</v>
      </c>
      <c r="F2247" s="3" t="s">
        <v>251</v>
      </c>
      <c r="G2247" s="3" t="s">
        <v>19</v>
      </c>
      <c r="H2247" s="2" t="s">
        <v>20</v>
      </c>
      <c r="I2247" s="2" t="s">
        <v>5049</v>
      </c>
      <c r="J2247" s="3" t="str">
        <f>HYPERLINK("https://www.boe.es/gazeta/dias/1813/02/25/pdfs/GMD-1813-56.pdf#page=4","Abrir facsímil")</f>
        <v>Abrir facsímil</v>
      </c>
      <c r="K2247" s="3" t="s">
        <v>22</v>
      </c>
    </row>
    <row r="2248" spans="1:11" ht="42" customHeight="1">
      <c r="A2248" s="2" t="s">
        <v>5050</v>
      </c>
      <c r="B2248" s="2" t="s">
        <v>5051</v>
      </c>
      <c r="C2248" s="2" t="s">
        <v>34</v>
      </c>
      <c r="D2248" s="2" t="s">
        <v>35</v>
      </c>
      <c r="E2248" s="5">
        <v>-31613</v>
      </c>
      <c r="F2248" s="3" t="s">
        <v>1629</v>
      </c>
      <c r="G2248" s="3" t="s">
        <v>313</v>
      </c>
      <c r="H2248" s="2" t="s">
        <v>20</v>
      </c>
      <c r="I2248" s="2" t="s">
        <v>5052</v>
      </c>
      <c r="J2248" s="3" t="str">
        <f>HYPERLINK("https://www.boe.es/gazeta/dias/1813/06/11/pdfs/GMR-1813-4.pdf#page=9","Abrir facsímil")</f>
        <v>Abrir facsímil</v>
      </c>
      <c r="K2248" s="3" t="s">
        <v>22</v>
      </c>
    </row>
    <row r="2249" spans="1:11" ht="42" customHeight="1">
      <c r="A2249" s="2" t="s">
        <v>5050</v>
      </c>
      <c r="B2249" s="2" t="s">
        <v>5051</v>
      </c>
      <c r="C2249" s="2" t="s">
        <v>34</v>
      </c>
      <c r="D2249" s="2" t="s">
        <v>35</v>
      </c>
      <c r="E2249" s="5">
        <v>-31588</v>
      </c>
      <c r="F2249" s="3" t="s">
        <v>1535</v>
      </c>
      <c r="G2249" s="3" t="s">
        <v>3006</v>
      </c>
      <c r="H2249" s="2" t="s">
        <v>20</v>
      </c>
      <c r="I2249" s="2" t="s">
        <v>5053</v>
      </c>
      <c r="J2249" s="3" t="str">
        <f>HYPERLINK("https://www.boe.es/gazeta/dias/1813/07/06/pdfs/GMR-1813-15.pdf#page=15","Abrir facsímil")</f>
        <v>Abrir facsímil</v>
      </c>
      <c r="K2249" s="3" t="s">
        <v>22</v>
      </c>
    </row>
    <row r="2250" spans="1:11" ht="42" customHeight="1">
      <c r="A2250" s="2" t="s">
        <v>5050</v>
      </c>
      <c r="B2250" s="2" t="s">
        <v>5051</v>
      </c>
      <c r="C2250" s="2" t="s">
        <v>16</v>
      </c>
      <c r="D2250" s="2" t="s">
        <v>17</v>
      </c>
      <c r="E2250" s="5">
        <v>-31532</v>
      </c>
      <c r="F2250" s="3" t="s">
        <v>1728</v>
      </c>
      <c r="G2250" s="3" t="s">
        <v>313</v>
      </c>
      <c r="H2250" s="2" t="s">
        <v>20</v>
      </c>
      <c r="I2250" s="2" t="s">
        <v>5054</v>
      </c>
      <c r="J2250" s="3" t="str">
        <f>HYPERLINK("https://www.boe.es/gazeta/dias/1813/08/31/pdfs/GMR-1813-35.pdf#page=9","Abrir facsímil")</f>
        <v>Abrir facsímil</v>
      </c>
      <c r="K2250" s="3" t="s">
        <v>22</v>
      </c>
    </row>
    <row r="2251" spans="1:11" ht="42" customHeight="1">
      <c r="A2251" s="2" t="s">
        <v>5050</v>
      </c>
      <c r="B2251" s="2" t="s">
        <v>5051</v>
      </c>
      <c r="C2251" s="2" t="s">
        <v>435</v>
      </c>
      <c r="D2251" s="2" t="s">
        <v>26</v>
      </c>
      <c r="E2251" s="5">
        <v>-31504</v>
      </c>
      <c r="F2251" s="3" t="s">
        <v>1361</v>
      </c>
      <c r="G2251" s="3" t="s">
        <v>28</v>
      </c>
      <c r="H2251" s="2" t="s">
        <v>20</v>
      </c>
      <c r="I2251" s="2" t="s">
        <v>5055</v>
      </c>
      <c r="J2251" s="3" t="str">
        <f>HYPERLINK("https://www.boe.es/gazeta/dias/1813/09/28/pdfs/GMR-1813-50.pdf#page=8","Abrir facsímil")</f>
        <v>Abrir facsímil</v>
      </c>
      <c r="K2251" s="3" t="s">
        <v>22</v>
      </c>
    </row>
    <row r="2252" spans="1:11" ht="42" customHeight="1">
      <c r="A2252" s="2" t="s">
        <v>5050</v>
      </c>
      <c r="B2252" s="2" t="s">
        <v>5051</v>
      </c>
      <c r="C2252" s="2" t="s">
        <v>16</v>
      </c>
      <c r="D2252" s="2" t="s">
        <v>17</v>
      </c>
      <c r="E2252" s="5">
        <v>-31500</v>
      </c>
      <c r="F2252" s="3" t="s">
        <v>938</v>
      </c>
      <c r="G2252" s="3" t="s">
        <v>28</v>
      </c>
      <c r="H2252" s="2" t="s">
        <v>20</v>
      </c>
      <c r="I2252" s="2" t="s">
        <v>5056</v>
      </c>
      <c r="J2252" s="3" t="str">
        <f>HYPERLINK("https://www.boe.es/gazeta/dias/1813/10/02/pdfs/GMR-1813-52.pdf#page=8","Abrir facsímil")</f>
        <v>Abrir facsímil</v>
      </c>
      <c r="K2252" s="3" t="s">
        <v>22</v>
      </c>
    </row>
    <row r="2253" spans="1:11" ht="42" customHeight="1">
      <c r="A2253" s="2" t="s">
        <v>5057</v>
      </c>
      <c r="B2253" s="2" t="s">
        <v>5058</v>
      </c>
      <c r="C2253" s="2" t="s">
        <v>34</v>
      </c>
      <c r="D2253" s="2" t="s">
        <v>35</v>
      </c>
      <c r="E2253" s="5">
        <v>-31546</v>
      </c>
      <c r="F2253" s="3" t="s">
        <v>461</v>
      </c>
      <c r="G2253" s="3" t="s">
        <v>95</v>
      </c>
      <c r="H2253" s="2" t="s">
        <v>20</v>
      </c>
      <c r="I2253" s="2" t="s">
        <v>5059</v>
      </c>
      <c r="J2253" s="3" t="str">
        <f>HYPERLINK("https://www.boe.es/gazeta/dias/1813/08/17/pdfs/GMR-1813-29.pdf#page=6","Abrir facsímil")</f>
        <v>Abrir facsímil</v>
      </c>
      <c r="K2253" s="3" t="s">
        <v>22</v>
      </c>
    </row>
    <row r="2254" spans="1:11" ht="42" customHeight="1">
      <c r="A2254" s="2" t="s">
        <v>5060</v>
      </c>
      <c r="B2254" s="2" t="s">
        <v>5060</v>
      </c>
      <c r="C2254" s="2" t="s">
        <v>16</v>
      </c>
      <c r="D2254" s="2" t="s">
        <v>17</v>
      </c>
      <c r="E2254" s="5">
        <v>-31504</v>
      </c>
      <c r="F2254" s="3" t="s">
        <v>1361</v>
      </c>
      <c r="G2254" s="3" t="s">
        <v>54</v>
      </c>
      <c r="H2254" s="2" t="s">
        <v>20</v>
      </c>
      <c r="I2254" s="2" t="s">
        <v>5061</v>
      </c>
      <c r="J2254" s="3" t="str">
        <f>HYPERLINK("https://www.boe.es/gazeta/dias/1813/09/28/pdfs/GMR-1813-50.pdf#page=3","Abrir facsímil")</f>
        <v>Abrir facsímil</v>
      </c>
      <c r="K2254" s="3" t="s">
        <v>22</v>
      </c>
    </row>
    <row r="2255" spans="1:11" ht="42" customHeight="1">
      <c r="A2255" s="2" t="s">
        <v>5062</v>
      </c>
      <c r="B2255" s="2" t="s">
        <v>5063</v>
      </c>
      <c r="C2255" s="2" t="s">
        <v>16</v>
      </c>
      <c r="D2255" s="2" t="s">
        <v>97</v>
      </c>
      <c r="E2255" s="5">
        <v>-31519</v>
      </c>
      <c r="F2255" s="3" t="s">
        <v>312</v>
      </c>
      <c r="G2255" s="3" t="s">
        <v>82</v>
      </c>
      <c r="H2255" s="2" t="s">
        <v>20</v>
      </c>
      <c r="I2255" s="2" t="s">
        <v>5064</v>
      </c>
      <c r="J2255" s="3" t="str">
        <f>HYPERLINK("https://www.boe.es/gazeta/dias/1813/09/13/pdfs/GRE-1813-118E.pdf#page=5","Abrir facsímil")</f>
        <v>Abrir facsímil</v>
      </c>
      <c r="K2255" s="3" t="s">
        <v>22</v>
      </c>
    </row>
    <row r="2256" spans="1:11" ht="42" customHeight="1">
      <c r="A2256" s="2" t="s">
        <v>5065</v>
      </c>
      <c r="B2256" s="2" t="s">
        <v>5065</v>
      </c>
      <c r="C2256" s="2" t="s">
        <v>277</v>
      </c>
      <c r="D2256" s="2" t="s">
        <v>26</v>
      </c>
      <c r="E2256" s="5">
        <v>-31486</v>
      </c>
      <c r="F2256" s="3" t="s">
        <v>1284</v>
      </c>
      <c r="G2256" s="3" t="s">
        <v>28</v>
      </c>
      <c r="H2256" s="2" t="s">
        <v>20</v>
      </c>
      <c r="I2256" s="2" t="s">
        <v>5066</v>
      </c>
      <c r="J2256" s="3" t="str">
        <f>HYPERLINK("https://www.boe.es/gazeta/dias/1813/10/16/pdfs/GMR-1813-60.pdf#page=8","Abrir facsímil")</f>
        <v>Abrir facsímil</v>
      </c>
      <c r="K2256" s="3" t="s">
        <v>22</v>
      </c>
    </row>
    <row r="2257" spans="1:11" ht="42" customHeight="1">
      <c r="A2257" s="2" t="s">
        <v>5067</v>
      </c>
      <c r="B2257" s="2" t="s">
        <v>5068</v>
      </c>
      <c r="C2257" s="2" t="s">
        <v>16</v>
      </c>
      <c r="D2257" s="2" t="s">
        <v>97</v>
      </c>
      <c r="E2257" s="5">
        <v>-31519</v>
      </c>
      <c r="F2257" s="3" t="s">
        <v>312</v>
      </c>
      <c r="G2257" s="3" t="s">
        <v>87</v>
      </c>
      <c r="H2257" s="2" t="s">
        <v>20</v>
      </c>
      <c r="I2257" s="2" t="s">
        <v>5069</v>
      </c>
      <c r="J2257" s="3" t="str">
        <f>HYPERLINK("https://www.boe.es/gazeta/dias/1813/09/13/pdfs/GRE-1813-118E.pdf#page=7","Abrir facsímil")</f>
        <v>Abrir facsímil</v>
      </c>
      <c r="K2257" s="3" t="s">
        <v>22</v>
      </c>
    </row>
    <row r="2258" spans="1:11" ht="42" customHeight="1">
      <c r="A2258" s="2" t="s">
        <v>5070</v>
      </c>
      <c r="B2258" s="2" t="s">
        <v>5070</v>
      </c>
      <c r="C2258" s="2" t="s">
        <v>16</v>
      </c>
      <c r="D2258" s="2" t="s">
        <v>17</v>
      </c>
      <c r="E2258" s="5">
        <v>-31738</v>
      </c>
      <c r="F2258" s="3" t="s">
        <v>556</v>
      </c>
      <c r="G2258" s="3" t="s">
        <v>28</v>
      </c>
      <c r="H2258" s="2" t="s">
        <v>20</v>
      </c>
      <c r="I2258" s="2" t="s">
        <v>5071</v>
      </c>
      <c r="J2258" s="3" t="str">
        <f>HYPERLINK("https://www.boe.es/gazeta/dias/1813/02/06/pdfs/GRE-1813-16.pdf#page=8","Abrir facsímil")</f>
        <v>Abrir facsímil</v>
      </c>
      <c r="K2258" s="3" t="s">
        <v>22</v>
      </c>
    </row>
    <row r="2259" spans="1:11" ht="42" customHeight="1">
      <c r="A2259" s="2" t="s">
        <v>5070</v>
      </c>
      <c r="B2259" s="2" t="s">
        <v>5070</v>
      </c>
      <c r="C2259" s="2" t="s">
        <v>34</v>
      </c>
      <c r="D2259" s="2" t="s">
        <v>35</v>
      </c>
      <c r="E2259" s="5">
        <v>-31486</v>
      </c>
      <c r="F2259" s="3" t="s">
        <v>1284</v>
      </c>
      <c r="G2259" s="3" t="s">
        <v>28</v>
      </c>
      <c r="H2259" s="2" t="s">
        <v>20</v>
      </c>
      <c r="I2259" s="2" t="s">
        <v>5072</v>
      </c>
      <c r="J2259" s="3" t="str">
        <f>HYPERLINK("https://www.boe.es/gazeta/dias/1813/10/16/pdfs/GMR-1813-60.pdf#page=8","Abrir facsímil")</f>
        <v>Abrir facsímil</v>
      </c>
      <c r="K2259" s="3" t="s">
        <v>22</v>
      </c>
    </row>
    <row r="2260" spans="1:11" ht="42" customHeight="1">
      <c r="A2260" s="2" t="s">
        <v>5073</v>
      </c>
      <c r="B2260" s="2" t="s">
        <v>5074</v>
      </c>
      <c r="C2260" s="2" t="s">
        <v>16</v>
      </c>
      <c r="D2260" s="2" t="s">
        <v>17</v>
      </c>
      <c r="E2260" s="5">
        <v>-31767</v>
      </c>
      <c r="F2260" s="3" t="s">
        <v>1915</v>
      </c>
      <c r="G2260" s="3" t="s">
        <v>19</v>
      </c>
      <c r="H2260" s="2" t="s">
        <v>20</v>
      </c>
      <c r="I2260" s="2" t="s">
        <v>5075</v>
      </c>
      <c r="J2260" s="3" t="str">
        <f>HYPERLINK("https://www.boe.es/gazeta/dias/1813/01/08/pdfs/GMD-1813-8.pdf#page=4","Abrir facsímil")</f>
        <v>Abrir facsímil</v>
      </c>
      <c r="K2260" s="3" t="s">
        <v>22</v>
      </c>
    </row>
    <row r="2261" spans="1:11" ht="42" customHeight="1">
      <c r="A2261" s="2" t="s">
        <v>5076</v>
      </c>
      <c r="B2261" s="2" t="s">
        <v>5076</v>
      </c>
      <c r="C2261" s="2" t="s">
        <v>25</v>
      </c>
      <c r="D2261" s="2" t="s">
        <v>26</v>
      </c>
      <c r="E2261" s="5">
        <v>-31481</v>
      </c>
      <c r="F2261" s="3" t="s">
        <v>40</v>
      </c>
      <c r="G2261" s="3" t="s">
        <v>28</v>
      </c>
      <c r="H2261" s="2" t="s">
        <v>20</v>
      </c>
      <c r="I2261" s="2" t="s">
        <v>5077</v>
      </c>
      <c r="J2261" s="3" t="str">
        <f>HYPERLINK("https://www.boe.es/gazeta/dias/1813/10/21/pdfs/GMR-1813-62.pdf#page=8","Abrir facsímil")</f>
        <v>Abrir facsímil</v>
      </c>
      <c r="K2261" s="3" t="s">
        <v>22</v>
      </c>
    </row>
    <row r="2262" spans="1:11" ht="42" customHeight="1">
      <c r="A2262" s="2" t="s">
        <v>5078</v>
      </c>
      <c r="B2262" s="2" t="s">
        <v>5079</v>
      </c>
      <c r="C2262" s="2" t="s">
        <v>16</v>
      </c>
      <c r="D2262" s="2" t="s">
        <v>17</v>
      </c>
      <c r="E2262" s="5">
        <v>-31740</v>
      </c>
      <c r="F2262" s="3" t="s">
        <v>354</v>
      </c>
      <c r="G2262" s="3" t="s">
        <v>95</v>
      </c>
      <c r="H2262" s="2" t="s">
        <v>20</v>
      </c>
      <c r="I2262" s="2" t="s">
        <v>5080</v>
      </c>
      <c r="J2262" s="3" t="str">
        <f>HYPERLINK("https://www.boe.es/gazeta/dias/1813/02/04/pdfs/GRE-1813-15.pdf#page=6","Abrir facsímil")</f>
        <v>Abrir facsímil</v>
      </c>
      <c r="K2262" s="3" t="s">
        <v>22</v>
      </c>
    </row>
    <row r="2263" spans="1:11" ht="42" customHeight="1">
      <c r="A2263" s="2" t="s">
        <v>5081</v>
      </c>
      <c r="B2263" s="2" t="s">
        <v>5082</v>
      </c>
      <c r="C2263" s="2" t="s">
        <v>34</v>
      </c>
      <c r="D2263" s="2" t="s">
        <v>35</v>
      </c>
      <c r="E2263" s="5">
        <v>-31709</v>
      </c>
      <c r="F2263" s="3" t="s">
        <v>36</v>
      </c>
      <c r="G2263" s="3" t="s">
        <v>19</v>
      </c>
      <c r="H2263" s="2" t="s">
        <v>20</v>
      </c>
      <c r="I2263" s="2" t="s">
        <v>5083</v>
      </c>
      <c r="J2263" s="3" t="str">
        <f>HYPERLINK("https://www.boe.es/gazeta/dias/1813/03/07/pdfs/GMD-1813-66.pdf#page=4","Abrir facsímil")</f>
        <v>Abrir facsímil</v>
      </c>
      <c r="K2263" s="3" t="s">
        <v>22</v>
      </c>
    </row>
    <row r="2264" spans="1:11" ht="42" customHeight="1">
      <c r="A2264" s="2" t="s">
        <v>5084</v>
      </c>
      <c r="B2264" s="2" t="s">
        <v>5085</v>
      </c>
      <c r="C2264" s="2" t="s">
        <v>25</v>
      </c>
      <c r="D2264" s="2" t="s">
        <v>26</v>
      </c>
      <c r="E2264" s="5">
        <v>-31675</v>
      </c>
      <c r="F2264" s="3" t="s">
        <v>27</v>
      </c>
      <c r="G2264" s="3" t="s">
        <v>28</v>
      </c>
      <c r="H2264" s="2" t="s">
        <v>20</v>
      </c>
      <c r="I2264" s="2" t="s">
        <v>5086</v>
      </c>
      <c r="J2264" s="3" t="str">
        <f>HYPERLINK("https://www.boe.es/gazeta/dias/1813/04/10/pdfs/GRE-1813-44.pdf#page=8","Abrir facsímil")</f>
        <v>Abrir facsímil</v>
      </c>
      <c r="K2264" s="3" t="s">
        <v>22</v>
      </c>
    </row>
    <row r="2265" spans="1:11" ht="42" customHeight="1">
      <c r="A2265" s="2" t="s">
        <v>5087</v>
      </c>
      <c r="B2265" s="2" t="s">
        <v>5088</v>
      </c>
      <c r="C2265" s="2" t="s">
        <v>16</v>
      </c>
      <c r="D2265" s="2" t="s">
        <v>17</v>
      </c>
      <c r="E2265" s="5">
        <v>-31521</v>
      </c>
      <c r="F2265" s="3" t="s">
        <v>1282</v>
      </c>
      <c r="G2265" s="3" t="s">
        <v>87</v>
      </c>
      <c r="H2265" s="2" t="s">
        <v>20</v>
      </c>
      <c r="I2265" s="2" t="s">
        <v>5089</v>
      </c>
      <c r="J2265" s="3" t="str">
        <f>HYPERLINK("https://www.boe.es/gazeta/dias/1813/09/11/pdfs/GMR-1813-41.pdf#page=7","Abrir facsímil")</f>
        <v>Abrir facsímil</v>
      </c>
      <c r="K2265" s="3" t="s">
        <v>22</v>
      </c>
    </row>
    <row r="2266" spans="1:11" ht="42" customHeight="1">
      <c r="A2266" s="2" t="s">
        <v>5087</v>
      </c>
      <c r="B2266" s="2" t="s">
        <v>5088</v>
      </c>
      <c r="C2266" s="2" t="s">
        <v>16</v>
      </c>
      <c r="D2266" s="2" t="s">
        <v>17</v>
      </c>
      <c r="E2266" s="5">
        <v>-31511</v>
      </c>
      <c r="F2266" s="3" t="s">
        <v>935</v>
      </c>
      <c r="G2266" s="3" t="s">
        <v>1304</v>
      </c>
      <c r="H2266" s="2" t="s">
        <v>20</v>
      </c>
      <c r="I2266" s="2" t="s">
        <v>5090</v>
      </c>
      <c r="J2266" s="3" t="str">
        <f>HYPERLINK("https://www.boe.es/gazeta/dias/1813/09/21/pdfs/GMR-1813-46.pdf#page=12","Abrir facsímil")</f>
        <v>Abrir facsímil</v>
      </c>
      <c r="K2266" s="3" t="s">
        <v>22</v>
      </c>
    </row>
    <row r="2267" spans="1:11" ht="42" customHeight="1">
      <c r="A2267" s="2" t="s">
        <v>5091</v>
      </c>
      <c r="B2267" s="2" t="s">
        <v>5091</v>
      </c>
      <c r="C2267" s="2" t="s">
        <v>16</v>
      </c>
      <c r="D2267" s="2" t="s">
        <v>17</v>
      </c>
      <c r="E2267" s="5">
        <v>-31693</v>
      </c>
      <c r="F2267" s="3" t="s">
        <v>1847</v>
      </c>
      <c r="G2267" s="3" t="s">
        <v>54</v>
      </c>
      <c r="H2267" s="2" t="s">
        <v>20</v>
      </c>
      <c r="I2267" s="2" t="s">
        <v>5092</v>
      </c>
      <c r="J2267" s="3" t="str">
        <f>HYPERLINK("https://www.boe.es/gazeta/dias/1813/03/23/pdfs/GMD-1813-82.pdf#page=3","Abrir facsímil")</f>
        <v>Abrir facsímil</v>
      </c>
      <c r="K2267" s="3" t="s">
        <v>22</v>
      </c>
    </row>
    <row r="2268" spans="1:11" ht="42" customHeight="1">
      <c r="A2268" s="2" t="s">
        <v>5093</v>
      </c>
      <c r="B2268" s="2" t="s">
        <v>5093</v>
      </c>
      <c r="C2268" s="2" t="s">
        <v>16</v>
      </c>
      <c r="D2268" s="2" t="s">
        <v>17</v>
      </c>
      <c r="E2268" s="5">
        <v>-31701</v>
      </c>
      <c r="F2268" s="3" t="s">
        <v>1561</v>
      </c>
      <c r="G2268" s="3" t="s">
        <v>65</v>
      </c>
      <c r="H2268" s="2" t="s">
        <v>20</v>
      </c>
      <c r="I2268" s="2" t="s">
        <v>5094</v>
      </c>
      <c r="J2268" s="3" t="str">
        <f>HYPERLINK("https://www.boe.es/gazeta/dias/1813/03/15/pdfs/GMD-1813-74.pdf#page=1","Abrir facsímil")</f>
        <v>Abrir facsímil</v>
      </c>
      <c r="K2268" s="3" t="s">
        <v>22</v>
      </c>
    </row>
    <row r="2269" spans="1:11" ht="42" customHeight="1">
      <c r="A2269" s="2" t="s">
        <v>5095</v>
      </c>
      <c r="B2269" s="2" t="s">
        <v>5095</v>
      </c>
      <c r="C2269" s="2" t="s">
        <v>16</v>
      </c>
      <c r="D2269" s="2" t="s">
        <v>17</v>
      </c>
      <c r="E2269" s="5">
        <v>-31668</v>
      </c>
      <c r="F2269" s="3" t="s">
        <v>574</v>
      </c>
      <c r="G2269" s="3" t="s">
        <v>28</v>
      </c>
      <c r="H2269" s="2" t="s">
        <v>20</v>
      </c>
      <c r="I2269" s="2" t="s">
        <v>5096</v>
      </c>
      <c r="J2269" s="3" t="str">
        <f>HYPERLINK("https://www.boe.es/gazeta/dias/1813/04/17/pdfs/GRE-1813-48.pdf#page=8","Abrir facsímil")</f>
        <v>Abrir facsímil</v>
      </c>
      <c r="K2269" s="3" t="s">
        <v>22</v>
      </c>
    </row>
    <row r="2270" spans="1:11" ht="42" customHeight="1">
      <c r="A2270" s="2" t="s">
        <v>5097</v>
      </c>
      <c r="B2270" s="2" t="s">
        <v>5097</v>
      </c>
      <c r="C2270" s="2" t="s">
        <v>16</v>
      </c>
      <c r="D2270" s="2" t="s">
        <v>17</v>
      </c>
      <c r="E2270" s="5">
        <v>-31742</v>
      </c>
      <c r="F2270" s="3" t="s">
        <v>2667</v>
      </c>
      <c r="G2270" s="3" t="s">
        <v>58</v>
      </c>
      <c r="H2270" s="2" t="s">
        <v>20</v>
      </c>
      <c r="I2270" s="2" t="s">
        <v>5098</v>
      </c>
      <c r="J2270" s="3" t="str">
        <f>HYPERLINK("https://www.boe.es/gazeta/dias/1813/02/02/pdfs/GRE-1813-14.pdf#page=2","Abrir facsímil")</f>
        <v>Abrir facsímil</v>
      </c>
      <c r="K2270" s="3" t="s">
        <v>22</v>
      </c>
    </row>
    <row r="2271" spans="1:11" ht="42" customHeight="1">
      <c r="A2271" s="2" t="s">
        <v>5099</v>
      </c>
      <c r="B2271" s="2" t="s">
        <v>5099</v>
      </c>
      <c r="C2271" s="2" t="s">
        <v>16</v>
      </c>
      <c r="D2271" s="2" t="s">
        <v>17</v>
      </c>
      <c r="E2271" s="5">
        <v>-31654</v>
      </c>
      <c r="F2271" s="3" t="s">
        <v>1519</v>
      </c>
      <c r="G2271" s="3" t="s">
        <v>5100</v>
      </c>
      <c r="H2271" s="2" t="s">
        <v>20</v>
      </c>
      <c r="I2271" s="2" t="s">
        <v>5101</v>
      </c>
      <c r="J2271" s="3" t="str">
        <f>HYPERLINK("https://www.boe.es/gazeta/dias/1813/05/01/pdfs/GRE-1813-54.pdf#page=4","Abrir facsímil")</f>
        <v>Abrir facsímil</v>
      </c>
      <c r="K2271" s="3" t="s">
        <v>22</v>
      </c>
    </row>
    <row r="2272" spans="1:11" ht="42" customHeight="1">
      <c r="A2272" s="2" t="s">
        <v>5102</v>
      </c>
      <c r="B2272" s="2" t="s">
        <v>5102</v>
      </c>
      <c r="C2272" s="2" t="s">
        <v>34</v>
      </c>
      <c r="D2272" s="2" t="s">
        <v>35</v>
      </c>
      <c r="E2272" s="5">
        <v>-31539</v>
      </c>
      <c r="F2272" s="3" t="s">
        <v>1316</v>
      </c>
      <c r="G2272" s="3" t="s">
        <v>65</v>
      </c>
      <c r="H2272" s="2" t="s">
        <v>20</v>
      </c>
      <c r="I2272" s="2" t="s">
        <v>5103</v>
      </c>
      <c r="J2272" s="3" t="str">
        <f>HYPERLINK("https://www.boe.es/gazeta/dias/1813/08/24/pdfs/GMR-1813-32.pdf#page=1","Abrir facsímil")</f>
        <v>Abrir facsímil</v>
      </c>
      <c r="K2272" s="3" t="s">
        <v>22</v>
      </c>
    </row>
    <row r="2273" spans="1:11" ht="42" customHeight="1">
      <c r="A2273" s="2" t="s">
        <v>5104</v>
      </c>
      <c r="B2273" s="2" t="s">
        <v>5104</v>
      </c>
      <c r="C2273" s="2" t="s">
        <v>109</v>
      </c>
      <c r="D2273" s="2" t="s">
        <v>26</v>
      </c>
      <c r="E2273" s="5">
        <v>-31638</v>
      </c>
      <c r="F2273" s="3" t="s">
        <v>1635</v>
      </c>
      <c r="G2273" s="3" t="s">
        <v>58</v>
      </c>
      <c r="H2273" s="2" t="s">
        <v>20</v>
      </c>
      <c r="I2273" s="2" t="s">
        <v>5105</v>
      </c>
      <c r="J2273" s="3" t="str">
        <f>HYPERLINK("https://www.boe.es/gazeta/dias/1813/05/17/pdfs/GMD-1813-137.pdf#page=2","Abrir facsímil")</f>
        <v>Abrir facsímil</v>
      </c>
      <c r="K2273" s="3" t="s">
        <v>22</v>
      </c>
    </row>
    <row r="2274" spans="1:11" ht="42" customHeight="1">
      <c r="A2274" s="2" t="s">
        <v>5106</v>
      </c>
      <c r="B2274" s="2" t="s">
        <v>5106</v>
      </c>
      <c r="C2274" s="2" t="s">
        <v>16</v>
      </c>
      <c r="D2274" s="2" t="s">
        <v>17</v>
      </c>
      <c r="E2274" s="5">
        <v>-31773</v>
      </c>
      <c r="F2274" s="3" t="s">
        <v>3667</v>
      </c>
      <c r="G2274" s="3" t="s">
        <v>5107</v>
      </c>
      <c r="H2274" s="2" t="s">
        <v>20</v>
      </c>
      <c r="I2274" s="2" t="s">
        <v>5108</v>
      </c>
      <c r="J2274" s="3" t="str">
        <f>HYPERLINK("https://www.boe.es/gazeta/dias/1813/01/02/pdfs/GRE-1813-1.pdf#page=5","Abrir facsímil")</f>
        <v>Abrir facsímil</v>
      </c>
      <c r="K2274" s="3" t="s">
        <v>22</v>
      </c>
    </row>
    <row r="2275" spans="1:11" ht="42" customHeight="1">
      <c r="A2275" s="2" t="s">
        <v>5106</v>
      </c>
      <c r="B2275" s="2" t="s">
        <v>5106</v>
      </c>
      <c r="C2275" s="2" t="s">
        <v>16</v>
      </c>
      <c r="D2275" s="2" t="s">
        <v>17</v>
      </c>
      <c r="E2275" s="5">
        <v>-31654</v>
      </c>
      <c r="F2275" s="3" t="s">
        <v>1519</v>
      </c>
      <c r="G2275" s="3" t="s">
        <v>5100</v>
      </c>
      <c r="H2275" s="2" t="s">
        <v>20</v>
      </c>
      <c r="I2275" s="2" t="s">
        <v>5109</v>
      </c>
      <c r="J2275" s="3" t="str">
        <f>HYPERLINK("https://www.boe.es/gazeta/dias/1813/05/01/pdfs/GRE-1813-54.pdf#page=4","Abrir facsímil")</f>
        <v>Abrir facsímil</v>
      </c>
      <c r="K2275" s="3" t="s">
        <v>22</v>
      </c>
    </row>
    <row r="2276" spans="1:11" ht="42" customHeight="1">
      <c r="A2276" s="2" t="s">
        <v>5106</v>
      </c>
      <c r="B2276" s="2" t="s">
        <v>5106</v>
      </c>
      <c r="C2276" s="2" t="s">
        <v>16</v>
      </c>
      <c r="D2276" s="2" t="s">
        <v>17</v>
      </c>
      <c r="E2276" s="5">
        <v>-31647</v>
      </c>
      <c r="F2276" s="3" t="s">
        <v>5110</v>
      </c>
      <c r="G2276" s="3" t="s">
        <v>54</v>
      </c>
      <c r="H2276" s="2" t="s">
        <v>20</v>
      </c>
      <c r="I2276" s="2" t="s">
        <v>5111</v>
      </c>
      <c r="J2276" s="3" t="str">
        <f>HYPERLINK("https://www.boe.es/gazeta/dias/1813/05/08/pdfs/GMD-1813-128.pdf#page=3","Abrir facsímil")</f>
        <v>Abrir facsímil</v>
      </c>
      <c r="K2276" s="3" t="s">
        <v>22</v>
      </c>
    </row>
    <row r="2277" spans="1:11" ht="42" customHeight="1">
      <c r="A2277" s="2" t="s">
        <v>5106</v>
      </c>
      <c r="B2277" s="2" t="s">
        <v>5106</v>
      </c>
      <c r="C2277" s="2" t="s">
        <v>16</v>
      </c>
      <c r="D2277" s="2" t="s">
        <v>17</v>
      </c>
      <c r="E2277" s="5">
        <v>-31613</v>
      </c>
      <c r="F2277" s="3" t="s">
        <v>1629</v>
      </c>
      <c r="G2277" s="3" t="s">
        <v>19</v>
      </c>
      <c r="H2277" s="2" t="s">
        <v>20</v>
      </c>
      <c r="I2277" s="2" t="s">
        <v>5112</v>
      </c>
      <c r="J2277" s="3" t="str">
        <f>HYPERLINK("https://www.boe.es/gazeta/dias/1813/06/11/pdfs/GMR-1813-4.pdf#page=4","Abrir facsímil")</f>
        <v>Abrir facsímil</v>
      </c>
      <c r="K2277" s="3" t="s">
        <v>22</v>
      </c>
    </row>
    <row r="2278" spans="1:11" ht="42" customHeight="1">
      <c r="A2278" s="2" t="s">
        <v>5106</v>
      </c>
      <c r="B2278" s="2" t="s">
        <v>5106</v>
      </c>
      <c r="C2278" s="2" t="s">
        <v>16</v>
      </c>
      <c r="D2278" s="2" t="s">
        <v>17</v>
      </c>
      <c r="E2278" s="5">
        <v>-31602</v>
      </c>
      <c r="F2278" s="3" t="s">
        <v>4545</v>
      </c>
      <c r="G2278" s="3" t="s">
        <v>82</v>
      </c>
      <c r="H2278" s="2" t="s">
        <v>20</v>
      </c>
      <c r="I2278" s="2" t="s">
        <v>5113</v>
      </c>
      <c r="J2278" s="3" t="str">
        <f>HYPERLINK("https://www.boe.es/gazeta/dias/1813/06/22/pdfs/GRE-1813-77.pdf#page=5","Abrir facsímil")</f>
        <v>Abrir facsímil</v>
      </c>
      <c r="K2278" s="3" t="s">
        <v>22</v>
      </c>
    </row>
    <row r="2279" spans="1:11" ht="42" customHeight="1">
      <c r="A2279" s="2" t="s">
        <v>5114</v>
      </c>
      <c r="B2279" s="2" t="s">
        <v>5115</v>
      </c>
      <c r="C2279" s="2" t="s">
        <v>16</v>
      </c>
      <c r="D2279" s="2" t="s">
        <v>97</v>
      </c>
      <c r="E2279" s="5">
        <v>-31519</v>
      </c>
      <c r="F2279" s="3" t="s">
        <v>312</v>
      </c>
      <c r="G2279" s="3" t="s">
        <v>313</v>
      </c>
      <c r="H2279" s="2" t="s">
        <v>20</v>
      </c>
      <c r="I2279" s="2" t="s">
        <v>5116</v>
      </c>
      <c r="J2279" s="3" t="str">
        <f>HYPERLINK("https://www.boe.es/gazeta/dias/1813/09/13/pdfs/GRE-1813-118E.pdf#page=9","Abrir facsímil")</f>
        <v>Abrir facsímil</v>
      </c>
      <c r="K2279" s="3" t="s">
        <v>22</v>
      </c>
    </row>
    <row r="2280" spans="1:11" ht="42" customHeight="1">
      <c r="A2280" s="2" t="s">
        <v>5117</v>
      </c>
      <c r="B2280" s="2" t="s">
        <v>5118</v>
      </c>
      <c r="C2280" s="2" t="s">
        <v>25</v>
      </c>
      <c r="D2280" s="2" t="s">
        <v>26</v>
      </c>
      <c r="E2280" s="5">
        <v>-31752</v>
      </c>
      <c r="F2280" s="3" t="s">
        <v>182</v>
      </c>
      <c r="G2280" s="3" t="s">
        <v>183</v>
      </c>
      <c r="H2280" s="2" t="s">
        <v>20</v>
      </c>
      <c r="I2280" s="2" t="s">
        <v>5119</v>
      </c>
      <c r="J2280" s="3" t="str">
        <f>HYPERLINK("https://www.boe.es/gazeta/dias/1813/01/23/pdfs/GRE-1813-10.pdf#page=8","Abrir facsímil")</f>
        <v>Abrir facsímil</v>
      </c>
      <c r="K2280" s="3" t="s">
        <v>22</v>
      </c>
    </row>
    <row r="2281" spans="1:11" ht="42" customHeight="1">
      <c r="A2281" s="2" t="s">
        <v>5120</v>
      </c>
      <c r="B2281" s="2" t="s">
        <v>5121</v>
      </c>
      <c r="C2281" s="2" t="s">
        <v>187</v>
      </c>
      <c r="D2281" s="2" t="s">
        <v>26</v>
      </c>
      <c r="E2281" s="5">
        <v>-31616</v>
      </c>
      <c r="F2281" s="3" t="s">
        <v>2201</v>
      </c>
      <c r="G2281" s="3" t="s">
        <v>19</v>
      </c>
      <c r="H2281" s="2" t="s">
        <v>20</v>
      </c>
      <c r="I2281" s="2" t="s">
        <v>5122</v>
      </c>
      <c r="J2281" s="3" t="str">
        <f>HYPERLINK("https://www.boe.es/gazeta/dias/1813/06/08/pdfs/GMR-1813-3.pdf#page=4","Abrir facsímil")</f>
        <v>Abrir facsímil</v>
      </c>
      <c r="K2281" s="3" t="s">
        <v>22</v>
      </c>
    </row>
    <row r="2282" spans="1:11" ht="42" customHeight="1">
      <c r="A2282" s="2" t="s">
        <v>5123</v>
      </c>
      <c r="B2282" s="2" t="s">
        <v>5124</v>
      </c>
      <c r="C2282" s="2" t="s">
        <v>16</v>
      </c>
      <c r="D2282" s="2" t="s">
        <v>17</v>
      </c>
      <c r="E2282" s="5">
        <v>-31448</v>
      </c>
      <c r="F2282" s="3" t="s">
        <v>325</v>
      </c>
      <c r="G2282" s="3" t="s">
        <v>207</v>
      </c>
      <c r="H2282" s="2" t="s">
        <v>20</v>
      </c>
      <c r="I2282" s="2" t="s">
        <v>5125</v>
      </c>
      <c r="J2282" s="3" t="str">
        <f>HYPERLINK("https://www.boe.es/gazeta/dias/1813/11/23/pdfs/GMR-1813-78.pdf#page=10","Abrir facsímil")</f>
        <v>Abrir facsímil</v>
      </c>
      <c r="K2282" s="3" t="s">
        <v>22</v>
      </c>
    </row>
    <row r="2283" spans="1:11" ht="42" customHeight="1">
      <c r="A2283" s="2" t="s">
        <v>5126</v>
      </c>
      <c r="B2283" s="2" t="s">
        <v>5126</v>
      </c>
      <c r="C2283" s="2" t="s">
        <v>16</v>
      </c>
      <c r="D2283" s="2" t="s">
        <v>17</v>
      </c>
      <c r="E2283" s="5">
        <v>-31507</v>
      </c>
      <c r="F2283" s="3" t="s">
        <v>61</v>
      </c>
      <c r="G2283" s="3" t="s">
        <v>28</v>
      </c>
      <c r="H2283" s="2" t="s">
        <v>20</v>
      </c>
      <c r="I2283" s="2" t="s">
        <v>5127</v>
      </c>
      <c r="J2283" s="3" t="str">
        <f>HYPERLINK("https://www.boe.es/gazeta/dias/1813/09/25/pdfs/GMR-1813-48.pdf#page=8","Abrir facsímil")</f>
        <v>Abrir facsímil</v>
      </c>
      <c r="K2283" s="3" t="s">
        <v>22</v>
      </c>
    </row>
    <row r="2284" spans="1:11" ht="42" customHeight="1">
      <c r="A2284" s="2" t="s">
        <v>5128</v>
      </c>
      <c r="B2284" s="2" t="s">
        <v>5128</v>
      </c>
      <c r="C2284" s="2" t="s">
        <v>16</v>
      </c>
      <c r="D2284" s="2" t="s">
        <v>17</v>
      </c>
      <c r="E2284" s="5">
        <v>-31748</v>
      </c>
      <c r="F2284" s="3" t="s">
        <v>5041</v>
      </c>
      <c r="G2284" s="3" t="s">
        <v>19</v>
      </c>
      <c r="H2284" s="2" t="s">
        <v>20</v>
      </c>
      <c r="I2284" s="2" t="s">
        <v>5129</v>
      </c>
      <c r="J2284" s="3" t="str">
        <f>HYPERLINK("https://www.boe.es/gazeta/dias/1813/01/27/pdfs/GMD-1813-27.pdf#page=4","Abrir facsímil")</f>
        <v>Abrir facsímil</v>
      </c>
      <c r="K2284" s="3" t="s">
        <v>22</v>
      </c>
    </row>
    <row r="2285" spans="1:11" ht="42" customHeight="1">
      <c r="A2285" s="2" t="s">
        <v>5130</v>
      </c>
      <c r="B2285" s="2" t="s">
        <v>5130</v>
      </c>
      <c r="C2285" s="2" t="s">
        <v>16</v>
      </c>
      <c r="D2285" s="2" t="s">
        <v>17</v>
      </c>
      <c r="E2285" s="5">
        <v>-31661</v>
      </c>
      <c r="F2285" s="3" t="s">
        <v>5131</v>
      </c>
      <c r="G2285" s="3" t="s">
        <v>65</v>
      </c>
      <c r="H2285" s="2" t="s">
        <v>20</v>
      </c>
      <c r="I2285" s="2" t="s">
        <v>5132</v>
      </c>
      <c r="J2285" s="3" t="str">
        <f>HYPERLINK("https://www.boe.es/gazeta/dias/1813/04/24/pdfs/GMD-1813-114.pdf#page=1","Abrir facsímil")</f>
        <v>Abrir facsímil</v>
      </c>
      <c r="K2285" s="3" t="s">
        <v>22</v>
      </c>
    </row>
    <row r="2286" spans="1:11" ht="42" customHeight="1">
      <c r="A2286" s="2" t="s">
        <v>5133</v>
      </c>
      <c r="B2286" s="2" t="s">
        <v>5133</v>
      </c>
      <c r="C2286" s="2" t="s">
        <v>16</v>
      </c>
      <c r="D2286" s="2" t="s">
        <v>17</v>
      </c>
      <c r="E2286" s="5">
        <v>-31476</v>
      </c>
      <c r="F2286" s="3" t="s">
        <v>158</v>
      </c>
      <c r="G2286" s="3" t="s">
        <v>87</v>
      </c>
      <c r="H2286" s="2" t="s">
        <v>20</v>
      </c>
      <c r="I2286" s="2" t="s">
        <v>5134</v>
      </c>
      <c r="J2286" s="3" t="str">
        <f>HYPERLINK("https://www.boe.es/gazeta/dias/1813/10/26/pdfs/GMR-1813-64.pdf#page=7","Abrir facsímil")</f>
        <v>Abrir facsímil</v>
      </c>
      <c r="K2286" s="3" t="s">
        <v>22</v>
      </c>
    </row>
    <row r="2287" spans="1:11" ht="42" customHeight="1">
      <c r="A2287" s="2" t="s">
        <v>5133</v>
      </c>
      <c r="B2287" s="2" t="s">
        <v>5133</v>
      </c>
      <c r="C2287" s="2" t="s">
        <v>16</v>
      </c>
      <c r="D2287" s="2" t="s">
        <v>17</v>
      </c>
      <c r="E2287" s="5">
        <v>-31439</v>
      </c>
      <c r="F2287" s="3" t="s">
        <v>1298</v>
      </c>
      <c r="G2287" s="3" t="s">
        <v>95</v>
      </c>
      <c r="H2287" s="2" t="s">
        <v>20</v>
      </c>
      <c r="I2287" s="2" t="s">
        <v>5135</v>
      </c>
      <c r="J2287" s="3" t="str">
        <f>HYPERLINK("https://www.boe.es/gazeta/dias/1813/12/02/pdfs/GMR-1813-82.pdf#page=6","Abrir facsímil")</f>
        <v>Abrir facsímil</v>
      </c>
      <c r="K2287" s="3" t="s">
        <v>22</v>
      </c>
    </row>
    <row r="2288" spans="1:11" ht="42" customHeight="1">
      <c r="A2288" s="2" t="s">
        <v>5136</v>
      </c>
      <c r="B2288" s="2" t="s">
        <v>5136</v>
      </c>
      <c r="C2288" s="2" t="s">
        <v>16</v>
      </c>
      <c r="D2288" s="2" t="s">
        <v>17</v>
      </c>
      <c r="E2288" s="5">
        <v>-31578</v>
      </c>
      <c r="F2288" s="3" t="s">
        <v>974</v>
      </c>
      <c r="G2288" s="3" t="s">
        <v>313</v>
      </c>
      <c r="H2288" s="2" t="s">
        <v>20</v>
      </c>
      <c r="I2288" s="2" t="s">
        <v>5137</v>
      </c>
      <c r="J2288" s="3" t="str">
        <f>HYPERLINK("https://www.boe.es/gazeta/dias/1813/07/16/pdfs/GMR-1813-18.pdf#page=9","Abrir facsímil")</f>
        <v>Abrir facsímil</v>
      </c>
      <c r="K2288" s="3" t="s">
        <v>22</v>
      </c>
    </row>
    <row r="2289" spans="1:11" ht="42" customHeight="1">
      <c r="A2289" s="2" t="s">
        <v>5138</v>
      </c>
      <c r="B2289" s="2" t="s">
        <v>5138</v>
      </c>
      <c r="C2289" s="2" t="s">
        <v>34</v>
      </c>
      <c r="D2289" s="2" t="s">
        <v>35</v>
      </c>
      <c r="E2289" s="5">
        <v>-31542</v>
      </c>
      <c r="F2289" s="3" t="s">
        <v>347</v>
      </c>
      <c r="G2289" s="3" t="s">
        <v>82</v>
      </c>
      <c r="H2289" s="2" t="s">
        <v>20</v>
      </c>
      <c r="I2289" s="2" t="s">
        <v>5139</v>
      </c>
      <c r="J2289" s="3" t="str">
        <f>HYPERLINK("https://www.boe.es/gazeta/dias/1813/08/21/pdfs/GMR-1813-31.pdf#page=5","Abrir facsímil")</f>
        <v>Abrir facsímil</v>
      </c>
      <c r="K2289" s="3" t="s">
        <v>22</v>
      </c>
    </row>
    <row r="2290" spans="1:11" ht="42" customHeight="1">
      <c r="A2290" s="2" t="s">
        <v>5138</v>
      </c>
      <c r="B2290" s="2" t="s">
        <v>5138</v>
      </c>
      <c r="C2290" s="2" t="s">
        <v>16</v>
      </c>
      <c r="D2290" s="2" t="s">
        <v>17</v>
      </c>
      <c r="E2290" s="5">
        <v>-31439</v>
      </c>
      <c r="F2290" s="3" t="s">
        <v>1298</v>
      </c>
      <c r="G2290" s="3" t="s">
        <v>82</v>
      </c>
      <c r="H2290" s="2" t="s">
        <v>20</v>
      </c>
      <c r="I2290" s="2" t="s">
        <v>5140</v>
      </c>
      <c r="J2290" s="3" t="str">
        <f>HYPERLINK("https://www.boe.es/gazeta/dias/1813/12/02/pdfs/GMR-1813-82.pdf#page=5","Abrir facsímil")</f>
        <v>Abrir facsímil</v>
      </c>
      <c r="K2290" s="3" t="s">
        <v>22</v>
      </c>
    </row>
    <row r="2291" spans="1:11" ht="42" customHeight="1">
      <c r="A2291" s="2" t="s">
        <v>5138</v>
      </c>
      <c r="B2291" s="2" t="s">
        <v>5138</v>
      </c>
      <c r="C2291" s="2" t="s">
        <v>16</v>
      </c>
      <c r="D2291" s="2" t="s">
        <v>17</v>
      </c>
      <c r="E2291" s="5">
        <v>-31439</v>
      </c>
      <c r="F2291" s="3" t="s">
        <v>1298</v>
      </c>
      <c r="G2291" s="3" t="s">
        <v>95</v>
      </c>
      <c r="H2291" s="2" t="s">
        <v>20</v>
      </c>
      <c r="I2291" s="2" t="s">
        <v>5141</v>
      </c>
      <c r="J2291" s="3" t="str">
        <f>HYPERLINK("https://www.boe.es/gazeta/dias/1813/12/02/pdfs/GMR-1813-82.pdf#page=6","Abrir facsímil")</f>
        <v>Abrir facsímil</v>
      </c>
      <c r="K2291" s="3" t="s">
        <v>22</v>
      </c>
    </row>
    <row r="2292" spans="1:11" ht="42" customHeight="1">
      <c r="A2292" s="2" t="s">
        <v>5138</v>
      </c>
      <c r="B2292" s="2" t="s">
        <v>5138</v>
      </c>
      <c r="C2292" s="2" t="s">
        <v>16</v>
      </c>
      <c r="D2292" s="2" t="s">
        <v>17</v>
      </c>
      <c r="E2292" s="5">
        <v>-31439</v>
      </c>
      <c r="F2292" s="3" t="s">
        <v>1298</v>
      </c>
      <c r="G2292" s="3" t="s">
        <v>87</v>
      </c>
      <c r="H2292" s="2" t="s">
        <v>20</v>
      </c>
      <c r="I2292" s="2" t="s">
        <v>5142</v>
      </c>
      <c r="J2292" s="3" t="str">
        <f>HYPERLINK("https://www.boe.es/gazeta/dias/1813/12/02/pdfs/GMR-1813-82.pdf#page=7","Abrir facsímil")</f>
        <v>Abrir facsímil</v>
      </c>
      <c r="K2292" s="3" t="s">
        <v>22</v>
      </c>
    </row>
    <row r="2293" spans="1:11" ht="42" customHeight="1">
      <c r="A2293" s="2" t="s">
        <v>5143</v>
      </c>
      <c r="B2293" s="2" t="s">
        <v>5144</v>
      </c>
      <c r="C2293" s="2" t="s">
        <v>16</v>
      </c>
      <c r="D2293" s="2" t="s">
        <v>17</v>
      </c>
      <c r="E2293" s="5">
        <v>-31761</v>
      </c>
      <c r="F2293" s="3" t="s">
        <v>376</v>
      </c>
      <c r="G2293" s="3" t="s">
        <v>5145</v>
      </c>
      <c r="H2293" s="2" t="s">
        <v>20</v>
      </c>
      <c r="I2293" s="2" t="s">
        <v>5146</v>
      </c>
      <c r="J2293" s="3" t="str">
        <f>HYPERLINK("https://www.boe.es/gazeta/dias/1813/01/14/pdfs/GRE-1813-6.pdf#page=8","Abrir facsímil")</f>
        <v>Abrir facsímil</v>
      </c>
      <c r="K2293" s="3" t="s">
        <v>22</v>
      </c>
    </row>
    <row r="2294" spans="1:11" ht="42" customHeight="1">
      <c r="A2294" s="2" t="s">
        <v>5143</v>
      </c>
      <c r="B2294" s="2" t="s">
        <v>5144</v>
      </c>
      <c r="C2294" s="2" t="s">
        <v>16</v>
      </c>
      <c r="D2294" s="2" t="s">
        <v>97</v>
      </c>
      <c r="E2294" s="5">
        <v>-31479</v>
      </c>
      <c r="F2294" s="3" t="s">
        <v>290</v>
      </c>
      <c r="G2294" s="3" t="s">
        <v>313</v>
      </c>
      <c r="H2294" s="2" t="s">
        <v>20</v>
      </c>
      <c r="I2294" s="2" t="s">
        <v>5147</v>
      </c>
      <c r="J2294" s="3" t="str">
        <f>HYPERLINK("https://www.boe.es/gazeta/dias/1813/10/23/pdfs/GRE-1813-139E.pdf#page=9","Abrir facsímil")</f>
        <v>Abrir facsímil</v>
      </c>
      <c r="K2294" s="3" t="s">
        <v>22</v>
      </c>
    </row>
    <row r="2295" spans="1:11" ht="42" customHeight="1">
      <c r="A2295" s="2" t="s">
        <v>5143</v>
      </c>
      <c r="B2295" s="2" t="s">
        <v>5144</v>
      </c>
      <c r="C2295" s="2" t="s">
        <v>16</v>
      </c>
      <c r="D2295" s="2" t="s">
        <v>17</v>
      </c>
      <c r="E2295" s="5">
        <v>-31467</v>
      </c>
      <c r="F2295" s="3" t="s">
        <v>1464</v>
      </c>
      <c r="G2295" s="3" t="s">
        <v>28</v>
      </c>
      <c r="H2295" s="2" t="s">
        <v>20</v>
      </c>
      <c r="I2295" s="2" t="s">
        <v>5148</v>
      </c>
      <c r="J2295" s="3" t="str">
        <f>HYPERLINK("https://www.boe.es/gazeta/dias/1813/11/04/pdfs/GRE-1813-144.pdf#page=8","Abrir facsímil")</f>
        <v>Abrir facsímil</v>
      </c>
      <c r="K2295" s="3" t="s">
        <v>22</v>
      </c>
    </row>
    <row r="2296" spans="1:11" ht="42" customHeight="1">
      <c r="A2296" s="2" t="s">
        <v>5149</v>
      </c>
      <c r="B2296" s="2" t="s">
        <v>5149</v>
      </c>
      <c r="C2296" s="2" t="s">
        <v>16</v>
      </c>
      <c r="D2296" s="2" t="s">
        <v>17</v>
      </c>
      <c r="E2296" s="5">
        <v>-31476</v>
      </c>
      <c r="F2296" s="3" t="s">
        <v>158</v>
      </c>
      <c r="G2296" s="3" t="s">
        <v>95</v>
      </c>
      <c r="H2296" s="2" t="s">
        <v>20</v>
      </c>
      <c r="I2296" s="2" t="s">
        <v>5150</v>
      </c>
      <c r="J2296" s="3" t="str">
        <f>HYPERLINK("https://www.boe.es/gazeta/dias/1813/10/26/pdfs/GMR-1813-64.pdf#page=6","Abrir facsímil")</f>
        <v>Abrir facsímil</v>
      </c>
      <c r="K2296" s="3" t="s">
        <v>22</v>
      </c>
    </row>
    <row r="2297" spans="1:11" ht="42" customHeight="1">
      <c r="A2297" s="2" t="s">
        <v>5151</v>
      </c>
      <c r="B2297" s="2" t="s">
        <v>5151</v>
      </c>
      <c r="C2297" s="2" t="s">
        <v>16</v>
      </c>
      <c r="D2297" s="2" t="s">
        <v>17</v>
      </c>
      <c r="E2297" s="5">
        <v>-31770</v>
      </c>
      <c r="F2297" s="3" t="s">
        <v>188</v>
      </c>
      <c r="G2297" s="3" t="s">
        <v>5152</v>
      </c>
      <c r="H2297" s="2" t="s">
        <v>20</v>
      </c>
      <c r="I2297" s="2" t="s">
        <v>5153</v>
      </c>
      <c r="J2297" s="3" t="str">
        <f>HYPERLINK("https://www.boe.es/gazeta/dias/1813/01/05/pdfs/GRE-1813-3.pdf#page=2","Abrir facsímil")</f>
        <v>Abrir facsímil</v>
      </c>
      <c r="K2297" s="3" t="s">
        <v>22</v>
      </c>
    </row>
    <row r="2298" spans="1:11" ht="42" customHeight="1">
      <c r="A2298" s="2" t="s">
        <v>5151</v>
      </c>
      <c r="B2298" s="2" t="s">
        <v>5151</v>
      </c>
      <c r="C2298" s="2" t="s">
        <v>16</v>
      </c>
      <c r="D2298" s="2" t="s">
        <v>17</v>
      </c>
      <c r="E2298" s="5">
        <v>-31768</v>
      </c>
      <c r="F2298" s="3" t="s">
        <v>188</v>
      </c>
      <c r="G2298" s="3" t="s">
        <v>5152</v>
      </c>
      <c r="H2298" s="2" t="s">
        <v>20</v>
      </c>
      <c r="I2298" s="2" t="s">
        <v>5153</v>
      </c>
      <c r="J2298" s="3" t="str">
        <f>HYPERLINK("https://www.boe.es/gazeta/dias/1813/01/07/pdfs/GRE-1813-3.pdf#page=2","Abrir facsímil")</f>
        <v>Abrir facsímil</v>
      </c>
      <c r="K2298" s="3" t="s">
        <v>22</v>
      </c>
    </row>
    <row r="2299" spans="1:11" ht="42" customHeight="1">
      <c r="A2299" s="2" t="s">
        <v>5151</v>
      </c>
      <c r="B2299" s="2" t="s">
        <v>5151</v>
      </c>
      <c r="C2299" s="2" t="s">
        <v>34</v>
      </c>
      <c r="D2299" s="2" t="s">
        <v>35</v>
      </c>
      <c r="E2299" s="5">
        <v>-31567</v>
      </c>
      <c r="F2299" s="3" t="s">
        <v>820</v>
      </c>
      <c r="G2299" s="3" t="s">
        <v>71</v>
      </c>
      <c r="H2299" s="2" t="s">
        <v>20</v>
      </c>
      <c r="I2299" s="2" t="s">
        <v>5154</v>
      </c>
      <c r="J2299" s="3" t="str">
        <f>HYPERLINK("https://www.boe.es/gazeta/dias/1813/07/27/pdfs/GMR-1813-21.pdf#page=16","Abrir facsímil")</f>
        <v>Abrir facsímil</v>
      </c>
      <c r="K2299" s="3" t="s">
        <v>22</v>
      </c>
    </row>
    <row r="2300" spans="1:11" ht="42" customHeight="1">
      <c r="A2300" s="2" t="s">
        <v>5151</v>
      </c>
      <c r="B2300" s="2" t="s">
        <v>5151</v>
      </c>
      <c r="C2300" s="2" t="s">
        <v>109</v>
      </c>
      <c r="D2300" s="2" t="s">
        <v>26</v>
      </c>
      <c r="E2300" s="5">
        <v>-31567</v>
      </c>
      <c r="F2300" s="3" t="s">
        <v>820</v>
      </c>
      <c r="G2300" s="3" t="s">
        <v>313</v>
      </c>
      <c r="H2300" s="2" t="s">
        <v>20</v>
      </c>
      <c r="I2300" s="2" t="s">
        <v>5155</v>
      </c>
      <c r="J2300" s="3" t="str">
        <f>HYPERLINK("https://www.boe.es/gazeta/dias/1813/07/27/pdfs/GMR-1813-21.pdf#page=9","Abrir facsímil")</f>
        <v>Abrir facsímil</v>
      </c>
      <c r="K2300" s="3" t="s">
        <v>22</v>
      </c>
    </row>
    <row r="2301" spans="1:11" ht="42" customHeight="1">
      <c r="A2301" s="2" t="s">
        <v>5156</v>
      </c>
      <c r="B2301" s="2" t="s">
        <v>5156</v>
      </c>
      <c r="C2301" s="2" t="s">
        <v>16</v>
      </c>
      <c r="D2301" s="2" t="s">
        <v>17</v>
      </c>
      <c r="E2301" s="5">
        <v>-31511</v>
      </c>
      <c r="F2301" s="3" t="s">
        <v>2149</v>
      </c>
      <c r="G2301" s="3" t="s">
        <v>19</v>
      </c>
      <c r="H2301" s="2" t="s">
        <v>20</v>
      </c>
      <c r="I2301" s="2" t="s">
        <v>5157</v>
      </c>
      <c r="J2301" s="3" t="str">
        <f>HYPERLINK("https://www.boe.es/gazeta/dias/1813/09/21/pdfs/GRE-1813-122.pdf#page=4","Abrir facsímil")</f>
        <v>Abrir facsímil</v>
      </c>
      <c r="K2301" s="3" t="s">
        <v>22</v>
      </c>
    </row>
    <row r="2302" spans="1:11" ht="42" customHeight="1">
      <c r="A2302" s="2" t="s">
        <v>5158</v>
      </c>
      <c r="B2302" s="2" t="s">
        <v>5158</v>
      </c>
      <c r="C2302" s="2" t="s">
        <v>16</v>
      </c>
      <c r="D2302" s="2" t="s">
        <v>17</v>
      </c>
      <c r="E2302" s="5">
        <v>-31682</v>
      </c>
      <c r="F2302" s="3" t="s">
        <v>5159</v>
      </c>
      <c r="G2302" s="3" t="s">
        <v>5160</v>
      </c>
      <c r="H2302" s="2" t="s">
        <v>20</v>
      </c>
      <c r="I2302" s="2" t="s">
        <v>5161</v>
      </c>
      <c r="J2302" s="3" t="str">
        <f>HYPERLINK("https://www.boe.es/gazeta/dias/1813/04/03/pdfs/GRE-1813-41.pdf#page=7","Abrir facsímil")</f>
        <v>Abrir facsímil</v>
      </c>
      <c r="K2302" s="3" t="s">
        <v>22</v>
      </c>
    </row>
    <row r="2303" spans="1:11" ht="42" customHeight="1">
      <c r="A2303" s="2" t="s">
        <v>5162</v>
      </c>
      <c r="B2303" s="2" t="s">
        <v>5162</v>
      </c>
      <c r="C2303" s="2" t="s">
        <v>16</v>
      </c>
      <c r="D2303" s="2" t="s">
        <v>17</v>
      </c>
      <c r="E2303" s="5">
        <v>-31427</v>
      </c>
      <c r="F2303" s="3" t="s">
        <v>1822</v>
      </c>
      <c r="G2303" s="3" t="s">
        <v>28</v>
      </c>
      <c r="H2303" s="2" t="s">
        <v>20</v>
      </c>
      <c r="I2303" s="2" t="s">
        <v>5163</v>
      </c>
      <c r="J2303" s="3" t="str">
        <f>HYPERLINK("https://www.boe.es/gazeta/dias/1813/12/14/pdfs/GRE-1813-164.pdf#page=8","Abrir facsímil")</f>
        <v>Abrir facsímil</v>
      </c>
      <c r="K2303" s="3" t="s">
        <v>22</v>
      </c>
    </row>
    <row r="2304" spans="1:11" ht="42" customHeight="1">
      <c r="A2304" s="2" t="s">
        <v>5164</v>
      </c>
      <c r="B2304" s="2" t="s">
        <v>5164</v>
      </c>
      <c r="C2304" s="2" t="s">
        <v>16</v>
      </c>
      <c r="D2304" s="2" t="s">
        <v>17</v>
      </c>
      <c r="E2304" s="5">
        <v>-31614</v>
      </c>
      <c r="F2304" s="3" t="s">
        <v>498</v>
      </c>
      <c r="G2304" s="3" t="s">
        <v>1293</v>
      </c>
      <c r="H2304" s="2" t="s">
        <v>20</v>
      </c>
      <c r="I2304" s="2" t="s">
        <v>5165</v>
      </c>
      <c r="J2304" s="3" t="str">
        <f>HYPERLINK("https://www.boe.es/gazeta/dias/1813/06/10/pdfs/GRE-1813-72.pdf#page=2","Abrir facsímil")</f>
        <v>Abrir facsímil</v>
      </c>
      <c r="K2304" s="3" t="s">
        <v>22</v>
      </c>
    </row>
    <row r="2305" spans="1:11" ht="42" customHeight="1">
      <c r="A2305" s="2" t="s">
        <v>5164</v>
      </c>
      <c r="B2305" s="2" t="s">
        <v>5164</v>
      </c>
      <c r="C2305" s="2" t="s">
        <v>16</v>
      </c>
      <c r="D2305" s="2" t="s">
        <v>17</v>
      </c>
      <c r="E2305" s="5">
        <v>-31453</v>
      </c>
      <c r="F2305" s="3" t="s">
        <v>887</v>
      </c>
      <c r="G2305" s="3" t="s">
        <v>19</v>
      </c>
      <c r="H2305" s="2" t="s">
        <v>20</v>
      </c>
      <c r="I2305" s="2" t="s">
        <v>5166</v>
      </c>
      <c r="J2305" s="3" t="str">
        <f>HYPERLINK("https://www.boe.es/gazeta/dias/1813/11/18/pdfs/GMR-1813-76.pdf#page=4","Abrir facsímil")</f>
        <v>Abrir facsímil</v>
      </c>
      <c r="K2305" s="3" t="s">
        <v>22</v>
      </c>
    </row>
    <row r="2306" spans="1:11" ht="42" customHeight="1">
      <c r="A2306" s="2" t="s">
        <v>5164</v>
      </c>
      <c r="B2306" s="2" t="s">
        <v>5164</v>
      </c>
      <c r="C2306" s="2" t="s">
        <v>16</v>
      </c>
      <c r="D2306" s="2" t="s">
        <v>17</v>
      </c>
      <c r="E2306" s="5">
        <v>-31453</v>
      </c>
      <c r="F2306" s="3" t="s">
        <v>887</v>
      </c>
      <c r="G2306" s="3" t="s">
        <v>82</v>
      </c>
      <c r="H2306" s="2" t="s">
        <v>20</v>
      </c>
      <c r="I2306" s="2" t="s">
        <v>5167</v>
      </c>
      <c r="J2306" s="3" t="str">
        <f>HYPERLINK("https://www.boe.es/gazeta/dias/1813/11/18/pdfs/GMR-1813-76.pdf#page=5","Abrir facsímil")</f>
        <v>Abrir facsímil</v>
      </c>
      <c r="K2306" s="3" t="s">
        <v>22</v>
      </c>
    </row>
    <row r="2307" spans="1:11" ht="42" customHeight="1">
      <c r="A2307" s="2" t="s">
        <v>5164</v>
      </c>
      <c r="B2307" s="2" t="s">
        <v>5164</v>
      </c>
      <c r="C2307" s="2" t="s">
        <v>16</v>
      </c>
      <c r="D2307" s="2" t="s">
        <v>17</v>
      </c>
      <c r="E2307" s="5">
        <v>-31430</v>
      </c>
      <c r="F2307" s="3" t="s">
        <v>1161</v>
      </c>
      <c r="G2307" s="3" t="s">
        <v>58</v>
      </c>
      <c r="H2307" s="2" t="s">
        <v>20</v>
      </c>
      <c r="I2307" s="2" t="s">
        <v>5168</v>
      </c>
      <c r="J2307" s="3" t="str">
        <f>HYPERLINK("https://www.boe.es/gazeta/dias/1813/12/11/pdfs/GMR-1813-86.pdf#page=2","Abrir facsímil")</f>
        <v>Abrir facsímil</v>
      </c>
      <c r="K2307" s="3" t="s">
        <v>22</v>
      </c>
    </row>
    <row r="2308" spans="1:11" ht="42" customHeight="1">
      <c r="A2308" s="2" t="s">
        <v>5169</v>
      </c>
      <c r="B2308" s="2" t="s">
        <v>5169</v>
      </c>
      <c r="C2308" s="2" t="s">
        <v>16</v>
      </c>
      <c r="D2308" s="2" t="s">
        <v>17</v>
      </c>
      <c r="E2308" s="5">
        <v>-31616</v>
      </c>
      <c r="F2308" s="3" t="s">
        <v>2201</v>
      </c>
      <c r="G2308" s="3" t="s">
        <v>95</v>
      </c>
      <c r="H2308" s="2" t="s">
        <v>20</v>
      </c>
      <c r="I2308" s="2" t="s">
        <v>5170</v>
      </c>
      <c r="J2308" s="3" t="str">
        <f>HYPERLINK("https://www.boe.es/gazeta/dias/1813/06/08/pdfs/GMR-1813-3.pdf#page=6","Abrir facsímil")</f>
        <v>Abrir facsímil</v>
      </c>
      <c r="K2308" s="3" t="s">
        <v>22</v>
      </c>
    </row>
    <row r="2309" spans="1:11" ht="42" customHeight="1">
      <c r="A2309" s="2" t="s">
        <v>5171</v>
      </c>
      <c r="B2309" s="2" t="s">
        <v>5171</v>
      </c>
      <c r="C2309" s="2" t="s">
        <v>16</v>
      </c>
      <c r="D2309" s="2" t="s">
        <v>17</v>
      </c>
      <c r="E2309" s="5">
        <v>-31728</v>
      </c>
      <c r="F2309" s="3" t="s">
        <v>1434</v>
      </c>
      <c r="G2309" s="3" t="s">
        <v>54</v>
      </c>
      <c r="H2309" s="2" t="s">
        <v>20</v>
      </c>
      <c r="I2309" s="2" t="s">
        <v>5172</v>
      </c>
      <c r="J2309" s="3" t="str">
        <f>HYPERLINK("https://www.boe.es/gazeta/dias/1813/02/16/pdfs/GRE-1813-20.pdf#page=3","Abrir facsímil")</f>
        <v>Abrir facsímil</v>
      </c>
      <c r="K2309" s="3" t="s">
        <v>22</v>
      </c>
    </row>
    <row r="2310" spans="1:11" ht="42" customHeight="1">
      <c r="A2310" s="2" t="s">
        <v>5173</v>
      </c>
      <c r="B2310" s="2" t="s">
        <v>5173</v>
      </c>
      <c r="C2310" s="2" t="s">
        <v>16</v>
      </c>
      <c r="D2310" s="2" t="s">
        <v>17</v>
      </c>
      <c r="E2310" s="5">
        <v>-31476</v>
      </c>
      <c r="F2310" s="3" t="s">
        <v>158</v>
      </c>
      <c r="G2310" s="3" t="s">
        <v>65</v>
      </c>
      <c r="H2310" s="2" t="s">
        <v>20</v>
      </c>
      <c r="I2310" s="2" t="s">
        <v>5174</v>
      </c>
      <c r="J2310" s="3" t="str">
        <f>HYPERLINK("https://www.boe.es/gazeta/dias/1813/10/26/pdfs/GMR-1813-64.pdf#page=1","Abrir facsímil")</f>
        <v>Abrir facsímil</v>
      </c>
      <c r="K2310" s="3" t="s">
        <v>22</v>
      </c>
    </row>
    <row r="2311" spans="1:11" ht="42" customHeight="1">
      <c r="A2311" s="2" t="s">
        <v>5175</v>
      </c>
      <c r="B2311" s="2" t="s">
        <v>5175</v>
      </c>
      <c r="C2311" s="2" t="s">
        <v>16</v>
      </c>
      <c r="D2311" s="2" t="s">
        <v>17</v>
      </c>
      <c r="E2311" s="5">
        <v>-31602</v>
      </c>
      <c r="F2311" s="3" t="s">
        <v>4545</v>
      </c>
      <c r="G2311" s="3" t="s">
        <v>58</v>
      </c>
      <c r="H2311" s="2" t="s">
        <v>20</v>
      </c>
      <c r="I2311" s="2" t="s">
        <v>5176</v>
      </c>
      <c r="J2311" s="3" t="str">
        <f>HYPERLINK("https://www.boe.es/gazeta/dias/1813/06/22/pdfs/GRE-1813-77.pdf#page=2","Abrir facsímil")</f>
        <v>Abrir facsímil</v>
      </c>
      <c r="K2311" s="3" t="s">
        <v>22</v>
      </c>
    </row>
    <row r="2312" spans="1:11" ht="42" customHeight="1">
      <c r="A2312" s="2" t="s">
        <v>5177</v>
      </c>
      <c r="B2312" s="2" t="s">
        <v>5177</v>
      </c>
      <c r="C2312" s="2" t="s">
        <v>16</v>
      </c>
      <c r="D2312" s="2" t="s">
        <v>17</v>
      </c>
      <c r="E2312" s="5">
        <v>-31735</v>
      </c>
      <c r="F2312" s="3" t="s">
        <v>558</v>
      </c>
      <c r="G2312" s="3" t="s">
        <v>4591</v>
      </c>
      <c r="H2312" s="2" t="s">
        <v>20</v>
      </c>
      <c r="I2312" s="2" t="s">
        <v>5178</v>
      </c>
      <c r="J2312" s="3" t="str">
        <f>HYPERLINK("https://www.boe.es/gazeta/dias/1813/02/09/pdfs/GRE-1813-17.pdf#page=6","Abrir facsímil")</f>
        <v>Abrir facsímil</v>
      </c>
      <c r="K2312" s="3" t="s">
        <v>22</v>
      </c>
    </row>
    <row r="2313" spans="1:11" ht="42" customHeight="1">
      <c r="A2313" s="2" t="s">
        <v>5179</v>
      </c>
      <c r="B2313" s="2" t="s">
        <v>5179</v>
      </c>
      <c r="C2313" s="2" t="s">
        <v>16</v>
      </c>
      <c r="D2313" s="2" t="s">
        <v>17</v>
      </c>
      <c r="E2313" s="5">
        <v>-31574</v>
      </c>
      <c r="F2313" s="3" t="s">
        <v>1343</v>
      </c>
      <c r="G2313" s="3" t="s">
        <v>313</v>
      </c>
      <c r="H2313" s="2" t="s">
        <v>20</v>
      </c>
      <c r="I2313" s="2" t="s">
        <v>5180</v>
      </c>
      <c r="J2313" s="3" t="str">
        <f>HYPERLINK("https://www.boe.es/gazeta/dias/1813/07/20/pdfs/GMR-1813-19.pdf#page=9","Abrir facsímil")</f>
        <v>Abrir facsímil</v>
      </c>
      <c r="K2313" s="3" t="s">
        <v>22</v>
      </c>
    </row>
    <row r="2314" spans="1:11" ht="42" customHeight="1">
      <c r="A2314" s="2" t="s">
        <v>5181</v>
      </c>
      <c r="B2314" s="2" t="s">
        <v>5181</v>
      </c>
      <c r="C2314" s="2" t="s">
        <v>16</v>
      </c>
      <c r="D2314" s="2" t="s">
        <v>17</v>
      </c>
      <c r="E2314" s="5">
        <v>-31585</v>
      </c>
      <c r="F2314" s="3" t="s">
        <v>177</v>
      </c>
      <c r="G2314" s="3" t="s">
        <v>821</v>
      </c>
      <c r="H2314" s="2" t="s">
        <v>20</v>
      </c>
      <c r="I2314" s="2" t="s">
        <v>5182</v>
      </c>
      <c r="J2314" s="3" t="str">
        <f>HYPERLINK("https://www.boe.es/gazeta/dias/1813/07/09/pdfs/GMR-1813-16.pdf#page=13","Abrir facsímil")</f>
        <v>Abrir facsímil</v>
      </c>
      <c r="K2314" s="3" t="s">
        <v>22</v>
      </c>
    </row>
    <row r="2315" spans="1:11" ht="42" customHeight="1">
      <c r="A2315" s="2" t="s">
        <v>5181</v>
      </c>
      <c r="B2315" s="2" t="s">
        <v>5181</v>
      </c>
      <c r="C2315" s="2" t="s">
        <v>16</v>
      </c>
      <c r="D2315" s="2" t="s">
        <v>17</v>
      </c>
      <c r="E2315" s="5">
        <v>-31585</v>
      </c>
      <c r="F2315" s="3" t="s">
        <v>177</v>
      </c>
      <c r="G2315" s="3" t="s">
        <v>1474</v>
      </c>
      <c r="H2315" s="2" t="s">
        <v>20</v>
      </c>
      <c r="I2315" s="2" t="s">
        <v>5183</v>
      </c>
      <c r="J2315" s="3" t="str">
        <f>HYPERLINK("https://www.boe.es/gazeta/dias/1813/07/09/pdfs/GMR-1813-16.pdf#page=14","Abrir facsímil")</f>
        <v>Abrir facsímil</v>
      </c>
      <c r="K2315" s="3" t="s">
        <v>22</v>
      </c>
    </row>
    <row r="2316" spans="1:11" ht="42" customHeight="1">
      <c r="A2316" s="2" t="s">
        <v>5181</v>
      </c>
      <c r="B2316" s="2" t="s">
        <v>5181</v>
      </c>
      <c r="C2316" s="2" t="s">
        <v>16</v>
      </c>
      <c r="D2316" s="2" t="s">
        <v>17</v>
      </c>
      <c r="E2316" s="5">
        <v>-31579</v>
      </c>
      <c r="F2316" s="3" t="s">
        <v>609</v>
      </c>
      <c r="G2316" s="3" t="s">
        <v>95</v>
      </c>
      <c r="H2316" s="2" t="s">
        <v>20</v>
      </c>
      <c r="I2316" s="2" t="s">
        <v>5184</v>
      </c>
      <c r="J2316" s="3" t="str">
        <f>HYPERLINK("https://www.boe.es/gazeta/dias/1813/07/15/pdfs/GRE-1813-89.pdf#page=6","Abrir facsímil")</f>
        <v>Abrir facsímil</v>
      </c>
      <c r="K2316" s="3" t="s">
        <v>22</v>
      </c>
    </row>
    <row r="2317" spans="1:11" ht="42" customHeight="1">
      <c r="A2317" s="2" t="s">
        <v>5185</v>
      </c>
      <c r="B2317" s="2" t="s">
        <v>5185</v>
      </c>
      <c r="C2317" s="2" t="s">
        <v>16</v>
      </c>
      <c r="D2317" s="2" t="s">
        <v>17</v>
      </c>
      <c r="E2317" s="5">
        <v>-31579</v>
      </c>
      <c r="F2317" s="3" t="s">
        <v>609</v>
      </c>
      <c r="G2317" s="3" t="s">
        <v>87</v>
      </c>
      <c r="H2317" s="2" t="s">
        <v>20</v>
      </c>
      <c r="I2317" s="2" t="s">
        <v>5186</v>
      </c>
      <c r="J2317" s="3" t="str">
        <f>HYPERLINK("https://www.boe.es/gazeta/dias/1813/07/15/pdfs/GRE-1813-89.pdf#page=7","Abrir facsímil")</f>
        <v>Abrir facsímil</v>
      </c>
      <c r="K2317" s="3" t="s">
        <v>22</v>
      </c>
    </row>
    <row r="2318" spans="1:11" ht="42" customHeight="1">
      <c r="A2318" s="2" t="s">
        <v>5187</v>
      </c>
      <c r="B2318" s="2" t="s">
        <v>5187</v>
      </c>
      <c r="C2318" s="2" t="s">
        <v>16</v>
      </c>
      <c r="D2318" s="2" t="s">
        <v>17</v>
      </c>
      <c r="E2318" s="5">
        <v>-31769</v>
      </c>
      <c r="F2318" s="3" t="s">
        <v>431</v>
      </c>
      <c r="G2318" s="3" t="s">
        <v>54</v>
      </c>
      <c r="H2318" s="2" t="s">
        <v>20</v>
      </c>
      <c r="I2318" s="2" t="s">
        <v>5188</v>
      </c>
      <c r="J2318" s="3" t="str">
        <f>HYPERLINK("https://www.boe.es/gazeta/dias/1813/01/06/pdfs/GMD-1813-6.pdf#page=3","Abrir facsímil")</f>
        <v>Abrir facsímil</v>
      </c>
      <c r="K2318" s="3" t="s">
        <v>22</v>
      </c>
    </row>
    <row r="2319" spans="1:11" ht="42" customHeight="1">
      <c r="A2319" s="2" t="s">
        <v>5189</v>
      </c>
      <c r="B2319" s="2" t="s">
        <v>5189</v>
      </c>
      <c r="C2319" s="2" t="s">
        <v>16</v>
      </c>
      <c r="D2319" s="2" t="s">
        <v>17</v>
      </c>
      <c r="E2319" s="5">
        <v>-31769</v>
      </c>
      <c r="F2319" s="3" t="s">
        <v>431</v>
      </c>
      <c r="G2319" s="3" t="s">
        <v>54</v>
      </c>
      <c r="H2319" s="2" t="s">
        <v>20</v>
      </c>
      <c r="I2319" s="2" t="s">
        <v>5190</v>
      </c>
      <c r="J2319" s="3" t="str">
        <f>HYPERLINK("https://www.boe.es/gazeta/dias/1813/01/06/pdfs/GMD-1813-6.pdf#page=3","Abrir facsímil")</f>
        <v>Abrir facsímil</v>
      </c>
      <c r="K2319" s="3" t="s">
        <v>22</v>
      </c>
    </row>
    <row r="2320" spans="1:11" ht="42" customHeight="1">
      <c r="A2320" s="2" t="s">
        <v>5189</v>
      </c>
      <c r="B2320" s="2" t="s">
        <v>5189</v>
      </c>
      <c r="C2320" s="2" t="s">
        <v>16</v>
      </c>
      <c r="D2320" s="2" t="s">
        <v>17</v>
      </c>
      <c r="E2320" s="5">
        <v>-31767</v>
      </c>
      <c r="F2320" s="3" t="s">
        <v>1915</v>
      </c>
      <c r="G2320" s="3" t="s">
        <v>19</v>
      </c>
      <c r="H2320" s="2" t="s">
        <v>20</v>
      </c>
      <c r="I2320" s="2" t="s">
        <v>5191</v>
      </c>
      <c r="J2320" s="3" t="str">
        <f>HYPERLINK("https://www.boe.es/gazeta/dias/1813/01/08/pdfs/GMD-1813-8.pdf#page=4","Abrir facsímil")</f>
        <v>Abrir facsímil</v>
      </c>
      <c r="K2320" s="3" t="s">
        <v>22</v>
      </c>
    </row>
    <row r="2321" spans="1:11" ht="42" customHeight="1">
      <c r="A2321" s="2" t="s">
        <v>5189</v>
      </c>
      <c r="B2321" s="2" t="s">
        <v>5189</v>
      </c>
      <c r="C2321" s="2" t="s">
        <v>16</v>
      </c>
      <c r="D2321" s="2" t="s">
        <v>17</v>
      </c>
      <c r="E2321" s="5">
        <v>-31695</v>
      </c>
      <c r="F2321" s="3" t="s">
        <v>2770</v>
      </c>
      <c r="G2321" s="3" t="s">
        <v>19</v>
      </c>
      <c r="H2321" s="2" t="s">
        <v>20</v>
      </c>
      <c r="I2321" s="2" t="s">
        <v>5192</v>
      </c>
      <c r="J2321" s="3" t="str">
        <f>HYPERLINK("https://www.boe.es/gazeta/dias/1813/03/21/pdfs/GMD-1813-80.pdf#page=4","Abrir facsímil")</f>
        <v>Abrir facsímil</v>
      </c>
      <c r="K2321" s="3" t="s">
        <v>22</v>
      </c>
    </row>
    <row r="2322" spans="1:11" ht="42" customHeight="1">
      <c r="A2322" s="2" t="s">
        <v>5193</v>
      </c>
      <c r="B2322" s="2" t="s">
        <v>5193</v>
      </c>
      <c r="C2322" s="2" t="s">
        <v>16</v>
      </c>
      <c r="D2322" s="2" t="s">
        <v>17</v>
      </c>
      <c r="E2322" s="5">
        <v>-31497</v>
      </c>
      <c r="F2322" s="3" t="s">
        <v>1457</v>
      </c>
      <c r="G2322" s="3" t="s">
        <v>19</v>
      </c>
      <c r="H2322" s="2" t="s">
        <v>20</v>
      </c>
      <c r="I2322" s="2" t="s">
        <v>5194</v>
      </c>
      <c r="J2322" s="3" t="str">
        <f>HYPERLINK("https://www.boe.es/gazeta/dias/1813/10/05/pdfs/GMR-1813-54.pdf#page=4","Abrir facsímil")</f>
        <v>Abrir facsímil</v>
      </c>
      <c r="K2322" s="3" t="s">
        <v>22</v>
      </c>
    </row>
    <row r="2323" spans="1:11" ht="42" customHeight="1">
      <c r="A2323" s="2" t="s">
        <v>5195</v>
      </c>
      <c r="B2323" s="2" t="s">
        <v>5196</v>
      </c>
      <c r="C2323" s="2" t="s">
        <v>16</v>
      </c>
      <c r="D2323" s="2" t="s">
        <v>17</v>
      </c>
      <c r="E2323" s="5">
        <v>-31691</v>
      </c>
      <c r="F2323" s="3" t="s">
        <v>1621</v>
      </c>
      <c r="G2323" s="3" t="s">
        <v>19</v>
      </c>
      <c r="H2323" s="2" t="s">
        <v>20</v>
      </c>
      <c r="I2323" s="2" t="s">
        <v>5197</v>
      </c>
      <c r="J2323" s="3" t="str">
        <f>HYPERLINK("https://www.boe.es/gazeta/dias/1813/03/25/pdfs/GMD-1813-84.pdf#page=4","Abrir facsímil")</f>
        <v>Abrir facsímil</v>
      </c>
      <c r="K2323" s="3" t="s">
        <v>22</v>
      </c>
    </row>
    <row r="2324" spans="1:11" ht="42" customHeight="1">
      <c r="A2324" s="2" t="s">
        <v>5198</v>
      </c>
      <c r="B2324" s="2" t="s">
        <v>5198</v>
      </c>
      <c r="C2324" s="2" t="s">
        <v>34</v>
      </c>
      <c r="D2324" s="2" t="s">
        <v>35</v>
      </c>
      <c r="E2324" s="5">
        <v>-31665</v>
      </c>
      <c r="F2324" s="3" t="s">
        <v>966</v>
      </c>
      <c r="G2324" s="3" t="s">
        <v>65</v>
      </c>
      <c r="H2324" s="2" t="s">
        <v>20</v>
      </c>
      <c r="I2324" s="2" t="s">
        <v>5199</v>
      </c>
      <c r="J2324" s="3" t="str">
        <f>HYPERLINK("https://www.boe.es/gazeta/dias/1813/04/20/pdfs/GMD-1813-110.pdf#page=1","Abrir facsímil")</f>
        <v>Abrir facsímil</v>
      </c>
      <c r="K2324" s="3" t="s">
        <v>22</v>
      </c>
    </row>
    <row r="2325" spans="1:11" ht="42" customHeight="1">
      <c r="A2325" s="2" t="s">
        <v>5200</v>
      </c>
      <c r="B2325" s="2" t="s">
        <v>5200</v>
      </c>
      <c r="C2325" s="2" t="s">
        <v>16</v>
      </c>
      <c r="D2325" s="2" t="s">
        <v>17</v>
      </c>
      <c r="E2325" s="5">
        <v>-31448</v>
      </c>
      <c r="F2325" s="3" t="s">
        <v>325</v>
      </c>
      <c r="G2325" s="3" t="s">
        <v>58</v>
      </c>
      <c r="H2325" s="2" t="s">
        <v>20</v>
      </c>
      <c r="I2325" s="2" t="s">
        <v>5201</v>
      </c>
      <c r="J2325" s="3" t="str">
        <f>HYPERLINK("https://www.boe.es/gazeta/dias/1813/11/23/pdfs/GMR-1813-78.pdf#page=2","Abrir facsímil")</f>
        <v>Abrir facsímil</v>
      </c>
      <c r="K2325" s="3" t="s">
        <v>22</v>
      </c>
    </row>
    <row r="2326" spans="1:11" ht="42" customHeight="1">
      <c r="A2326" s="2" t="s">
        <v>5202</v>
      </c>
      <c r="B2326" s="2" t="s">
        <v>5203</v>
      </c>
      <c r="C2326" s="2" t="s">
        <v>16</v>
      </c>
      <c r="D2326" s="2" t="s">
        <v>97</v>
      </c>
      <c r="E2326" s="5">
        <v>-31512</v>
      </c>
      <c r="F2326" s="3" t="s">
        <v>5204</v>
      </c>
      <c r="G2326" s="3" t="s">
        <v>19</v>
      </c>
      <c r="H2326" s="2" t="s">
        <v>20</v>
      </c>
      <c r="I2326" s="2" t="s">
        <v>5205</v>
      </c>
      <c r="J2326" s="3" t="str">
        <f>HYPERLINK("https://www.boe.es/gazeta/dias/1813/09/20/pdfs/GRE-1813-123E.pdf#page=4","Abrir facsímil")</f>
        <v>Abrir facsímil</v>
      </c>
      <c r="K2326" s="3" t="s">
        <v>22</v>
      </c>
    </row>
    <row r="2327" spans="1:11" ht="42" customHeight="1">
      <c r="A2327" s="2" t="s">
        <v>5206</v>
      </c>
      <c r="B2327" s="2" t="s">
        <v>5207</v>
      </c>
      <c r="C2327" s="2" t="s">
        <v>16</v>
      </c>
      <c r="D2327" s="2" t="s">
        <v>97</v>
      </c>
      <c r="E2327" s="5">
        <v>-31506</v>
      </c>
      <c r="F2327" s="3" t="s">
        <v>5208</v>
      </c>
      <c r="G2327" s="3" t="s">
        <v>58</v>
      </c>
      <c r="H2327" s="2" t="s">
        <v>20</v>
      </c>
      <c r="I2327" s="2" t="s">
        <v>5209</v>
      </c>
      <c r="J2327" s="3" t="str">
        <f>HYPERLINK("https://www.boe.es/gazeta/dias/1813/09/26/pdfs/GMR-1813-49E.pdf#page=2","Abrir facsímil")</f>
        <v>Abrir facsímil</v>
      </c>
      <c r="K2327" s="3" t="s">
        <v>22</v>
      </c>
    </row>
    <row r="2328" spans="1:11" ht="42" customHeight="1">
      <c r="A2328" s="2" t="s">
        <v>5210</v>
      </c>
      <c r="B2328" s="2" t="s">
        <v>5210</v>
      </c>
      <c r="C2328" s="2" t="s">
        <v>16</v>
      </c>
      <c r="D2328" s="2" t="s">
        <v>17</v>
      </c>
      <c r="E2328" s="5">
        <v>-31413</v>
      </c>
      <c r="F2328" s="3" t="s">
        <v>149</v>
      </c>
      <c r="G2328" s="3" t="s">
        <v>54</v>
      </c>
      <c r="H2328" s="2" t="s">
        <v>20</v>
      </c>
      <c r="I2328" s="2" t="s">
        <v>5211</v>
      </c>
      <c r="J2328" s="3" t="str">
        <f>HYPERLINK("https://www.boe.es/gazeta/dias/1813/12/28/pdfs/GMR-1813-93.pdf#page=3","Abrir facsímil")</f>
        <v>Abrir facsímil</v>
      </c>
      <c r="K2328" s="3" t="s">
        <v>22</v>
      </c>
    </row>
    <row r="2329" spans="1:11" ht="42" customHeight="1">
      <c r="A2329" s="2" t="s">
        <v>5212</v>
      </c>
      <c r="B2329" s="2" t="s">
        <v>5212</v>
      </c>
      <c r="C2329" s="2" t="s">
        <v>16</v>
      </c>
      <c r="D2329" s="2" t="s">
        <v>17</v>
      </c>
      <c r="E2329" s="5">
        <v>-31423</v>
      </c>
      <c r="F2329" s="3" t="s">
        <v>340</v>
      </c>
      <c r="G2329" s="3" t="s">
        <v>82</v>
      </c>
      <c r="H2329" s="2" t="s">
        <v>20</v>
      </c>
      <c r="I2329" s="2" t="s">
        <v>5213</v>
      </c>
      <c r="J2329" s="3" t="str">
        <f>HYPERLINK("https://www.boe.es/gazeta/dias/1813/12/18/pdfs/GRE-1813-166.pdf#page=5","Abrir facsímil")</f>
        <v>Abrir facsímil</v>
      </c>
      <c r="K2329" s="3" t="s">
        <v>22</v>
      </c>
    </row>
    <row r="2330" spans="1:11" ht="42" customHeight="1">
      <c r="A2330" s="2" t="s">
        <v>5214</v>
      </c>
      <c r="B2330" s="2" t="s">
        <v>5214</v>
      </c>
      <c r="C2330" s="2" t="s">
        <v>16</v>
      </c>
      <c r="D2330" s="2" t="s">
        <v>17</v>
      </c>
      <c r="E2330" s="5">
        <v>-31453</v>
      </c>
      <c r="F2330" s="3" t="s">
        <v>887</v>
      </c>
      <c r="G2330" s="3" t="s">
        <v>2210</v>
      </c>
      <c r="H2330" s="2" t="s">
        <v>20</v>
      </c>
      <c r="I2330" s="2" t="s">
        <v>5215</v>
      </c>
      <c r="J2330" s="3" t="str">
        <f>HYPERLINK("https://www.boe.es/gazeta/dias/1813/11/18/pdfs/GMR-1813-76.pdf#page=9","Abrir facsímil")</f>
        <v>Abrir facsímil</v>
      </c>
      <c r="K2330" s="3" t="s">
        <v>22</v>
      </c>
    </row>
    <row r="2331" spans="1:11" ht="42" customHeight="1">
      <c r="A2331" s="2" t="s">
        <v>5216</v>
      </c>
      <c r="B2331" s="2" t="s">
        <v>5216</v>
      </c>
      <c r="C2331" s="2" t="s">
        <v>16</v>
      </c>
      <c r="D2331" s="2" t="s">
        <v>17</v>
      </c>
      <c r="E2331" s="5">
        <v>-31441</v>
      </c>
      <c r="F2331" s="3" t="s">
        <v>1952</v>
      </c>
      <c r="G2331" s="3" t="s">
        <v>87</v>
      </c>
      <c r="H2331" s="2" t="s">
        <v>20</v>
      </c>
      <c r="I2331" s="2" t="s">
        <v>5217</v>
      </c>
      <c r="J2331" s="3" t="str">
        <f>HYPERLINK("https://www.boe.es/gazeta/dias/1813/11/30/pdfs/GRE-1813-158.pdf#page=7","Abrir facsímil")</f>
        <v>Abrir facsímil</v>
      </c>
      <c r="K2331" s="3" t="s">
        <v>22</v>
      </c>
    </row>
    <row r="2332" spans="1:11" ht="42" customHeight="1">
      <c r="A2332" s="2" t="s">
        <v>5218</v>
      </c>
      <c r="B2332" s="2" t="s">
        <v>5218</v>
      </c>
      <c r="C2332" s="2" t="s">
        <v>16</v>
      </c>
      <c r="D2332" s="2" t="s">
        <v>17</v>
      </c>
      <c r="E2332" s="5">
        <v>-31675</v>
      </c>
      <c r="F2332" s="3" t="s">
        <v>2552</v>
      </c>
      <c r="G2332" s="3" t="s">
        <v>65</v>
      </c>
      <c r="H2332" s="2" t="s">
        <v>20</v>
      </c>
      <c r="I2332" s="2" t="s">
        <v>5219</v>
      </c>
      <c r="J2332" s="3" t="str">
        <f>HYPERLINK("https://www.boe.es/gazeta/dias/1813/04/10/pdfs/GMD-1813-100.pdf#page=1","Abrir facsímil")</f>
        <v>Abrir facsímil</v>
      </c>
      <c r="K2332" s="3" t="s">
        <v>22</v>
      </c>
    </row>
    <row r="2333" spans="1:11" ht="42" customHeight="1">
      <c r="A2333" s="2" t="s">
        <v>5220</v>
      </c>
      <c r="B2333" s="2" t="s">
        <v>5220</v>
      </c>
      <c r="C2333" s="2" t="s">
        <v>16</v>
      </c>
      <c r="D2333" s="2" t="s">
        <v>17</v>
      </c>
      <c r="E2333" s="5">
        <v>-31606</v>
      </c>
      <c r="F2333" s="3" t="s">
        <v>124</v>
      </c>
      <c r="G2333" s="3" t="s">
        <v>54</v>
      </c>
      <c r="H2333" s="2" t="s">
        <v>20</v>
      </c>
      <c r="I2333" s="2" t="s">
        <v>5221</v>
      </c>
      <c r="J2333" s="3" t="str">
        <f>HYPERLINK("https://www.boe.es/gazeta/dias/1813/06/18/pdfs/GMR-1813-7.pdf#page=3","Abrir facsímil")</f>
        <v>Abrir facsímil</v>
      </c>
      <c r="K2333" s="3" t="s">
        <v>22</v>
      </c>
    </row>
    <row r="2334" spans="1:11" ht="42" customHeight="1">
      <c r="A2334" s="2" t="s">
        <v>5220</v>
      </c>
      <c r="B2334" s="2" t="s">
        <v>5220</v>
      </c>
      <c r="C2334" s="2" t="s">
        <v>16</v>
      </c>
      <c r="D2334" s="2" t="s">
        <v>17</v>
      </c>
      <c r="E2334" s="5">
        <v>-31479</v>
      </c>
      <c r="F2334" s="3" t="s">
        <v>322</v>
      </c>
      <c r="G2334" s="3" t="s">
        <v>65</v>
      </c>
      <c r="H2334" s="2" t="s">
        <v>20</v>
      </c>
      <c r="I2334" s="2" t="s">
        <v>5222</v>
      </c>
      <c r="J2334" s="3" t="str">
        <f>HYPERLINK("https://www.boe.es/gazeta/dias/1813/10/23/pdfs/GMR-1813-63.pdf#page=1","Abrir facsímil")</f>
        <v>Abrir facsímil</v>
      </c>
      <c r="K2334" s="3" t="s">
        <v>22</v>
      </c>
    </row>
    <row r="2335" spans="1:11" ht="42" customHeight="1">
      <c r="A2335" s="2" t="s">
        <v>5223</v>
      </c>
      <c r="B2335" s="2" t="s">
        <v>5223</v>
      </c>
      <c r="C2335" s="2" t="s">
        <v>16</v>
      </c>
      <c r="D2335" s="2" t="s">
        <v>17</v>
      </c>
      <c r="E2335" s="5">
        <v>-31695</v>
      </c>
      <c r="F2335" s="3" t="s">
        <v>2770</v>
      </c>
      <c r="G2335" s="3" t="s">
        <v>19</v>
      </c>
      <c r="H2335" s="2" t="s">
        <v>20</v>
      </c>
      <c r="I2335" s="2" t="s">
        <v>5224</v>
      </c>
      <c r="J2335" s="3" t="str">
        <f>HYPERLINK("https://www.boe.es/gazeta/dias/1813/03/21/pdfs/GMD-1813-80.pdf#page=4","Abrir facsímil")</f>
        <v>Abrir facsímil</v>
      </c>
      <c r="K2335" s="3" t="s">
        <v>22</v>
      </c>
    </row>
    <row r="2336" spans="1:11" ht="42" customHeight="1">
      <c r="A2336" s="2" t="s">
        <v>5225</v>
      </c>
      <c r="B2336" s="2" t="s">
        <v>5225</v>
      </c>
      <c r="C2336" s="2" t="s">
        <v>16</v>
      </c>
      <c r="D2336" s="2" t="s">
        <v>17</v>
      </c>
      <c r="E2336" s="5">
        <v>-31574</v>
      </c>
      <c r="F2336" s="3" t="s">
        <v>1343</v>
      </c>
      <c r="G2336" s="3" t="s">
        <v>65</v>
      </c>
      <c r="H2336" s="2" t="s">
        <v>20</v>
      </c>
      <c r="I2336" s="2" t="s">
        <v>5226</v>
      </c>
      <c r="J2336" s="3" t="str">
        <f>HYPERLINK("https://www.boe.es/gazeta/dias/1813/07/20/pdfs/GMR-1813-19.pdf#page=1","Abrir facsímil")</f>
        <v>Abrir facsímil</v>
      </c>
      <c r="K2336" s="3" t="s">
        <v>22</v>
      </c>
    </row>
    <row r="2337" spans="1:11" ht="42" customHeight="1">
      <c r="A2337" s="2" t="s">
        <v>5227</v>
      </c>
      <c r="B2337" s="2" t="s">
        <v>5227</v>
      </c>
      <c r="C2337" s="2" t="s">
        <v>16</v>
      </c>
      <c r="D2337" s="2" t="s">
        <v>17</v>
      </c>
      <c r="E2337" s="5">
        <v>-31444</v>
      </c>
      <c r="F2337" s="3" t="s">
        <v>2451</v>
      </c>
      <c r="G2337" s="3" t="s">
        <v>19</v>
      </c>
      <c r="H2337" s="2" t="s">
        <v>20</v>
      </c>
      <c r="I2337" s="2" t="s">
        <v>5228</v>
      </c>
      <c r="J2337" s="3" t="str">
        <f>HYPERLINK("https://www.boe.es/gazeta/dias/1813/11/27/pdfs/GRE-1813-157.pdf#page=4","Abrir facsímil")</f>
        <v>Abrir facsímil</v>
      </c>
      <c r="K2337" s="3" t="s">
        <v>22</v>
      </c>
    </row>
    <row r="2338" spans="1:11" ht="42" customHeight="1">
      <c r="A2338" s="2" t="s">
        <v>5229</v>
      </c>
      <c r="B2338" s="2" t="s">
        <v>5229</v>
      </c>
      <c r="C2338" s="2" t="s">
        <v>16</v>
      </c>
      <c r="D2338" s="2" t="s">
        <v>17</v>
      </c>
      <c r="E2338" s="5">
        <v>-31434</v>
      </c>
      <c r="F2338" s="3" t="s">
        <v>948</v>
      </c>
      <c r="G2338" s="3" t="s">
        <v>54</v>
      </c>
      <c r="H2338" s="2" t="s">
        <v>20</v>
      </c>
      <c r="I2338" s="2" t="s">
        <v>5230</v>
      </c>
      <c r="J2338" s="3" t="str">
        <f>HYPERLINK("https://www.boe.es/gazeta/dias/1813/12/07/pdfs/GMR-1813-84.pdf#page=3","Abrir facsímil")</f>
        <v>Abrir facsímil</v>
      </c>
      <c r="K2338" s="3" t="s">
        <v>22</v>
      </c>
    </row>
    <row r="2339" spans="1:11" ht="42" customHeight="1">
      <c r="A2339" s="2" t="s">
        <v>5231</v>
      </c>
      <c r="B2339" s="2" t="s">
        <v>5231</v>
      </c>
      <c r="C2339" s="2" t="s">
        <v>16</v>
      </c>
      <c r="D2339" s="2" t="s">
        <v>17</v>
      </c>
      <c r="E2339" s="5">
        <v>-31528</v>
      </c>
      <c r="F2339" s="3" t="s">
        <v>141</v>
      </c>
      <c r="G2339" s="3" t="s">
        <v>28</v>
      </c>
      <c r="H2339" s="2" t="s">
        <v>20</v>
      </c>
      <c r="I2339" s="2" t="s">
        <v>5232</v>
      </c>
      <c r="J2339" s="3" t="str">
        <f>HYPERLINK("https://www.boe.es/gazeta/dias/1813/09/04/pdfs/GMR-1813-37.pdf#page=8","Abrir facsímil")</f>
        <v>Abrir facsímil</v>
      </c>
      <c r="K2339" s="3" t="s">
        <v>22</v>
      </c>
    </row>
    <row r="2340" spans="1:11" ht="42" customHeight="1">
      <c r="A2340" s="2" t="s">
        <v>5231</v>
      </c>
      <c r="B2340" s="2" t="s">
        <v>5231</v>
      </c>
      <c r="C2340" s="2" t="s">
        <v>16</v>
      </c>
      <c r="D2340" s="2" t="s">
        <v>17</v>
      </c>
      <c r="E2340" s="5">
        <v>-31511</v>
      </c>
      <c r="F2340" s="3" t="s">
        <v>2149</v>
      </c>
      <c r="G2340" s="3" t="s">
        <v>87</v>
      </c>
      <c r="H2340" s="2" t="s">
        <v>20</v>
      </c>
      <c r="I2340" s="2" t="s">
        <v>5233</v>
      </c>
      <c r="J2340" s="3" t="str">
        <f>HYPERLINK("https://www.boe.es/gazeta/dias/1813/09/21/pdfs/GRE-1813-122.pdf#page=7","Abrir facsímil")</f>
        <v>Abrir facsímil</v>
      </c>
      <c r="K2340" s="3" t="s">
        <v>22</v>
      </c>
    </row>
    <row r="2341" spans="1:11" ht="42" customHeight="1">
      <c r="A2341" s="2" t="s">
        <v>5234</v>
      </c>
      <c r="B2341" s="2" t="s">
        <v>5234</v>
      </c>
      <c r="C2341" s="2" t="s">
        <v>16</v>
      </c>
      <c r="D2341" s="2" t="s">
        <v>17</v>
      </c>
      <c r="E2341" s="5">
        <v>-31486</v>
      </c>
      <c r="F2341" s="3" t="s">
        <v>1284</v>
      </c>
      <c r="G2341" s="3" t="s">
        <v>95</v>
      </c>
      <c r="H2341" s="2" t="s">
        <v>20</v>
      </c>
      <c r="I2341" s="2" t="s">
        <v>5235</v>
      </c>
      <c r="J2341" s="3" t="str">
        <f>HYPERLINK("https://www.boe.es/gazeta/dias/1813/10/16/pdfs/GMR-1813-60.pdf#page=6","Abrir facsímil")</f>
        <v>Abrir facsímil</v>
      </c>
      <c r="K2341" s="3" t="s">
        <v>22</v>
      </c>
    </row>
    <row r="2342" spans="1:11" ht="42" customHeight="1">
      <c r="A2342" s="2" t="s">
        <v>5236</v>
      </c>
      <c r="B2342" s="2" t="s">
        <v>5236</v>
      </c>
      <c r="C2342" s="2" t="s">
        <v>16</v>
      </c>
      <c r="D2342" s="2" t="s">
        <v>17</v>
      </c>
      <c r="E2342" s="5">
        <v>-31749</v>
      </c>
      <c r="F2342" s="3" t="s">
        <v>1515</v>
      </c>
      <c r="G2342" s="3" t="s">
        <v>5237</v>
      </c>
      <c r="H2342" s="2" t="s">
        <v>20</v>
      </c>
      <c r="I2342" s="2" t="s">
        <v>5238</v>
      </c>
      <c r="J2342" s="3" t="str">
        <f>HYPERLINK("https://www.boe.es/gazeta/dias/1813/01/26/pdfs/GRE-1813-11.pdf#page=4","Abrir facsímil")</f>
        <v>Abrir facsímil</v>
      </c>
      <c r="K2342" s="3" t="s">
        <v>22</v>
      </c>
    </row>
    <row r="2343" spans="1:11" ht="42" customHeight="1">
      <c r="A2343" s="2" t="s">
        <v>5236</v>
      </c>
      <c r="B2343" s="2" t="s">
        <v>5236</v>
      </c>
      <c r="C2343" s="2" t="s">
        <v>16</v>
      </c>
      <c r="D2343" s="2" t="s">
        <v>17</v>
      </c>
      <c r="E2343" s="5">
        <v>-31711</v>
      </c>
      <c r="F2343" s="3" t="s">
        <v>385</v>
      </c>
      <c r="G2343" s="3" t="s">
        <v>28</v>
      </c>
      <c r="H2343" s="2" t="s">
        <v>20</v>
      </c>
      <c r="I2343" s="2" t="s">
        <v>5239</v>
      </c>
      <c r="J2343" s="3" t="str">
        <f>HYPERLINK("https://www.boe.es/gazeta/dias/1813/03/05/pdfs/GRE-1813-99.pdf#page=8","Abrir facsímil")</f>
        <v>Abrir facsímil</v>
      </c>
      <c r="K2343" s="3" t="s">
        <v>22</v>
      </c>
    </row>
    <row r="2344" spans="1:11" ht="42" customHeight="1">
      <c r="A2344" s="2" t="s">
        <v>5236</v>
      </c>
      <c r="B2344" s="2" t="s">
        <v>5236</v>
      </c>
      <c r="C2344" s="2" t="s">
        <v>16</v>
      </c>
      <c r="D2344" s="2" t="s">
        <v>17</v>
      </c>
      <c r="E2344" s="5">
        <v>-31567</v>
      </c>
      <c r="F2344" s="3" t="s">
        <v>1471</v>
      </c>
      <c r="G2344" s="3" t="s">
        <v>19</v>
      </c>
      <c r="H2344" s="2" t="s">
        <v>20</v>
      </c>
      <c r="I2344" s="2" t="s">
        <v>5240</v>
      </c>
      <c r="J2344" s="3" t="str">
        <f>HYPERLINK("https://www.boe.es/gazeta/dias/1813/07/27/pdfs/GRE-1813-95.pdf#page=4","Abrir facsímil")</f>
        <v>Abrir facsímil</v>
      </c>
      <c r="K2344" s="3" t="s">
        <v>22</v>
      </c>
    </row>
    <row r="2345" spans="1:11" ht="42" customHeight="1">
      <c r="A2345" s="2" t="s">
        <v>5236</v>
      </c>
      <c r="B2345" s="2" t="s">
        <v>5236</v>
      </c>
      <c r="C2345" s="2" t="s">
        <v>16</v>
      </c>
      <c r="D2345" s="2" t="s">
        <v>17</v>
      </c>
      <c r="E2345" s="5">
        <v>-31558</v>
      </c>
      <c r="F2345" s="3" t="s">
        <v>385</v>
      </c>
      <c r="G2345" s="3" t="s">
        <v>28</v>
      </c>
      <c r="H2345" s="2" t="s">
        <v>20</v>
      </c>
      <c r="I2345" s="2" t="s">
        <v>5239</v>
      </c>
      <c r="J2345" s="3" t="str">
        <f>HYPERLINK("https://www.boe.es/gazeta/dias/1813/08/05/pdfs/GRE-1813-99.pdf#page=8","Abrir facsímil")</f>
        <v>Abrir facsímil</v>
      </c>
      <c r="K2345" s="3" t="s">
        <v>22</v>
      </c>
    </row>
    <row r="2346" spans="1:11" ht="42" customHeight="1">
      <c r="A2346" s="2" t="s">
        <v>5236</v>
      </c>
      <c r="B2346" s="2" t="s">
        <v>5236</v>
      </c>
      <c r="C2346" s="2" t="s">
        <v>16</v>
      </c>
      <c r="D2346" s="2" t="s">
        <v>17</v>
      </c>
      <c r="E2346" s="5">
        <v>-31537</v>
      </c>
      <c r="F2346" s="3" t="s">
        <v>5241</v>
      </c>
      <c r="G2346" s="3" t="s">
        <v>82</v>
      </c>
      <c r="H2346" s="2" t="s">
        <v>20</v>
      </c>
      <c r="I2346" s="2" t="s">
        <v>5242</v>
      </c>
      <c r="J2346" s="3" t="str">
        <f>HYPERLINK("https://www.boe.es/gazeta/dias/1813/08/26/pdfs/GRE-1813-109.pdf#page=5","Abrir facsímil")</f>
        <v>Abrir facsímil</v>
      </c>
      <c r="K2346" s="3" t="s">
        <v>22</v>
      </c>
    </row>
    <row r="2347" spans="1:11" ht="42" customHeight="1">
      <c r="A2347" s="2" t="s">
        <v>5243</v>
      </c>
      <c r="B2347" s="2" t="s">
        <v>5244</v>
      </c>
      <c r="C2347" s="2" t="s">
        <v>16</v>
      </c>
      <c r="D2347" s="2" t="s">
        <v>17</v>
      </c>
      <c r="E2347" s="5">
        <v>-31711</v>
      </c>
      <c r="F2347" s="3" t="s">
        <v>385</v>
      </c>
      <c r="G2347" s="3" t="s">
        <v>95</v>
      </c>
      <c r="H2347" s="2" t="s">
        <v>20</v>
      </c>
      <c r="I2347" s="2" t="s">
        <v>5245</v>
      </c>
      <c r="J2347" s="3" t="str">
        <f>HYPERLINK("https://www.boe.es/gazeta/dias/1813/03/05/pdfs/GRE-1813-99.pdf#page=6","Abrir facsímil")</f>
        <v>Abrir facsímil</v>
      </c>
      <c r="K2347" s="3" t="s">
        <v>22</v>
      </c>
    </row>
    <row r="2348" spans="1:11" ht="42" customHeight="1">
      <c r="A2348" s="2" t="s">
        <v>5243</v>
      </c>
      <c r="B2348" s="2" t="s">
        <v>5244</v>
      </c>
      <c r="C2348" s="2" t="s">
        <v>16</v>
      </c>
      <c r="D2348" s="2" t="s">
        <v>17</v>
      </c>
      <c r="E2348" s="5">
        <v>-31558</v>
      </c>
      <c r="F2348" s="3" t="s">
        <v>385</v>
      </c>
      <c r="G2348" s="3" t="s">
        <v>95</v>
      </c>
      <c r="H2348" s="2" t="s">
        <v>20</v>
      </c>
      <c r="I2348" s="2" t="s">
        <v>5245</v>
      </c>
      <c r="J2348" s="3" t="str">
        <f>HYPERLINK("https://www.boe.es/gazeta/dias/1813/08/05/pdfs/GRE-1813-99.pdf#page=6","Abrir facsímil")</f>
        <v>Abrir facsímil</v>
      </c>
      <c r="K2348" s="3" t="s">
        <v>22</v>
      </c>
    </row>
    <row r="2349" spans="1:11" ht="42" customHeight="1">
      <c r="A2349" s="2" t="s">
        <v>5246</v>
      </c>
      <c r="B2349" s="2" t="s">
        <v>5247</v>
      </c>
      <c r="C2349" s="2" t="s">
        <v>16</v>
      </c>
      <c r="D2349" s="2" t="s">
        <v>17</v>
      </c>
      <c r="E2349" s="5">
        <v>-31564</v>
      </c>
      <c r="F2349" s="3" t="s">
        <v>206</v>
      </c>
      <c r="G2349" s="3" t="s">
        <v>313</v>
      </c>
      <c r="H2349" s="2" t="s">
        <v>20</v>
      </c>
      <c r="I2349" s="2" t="s">
        <v>5248</v>
      </c>
      <c r="J2349" s="3" t="str">
        <f>HYPERLINK("https://www.boe.es/gazeta/dias/1813/07/30/pdfs/GMR-1813-22.pdf#page=9","Abrir facsímil")</f>
        <v>Abrir facsímil</v>
      </c>
      <c r="K2349" s="3" t="s">
        <v>22</v>
      </c>
    </row>
    <row r="2350" spans="1:11" ht="42" customHeight="1">
      <c r="A2350" s="2" t="s">
        <v>5246</v>
      </c>
      <c r="B2350" s="2" t="s">
        <v>5247</v>
      </c>
      <c r="C2350" s="2" t="s">
        <v>16</v>
      </c>
      <c r="D2350" s="2" t="s">
        <v>17</v>
      </c>
      <c r="E2350" s="5">
        <v>-31558</v>
      </c>
      <c r="F2350" s="3" t="s">
        <v>1288</v>
      </c>
      <c r="G2350" s="3" t="s">
        <v>82</v>
      </c>
      <c r="H2350" s="2" t="s">
        <v>20</v>
      </c>
      <c r="I2350" s="2" t="s">
        <v>5249</v>
      </c>
      <c r="J2350" s="3" t="str">
        <f>HYPERLINK("https://www.boe.es/gazeta/dias/1813/08/05/pdfs/GMR-1813-24.pdf#page=5","Abrir facsímil")</f>
        <v>Abrir facsímil</v>
      </c>
      <c r="K2350" s="3" t="s">
        <v>22</v>
      </c>
    </row>
    <row r="2351" spans="1:11" ht="42" customHeight="1">
      <c r="A2351" s="2" t="s">
        <v>5246</v>
      </c>
      <c r="B2351" s="2" t="s">
        <v>5247</v>
      </c>
      <c r="C2351" s="2" t="s">
        <v>16</v>
      </c>
      <c r="D2351" s="2" t="s">
        <v>17</v>
      </c>
      <c r="E2351" s="5">
        <v>-31556</v>
      </c>
      <c r="F2351" s="3" t="s">
        <v>118</v>
      </c>
      <c r="G2351" s="3" t="s">
        <v>5250</v>
      </c>
      <c r="H2351" s="2" t="s">
        <v>20</v>
      </c>
      <c r="I2351" s="2" t="s">
        <v>5251</v>
      </c>
      <c r="J2351" s="3" t="str">
        <f>HYPERLINK("https://www.boe.es/gazeta/dias/1813/08/07/pdfs/GMR-1813-25.pdf#page=4","Abrir facsímil")</f>
        <v>Abrir facsímil</v>
      </c>
      <c r="K2351" s="3" t="s">
        <v>22</v>
      </c>
    </row>
    <row r="2352" spans="1:11" ht="42" customHeight="1">
      <c r="A2352" s="2" t="s">
        <v>5252</v>
      </c>
      <c r="B2352" s="2" t="s">
        <v>5253</v>
      </c>
      <c r="C2352" s="2" t="s">
        <v>16</v>
      </c>
      <c r="D2352" s="2" t="s">
        <v>17</v>
      </c>
      <c r="E2352" s="5">
        <v>-31567</v>
      </c>
      <c r="F2352" s="3" t="s">
        <v>820</v>
      </c>
      <c r="G2352" s="3" t="s">
        <v>747</v>
      </c>
      <c r="H2352" s="2" t="s">
        <v>20</v>
      </c>
      <c r="I2352" s="2" t="s">
        <v>5254</v>
      </c>
      <c r="J2352" s="3" t="str">
        <f>HYPERLINK("https://www.boe.es/gazeta/dias/1813/07/27/pdfs/GMR-1813-21.pdf#page=10","Abrir facsímil")</f>
        <v>Abrir facsímil</v>
      </c>
      <c r="K2352" s="3" t="s">
        <v>22</v>
      </c>
    </row>
    <row r="2353" spans="1:11" ht="42" customHeight="1">
      <c r="A2353" s="2" t="s">
        <v>5255</v>
      </c>
      <c r="B2353" s="2" t="s">
        <v>5256</v>
      </c>
      <c r="C2353" s="2" t="s">
        <v>25</v>
      </c>
      <c r="D2353" s="2" t="s">
        <v>26</v>
      </c>
      <c r="E2353" s="5">
        <v>-31754</v>
      </c>
      <c r="F2353" s="3" t="s">
        <v>899</v>
      </c>
      <c r="G2353" s="3" t="s">
        <v>900</v>
      </c>
      <c r="H2353" s="2" t="s">
        <v>20</v>
      </c>
      <c r="I2353" s="2" t="s">
        <v>5257</v>
      </c>
      <c r="J2353" s="3" t="str">
        <f>HYPERLINK("https://www.boe.es/gazeta/dias/1813/01/21/pdfs/GRE-1813-9.pdf#page=8","Abrir facsímil")</f>
        <v>Abrir facsímil</v>
      </c>
      <c r="K2353" s="3" t="s">
        <v>22</v>
      </c>
    </row>
    <row r="2354" spans="1:11" ht="42" customHeight="1">
      <c r="A2354" s="2" t="s">
        <v>5258</v>
      </c>
      <c r="B2354" s="2" t="s">
        <v>5258</v>
      </c>
      <c r="C2354" s="2" t="s">
        <v>16</v>
      </c>
      <c r="D2354" s="2" t="s">
        <v>17</v>
      </c>
      <c r="E2354" s="5">
        <v>-31740</v>
      </c>
      <c r="F2354" s="3" t="s">
        <v>5259</v>
      </c>
      <c r="G2354" s="3" t="s">
        <v>58</v>
      </c>
      <c r="H2354" s="2" t="s">
        <v>20</v>
      </c>
      <c r="I2354" s="2" t="s">
        <v>5260</v>
      </c>
      <c r="J2354" s="3" t="str">
        <f>HYPERLINK("https://www.boe.es/gazeta/dias/1813/02/04/pdfs/GMD-1813-35.pdf#page=2","Abrir facsímil")</f>
        <v>Abrir facsímil</v>
      </c>
      <c r="K2354" s="3" t="s">
        <v>22</v>
      </c>
    </row>
    <row r="2355" spans="1:11" ht="42" customHeight="1">
      <c r="A2355" s="2" t="s">
        <v>5261</v>
      </c>
      <c r="B2355" s="2" t="s">
        <v>5261</v>
      </c>
      <c r="C2355" s="2" t="s">
        <v>16</v>
      </c>
      <c r="D2355" s="2" t="s">
        <v>17</v>
      </c>
      <c r="E2355" s="5">
        <v>-31619</v>
      </c>
      <c r="F2355" s="3" t="s">
        <v>749</v>
      </c>
      <c r="G2355" s="3" t="s">
        <v>82</v>
      </c>
      <c r="H2355" s="2" t="s">
        <v>20</v>
      </c>
      <c r="I2355" s="2" t="s">
        <v>5262</v>
      </c>
      <c r="J2355" s="3" t="str">
        <f>HYPERLINK("https://www.boe.es/gazeta/dias/1813/06/05/pdfs/GRE-1813-70.pdf#page=5","Abrir facsímil")</f>
        <v>Abrir facsímil</v>
      </c>
      <c r="K2355" s="3" t="s">
        <v>22</v>
      </c>
    </row>
    <row r="2356" spans="1:11" ht="42" customHeight="1">
      <c r="A2356" s="2" t="s">
        <v>5261</v>
      </c>
      <c r="B2356" s="2" t="s">
        <v>5261</v>
      </c>
      <c r="C2356" s="2" t="s">
        <v>16</v>
      </c>
      <c r="D2356" s="2" t="s">
        <v>17</v>
      </c>
      <c r="E2356" s="5">
        <v>-31614</v>
      </c>
      <c r="F2356" s="3" t="s">
        <v>498</v>
      </c>
      <c r="G2356" s="3" t="s">
        <v>95</v>
      </c>
      <c r="H2356" s="2" t="s">
        <v>20</v>
      </c>
      <c r="I2356" s="2" t="s">
        <v>5263</v>
      </c>
      <c r="J2356" s="3" t="str">
        <f>HYPERLINK("https://www.boe.es/gazeta/dias/1813/06/10/pdfs/GRE-1813-72.pdf#page=6","Abrir facsímil")</f>
        <v>Abrir facsímil</v>
      </c>
      <c r="K2356" s="3" t="s">
        <v>22</v>
      </c>
    </row>
    <row r="2357" spans="1:11" ht="42" customHeight="1">
      <c r="A2357" s="2" t="s">
        <v>5261</v>
      </c>
      <c r="B2357" s="2" t="s">
        <v>5261</v>
      </c>
      <c r="C2357" s="2" t="s">
        <v>16</v>
      </c>
      <c r="D2357" s="2" t="s">
        <v>17</v>
      </c>
      <c r="E2357" s="5">
        <v>-31582</v>
      </c>
      <c r="F2357" s="3" t="s">
        <v>907</v>
      </c>
      <c r="G2357" s="3" t="s">
        <v>65</v>
      </c>
      <c r="H2357" s="2" t="s">
        <v>20</v>
      </c>
      <c r="I2357" s="2" t="s">
        <v>5264</v>
      </c>
      <c r="J2357" s="3" t="str">
        <f>HYPERLINK("https://www.boe.es/gazeta/dias/1813/07/12/pdfs/GRE-1813-87.pdf#page=1","Abrir facsímil")</f>
        <v>Abrir facsímil</v>
      </c>
      <c r="K2357" s="3" t="s">
        <v>22</v>
      </c>
    </row>
    <row r="2358" spans="1:11" ht="42" customHeight="1">
      <c r="A2358" s="2" t="s">
        <v>5261</v>
      </c>
      <c r="B2358" s="2" t="s">
        <v>5261</v>
      </c>
      <c r="C2358" s="2" t="s">
        <v>16</v>
      </c>
      <c r="D2358" s="2" t="s">
        <v>17</v>
      </c>
      <c r="E2358" s="5">
        <v>-31574</v>
      </c>
      <c r="F2358" s="3" t="s">
        <v>1343</v>
      </c>
      <c r="G2358" s="3" t="s">
        <v>313</v>
      </c>
      <c r="H2358" s="2" t="s">
        <v>20</v>
      </c>
      <c r="I2358" s="2" t="s">
        <v>5265</v>
      </c>
      <c r="J2358" s="3" t="str">
        <f>HYPERLINK("https://www.boe.es/gazeta/dias/1813/07/20/pdfs/GMR-1813-19.pdf#page=9","Abrir facsímil")</f>
        <v>Abrir facsímil</v>
      </c>
      <c r="K2358" s="3" t="s">
        <v>22</v>
      </c>
    </row>
    <row r="2359" spans="1:11" ht="42" customHeight="1">
      <c r="A2359" s="2" t="s">
        <v>5266</v>
      </c>
      <c r="B2359" s="2" t="s">
        <v>5266</v>
      </c>
      <c r="C2359" s="2" t="s">
        <v>16</v>
      </c>
      <c r="D2359" s="2" t="s">
        <v>17</v>
      </c>
      <c r="E2359" s="5">
        <v>-31588</v>
      </c>
      <c r="F2359" s="3" t="s">
        <v>2402</v>
      </c>
      <c r="G2359" s="3" t="s">
        <v>58</v>
      </c>
      <c r="H2359" s="2" t="s">
        <v>20</v>
      </c>
      <c r="I2359" s="2" t="s">
        <v>5267</v>
      </c>
      <c r="J2359" s="3" t="str">
        <f>HYPERLINK("https://www.boe.es/gazeta/dias/1813/07/06/pdfs/GRE-1813-84.pdf#page=2","Abrir facsímil")</f>
        <v>Abrir facsímil</v>
      </c>
      <c r="K2359" s="3" t="s">
        <v>22</v>
      </c>
    </row>
    <row r="2360" spans="1:11" ht="42" customHeight="1">
      <c r="A2360" s="2" t="s">
        <v>5266</v>
      </c>
      <c r="B2360" s="2" t="s">
        <v>5266</v>
      </c>
      <c r="C2360" s="2" t="s">
        <v>16</v>
      </c>
      <c r="D2360" s="2" t="s">
        <v>17</v>
      </c>
      <c r="E2360" s="5">
        <v>-31578</v>
      </c>
      <c r="F2360" s="3" t="s">
        <v>974</v>
      </c>
      <c r="G2360" s="3" t="s">
        <v>2367</v>
      </c>
      <c r="H2360" s="2" t="s">
        <v>20</v>
      </c>
      <c r="I2360" s="2" t="s">
        <v>5268</v>
      </c>
      <c r="J2360" s="3" t="str">
        <f>HYPERLINK("https://www.boe.es/gazeta/dias/1813/07/16/pdfs/GMR-1813-18.pdf#page=6","Abrir facsímil")</f>
        <v>Abrir facsímil</v>
      </c>
      <c r="K2360" s="3" t="s">
        <v>22</v>
      </c>
    </row>
    <row r="2361" spans="1:11" ht="42" customHeight="1">
      <c r="A2361" s="2" t="s">
        <v>5269</v>
      </c>
      <c r="B2361" s="2" t="s">
        <v>5270</v>
      </c>
      <c r="C2361" s="2" t="s">
        <v>16</v>
      </c>
      <c r="D2361" s="2" t="s">
        <v>17</v>
      </c>
      <c r="E2361" s="5">
        <v>-31582</v>
      </c>
      <c r="F2361" s="3" t="s">
        <v>907</v>
      </c>
      <c r="G2361" s="3" t="s">
        <v>28</v>
      </c>
      <c r="H2361" s="2" t="s">
        <v>20</v>
      </c>
      <c r="I2361" s="2" t="s">
        <v>5271</v>
      </c>
      <c r="J2361" s="3" t="str">
        <f>HYPERLINK("https://www.boe.es/gazeta/dias/1813/07/12/pdfs/GRE-1813-87.pdf#page=8","Abrir facsímil")</f>
        <v>Abrir facsímil</v>
      </c>
      <c r="K2361" s="3" t="s">
        <v>22</v>
      </c>
    </row>
    <row r="2362" spans="1:11" ht="42" customHeight="1">
      <c r="A2362" s="2" t="s">
        <v>5272</v>
      </c>
      <c r="B2362" s="2" t="s">
        <v>5272</v>
      </c>
      <c r="C2362" s="2" t="s">
        <v>16</v>
      </c>
      <c r="D2362" s="2" t="s">
        <v>17</v>
      </c>
      <c r="E2362" s="5">
        <v>-31647</v>
      </c>
      <c r="F2362" s="3" t="s">
        <v>5110</v>
      </c>
      <c r="G2362" s="3" t="s">
        <v>54</v>
      </c>
      <c r="H2362" s="2" t="s">
        <v>20</v>
      </c>
      <c r="I2362" s="2" t="s">
        <v>5273</v>
      </c>
      <c r="J2362" s="3" t="str">
        <f>HYPERLINK("https://www.boe.es/gazeta/dias/1813/05/08/pdfs/GMD-1813-128.pdf#page=3","Abrir facsímil")</f>
        <v>Abrir facsímil</v>
      </c>
      <c r="K2362" s="3" t="s">
        <v>22</v>
      </c>
    </row>
    <row r="2363" spans="1:11" ht="42" customHeight="1">
      <c r="A2363" s="2" t="s">
        <v>5272</v>
      </c>
      <c r="B2363" s="2" t="s">
        <v>5272</v>
      </c>
      <c r="C2363" s="2" t="s">
        <v>16</v>
      </c>
      <c r="D2363" s="2" t="s">
        <v>17</v>
      </c>
      <c r="E2363" s="5">
        <v>-31637</v>
      </c>
      <c r="F2363" s="3" t="s">
        <v>855</v>
      </c>
      <c r="G2363" s="3" t="s">
        <v>58</v>
      </c>
      <c r="H2363" s="2" t="s">
        <v>20</v>
      </c>
      <c r="I2363" s="2" t="s">
        <v>5274</v>
      </c>
      <c r="J2363" s="3" t="str">
        <f>HYPERLINK("https://www.boe.es/gazeta/dias/1813/05/18/pdfs/GMD-1813-138.pdf#page=2","Abrir facsímil")</f>
        <v>Abrir facsímil</v>
      </c>
      <c r="K2363" s="3" t="s">
        <v>22</v>
      </c>
    </row>
    <row r="2364" spans="1:11" ht="42" customHeight="1">
      <c r="A2364" s="2" t="s">
        <v>5275</v>
      </c>
      <c r="B2364" s="2" t="s">
        <v>5275</v>
      </c>
      <c r="C2364" s="2" t="s">
        <v>16</v>
      </c>
      <c r="D2364" s="2" t="s">
        <v>17</v>
      </c>
      <c r="E2364" s="5">
        <v>-31740</v>
      </c>
      <c r="F2364" s="3" t="s">
        <v>5259</v>
      </c>
      <c r="G2364" s="3" t="s">
        <v>58</v>
      </c>
      <c r="H2364" s="2" t="s">
        <v>20</v>
      </c>
      <c r="I2364" s="2" t="s">
        <v>5276</v>
      </c>
      <c r="J2364" s="3" t="str">
        <f>HYPERLINK("https://www.boe.es/gazeta/dias/1813/02/04/pdfs/GMD-1813-35.pdf#page=2","Abrir facsímil")</f>
        <v>Abrir facsímil</v>
      </c>
      <c r="K2364" s="3" t="s">
        <v>22</v>
      </c>
    </row>
    <row r="2365" spans="1:11" ht="42" customHeight="1">
      <c r="A2365" s="2" t="s">
        <v>5277</v>
      </c>
      <c r="B2365" s="2" t="s">
        <v>5277</v>
      </c>
      <c r="C2365" s="2" t="s">
        <v>16</v>
      </c>
      <c r="D2365" s="2" t="s">
        <v>17</v>
      </c>
      <c r="E2365" s="5">
        <v>-31476</v>
      </c>
      <c r="F2365" s="3" t="s">
        <v>158</v>
      </c>
      <c r="G2365" s="3" t="s">
        <v>58</v>
      </c>
      <c r="H2365" s="2" t="s">
        <v>20</v>
      </c>
      <c r="I2365" s="2" t="s">
        <v>5278</v>
      </c>
      <c r="J2365" s="3" t="str">
        <f>HYPERLINK("https://www.boe.es/gazeta/dias/1813/10/26/pdfs/GMR-1813-64.pdf#page=2","Abrir facsímil")</f>
        <v>Abrir facsímil</v>
      </c>
      <c r="K2365" s="3" t="s">
        <v>22</v>
      </c>
    </row>
    <row r="2366" spans="1:11" ht="42" customHeight="1">
      <c r="A2366" s="2" t="s">
        <v>5279</v>
      </c>
      <c r="B2366" s="2" t="s">
        <v>5279</v>
      </c>
      <c r="C2366" s="2" t="s">
        <v>16</v>
      </c>
      <c r="D2366" s="2" t="s">
        <v>17</v>
      </c>
      <c r="E2366" s="5">
        <v>-31585</v>
      </c>
      <c r="F2366" s="3" t="s">
        <v>177</v>
      </c>
      <c r="G2366" s="3" t="s">
        <v>313</v>
      </c>
      <c r="H2366" s="2" t="s">
        <v>20</v>
      </c>
      <c r="I2366" s="2" t="s">
        <v>5280</v>
      </c>
      <c r="J2366" s="3" t="str">
        <f>HYPERLINK("https://www.boe.es/gazeta/dias/1813/07/09/pdfs/GMR-1813-16.pdf#page=9","Abrir facsímil")</f>
        <v>Abrir facsímil</v>
      </c>
      <c r="K2366" s="3" t="s">
        <v>22</v>
      </c>
    </row>
    <row r="2367" spans="1:11" ht="42" customHeight="1">
      <c r="A2367" s="2" t="s">
        <v>5281</v>
      </c>
      <c r="B2367" s="2" t="s">
        <v>5281</v>
      </c>
      <c r="C2367" s="2" t="s">
        <v>16</v>
      </c>
      <c r="D2367" s="2" t="s">
        <v>17</v>
      </c>
      <c r="E2367" s="5">
        <v>-31592</v>
      </c>
      <c r="F2367" s="3" t="s">
        <v>175</v>
      </c>
      <c r="G2367" s="3" t="s">
        <v>54</v>
      </c>
      <c r="H2367" s="2" t="s">
        <v>20</v>
      </c>
      <c r="I2367" s="2" t="s">
        <v>5282</v>
      </c>
      <c r="J2367" s="3" t="str">
        <f>HYPERLINK("https://www.boe.es/gazeta/dias/1813/07/02/pdfs/GRE-1813-82.pdf#page=3","Abrir facsímil")</f>
        <v>Abrir facsímil</v>
      </c>
      <c r="K2367" s="3" t="s">
        <v>22</v>
      </c>
    </row>
    <row r="2368" spans="1:11" ht="42" customHeight="1">
      <c r="A2368" s="2" t="s">
        <v>5283</v>
      </c>
      <c r="B2368" s="2" t="s">
        <v>5284</v>
      </c>
      <c r="C2368" s="2" t="s">
        <v>16</v>
      </c>
      <c r="D2368" s="2" t="s">
        <v>17</v>
      </c>
      <c r="E2368" s="5">
        <v>-31614</v>
      </c>
      <c r="F2368" s="3" t="s">
        <v>498</v>
      </c>
      <c r="G2368" s="3" t="s">
        <v>82</v>
      </c>
      <c r="H2368" s="2" t="s">
        <v>29</v>
      </c>
      <c r="I2368" s="2" t="s">
        <v>5285</v>
      </c>
      <c r="J2368" s="3" t="str">
        <f>HYPERLINK("https://www.boe.es/gazeta/dias/1813/06/10/pdfs/GRE-1813-72.pdf#page=5","Abrir facsímil")</f>
        <v>Abrir facsímil</v>
      </c>
      <c r="K2368" s="3" t="s">
        <v>31</v>
      </c>
    </row>
    <row r="2369" spans="1:11" ht="42" customHeight="1">
      <c r="A2369" s="2" t="s">
        <v>5286</v>
      </c>
      <c r="B2369" s="2" t="s">
        <v>5286</v>
      </c>
      <c r="C2369" s="2" t="s">
        <v>16</v>
      </c>
      <c r="D2369" s="2" t="s">
        <v>17</v>
      </c>
      <c r="E2369" s="5">
        <v>-31413</v>
      </c>
      <c r="F2369" s="3" t="s">
        <v>149</v>
      </c>
      <c r="G2369" s="3" t="s">
        <v>65</v>
      </c>
      <c r="H2369" s="2" t="s">
        <v>20</v>
      </c>
      <c r="I2369" s="2" t="s">
        <v>5287</v>
      </c>
      <c r="J2369" s="3" t="str">
        <f>HYPERLINK("https://www.boe.es/gazeta/dias/1813/12/28/pdfs/GMR-1813-93.pdf#page=1","Abrir facsímil")</f>
        <v>Abrir facsímil</v>
      </c>
      <c r="K2369" s="3" t="s">
        <v>22</v>
      </c>
    </row>
    <row r="2370" spans="1:11" ht="42" customHeight="1">
      <c r="A2370" s="2" t="s">
        <v>5288</v>
      </c>
      <c r="B2370" s="2" t="s">
        <v>5288</v>
      </c>
      <c r="C2370" s="2" t="s">
        <v>16</v>
      </c>
      <c r="D2370" s="2" t="s">
        <v>17</v>
      </c>
      <c r="E2370" s="5">
        <v>-31654</v>
      </c>
      <c r="F2370" s="3" t="s">
        <v>1519</v>
      </c>
      <c r="G2370" s="3" t="s">
        <v>5100</v>
      </c>
      <c r="H2370" s="2" t="s">
        <v>20</v>
      </c>
      <c r="I2370" s="2" t="s">
        <v>5289</v>
      </c>
      <c r="J2370" s="3" t="str">
        <f>HYPERLINK("https://www.boe.es/gazeta/dias/1813/05/01/pdfs/GRE-1813-54.pdf#page=4","Abrir facsímil")</f>
        <v>Abrir facsímil</v>
      </c>
      <c r="K2370" s="3" t="s">
        <v>22</v>
      </c>
    </row>
    <row r="2371" spans="1:11" ht="42" customHeight="1">
      <c r="A2371" s="2" t="s">
        <v>5290</v>
      </c>
      <c r="B2371" s="2" t="s">
        <v>5290</v>
      </c>
      <c r="C2371" s="2" t="s">
        <v>16</v>
      </c>
      <c r="D2371" s="2" t="s">
        <v>17</v>
      </c>
      <c r="E2371" s="5">
        <v>-31642</v>
      </c>
      <c r="F2371" s="3" t="s">
        <v>582</v>
      </c>
      <c r="G2371" s="3" t="s">
        <v>58</v>
      </c>
      <c r="H2371" s="2" t="s">
        <v>20</v>
      </c>
      <c r="I2371" s="2" t="s">
        <v>5291</v>
      </c>
      <c r="J2371" s="3" t="str">
        <f>HYPERLINK("https://www.boe.es/gazeta/dias/1813/05/13/pdfs/GRE-1813-59.pdf#page=2","Abrir facsímil")</f>
        <v>Abrir facsímil</v>
      </c>
      <c r="K2371" s="3" t="s">
        <v>22</v>
      </c>
    </row>
    <row r="2372" spans="1:11" ht="42" customHeight="1">
      <c r="A2372" s="2" t="s">
        <v>5292</v>
      </c>
      <c r="B2372" s="2" t="s">
        <v>5292</v>
      </c>
      <c r="C2372" s="2" t="s">
        <v>16</v>
      </c>
      <c r="D2372" s="2" t="s">
        <v>17</v>
      </c>
      <c r="E2372" s="5">
        <v>-31735</v>
      </c>
      <c r="F2372" s="3" t="s">
        <v>558</v>
      </c>
      <c r="G2372" s="3" t="s">
        <v>4591</v>
      </c>
      <c r="H2372" s="2" t="s">
        <v>20</v>
      </c>
      <c r="I2372" s="2" t="s">
        <v>5293</v>
      </c>
      <c r="J2372" s="3" t="str">
        <f>HYPERLINK("https://www.boe.es/gazeta/dias/1813/02/09/pdfs/GRE-1813-17.pdf#page=6","Abrir facsímil")</f>
        <v>Abrir facsímil</v>
      </c>
      <c r="K2372" s="3" t="s">
        <v>22</v>
      </c>
    </row>
    <row r="2373" spans="1:11" ht="42" customHeight="1">
      <c r="A2373" s="2" t="s">
        <v>5292</v>
      </c>
      <c r="B2373" s="2" t="s">
        <v>5292</v>
      </c>
      <c r="C2373" s="2" t="s">
        <v>16</v>
      </c>
      <c r="D2373" s="2" t="s">
        <v>17</v>
      </c>
      <c r="E2373" s="5">
        <v>-31728</v>
      </c>
      <c r="F2373" s="3" t="s">
        <v>1434</v>
      </c>
      <c r="G2373" s="3" t="s">
        <v>95</v>
      </c>
      <c r="H2373" s="2" t="s">
        <v>20</v>
      </c>
      <c r="I2373" s="2" t="s">
        <v>5294</v>
      </c>
      <c r="J2373" s="3" t="str">
        <f>HYPERLINK("https://www.boe.es/gazeta/dias/1813/02/16/pdfs/GRE-1813-20.pdf#page=6","Abrir facsímil")</f>
        <v>Abrir facsímil</v>
      </c>
      <c r="K2373" s="3" t="s">
        <v>22</v>
      </c>
    </row>
    <row r="2374" spans="1:11" ht="42" customHeight="1">
      <c r="A2374" s="2" t="s">
        <v>5292</v>
      </c>
      <c r="B2374" s="2" t="s">
        <v>5292</v>
      </c>
      <c r="C2374" s="2" t="s">
        <v>16</v>
      </c>
      <c r="D2374" s="2" t="s">
        <v>17</v>
      </c>
      <c r="E2374" s="5">
        <v>-31726</v>
      </c>
      <c r="F2374" s="3" t="s">
        <v>533</v>
      </c>
      <c r="G2374" s="3" t="s">
        <v>3365</v>
      </c>
      <c r="H2374" s="2" t="s">
        <v>20</v>
      </c>
      <c r="I2374" s="2" t="s">
        <v>5295</v>
      </c>
      <c r="J2374" s="3" t="str">
        <f>HYPERLINK("https://www.boe.es/gazeta/dias/1813/02/18/pdfs/GRE-1813-21.pdf#page=2","Abrir facsímil")</f>
        <v>Abrir facsímil</v>
      </c>
      <c r="K2374" s="3" t="s">
        <v>22</v>
      </c>
    </row>
    <row r="2375" spans="1:11" ht="42" customHeight="1">
      <c r="A2375" s="2" t="s">
        <v>5296</v>
      </c>
      <c r="B2375" s="2" t="s">
        <v>5296</v>
      </c>
      <c r="C2375" s="2" t="s">
        <v>16</v>
      </c>
      <c r="D2375" s="2" t="s">
        <v>17</v>
      </c>
      <c r="E2375" s="5">
        <v>-31602</v>
      </c>
      <c r="F2375" s="3" t="s">
        <v>4545</v>
      </c>
      <c r="G2375" s="3" t="s">
        <v>58</v>
      </c>
      <c r="H2375" s="2" t="s">
        <v>20</v>
      </c>
      <c r="I2375" s="2" t="s">
        <v>5297</v>
      </c>
      <c r="J2375" s="3" t="str">
        <f>HYPERLINK("https://www.boe.es/gazeta/dias/1813/06/22/pdfs/GRE-1813-77.pdf#page=2","Abrir facsímil")</f>
        <v>Abrir facsímil</v>
      </c>
      <c r="K2375" s="3" t="s">
        <v>22</v>
      </c>
    </row>
    <row r="2376" spans="1:11" ht="42" customHeight="1">
      <c r="A2376" s="2" t="s">
        <v>5298</v>
      </c>
      <c r="B2376" s="2" t="s">
        <v>5298</v>
      </c>
      <c r="C2376" s="2" t="s">
        <v>16</v>
      </c>
      <c r="D2376" s="2" t="s">
        <v>17</v>
      </c>
      <c r="E2376" s="5">
        <v>-31448</v>
      </c>
      <c r="F2376" s="3" t="s">
        <v>57</v>
      </c>
      <c r="G2376" s="3" t="s">
        <v>54</v>
      </c>
      <c r="H2376" s="2" t="s">
        <v>20</v>
      </c>
      <c r="I2376" s="2" t="s">
        <v>5299</v>
      </c>
      <c r="J2376" s="3" t="str">
        <f>HYPERLINK("https://www.boe.es/gazeta/dias/1813/11/23/pdfs/GRE-1813-153.pdf#page=3","Abrir facsímil")</f>
        <v>Abrir facsímil</v>
      </c>
      <c r="K2376" s="3" t="s">
        <v>22</v>
      </c>
    </row>
    <row r="2377" spans="1:11" ht="42" customHeight="1">
      <c r="A2377" s="2" t="s">
        <v>5300</v>
      </c>
      <c r="B2377" s="2" t="s">
        <v>5300</v>
      </c>
      <c r="C2377" s="2" t="s">
        <v>16</v>
      </c>
      <c r="D2377" s="2" t="s">
        <v>17</v>
      </c>
      <c r="E2377" s="5">
        <v>-31735</v>
      </c>
      <c r="F2377" s="3" t="s">
        <v>558</v>
      </c>
      <c r="G2377" s="3" t="s">
        <v>4591</v>
      </c>
      <c r="H2377" s="2" t="s">
        <v>20</v>
      </c>
      <c r="I2377" s="2" t="s">
        <v>5301</v>
      </c>
      <c r="J2377" s="3" t="str">
        <f>HYPERLINK("https://www.boe.es/gazeta/dias/1813/02/09/pdfs/GRE-1813-17.pdf#page=6","Abrir facsímil")</f>
        <v>Abrir facsímil</v>
      </c>
      <c r="K2377" s="3" t="s">
        <v>22</v>
      </c>
    </row>
    <row r="2378" spans="1:11" ht="42" customHeight="1">
      <c r="A2378" s="2" t="s">
        <v>5300</v>
      </c>
      <c r="B2378" s="2" t="s">
        <v>5300</v>
      </c>
      <c r="C2378" s="2" t="s">
        <v>16</v>
      </c>
      <c r="D2378" s="2" t="s">
        <v>17</v>
      </c>
      <c r="E2378" s="5">
        <v>-31691</v>
      </c>
      <c r="F2378" s="3" t="s">
        <v>1542</v>
      </c>
      <c r="G2378" s="3" t="s">
        <v>2110</v>
      </c>
      <c r="H2378" s="2" t="s">
        <v>20</v>
      </c>
      <c r="I2378" s="2" t="s">
        <v>5302</v>
      </c>
      <c r="J2378" s="3" t="str">
        <f>HYPERLINK("https://www.boe.es/gazeta/dias/1813/03/25/pdfs/GRE-1813-37.pdf#page=4","Abrir facsímil")</f>
        <v>Abrir facsímil</v>
      </c>
      <c r="K2378" s="3" t="s">
        <v>22</v>
      </c>
    </row>
    <row r="2379" spans="1:11" ht="42" customHeight="1">
      <c r="A2379" s="2" t="s">
        <v>5300</v>
      </c>
      <c r="B2379" s="2" t="s">
        <v>5300</v>
      </c>
      <c r="C2379" s="2" t="s">
        <v>16</v>
      </c>
      <c r="D2379" s="2" t="s">
        <v>17</v>
      </c>
      <c r="E2379" s="5">
        <v>-31686</v>
      </c>
      <c r="F2379" s="3" t="s">
        <v>372</v>
      </c>
      <c r="G2379" s="3" t="s">
        <v>54</v>
      </c>
      <c r="H2379" s="2" t="s">
        <v>20</v>
      </c>
      <c r="I2379" s="2" t="s">
        <v>5303</v>
      </c>
      <c r="J2379" s="3" t="str">
        <f>HYPERLINK("https://www.boe.es/gazeta/dias/1813/03/30/pdfs/GRE-1813-39.pdf#page=3","Abrir facsímil")</f>
        <v>Abrir facsímil</v>
      </c>
      <c r="K2379" s="3" t="s">
        <v>22</v>
      </c>
    </row>
    <row r="2380" spans="1:11" ht="42" customHeight="1">
      <c r="A2380" s="2" t="s">
        <v>5300</v>
      </c>
      <c r="B2380" s="2" t="s">
        <v>5300</v>
      </c>
      <c r="C2380" s="2" t="s">
        <v>16</v>
      </c>
      <c r="D2380" s="2" t="s">
        <v>17</v>
      </c>
      <c r="E2380" s="5">
        <v>-31658</v>
      </c>
      <c r="F2380" s="3" t="s">
        <v>1113</v>
      </c>
      <c r="G2380" s="3" t="s">
        <v>19</v>
      </c>
      <c r="H2380" s="2" t="s">
        <v>20</v>
      </c>
      <c r="I2380" s="2" t="s">
        <v>5304</v>
      </c>
      <c r="J2380" s="3" t="str">
        <f>HYPERLINK("https://www.boe.es/gazeta/dias/1813/04/27/pdfs/GRE-1813-52.pdf#page=4","Abrir facsímil")</f>
        <v>Abrir facsímil</v>
      </c>
      <c r="K2380" s="3" t="s">
        <v>22</v>
      </c>
    </row>
    <row r="2381" spans="1:11" ht="42" customHeight="1">
      <c r="A2381" s="2" t="s">
        <v>5300</v>
      </c>
      <c r="B2381" s="2" t="s">
        <v>5300</v>
      </c>
      <c r="C2381" s="2" t="s">
        <v>16</v>
      </c>
      <c r="D2381" s="2" t="s">
        <v>17</v>
      </c>
      <c r="E2381" s="5">
        <v>-31656</v>
      </c>
      <c r="F2381" s="3" t="s">
        <v>576</v>
      </c>
      <c r="G2381" s="3" t="s">
        <v>577</v>
      </c>
      <c r="H2381" s="2" t="s">
        <v>20</v>
      </c>
      <c r="I2381" s="2" t="s">
        <v>5305</v>
      </c>
      <c r="J2381" s="3" t="str">
        <f>HYPERLINK("https://www.boe.es/gazeta/dias/1813/04/29/pdfs/GRE-1813-53.pdf#page=2","Abrir facsímil")</f>
        <v>Abrir facsímil</v>
      </c>
      <c r="K2381" s="3" t="s">
        <v>22</v>
      </c>
    </row>
    <row r="2382" spans="1:11" ht="42" customHeight="1">
      <c r="A2382" s="2" t="s">
        <v>5300</v>
      </c>
      <c r="B2382" s="2" t="s">
        <v>5300</v>
      </c>
      <c r="C2382" s="2" t="s">
        <v>16</v>
      </c>
      <c r="D2382" s="2" t="s">
        <v>17</v>
      </c>
      <c r="E2382" s="5">
        <v>-31602</v>
      </c>
      <c r="F2382" s="3" t="s">
        <v>4545</v>
      </c>
      <c r="G2382" s="3" t="s">
        <v>58</v>
      </c>
      <c r="H2382" s="2" t="s">
        <v>20</v>
      </c>
      <c r="I2382" s="2" t="s">
        <v>5306</v>
      </c>
      <c r="J2382" s="3" t="str">
        <f>HYPERLINK("https://www.boe.es/gazeta/dias/1813/06/22/pdfs/GRE-1813-77.pdf#page=2","Abrir facsímil")</f>
        <v>Abrir facsímil</v>
      </c>
      <c r="K2382" s="3" t="s">
        <v>22</v>
      </c>
    </row>
    <row r="2383" spans="1:11" ht="42" customHeight="1">
      <c r="A2383" s="2" t="s">
        <v>5300</v>
      </c>
      <c r="B2383" s="2" t="s">
        <v>5300</v>
      </c>
      <c r="C2383" s="2" t="s">
        <v>16</v>
      </c>
      <c r="D2383" s="2" t="s">
        <v>17</v>
      </c>
      <c r="E2383" s="5">
        <v>-31600</v>
      </c>
      <c r="F2383" s="3" t="s">
        <v>2121</v>
      </c>
      <c r="G2383" s="3" t="s">
        <v>65</v>
      </c>
      <c r="H2383" s="2" t="s">
        <v>20</v>
      </c>
      <c r="I2383" s="2" t="s">
        <v>5307</v>
      </c>
      <c r="J2383" s="3" t="str">
        <f>HYPERLINK("https://www.boe.es/gazeta/dias/1813/06/24/pdfs/GRE-1813-78.pdf#page=1","Abrir facsímil")</f>
        <v>Abrir facsímil</v>
      </c>
      <c r="K2383" s="3" t="s">
        <v>22</v>
      </c>
    </row>
    <row r="2384" spans="1:11" ht="42" customHeight="1">
      <c r="A2384" s="2" t="s">
        <v>5300</v>
      </c>
      <c r="B2384" s="2" t="s">
        <v>5300</v>
      </c>
      <c r="C2384" s="2" t="s">
        <v>16</v>
      </c>
      <c r="D2384" s="2" t="s">
        <v>17</v>
      </c>
      <c r="E2384" s="5">
        <v>-31600</v>
      </c>
      <c r="F2384" s="3" t="s">
        <v>2121</v>
      </c>
      <c r="G2384" s="3" t="s">
        <v>58</v>
      </c>
      <c r="H2384" s="2" t="s">
        <v>20</v>
      </c>
      <c r="I2384" s="2" t="s">
        <v>5308</v>
      </c>
      <c r="J2384" s="3" t="str">
        <f>HYPERLINK("https://www.boe.es/gazeta/dias/1813/06/24/pdfs/GRE-1813-78.pdf#page=2","Abrir facsímil")</f>
        <v>Abrir facsímil</v>
      </c>
      <c r="K2384" s="3" t="s">
        <v>22</v>
      </c>
    </row>
    <row r="2385" spans="1:11" ht="42" customHeight="1">
      <c r="A2385" s="2" t="s">
        <v>5300</v>
      </c>
      <c r="B2385" s="2" t="s">
        <v>5300</v>
      </c>
      <c r="C2385" s="2" t="s">
        <v>16</v>
      </c>
      <c r="D2385" s="2" t="s">
        <v>17</v>
      </c>
      <c r="E2385" s="5">
        <v>-31479</v>
      </c>
      <c r="F2385" s="3" t="s">
        <v>2383</v>
      </c>
      <c r="G2385" s="3" t="s">
        <v>65</v>
      </c>
      <c r="H2385" s="2" t="s">
        <v>20</v>
      </c>
      <c r="I2385" s="2" t="s">
        <v>5309</v>
      </c>
      <c r="J2385" s="3" t="str">
        <f>HYPERLINK("https://www.boe.es/gazeta/dias/1813/10/23/pdfs/GRE-1813-138.pdf#page=1","Abrir facsímil")</f>
        <v>Abrir facsímil</v>
      </c>
      <c r="K2385" s="3" t="s">
        <v>22</v>
      </c>
    </row>
    <row r="2386" spans="1:11" ht="42" customHeight="1">
      <c r="A2386" s="2" t="s">
        <v>5300</v>
      </c>
      <c r="B2386" s="2" t="s">
        <v>5300</v>
      </c>
      <c r="C2386" s="2" t="s">
        <v>16</v>
      </c>
      <c r="D2386" s="2" t="s">
        <v>97</v>
      </c>
      <c r="E2386" s="5">
        <v>-31446</v>
      </c>
      <c r="F2386" s="3" t="s">
        <v>1877</v>
      </c>
      <c r="G2386" s="3" t="s">
        <v>58</v>
      </c>
      <c r="H2386" s="2" t="s">
        <v>20</v>
      </c>
      <c r="I2386" s="2" t="s">
        <v>5310</v>
      </c>
      <c r="J2386" s="3" t="str">
        <f>HYPERLINK("https://www.boe.es/gazeta/dias/1813/11/25/pdfs/GRE-1813-155E.pdf#page=2","Abrir facsímil")</f>
        <v>Abrir facsímil</v>
      </c>
      <c r="K2386" s="3" t="s">
        <v>22</v>
      </c>
    </row>
    <row r="2387" spans="1:11" ht="42" customHeight="1">
      <c r="A2387" s="2" t="s">
        <v>5311</v>
      </c>
      <c r="B2387" s="2" t="s">
        <v>5312</v>
      </c>
      <c r="C2387" s="2" t="s">
        <v>16</v>
      </c>
      <c r="D2387" s="2" t="s">
        <v>17</v>
      </c>
      <c r="E2387" s="5">
        <v>-31481</v>
      </c>
      <c r="F2387" s="3" t="s">
        <v>40</v>
      </c>
      <c r="G2387" s="3" t="s">
        <v>95</v>
      </c>
      <c r="H2387" s="2" t="s">
        <v>20</v>
      </c>
      <c r="I2387" s="2" t="s">
        <v>5313</v>
      </c>
      <c r="J2387" s="3" t="str">
        <f>HYPERLINK("https://www.boe.es/gazeta/dias/1813/10/21/pdfs/GMR-1813-62.pdf#page=6","Abrir facsímil")</f>
        <v>Abrir facsímil</v>
      </c>
      <c r="K2387" s="3" t="s">
        <v>22</v>
      </c>
    </row>
    <row r="2388" spans="1:11" ht="42" customHeight="1">
      <c r="A2388" s="2" t="s">
        <v>5314</v>
      </c>
      <c r="B2388" s="2" t="s">
        <v>5314</v>
      </c>
      <c r="C2388" s="2" t="s">
        <v>16</v>
      </c>
      <c r="D2388" s="2" t="s">
        <v>17</v>
      </c>
      <c r="E2388" s="5">
        <v>-31728</v>
      </c>
      <c r="F2388" s="3" t="s">
        <v>1434</v>
      </c>
      <c r="G2388" s="3" t="s">
        <v>54</v>
      </c>
      <c r="H2388" s="2" t="s">
        <v>20</v>
      </c>
      <c r="I2388" s="2" t="s">
        <v>5315</v>
      </c>
      <c r="J2388" s="3" t="str">
        <f>HYPERLINK("https://www.boe.es/gazeta/dias/1813/02/16/pdfs/GRE-1813-20.pdf#page=3","Abrir facsímil")</f>
        <v>Abrir facsímil</v>
      </c>
      <c r="K2388" s="3" t="s">
        <v>22</v>
      </c>
    </row>
    <row r="2389" spans="1:11" ht="42" customHeight="1">
      <c r="A2389" s="2" t="s">
        <v>5316</v>
      </c>
      <c r="B2389" s="2" t="s">
        <v>5317</v>
      </c>
      <c r="C2389" s="2" t="s">
        <v>16</v>
      </c>
      <c r="D2389" s="2" t="s">
        <v>17</v>
      </c>
      <c r="E2389" s="5">
        <v>-31476</v>
      </c>
      <c r="F2389" s="3" t="s">
        <v>158</v>
      </c>
      <c r="G2389" s="3" t="s">
        <v>95</v>
      </c>
      <c r="H2389" s="2" t="s">
        <v>20</v>
      </c>
      <c r="I2389" s="2" t="s">
        <v>5318</v>
      </c>
      <c r="J2389" s="3" t="str">
        <f>HYPERLINK("https://www.boe.es/gazeta/dias/1813/10/26/pdfs/GMR-1813-64.pdf#page=6","Abrir facsímil")</f>
        <v>Abrir facsímil</v>
      </c>
      <c r="K2389" s="3" t="s">
        <v>22</v>
      </c>
    </row>
    <row r="2390" spans="1:11" ht="42" customHeight="1">
      <c r="A2390" s="2" t="s">
        <v>5319</v>
      </c>
      <c r="B2390" s="2" t="s">
        <v>5319</v>
      </c>
      <c r="C2390" s="2" t="s">
        <v>16</v>
      </c>
      <c r="D2390" s="2" t="s">
        <v>17</v>
      </c>
      <c r="E2390" s="5">
        <v>-31763</v>
      </c>
      <c r="F2390" s="3" t="s">
        <v>668</v>
      </c>
      <c r="G2390" s="3" t="s">
        <v>82</v>
      </c>
      <c r="H2390" s="2" t="s">
        <v>20</v>
      </c>
      <c r="I2390" s="2" t="s">
        <v>5320</v>
      </c>
      <c r="J2390" s="3" t="str">
        <f>HYPERLINK("https://www.boe.es/gazeta/dias/1813/01/12/pdfs/GRE-1813-5.pdf#page=5","Abrir facsímil")</f>
        <v>Abrir facsímil</v>
      </c>
      <c r="K2390" s="3" t="s">
        <v>22</v>
      </c>
    </row>
    <row r="2391" spans="1:11" ht="42" customHeight="1">
      <c r="A2391" s="2" t="s">
        <v>5321</v>
      </c>
      <c r="B2391" s="2" t="s">
        <v>5321</v>
      </c>
      <c r="C2391" s="2" t="s">
        <v>16</v>
      </c>
      <c r="D2391" s="2" t="s">
        <v>17</v>
      </c>
      <c r="E2391" s="5">
        <v>-31724</v>
      </c>
      <c r="F2391" s="3" t="s">
        <v>684</v>
      </c>
      <c r="G2391" s="3" t="s">
        <v>54</v>
      </c>
      <c r="H2391" s="2" t="s">
        <v>20</v>
      </c>
      <c r="I2391" s="2" t="s">
        <v>5322</v>
      </c>
      <c r="J2391" s="3" t="str">
        <f>HYPERLINK("https://www.boe.es/gazeta/dias/1813/02/20/pdfs/GMD-1813-51.pdf#page=3","Abrir facsímil")</f>
        <v>Abrir facsímil</v>
      </c>
      <c r="K2391" s="3" t="s">
        <v>22</v>
      </c>
    </row>
    <row r="2392" spans="1:11" ht="42" customHeight="1">
      <c r="A2392" s="2" t="s">
        <v>5323</v>
      </c>
      <c r="B2392" s="2" t="s">
        <v>5323</v>
      </c>
      <c r="C2392" s="2" t="s">
        <v>16</v>
      </c>
      <c r="D2392" s="2" t="s">
        <v>17</v>
      </c>
      <c r="E2392" s="5">
        <v>-31504</v>
      </c>
      <c r="F2392" s="3" t="s">
        <v>1361</v>
      </c>
      <c r="G2392" s="3" t="s">
        <v>54</v>
      </c>
      <c r="H2392" s="2" t="s">
        <v>20</v>
      </c>
      <c r="I2392" s="2" t="s">
        <v>5324</v>
      </c>
      <c r="J2392" s="3" t="str">
        <f>HYPERLINK("https://www.boe.es/gazeta/dias/1813/09/28/pdfs/GMR-1813-50.pdf#page=3","Abrir facsímil")</f>
        <v>Abrir facsímil</v>
      </c>
      <c r="K2392" s="3" t="s">
        <v>22</v>
      </c>
    </row>
    <row r="2393" spans="1:11" ht="42" customHeight="1">
      <c r="A2393" s="2" t="s">
        <v>5323</v>
      </c>
      <c r="B2393" s="2" t="s">
        <v>5323</v>
      </c>
      <c r="C2393" s="2" t="s">
        <v>16</v>
      </c>
      <c r="D2393" s="2" t="s">
        <v>17</v>
      </c>
      <c r="E2393" s="5">
        <v>-31502</v>
      </c>
      <c r="F2393" s="3" t="s">
        <v>1363</v>
      </c>
      <c r="G2393" s="3" t="s">
        <v>19</v>
      </c>
      <c r="H2393" s="2" t="s">
        <v>20</v>
      </c>
      <c r="I2393" s="2" t="s">
        <v>5325</v>
      </c>
      <c r="J2393" s="3" t="str">
        <f>HYPERLINK("https://www.boe.es/gazeta/dias/1813/09/30/pdfs/GRE-1813-128.pdf#page=4","Abrir facsímil")</f>
        <v>Abrir facsímil</v>
      </c>
      <c r="K2393" s="3" t="s">
        <v>22</v>
      </c>
    </row>
    <row r="2394" spans="1:11" ht="42" customHeight="1">
      <c r="A2394" s="2" t="s">
        <v>5326</v>
      </c>
      <c r="B2394" s="2" t="s">
        <v>5327</v>
      </c>
      <c r="C2394" s="2" t="s">
        <v>16</v>
      </c>
      <c r="D2394" s="2" t="s">
        <v>17</v>
      </c>
      <c r="E2394" s="5">
        <v>-31766</v>
      </c>
      <c r="F2394" s="3" t="s">
        <v>1356</v>
      </c>
      <c r="G2394" s="3" t="s">
        <v>87</v>
      </c>
      <c r="H2394" s="2" t="s">
        <v>20</v>
      </c>
      <c r="I2394" s="2" t="s">
        <v>5328</v>
      </c>
      <c r="J2394" s="3" t="str">
        <f>HYPERLINK("https://www.boe.es/gazeta/dias/1813/01/09/pdfs/GRE-1813-4.pdf#page=7","Abrir facsímil")</f>
        <v>Abrir facsímil</v>
      </c>
      <c r="K2394" s="3" t="s">
        <v>22</v>
      </c>
    </row>
    <row r="2395" spans="1:11" ht="42" customHeight="1">
      <c r="A2395" s="2" t="s">
        <v>5329</v>
      </c>
      <c r="B2395" s="2" t="s">
        <v>5329</v>
      </c>
      <c r="C2395" s="2" t="s">
        <v>16</v>
      </c>
      <c r="D2395" s="2" t="s">
        <v>17</v>
      </c>
      <c r="E2395" s="5">
        <v>-31439</v>
      </c>
      <c r="F2395" s="3" t="s">
        <v>3821</v>
      </c>
      <c r="G2395" s="3" t="s">
        <v>65</v>
      </c>
      <c r="H2395" s="2" t="s">
        <v>20</v>
      </c>
      <c r="I2395" s="2" t="s">
        <v>5330</v>
      </c>
      <c r="J2395" s="3" t="str">
        <f>HYPERLINK("https://www.boe.es/gazeta/dias/1813/12/02/pdfs/GRE-1813-159.pdf#page=1","Abrir facsímil")</f>
        <v>Abrir facsímil</v>
      </c>
      <c r="K2395" s="3" t="s">
        <v>22</v>
      </c>
    </row>
    <row r="2396" spans="1:11" ht="42" customHeight="1">
      <c r="A2396" s="2" t="s">
        <v>5331</v>
      </c>
      <c r="B2396" s="2" t="s">
        <v>5331</v>
      </c>
      <c r="C2396" s="2" t="s">
        <v>16</v>
      </c>
      <c r="D2396" s="2" t="s">
        <v>17</v>
      </c>
      <c r="E2396" s="5">
        <v>-31669</v>
      </c>
      <c r="F2396" s="3" t="s">
        <v>1570</v>
      </c>
      <c r="G2396" s="3" t="s">
        <v>54</v>
      </c>
      <c r="H2396" s="2" t="s">
        <v>20</v>
      </c>
      <c r="I2396" s="2" t="s">
        <v>5332</v>
      </c>
      <c r="J2396" s="3" t="str">
        <f>HYPERLINK("https://www.boe.es/gazeta/dias/1813/04/16/pdfs/GMD-1813-106.pdf#page=3","Abrir facsímil")</f>
        <v>Abrir facsímil</v>
      </c>
      <c r="K2396" s="3" t="s">
        <v>22</v>
      </c>
    </row>
    <row r="2397" spans="1:11" ht="42" customHeight="1">
      <c r="A2397" s="2" t="s">
        <v>5333</v>
      </c>
      <c r="B2397" s="2" t="s">
        <v>5334</v>
      </c>
      <c r="C2397" s="2" t="s">
        <v>16</v>
      </c>
      <c r="D2397" s="2" t="s">
        <v>17</v>
      </c>
      <c r="E2397" s="5">
        <v>-31535</v>
      </c>
      <c r="F2397" s="3" t="s">
        <v>366</v>
      </c>
      <c r="G2397" s="3" t="s">
        <v>5335</v>
      </c>
      <c r="H2397" s="2" t="s">
        <v>20</v>
      </c>
      <c r="I2397" s="2" t="s">
        <v>5336</v>
      </c>
      <c r="J2397" s="3" t="str">
        <f>HYPERLINK("https://www.boe.es/gazeta/dias/1813/08/28/pdfs/GRE-1813-110.pdf#page=5","Abrir facsímil")</f>
        <v>Abrir facsímil</v>
      </c>
      <c r="K2397" s="3" t="s">
        <v>22</v>
      </c>
    </row>
    <row r="2398" spans="1:11" ht="42" customHeight="1">
      <c r="A2398" s="2" t="s">
        <v>5337</v>
      </c>
      <c r="B2398" s="2" t="s">
        <v>5338</v>
      </c>
      <c r="C2398" s="2" t="s">
        <v>69</v>
      </c>
      <c r="D2398" s="2" t="s">
        <v>26</v>
      </c>
      <c r="E2398" s="5">
        <v>-31420</v>
      </c>
      <c r="F2398" s="3" t="s">
        <v>145</v>
      </c>
      <c r="G2398" s="3" t="s">
        <v>5339</v>
      </c>
      <c r="H2398" s="2" t="s">
        <v>20</v>
      </c>
      <c r="I2398" s="2" t="s">
        <v>5340</v>
      </c>
      <c r="J2398" s="3" t="str">
        <f>HYPERLINK("https://www.boe.es/gazeta/dias/1813/12/21/pdfs/GMR-1813-90.pdf#page=12","Abrir facsímil")</f>
        <v>Abrir facsímil</v>
      </c>
      <c r="K2398" s="3" t="s">
        <v>22</v>
      </c>
    </row>
    <row r="2399" spans="1:11" ht="42" customHeight="1">
      <c r="A2399" s="2" t="s">
        <v>5341</v>
      </c>
      <c r="B2399" s="2" t="s">
        <v>5342</v>
      </c>
      <c r="C2399" s="2" t="s">
        <v>25</v>
      </c>
      <c r="D2399" s="2" t="s">
        <v>26</v>
      </c>
      <c r="E2399" s="5">
        <v>-31752</v>
      </c>
      <c r="F2399" s="3" t="s">
        <v>182</v>
      </c>
      <c r="G2399" s="3" t="s">
        <v>183</v>
      </c>
      <c r="H2399" s="2" t="s">
        <v>20</v>
      </c>
      <c r="I2399" s="2" t="s">
        <v>5343</v>
      </c>
      <c r="J2399" s="3" t="str">
        <f>HYPERLINK("https://www.boe.es/gazeta/dias/1813/01/23/pdfs/GRE-1813-10.pdf#page=8","Abrir facsímil")</f>
        <v>Abrir facsímil</v>
      </c>
      <c r="K2399" s="3" t="s">
        <v>22</v>
      </c>
    </row>
    <row r="2400" spans="1:11" ht="42" customHeight="1">
      <c r="A2400" s="2" t="s">
        <v>5344</v>
      </c>
      <c r="B2400" s="2" t="s">
        <v>5345</v>
      </c>
      <c r="C2400" s="2" t="s">
        <v>34</v>
      </c>
      <c r="D2400" s="2" t="s">
        <v>35</v>
      </c>
      <c r="E2400" s="5">
        <v>-31709</v>
      </c>
      <c r="F2400" s="3" t="s">
        <v>36</v>
      </c>
      <c r="G2400" s="3" t="s">
        <v>19</v>
      </c>
      <c r="H2400" s="2" t="s">
        <v>20</v>
      </c>
      <c r="I2400" s="2" t="s">
        <v>5346</v>
      </c>
      <c r="J2400" s="3" t="str">
        <f>HYPERLINK("https://www.boe.es/gazeta/dias/1813/03/07/pdfs/GMD-1813-66.pdf#page=4","Abrir facsímil")</f>
        <v>Abrir facsímil</v>
      </c>
      <c r="K2400" s="3" t="s">
        <v>22</v>
      </c>
    </row>
    <row r="2401" spans="1:11" ht="42" customHeight="1">
      <c r="A2401" s="2" t="s">
        <v>5347</v>
      </c>
      <c r="B2401" s="2" t="s">
        <v>5348</v>
      </c>
      <c r="C2401" s="2" t="s">
        <v>16</v>
      </c>
      <c r="D2401" s="2" t="s">
        <v>17</v>
      </c>
      <c r="E2401" s="5">
        <v>-31500</v>
      </c>
      <c r="F2401" s="3" t="s">
        <v>5349</v>
      </c>
      <c r="G2401" s="3" t="s">
        <v>28</v>
      </c>
      <c r="H2401" s="2" t="s">
        <v>20</v>
      </c>
      <c r="I2401" s="2" t="s">
        <v>5350</v>
      </c>
      <c r="J2401" s="3" t="str">
        <f>HYPERLINK("https://www.boe.es/gazeta/dias/1813/10/02/pdfs/GRE-1813-129.pdf#page=8","Abrir facsímil")</f>
        <v>Abrir facsímil</v>
      </c>
      <c r="K2401" s="3" t="s">
        <v>22</v>
      </c>
    </row>
    <row r="2402" spans="1:11" ht="42" customHeight="1">
      <c r="A2402" s="2" t="s">
        <v>5351</v>
      </c>
      <c r="B2402" s="2" t="s">
        <v>5351</v>
      </c>
      <c r="C2402" s="2" t="s">
        <v>16</v>
      </c>
      <c r="D2402" s="2" t="s">
        <v>17</v>
      </c>
      <c r="E2402" s="5">
        <v>-31663</v>
      </c>
      <c r="F2402" s="3" t="s">
        <v>871</v>
      </c>
      <c r="G2402" s="3" t="s">
        <v>19</v>
      </c>
      <c r="H2402" s="2" t="s">
        <v>20</v>
      </c>
      <c r="I2402" s="2" t="s">
        <v>5352</v>
      </c>
      <c r="J2402" s="3" t="str">
        <f>HYPERLINK("https://www.boe.es/gazeta/dias/1813/04/22/pdfs/GMD-1813-112.pdf#page=4","Abrir facsímil")</f>
        <v>Abrir facsímil</v>
      </c>
      <c r="K2402" s="3" t="s">
        <v>22</v>
      </c>
    </row>
    <row r="2403" spans="1:11" ht="42" customHeight="1">
      <c r="A2403" s="2" t="s">
        <v>5351</v>
      </c>
      <c r="B2403" s="2" t="s">
        <v>5351</v>
      </c>
      <c r="C2403" s="2" t="s">
        <v>16</v>
      </c>
      <c r="D2403" s="2" t="s">
        <v>17</v>
      </c>
      <c r="E2403" s="5">
        <v>-31659</v>
      </c>
      <c r="F2403" s="3" t="s">
        <v>3041</v>
      </c>
      <c r="G2403" s="3" t="s">
        <v>54</v>
      </c>
      <c r="H2403" s="2" t="s">
        <v>20</v>
      </c>
      <c r="I2403" s="2" t="s">
        <v>5353</v>
      </c>
      <c r="J2403" s="3" t="str">
        <f>HYPERLINK("https://www.boe.es/gazeta/dias/1813/04/26/pdfs/GMD-1813-116.pdf#page=3","Abrir facsímil")</f>
        <v>Abrir facsímil</v>
      </c>
      <c r="K2403" s="3" t="s">
        <v>22</v>
      </c>
    </row>
    <row r="2404" spans="1:11" ht="42" customHeight="1">
      <c r="A2404" s="2" t="s">
        <v>5354</v>
      </c>
      <c r="B2404" s="2" t="s">
        <v>5355</v>
      </c>
      <c r="C2404" s="2" t="s">
        <v>25</v>
      </c>
      <c r="D2404" s="2" t="s">
        <v>26</v>
      </c>
      <c r="E2404" s="5">
        <v>-31752</v>
      </c>
      <c r="F2404" s="3" t="s">
        <v>182</v>
      </c>
      <c r="G2404" s="3" t="s">
        <v>183</v>
      </c>
      <c r="H2404" s="2" t="s">
        <v>20</v>
      </c>
      <c r="I2404" s="2" t="s">
        <v>5356</v>
      </c>
      <c r="J2404" s="3" t="str">
        <f>HYPERLINK("https://www.boe.es/gazeta/dias/1813/01/23/pdfs/GRE-1813-10.pdf#page=8","Abrir facsímil")</f>
        <v>Abrir facsímil</v>
      </c>
      <c r="K2404" s="3" t="s">
        <v>22</v>
      </c>
    </row>
    <row r="2405" spans="1:11" ht="42" customHeight="1">
      <c r="A2405" s="2" t="s">
        <v>5357</v>
      </c>
      <c r="B2405" s="2" t="s">
        <v>5358</v>
      </c>
      <c r="C2405" s="2" t="s">
        <v>16</v>
      </c>
      <c r="D2405" s="2" t="s">
        <v>17</v>
      </c>
      <c r="E2405" s="5">
        <v>-31745</v>
      </c>
      <c r="F2405" s="3" t="s">
        <v>445</v>
      </c>
      <c r="G2405" s="3" t="s">
        <v>28</v>
      </c>
      <c r="H2405" s="2" t="s">
        <v>20</v>
      </c>
      <c r="I2405" s="2" t="s">
        <v>5359</v>
      </c>
      <c r="J2405" s="3" t="str">
        <f>HYPERLINK("https://www.boe.es/gazeta/dias/1813/01/30/pdfs/GRE-1813-13.pdf#page=8","Abrir facsímil")</f>
        <v>Abrir facsímil</v>
      </c>
      <c r="K2405" s="3" t="s">
        <v>22</v>
      </c>
    </row>
    <row r="2406" spans="1:11" ht="42" customHeight="1">
      <c r="A2406" s="2" t="s">
        <v>5360</v>
      </c>
      <c r="B2406" s="2" t="s">
        <v>5361</v>
      </c>
      <c r="C2406" s="2" t="s">
        <v>34</v>
      </c>
      <c r="D2406" s="2" t="s">
        <v>35</v>
      </c>
      <c r="E2406" s="5">
        <v>-31772</v>
      </c>
      <c r="F2406" s="3" t="s">
        <v>2361</v>
      </c>
      <c r="G2406" s="3" t="s">
        <v>58</v>
      </c>
      <c r="H2406" s="2" t="s">
        <v>20</v>
      </c>
      <c r="I2406" s="2" t="s">
        <v>5362</v>
      </c>
      <c r="J2406" s="3" t="str">
        <f>HYPERLINK("https://www.boe.es/gazeta/dias/1813/01/03/pdfs/GMD-1813-3.pdf#page=2","Abrir facsímil")</f>
        <v>Abrir facsímil</v>
      </c>
      <c r="K2406" s="3" t="s">
        <v>22</v>
      </c>
    </row>
    <row r="2407" spans="1:11" ht="42" customHeight="1">
      <c r="A2407" s="2" t="s">
        <v>5363</v>
      </c>
      <c r="B2407" s="2" t="s">
        <v>5363</v>
      </c>
      <c r="C2407" s="2" t="s">
        <v>16</v>
      </c>
      <c r="D2407" s="2" t="s">
        <v>17</v>
      </c>
      <c r="E2407" s="5">
        <v>-31516</v>
      </c>
      <c r="F2407" s="3" t="s">
        <v>1685</v>
      </c>
      <c r="G2407" s="3" t="s">
        <v>1797</v>
      </c>
      <c r="H2407" s="2" t="s">
        <v>20</v>
      </c>
      <c r="I2407" s="2" t="s">
        <v>5364</v>
      </c>
      <c r="J2407" s="3" t="str">
        <f>HYPERLINK("https://www.boe.es/gazeta/dias/1813/09/16/pdfs/GRE-1813-120.pdf#page=5","Abrir facsímil")</f>
        <v>Abrir facsímil</v>
      </c>
      <c r="K2407" s="3" t="s">
        <v>22</v>
      </c>
    </row>
    <row r="2408" spans="1:11" ht="42" customHeight="1">
      <c r="A2408" s="2" t="s">
        <v>5365</v>
      </c>
      <c r="B2408" s="2" t="s">
        <v>5366</v>
      </c>
      <c r="C2408" s="2" t="s">
        <v>16</v>
      </c>
      <c r="D2408" s="2" t="s">
        <v>17</v>
      </c>
      <c r="E2408" s="5">
        <v>-31574</v>
      </c>
      <c r="F2408" s="3" t="s">
        <v>1343</v>
      </c>
      <c r="G2408" s="3" t="s">
        <v>207</v>
      </c>
      <c r="H2408" s="2" t="s">
        <v>20</v>
      </c>
      <c r="I2408" s="2" t="s">
        <v>5367</v>
      </c>
      <c r="J2408" s="3" t="str">
        <f>HYPERLINK("https://www.boe.es/gazeta/dias/1813/07/20/pdfs/GMR-1813-19.pdf#page=10","Abrir facsímil")</f>
        <v>Abrir facsímil</v>
      </c>
      <c r="K2408" s="3" t="s">
        <v>22</v>
      </c>
    </row>
    <row r="2409" spans="1:11" ht="42" customHeight="1">
      <c r="A2409" s="2" t="s">
        <v>5368</v>
      </c>
      <c r="B2409" s="2" t="s">
        <v>5368</v>
      </c>
      <c r="C2409" s="2" t="s">
        <v>16</v>
      </c>
      <c r="D2409" s="2" t="s">
        <v>17</v>
      </c>
      <c r="E2409" s="5">
        <v>-31425</v>
      </c>
      <c r="F2409" s="3" t="s">
        <v>1955</v>
      </c>
      <c r="G2409" s="3" t="s">
        <v>5369</v>
      </c>
      <c r="H2409" s="2" t="s">
        <v>20</v>
      </c>
      <c r="I2409" s="2" t="s">
        <v>5370</v>
      </c>
      <c r="J2409" s="3" t="str">
        <f>HYPERLINK("https://www.boe.es/gazeta/dias/1813/12/16/pdfs/GMR-1813-88.pdf#page=7","Abrir facsímil")</f>
        <v>Abrir facsímil</v>
      </c>
      <c r="K2409" s="3" t="s">
        <v>22</v>
      </c>
    </row>
    <row r="2410" spans="1:11" ht="42" customHeight="1">
      <c r="A2410" s="2" t="s">
        <v>5371</v>
      </c>
      <c r="B2410" s="2" t="s">
        <v>5371</v>
      </c>
      <c r="C2410" s="2" t="s">
        <v>16</v>
      </c>
      <c r="D2410" s="2" t="s">
        <v>17</v>
      </c>
      <c r="E2410" s="5">
        <v>-31444</v>
      </c>
      <c r="F2410" s="3" t="s">
        <v>2451</v>
      </c>
      <c r="G2410" s="3" t="s">
        <v>5372</v>
      </c>
      <c r="H2410" s="2" t="s">
        <v>20</v>
      </c>
      <c r="I2410" s="2" t="s">
        <v>5373</v>
      </c>
      <c r="J2410" s="3" t="str">
        <f>HYPERLINK("https://www.boe.es/gazeta/dias/1813/11/27/pdfs/GRE-1813-157.pdf#page=5","Abrir facsímil")</f>
        <v>Abrir facsímil</v>
      </c>
      <c r="K2410" s="3" t="s">
        <v>22</v>
      </c>
    </row>
    <row r="2411" spans="1:11" ht="42" customHeight="1">
      <c r="A2411" s="2" t="s">
        <v>5374</v>
      </c>
      <c r="B2411" s="2" t="s">
        <v>5375</v>
      </c>
      <c r="C2411" s="2" t="s">
        <v>16</v>
      </c>
      <c r="D2411" s="2" t="s">
        <v>17</v>
      </c>
      <c r="E2411" s="5">
        <v>-31556</v>
      </c>
      <c r="F2411" s="3" t="s">
        <v>976</v>
      </c>
      <c r="G2411" s="3" t="s">
        <v>5376</v>
      </c>
      <c r="H2411" s="2" t="s">
        <v>20</v>
      </c>
      <c r="I2411" s="2" t="s">
        <v>5377</v>
      </c>
      <c r="J2411" s="3" t="str">
        <f>HYPERLINK("https://www.boe.es/gazeta/dias/1813/08/07/pdfs/GRE-1813-100.pdf#page=8","Abrir facsímil")</f>
        <v>Abrir facsímil</v>
      </c>
      <c r="K2411" s="3" t="s">
        <v>22</v>
      </c>
    </row>
    <row r="2412" spans="1:11" ht="42" customHeight="1">
      <c r="A2412" s="2" t="s">
        <v>5378</v>
      </c>
      <c r="B2412" s="2" t="s">
        <v>5378</v>
      </c>
      <c r="C2412" s="2" t="s">
        <v>16</v>
      </c>
      <c r="D2412" s="2" t="s">
        <v>17</v>
      </c>
      <c r="E2412" s="5">
        <v>-31732</v>
      </c>
      <c r="F2412" s="3" t="s">
        <v>1904</v>
      </c>
      <c r="G2412" s="3" t="s">
        <v>54</v>
      </c>
      <c r="H2412" s="2" t="s">
        <v>20</v>
      </c>
      <c r="I2412" s="2" t="s">
        <v>5379</v>
      </c>
      <c r="J2412" s="3" t="str">
        <f>HYPERLINK("https://www.boe.es/gazeta/dias/1813/02/12/pdfs/GMD-1813-43.pdf#page=3","Abrir facsímil")</f>
        <v>Abrir facsímil</v>
      </c>
      <c r="K2412" s="3" t="s">
        <v>22</v>
      </c>
    </row>
    <row r="2413" spans="1:11" ht="42" customHeight="1">
      <c r="A2413" s="2" t="s">
        <v>5380</v>
      </c>
      <c r="B2413" s="2" t="s">
        <v>5380</v>
      </c>
      <c r="C2413" s="2" t="s">
        <v>109</v>
      </c>
      <c r="D2413" s="2" t="s">
        <v>26</v>
      </c>
      <c r="E2413" s="5">
        <v>-31774</v>
      </c>
      <c r="F2413" s="3" t="s">
        <v>3665</v>
      </c>
      <c r="G2413" s="3" t="s">
        <v>65</v>
      </c>
      <c r="H2413" s="2" t="s">
        <v>20</v>
      </c>
      <c r="I2413" s="2" t="s">
        <v>5381</v>
      </c>
      <c r="J2413" s="3" t="str">
        <f>HYPERLINK("https://www.boe.es/gazeta/dias/1813/01/01/pdfs/GMD-1813-1.pdf#page=1","Abrir facsímil")</f>
        <v>Abrir facsímil</v>
      </c>
      <c r="K2413" s="3" t="s">
        <v>22</v>
      </c>
    </row>
    <row r="2414" spans="1:11" ht="42" customHeight="1">
      <c r="A2414" s="2" t="s">
        <v>5382</v>
      </c>
      <c r="B2414" s="2" t="s">
        <v>5382</v>
      </c>
      <c r="C2414" s="2" t="s">
        <v>16</v>
      </c>
      <c r="D2414" s="2" t="s">
        <v>17</v>
      </c>
      <c r="E2414" s="5">
        <v>-31599</v>
      </c>
      <c r="F2414" s="3" t="s">
        <v>2470</v>
      </c>
      <c r="G2414" s="3" t="s">
        <v>95</v>
      </c>
      <c r="H2414" s="2" t="s">
        <v>20</v>
      </c>
      <c r="I2414" s="2" t="s">
        <v>5383</v>
      </c>
      <c r="J2414" s="3" t="str">
        <f>HYPERLINK("https://www.boe.es/gazeta/dias/1813/06/25/pdfs/GMR-1813-11.pdf#page=6","Abrir facsímil")</f>
        <v>Abrir facsímil</v>
      </c>
      <c r="K2414" s="3" t="s">
        <v>22</v>
      </c>
    </row>
    <row r="2415" spans="1:11" ht="42" customHeight="1">
      <c r="A2415" s="2" t="s">
        <v>5384</v>
      </c>
      <c r="B2415" s="2" t="s">
        <v>5384</v>
      </c>
      <c r="C2415" s="2" t="s">
        <v>16</v>
      </c>
      <c r="D2415" s="2" t="s">
        <v>17</v>
      </c>
      <c r="E2415" s="5">
        <v>-31598</v>
      </c>
      <c r="F2415" s="3" t="s">
        <v>286</v>
      </c>
      <c r="G2415" s="3" t="s">
        <v>28</v>
      </c>
      <c r="H2415" s="2" t="s">
        <v>20</v>
      </c>
      <c r="I2415" s="2" t="s">
        <v>5385</v>
      </c>
      <c r="J2415" s="3" t="str">
        <f>HYPERLINK("https://www.boe.es/gazeta/dias/1813/06/26/pdfs/GRE-1813-79.pdf#page=8","Abrir facsímil")</f>
        <v>Abrir facsímil</v>
      </c>
      <c r="K2415" s="3" t="s">
        <v>22</v>
      </c>
    </row>
    <row r="2416" spans="1:11" ht="42" customHeight="1">
      <c r="A2416" s="2" t="s">
        <v>5386</v>
      </c>
      <c r="B2416" s="2" t="s">
        <v>5386</v>
      </c>
      <c r="C2416" s="2" t="s">
        <v>16</v>
      </c>
      <c r="D2416" s="2" t="s">
        <v>17</v>
      </c>
      <c r="E2416" s="5">
        <v>-31542</v>
      </c>
      <c r="F2416" s="3" t="s">
        <v>337</v>
      </c>
      <c r="G2416" s="3" t="s">
        <v>28</v>
      </c>
      <c r="H2416" s="2" t="s">
        <v>20</v>
      </c>
      <c r="I2416" s="2" t="s">
        <v>5387</v>
      </c>
      <c r="J2416" s="3" t="str">
        <f>HYPERLINK("https://www.boe.es/gazeta/dias/1813/08/21/pdfs/GRE-1813-107.pdf#page=8","Abrir facsímil")</f>
        <v>Abrir facsímil</v>
      </c>
      <c r="K2416" s="3" t="s">
        <v>22</v>
      </c>
    </row>
    <row r="2417" spans="1:11" ht="42" customHeight="1">
      <c r="A2417" s="2" t="s">
        <v>5388</v>
      </c>
      <c r="B2417" s="2" t="s">
        <v>5389</v>
      </c>
      <c r="C2417" s="2" t="s">
        <v>25</v>
      </c>
      <c r="D2417" s="2" t="s">
        <v>26</v>
      </c>
      <c r="E2417" s="5">
        <v>-31656</v>
      </c>
      <c r="F2417" s="3" t="s">
        <v>576</v>
      </c>
      <c r="G2417" s="3" t="s">
        <v>5390</v>
      </c>
      <c r="H2417" s="2" t="s">
        <v>20</v>
      </c>
      <c r="I2417" s="2" t="s">
        <v>5391</v>
      </c>
      <c r="J2417" s="3" t="str">
        <f>HYPERLINK("https://www.boe.es/gazeta/dias/1813/04/29/pdfs/GRE-1813-53.pdf#page=7","Abrir facsímil")</f>
        <v>Abrir facsímil</v>
      </c>
      <c r="K2417" s="3" t="s">
        <v>22</v>
      </c>
    </row>
    <row r="2418" spans="1:11" ht="42" customHeight="1">
      <c r="A2418" s="2" t="s">
        <v>5392</v>
      </c>
      <c r="B2418" s="2" t="s">
        <v>5393</v>
      </c>
      <c r="C2418" s="2" t="s">
        <v>25</v>
      </c>
      <c r="D2418" s="2" t="s">
        <v>26</v>
      </c>
      <c r="E2418" s="5">
        <v>-31689</v>
      </c>
      <c r="F2418" s="3" t="s">
        <v>48</v>
      </c>
      <c r="G2418" s="3" t="s">
        <v>49</v>
      </c>
      <c r="H2418" s="2" t="s">
        <v>29</v>
      </c>
      <c r="I2418" s="2" t="s">
        <v>5394</v>
      </c>
      <c r="J2418" s="3" t="str">
        <f>HYPERLINK("https://www.boe.es/gazeta/dias/1813/03/27/pdfs/GRE-1813-38.pdf#page=7","Abrir facsímil")</f>
        <v>Abrir facsímil</v>
      </c>
      <c r="K2418" s="3" t="s">
        <v>31</v>
      </c>
    </row>
    <row r="2419" spans="1:11" ht="42" customHeight="1">
      <c r="A2419" s="2" t="s">
        <v>5395</v>
      </c>
      <c r="B2419" s="2" t="s">
        <v>5396</v>
      </c>
      <c r="C2419" s="2" t="s">
        <v>34</v>
      </c>
      <c r="D2419" s="2" t="s">
        <v>35</v>
      </c>
      <c r="E2419" s="5">
        <v>-31695</v>
      </c>
      <c r="F2419" s="3" t="s">
        <v>2770</v>
      </c>
      <c r="G2419" s="3" t="s">
        <v>65</v>
      </c>
      <c r="H2419" s="2" t="s">
        <v>20</v>
      </c>
      <c r="I2419" s="2" t="s">
        <v>5397</v>
      </c>
      <c r="J2419" s="3" t="str">
        <f>HYPERLINK("https://www.boe.es/gazeta/dias/1813/03/21/pdfs/GMD-1813-80.pdf#page=1","Abrir facsímil")</f>
        <v>Abrir facsímil</v>
      </c>
      <c r="K2419" s="3" t="s">
        <v>22</v>
      </c>
    </row>
    <row r="2420" spans="1:11" ht="42" customHeight="1">
      <c r="A2420" s="2" t="s">
        <v>5398</v>
      </c>
      <c r="B2420" s="2" t="s">
        <v>5398</v>
      </c>
      <c r="C2420" s="2" t="s">
        <v>16</v>
      </c>
      <c r="D2420" s="2" t="s">
        <v>17</v>
      </c>
      <c r="E2420" s="5">
        <v>-31637</v>
      </c>
      <c r="F2420" s="3" t="s">
        <v>855</v>
      </c>
      <c r="G2420" s="3" t="s">
        <v>65</v>
      </c>
      <c r="H2420" s="2" t="s">
        <v>20</v>
      </c>
      <c r="I2420" s="2" t="s">
        <v>5399</v>
      </c>
      <c r="J2420" s="3" t="str">
        <f>HYPERLINK("https://www.boe.es/gazeta/dias/1813/05/18/pdfs/GMD-1813-138.pdf#page=1","Abrir facsímil")</f>
        <v>Abrir facsímil</v>
      </c>
      <c r="K2420" s="3" t="s">
        <v>22</v>
      </c>
    </row>
    <row r="2421" spans="1:11" ht="42" customHeight="1">
      <c r="A2421" s="2" t="s">
        <v>5400</v>
      </c>
      <c r="B2421" s="2" t="s">
        <v>5401</v>
      </c>
      <c r="C2421" s="2" t="s">
        <v>16</v>
      </c>
      <c r="D2421" s="2" t="s">
        <v>17</v>
      </c>
      <c r="E2421" s="5">
        <v>-31592</v>
      </c>
      <c r="F2421" s="3" t="s">
        <v>175</v>
      </c>
      <c r="G2421" s="3" t="s">
        <v>82</v>
      </c>
      <c r="H2421" s="2" t="s">
        <v>20</v>
      </c>
      <c r="I2421" s="2" t="s">
        <v>5402</v>
      </c>
      <c r="J2421" s="3" t="str">
        <f>HYPERLINK("https://www.boe.es/gazeta/dias/1813/07/02/pdfs/GRE-1813-82.pdf#page=5","Abrir facsímil")</f>
        <v>Abrir facsímil</v>
      </c>
      <c r="K2421" s="3" t="s">
        <v>22</v>
      </c>
    </row>
    <row r="2422" spans="1:11" ht="42" customHeight="1">
      <c r="A2422" s="2" t="s">
        <v>5403</v>
      </c>
      <c r="B2422" s="2" t="s">
        <v>5403</v>
      </c>
      <c r="C2422" s="2" t="s">
        <v>34</v>
      </c>
      <c r="D2422" s="2" t="s">
        <v>35</v>
      </c>
      <c r="E2422" s="5">
        <v>-31663</v>
      </c>
      <c r="F2422" s="3" t="s">
        <v>871</v>
      </c>
      <c r="G2422" s="3" t="s">
        <v>54</v>
      </c>
      <c r="H2422" s="2" t="s">
        <v>20</v>
      </c>
      <c r="I2422" s="2" t="s">
        <v>5404</v>
      </c>
      <c r="J2422" s="3" t="str">
        <f>HYPERLINK("https://www.boe.es/gazeta/dias/1813/04/22/pdfs/GMD-1813-112.pdf#page=3","Abrir facsímil")</f>
        <v>Abrir facsímil</v>
      </c>
      <c r="K2422" s="3" t="s">
        <v>22</v>
      </c>
    </row>
    <row r="2423" spans="1:11" ht="42" customHeight="1">
      <c r="A2423" s="2" t="s">
        <v>5405</v>
      </c>
      <c r="B2423" s="2" t="s">
        <v>5406</v>
      </c>
      <c r="C2423" s="2" t="s">
        <v>16</v>
      </c>
      <c r="D2423" s="2" t="s">
        <v>17</v>
      </c>
      <c r="E2423" s="5">
        <v>-31656</v>
      </c>
      <c r="F2423" s="3" t="s">
        <v>576</v>
      </c>
      <c r="G2423" s="3" t="s">
        <v>19</v>
      </c>
      <c r="H2423" s="2" t="s">
        <v>20</v>
      </c>
      <c r="I2423" s="2" t="s">
        <v>5407</v>
      </c>
      <c r="J2423" s="3" t="str">
        <f>HYPERLINK("https://www.boe.es/gazeta/dias/1813/04/29/pdfs/GRE-1813-53.pdf#page=4","Abrir facsímil")</f>
        <v>Abrir facsímil</v>
      </c>
      <c r="K2423" s="3" t="s">
        <v>22</v>
      </c>
    </row>
    <row r="2424" spans="1:11" ht="42" customHeight="1">
      <c r="A2424" s="2" t="s">
        <v>5408</v>
      </c>
      <c r="B2424" s="2" t="s">
        <v>5409</v>
      </c>
      <c r="C2424" s="2" t="s">
        <v>25</v>
      </c>
      <c r="D2424" s="2" t="s">
        <v>26</v>
      </c>
      <c r="E2424" s="5">
        <v>-31655</v>
      </c>
      <c r="F2424" s="3" t="s">
        <v>858</v>
      </c>
      <c r="G2424" s="3" t="s">
        <v>983</v>
      </c>
      <c r="H2424" s="2" t="s">
        <v>20</v>
      </c>
      <c r="I2424" s="2" t="s">
        <v>5410</v>
      </c>
      <c r="J2424" s="3" t="str">
        <f>HYPERLINK("https://www.boe.es/gazeta/dias/1813/04/30/pdfs/GMD-1813-120.pdf#page=3","Abrir facsímil")</f>
        <v>Abrir facsímil</v>
      </c>
      <c r="K2424" s="3" t="s">
        <v>22</v>
      </c>
    </row>
    <row r="2425" spans="1:11" ht="42" customHeight="1">
      <c r="A2425" s="2" t="s">
        <v>5411</v>
      </c>
      <c r="B2425" s="2" t="s">
        <v>5412</v>
      </c>
      <c r="C2425" s="2" t="s">
        <v>187</v>
      </c>
      <c r="D2425" s="2" t="s">
        <v>26</v>
      </c>
      <c r="E2425" s="5">
        <v>-31427</v>
      </c>
      <c r="F2425" s="3" t="s">
        <v>489</v>
      </c>
      <c r="G2425" s="3" t="s">
        <v>87</v>
      </c>
      <c r="H2425" s="2" t="s">
        <v>29</v>
      </c>
      <c r="I2425" s="2" t="s">
        <v>5413</v>
      </c>
      <c r="J2425" s="3" t="str">
        <f>HYPERLINK("https://www.boe.es/gazeta/dias/1813/12/14/pdfs/GMR-1813-87.pdf#page=7","Abrir facsímil")</f>
        <v>Abrir facsímil</v>
      </c>
      <c r="K2425" s="3" t="s">
        <v>31</v>
      </c>
    </row>
    <row r="2426" spans="1:11" ht="42" customHeight="1">
      <c r="A2426" s="2" t="s">
        <v>5411</v>
      </c>
      <c r="B2426" s="2" t="s">
        <v>5412</v>
      </c>
      <c r="C2426" s="2" t="s">
        <v>435</v>
      </c>
      <c r="D2426" s="2" t="s">
        <v>26</v>
      </c>
      <c r="E2426" s="5">
        <v>-31425</v>
      </c>
      <c r="F2426" s="3" t="s">
        <v>1669</v>
      </c>
      <c r="G2426" s="3" t="s">
        <v>19</v>
      </c>
      <c r="H2426" s="2" t="s">
        <v>29</v>
      </c>
      <c r="I2426" s="2" t="s">
        <v>5414</v>
      </c>
      <c r="J2426" s="3" t="str">
        <f>HYPERLINK("https://www.boe.es/gazeta/dias/1813/12/16/pdfs/GRE-1813-165.pdf#page=4","Abrir facsímil")</f>
        <v>Abrir facsímil</v>
      </c>
      <c r="K2426" s="3" t="s">
        <v>31</v>
      </c>
    </row>
    <row r="2427" spans="1:11" ht="42" customHeight="1">
      <c r="A2427" s="2" t="s">
        <v>5415</v>
      </c>
      <c r="B2427" s="2" t="s">
        <v>5415</v>
      </c>
      <c r="C2427" s="2" t="s">
        <v>16</v>
      </c>
      <c r="D2427" s="2" t="s">
        <v>17</v>
      </c>
      <c r="E2427" s="5">
        <v>-31711</v>
      </c>
      <c r="F2427" s="3" t="s">
        <v>385</v>
      </c>
      <c r="G2427" s="3" t="s">
        <v>28</v>
      </c>
      <c r="H2427" s="2" t="s">
        <v>20</v>
      </c>
      <c r="I2427" s="2" t="s">
        <v>5416</v>
      </c>
      <c r="J2427" s="3" t="str">
        <f>HYPERLINK("https://www.boe.es/gazeta/dias/1813/03/05/pdfs/GRE-1813-99.pdf#page=8","Abrir facsímil")</f>
        <v>Abrir facsímil</v>
      </c>
      <c r="K2427" s="3" t="s">
        <v>22</v>
      </c>
    </row>
    <row r="2428" spans="1:11" ht="42" customHeight="1">
      <c r="A2428" s="2" t="s">
        <v>5417</v>
      </c>
      <c r="B2428" s="2" t="s">
        <v>5417</v>
      </c>
      <c r="C2428" s="2" t="s">
        <v>16</v>
      </c>
      <c r="D2428" s="2" t="s">
        <v>17</v>
      </c>
      <c r="E2428" s="5">
        <v>-31661</v>
      </c>
      <c r="F2428" s="3" t="s">
        <v>5131</v>
      </c>
      <c r="G2428" s="3" t="s">
        <v>58</v>
      </c>
      <c r="H2428" s="2" t="s">
        <v>20</v>
      </c>
      <c r="I2428" s="2" t="s">
        <v>5418</v>
      </c>
      <c r="J2428" s="3" t="str">
        <f>HYPERLINK("https://www.boe.es/gazeta/dias/1813/04/24/pdfs/GMD-1813-114.pdf#page=2","Abrir facsímil")</f>
        <v>Abrir facsímil</v>
      </c>
      <c r="K2428" s="3" t="s">
        <v>22</v>
      </c>
    </row>
    <row r="2429" spans="1:11" ht="42" customHeight="1">
      <c r="A2429" s="2" t="s">
        <v>5417</v>
      </c>
      <c r="B2429" s="2" t="s">
        <v>5417</v>
      </c>
      <c r="C2429" s="2" t="s">
        <v>16</v>
      </c>
      <c r="D2429" s="2" t="s">
        <v>17</v>
      </c>
      <c r="E2429" s="5">
        <v>-31659</v>
      </c>
      <c r="F2429" s="3" t="s">
        <v>3041</v>
      </c>
      <c r="G2429" s="3" t="s">
        <v>1058</v>
      </c>
      <c r="H2429" s="2" t="s">
        <v>20</v>
      </c>
      <c r="I2429" s="2" t="s">
        <v>5419</v>
      </c>
      <c r="J2429" s="3" t="str">
        <f>HYPERLINK("https://www.boe.es/gazeta/dias/1813/04/26/pdfs/GMD-1813-116.pdf#page=4","Abrir facsímil")</f>
        <v>Abrir facsímil</v>
      </c>
      <c r="K2429" s="3" t="s">
        <v>22</v>
      </c>
    </row>
    <row r="2430" spans="1:11" ht="42" customHeight="1">
      <c r="A2430" s="2" t="s">
        <v>5417</v>
      </c>
      <c r="B2430" s="2" t="s">
        <v>5417</v>
      </c>
      <c r="C2430" s="2" t="s">
        <v>16</v>
      </c>
      <c r="D2430" s="2" t="s">
        <v>17</v>
      </c>
      <c r="E2430" s="5">
        <v>-31657</v>
      </c>
      <c r="F2430" s="3" t="s">
        <v>988</v>
      </c>
      <c r="G2430" s="3" t="s">
        <v>54</v>
      </c>
      <c r="H2430" s="2" t="s">
        <v>20</v>
      </c>
      <c r="I2430" s="2" t="s">
        <v>5420</v>
      </c>
      <c r="J2430" s="3" t="str">
        <f>HYPERLINK("https://www.boe.es/gazeta/dias/1813/04/28/pdfs/GMD-1813-118.pdf#page=3","Abrir facsímil")</f>
        <v>Abrir facsímil</v>
      </c>
      <c r="K2430" s="3" t="s">
        <v>22</v>
      </c>
    </row>
    <row r="2431" spans="1:11" ht="42" customHeight="1">
      <c r="A2431" s="2" t="s">
        <v>5417</v>
      </c>
      <c r="B2431" s="2" t="s">
        <v>5417</v>
      </c>
      <c r="C2431" s="2" t="s">
        <v>16</v>
      </c>
      <c r="D2431" s="2" t="s">
        <v>17</v>
      </c>
      <c r="E2431" s="5">
        <v>-31657</v>
      </c>
      <c r="F2431" s="3" t="s">
        <v>988</v>
      </c>
      <c r="G2431" s="3" t="s">
        <v>19</v>
      </c>
      <c r="H2431" s="2" t="s">
        <v>20</v>
      </c>
      <c r="I2431" s="2" t="s">
        <v>5421</v>
      </c>
      <c r="J2431" s="3" t="str">
        <f>HYPERLINK("https://www.boe.es/gazeta/dias/1813/04/28/pdfs/GMD-1813-118.pdf#page=4","Abrir facsímil")</f>
        <v>Abrir facsímil</v>
      </c>
      <c r="K2431" s="3" t="s">
        <v>22</v>
      </c>
    </row>
    <row r="2432" spans="1:11" ht="42" customHeight="1">
      <c r="A2432" s="2" t="s">
        <v>5415</v>
      </c>
      <c r="B2432" s="2" t="s">
        <v>5415</v>
      </c>
      <c r="C2432" s="2" t="s">
        <v>16</v>
      </c>
      <c r="D2432" s="2" t="s">
        <v>17</v>
      </c>
      <c r="E2432" s="5">
        <v>-31606</v>
      </c>
      <c r="F2432" s="3" t="s">
        <v>124</v>
      </c>
      <c r="G2432" s="3" t="s">
        <v>28</v>
      </c>
      <c r="H2432" s="2" t="s">
        <v>20</v>
      </c>
      <c r="I2432" s="2" t="s">
        <v>5422</v>
      </c>
      <c r="J2432" s="3" t="str">
        <f>HYPERLINK("https://www.boe.es/gazeta/dias/1813/06/18/pdfs/GMR-1813-7.pdf#page=8","Abrir facsímil")</f>
        <v>Abrir facsímil</v>
      </c>
      <c r="K2432" s="3" t="s">
        <v>22</v>
      </c>
    </row>
    <row r="2433" spans="1:11" ht="42" customHeight="1">
      <c r="A2433" s="2" t="s">
        <v>5417</v>
      </c>
      <c r="B2433" s="2" t="s">
        <v>5417</v>
      </c>
      <c r="C2433" s="2" t="s">
        <v>16</v>
      </c>
      <c r="D2433" s="2" t="s">
        <v>17</v>
      </c>
      <c r="E2433" s="5">
        <v>-31586</v>
      </c>
      <c r="F2433" s="3" t="s">
        <v>2807</v>
      </c>
      <c r="G2433" s="3" t="s">
        <v>87</v>
      </c>
      <c r="H2433" s="2" t="s">
        <v>20</v>
      </c>
      <c r="I2433" s="2" t="s">
        <v>5423</v>
      </c>
      <c r="J2433" s="3" t="str">
        <f>HYPERLINK("https://www.boe.es/gazeta/dias/1813/07/08/pdfs/GRE-1813-85.pdf#page=7","Abrir facsímil")</f>
        <v>Abrir facsímil</v>
      </c>
      <c r="K2433" s="3" t="s">
        <v>22</v>
      </c>
    </row>
    <row r="2434" spans="1:11" ht="42" customHeight="1">
      <c r="A2434" s="2" t="s">
        <v>5415</v>
      </c>
      <c r="B2434" s="2" t="s">
        <v>5415</v>
      </c>
      <c r="C2434" s="2" t="s">
        <v>16</v>
      </c>
      <c r="D2434" s="2" t="s">
        <v>17</v>
      </c>
      <c r="E2434" s="5">
        <v>-31558</v>
      </c>
      <c r="F2434" s="3" t="s">
        <v>385</v>
      </c>
      <c r="G2434" s="3" t="s">
        <v>28</v>
      </c>
      <c r="H2434" s="2" t="s">
        <v>20</v>
      </c>
      <c r="I2434" s="2" t="s">
        <v>5416</v>
      </c>
      <c r="J2434" s="3" t="str">
        <f>HYPERLINK("https://www.boe.es/gazeta/dias/1813/08/05/pdfs/GRE-1813-99.pdf#page=8","Abrir facsímil")</f>
        <v>Abrir facsímil</v>
      </c>
      <c r="K2434" s="3" t="s">
        <v>22</v>
      </c>
    </row>
    <row r="2435" spans="1:11" ht="42" customHeight="1">
      <c r="A2435" s="2" t="s">
        <v>5415</v>
      </c>
      <c r="B2435" s="2" t="s">
        <v>5415</v>
      </c>
      <c r="C2435" s="2" t="s">
        <v>16</v>
      </c>
      <c r="D2435" s="2" t="s">
        <v>17</v>
      </c>
      <c r="E2435" s="5">
        <v>-31551</v>
      </c>
      <c r="F2435" s="3" t="s">
        <v>954</v>
      </c>
      <c r="G2435" s="3" t="s">
        <v>87</v>
      </c>
      <c r="H2435" s="2" t="s">
        <v>20</v>
      </c>
      <c r="I2435" s="2" t="s">
        <v>5424</v>
      </c>
      <c r="J2435" s="3" t="str">
        <f>HYPERLINK("https://www.boe.es/gazeta/dias/1813/08/12/pdfs/GMR-1813-27.pdf#page=7","Abrir facsímil")</f>
        <v>Abrir facsímil</v>
      </c>
      <c r="K2435" s="3" t="s">
        <v>22</v>
      </c>
    </row>
    <row r="2436" spans="1:11" ht="42" customHeight="1">
      <c r="A2436" s="2" t="s">
        <v>5425</v>
      </c>
      <c r="B2436" s="2" t="s">
        <v>5426</v>
      </c>
      <c r="C2436" s="2" t="s">
        <v>16</v>
      </c>
      <c r="D2436" s="2" t="s">
        <v>17</v>
      </c>
      <c r="E2436" s="5">
        <v>-31621</v>
      </c>
      <c r="F2436" s="3" t="s">
        <v>1825</v>
      </c>
      <c r="G2436" s="3" t="s">
        <v>19</v>
      </c>
      <c r="H2436" s="2" t="s">
        <v>20</v>
      </c>
      <c r="I2436" s="2" t="s">
        <v>5427</v>
      </c>
      <c r="J2436" s="3" t="str">
        <f>HYPERLINK("https://www.boe.es/gazeta/dias/1813/06/03/pdfs/GMR-1813-1.pdf#page=4","Abrir facsímil")</f>
        <v>Abrir facsímil</v>
      </c>
      <c r="K2436" s="3" t="s">
        <v>22</v>
      </c>
    </row>
    <row r="2437" spans="1:11" ht="42" customHeight="1">
      <c r="A2437" s="2" t="s">
        <v>5428</v>
      </c>
      <c r="B2437" s="2" t="s">
        <v>5429</v>
      </c>
      <c r="C2437" s="2" t="s">
        <v>16</v>
      </c>
      <c r="D2437" s="2" t="s">
        <v>17</v>
      </c>
      <c r="E2437" s="5">
        <v>-31721</v>
      </c>
      <c r="F2437" s="3" t="s">
        <v>562</v>
      </c>
      <c r="G2437" s="3" t="s">
        <v>3585</v>
      </c>
      <c r="H2437" s="2" t="s">
        <v>20</v>
      </c>
      <c r="I2437" s="2" t="s">
        <v>5430</v>
      </c>
      <c r="J2437" s="3" t="str">
        <f>HYPERLINK("https://www.boe.es/gazeta/dias/1813/02/23/pdfs/GRE-1813-23.pdf#page=6","Abrir facsímil")</f>
        <v>Abrir facsímil</v>
      </c>
      <c r="K2437" s="3" t="s">
        <v>22</v>
      </c>
    </row>
    <row r="2438" spans="1:11" ht="42" customHeight="1">
      <c r="A2438" s="2" t="s">
        <v>5431</v>
      </c>
      <c r="B2438" s="2" t="s">
        <v>5432</v>
      </c>
      <c r="C2438" s="2" t="s">
        <v>16</v>
      </c>
      <c r="D2438" s="2" t="s">
        <v>17</v>
      </c>
      <c r="E2438" s="5">
        <v>-31745</v>
      </c>
      <c r="F2438" s="3" t="s">
        <v>445</v>
      </c>
      <c r="G2438" s="3" t="s">
        <v>5433</v>
      </c>
      <c r="H2438" s="2" t="s">
        <v>20</v>
      </c>
      <c r="I2438" s="2" t="s">
        <v>5434</v>
      </c>
      <c r="J2438" s="3" t="str">
        <f>HYPERLINK("https://www.boe.es/gazeta/dias/1813/01/30/pdfs/GRE-1813-13.pdf#page=6","Abrir facsímil")</f>
        <v>Abrir facsímil</v>
      </c>
      <c r="K2438" s="3" t="s">
        <v>22</v>
      </c>
    </row>
    <row r="2439" spans="1:11" ht="42" customHeight="1">
      <c r="A2439" s="2" t="s">
        <v>5435</v>
      </c>
      <c r="B2439" s="2" t="s">
        <v>5436</v>
      </c>
      <c r="C2439" s="2" t="s">
        <v>16</v>
      </c>
      <c r="D2439" s="2" t="s">
        <v>17</v>
      </c>
      <c r="E2439" s="5">
        <v>-31537</v>
      </c>
      <c r="F2439" s="3" t="s">
        <v>5241</v>
      </c>
      <c r="G2439" s="3" t="s">
        <v>95</v>
      </c>
      <c r="H2439" s="2" t="s">
        <v>20</v>
      </c>
      <c r="I2439" s="2" t="s">
        <v>5437</v>
      </c>
      <c r="J2439" s="3" t="str">
        <f>HYPERLINK("https://www.boe.es/gazeta/dias/1813/08/26/pdfs/GRE-1813-109.pdf#page=6","Abrir facsímil")</f>
        <v>Abrir facsímil</v>
      </c>
      <c r="K2439" s="3" t="s">
        <v>22</v>
      </c>
    </row>
    <row r="2440" spans="1:11" ht="42" customHeight="1">
      <c r="A2440" s="2" t="s">
        <v>5438</v>
      </c>
      <c r="B2440" s="2" t="s">
        <v>5438</v>
      </c>
      <c r="C2440" s="2" t="s">
        <v>34</v>
      </c>
      <c r="D2440" s="2" t="s">
        <v>35</v>
      </c>
      <c r="E2440" s="5">
        <v>-31649</v>
      </c>
      <c r="F2440" s="3" t="s">
        <v>3961</v>
      </c>
      <c r="G2440" s="3" t="s">
        <v>54</v>
      </c>
      <c r="H2440" s="2" t="s">
        <v>20</v>
      </c>
      <c r="I2440" s="2" t="s">
        <v>5439</v>
      </c>
      <c r="J2440" s="3" t="str">
        <f>HYPERLINK("https://www.boe.es/gazeta/dias/1813/05/06/pdfs/GMD-1813-126.pdf#page=3","Abrir facsímil")</f>
        <v>Abrir facsímil</v>
      </c>
      <c r="K2440" s="3" t="s">
        <v>22</v>
      </c>
    </row>
    <row r="2441" spans="1:11" ht="42" customHeight="1">
      <c r="A2441" s="2" t="s">
        <v>5440</v>
      </c>
      <c r="B2441" s="2" t="s">
        <v>5440</v>
      </c>
      <c r="C2441" s="2" t="s">
        <v>25</v>
      </c>
      <c r="D2441" s="2" t="s">
        <v>26</v>
      </c>
      <c r="E2441" s="5">
        <v>-31645</v>
      </c>
      <c r="F2441" s="3" t="s">
        <v>4666</v>
      </c>
      <c r="G2441" s="3" t="s">
        <v>58</v>
      </c>
      <c r="H2441" s="2" t="s">
        <v>20</v>
      </c>
      <c r="I2441" s="2" t="s">
        <v>5441</v>
      </c>
      <c r="J2441" s="3" t="str">
        <f>HYPERLINK("https://www.boe.es/gazeta/dias/1813/05/10/pdfs/GMD-1813-130.pdf#page=2","Abrir facsímil")</f>
        <v>Abrir facsímil</v>
      </c>
      <c r="K2441" s="3" t="s">
        <v>22</v>
      </c>
    </row>
    <row r="2442" spans="1:11" ht="42" customHeight="1">
      <c r="A2442" s="2" t="s">
        <v>5442</v>
      </c>
      <c r="B2442" s="2" t="s">
        <v>5442</v>
      </c>
      <c r="C2442" s="2" t="s">
        <v>16</v>
      </c>
      <c r="D2442" s="2" t="s">
        <v>17</v>
      </c>
      <c r="E2442" s="5">
        <v>-31659</v>
      </c>
      <c r="F2442" s="3" t="s">
        <v>3041</v>
      </c>
      <c r="G2442" s="3" t="s">
        <v>65</v>
      </c>
      <c r="H2442" s="2" t="s">
        <v>20</v>
      </c>
      <c r="I2442" s="2" t="s">
        <v>5443</v>
      </c>
      <c r="J2442" s="3" t="str">
        <f>HYPERLINK("https://www.boe.es/gazeta/dias/1813/04/26/pdfs/GMD-1813-116.pdf#page=1","Abrir facsímil")</f>
        <v>Abrir facsímil</v>
      </c>
      <c r="K2442" s="3" t="s">
        <v>22</v>
      </c>
    </row>
    <row r="2443" spans="1:11" ht="42" customHeight="1">
      <c r="A2443" s="2" t="s">
        <v>5444</v>
      </c>
      <c r="B2443" s="2" t="s">
        <v>5444</v>
      </c>
      <c r="C2443" s="2" t="s">
        <v>16</v>
      </c>
      <c r="D2443" s="2" t="s">
        <v>17</v>
      </c>
      <c r="E2443" s="5">
        <v>-31418</v>
      </c>
      <c r="F2443" s="3" t="s">
        <v>147</v>
      </c>
      <c r="G2443" s="3" t="s">
        <v>58</v>
      </c>
      <c r="H2443" s="2" t="s">
        <v>20</v>
      </c>
      <c r="I2443" s="2" t="s">
        <v>5445</v>
      </c>
      <c r="J2443" s="3" t="str">
        <f>HYPERLINK("https://www.boe.es/gazeta/dias/1813/12/23/pdfs/GRE-1813-168.pdf#page=2","Abrir facsímil")</f>
        <v>Abrir facsímil</v>
      </c>
      <c r="K2443" s="3" t="s">
        <v>22</v>
      </c>
    </row>
    <row r="2444" spans="1:11" ht="42" customHeight="1">
      <c r="A2444" s="2" t="s">
        <v>5446</v>
      </c>
      <c r="B2444" s="2" t="s">
        <v>5446</v>
      </c>
      <c r="C2444" s="2" t="s">
        <v>16</v>
      </c>
      <c r="D2444" s="2" t="s">
        <v>17</v>
      </c>
      <c r="E2444" s="5">
        <v>-31493</v>
      </c>
      <c r="F2444" s="3" t="s">
        <v>1996</v>
      </c>
      <c r="G2444" s="3" t="s">
        <v>82</v>
      </c>
      <c r="H2444" s="2" t="s">
        <v>20</v>
      </c>
      <c r="I2444" s="2" t="s">
        <v>5447</v>
      </c>
      <c r="J2444" s="3" t="str">
        <f>HYPERLINK("https://www.boe.es/gazeta/dias/1813/10/09/pdfs/GRE-1813-132.pdf#page=5","Abrir facsímil")</f>
        <v>Abrir facsímil</v>
      </c>
      <c r="K2444" s="3" t="s">
        <v>22</v>
      </c>
    </row>
    <row r="2445" spans="1:11" ht="42" customHeight="1">
      <c r="A2445" s="2" t="s">
        <v>5448</v>
      </c>
      <c r="B2445" s="2" t="s">
        <v>5449</v>
      </c>
      <c r="C2445" s="2" t="s">
        <v>187</v>
      </c>
      <c r="D2445" s="2" t="s">
        <v>26</v>
      </c>
      <c r="E2445" s="5">
        <v>-31754</v>
      </c>
      <c r="F2445" s="3" t="s">
        <v>899</v>
      </c>
      <c r="G2445" s="3" t="s">
        <v>900</v>
      </c>
      <c r="H2445" s="2" t="s">
        <v>20</v>
      </c>
      <c r="I2445" s="2" t="s">
        <v>5450</v>
      </c>
      <c r="J2445" s="3" t="str">
        <f>HYPERLINK("https://www.boe.es/gazeta/dias/1813/01/21/pdfs/GRE-1813-9.pdf#page=8","Abrir facsímil")</f>
        <v>Abrir facsímil</v>
      </c>
      <c r="K2445" s="3" t="s">
        <v>22</v>
      </c>
    </row>
    <row r="2446" spans="1:11" ht="42" customHeight="1">
      <c r="A2446" s="2" t="s">
        <v>5448</v>
      </c>
      <c r="B2446" s="2" t="s">
        <v>5449</v>
      </c>
      <c r="C2446" s="2" t="s">
        <v>16</v>
      </c>
      <c r="D2446" s="2" t="s">
        <v>17</v>
      </c>
      <c r="E2446" s="5">
        <v>-31493</v>
      </c>
      <c r="F2446" s="3" t="s">
        <v>1996</v>
      </c>
      <c r="G2446" s="3" t="s">
        <v>19</v>
      </c>
      <c r="H2446" s="2" t="s">
        <v>20</v>
      </c>
      <c r="I2446" s="2" t="s">
        <v>5451</v>
      </c>
      <c r="J2446" s="3" t="str">
        <f>HYPERLINK("https://www.boe.es/gazeta/dias/1813/10/09/pdfs/GRE-1813-132.pdf#page=4","Abrir facsímil")</f>
        <v>Abrir facsímil</v>
      </c>
      <c r="K2446" s="3" t="s">
        <v>22</v>
      </c>
    </row>
    <row r="2447" spans="1:11" ht="42" customHeight="1">
      <c r="A2447" s="2" t="s">
        <v>5452</v>
      </c>
      <c r="B2447" s="2" t="s">
        <v>5452</v>
      </c>
      <c r="C2447" s="2" t="s">
        <v>16</v>
      </c>
      <c r="D2447" s="2" t="s">
        <v>17</v>
      </c>
      <c r="E2447" s="5">
        <v>-31493</v>
      </c>
      <c r="F2447" s="3" t="s">
        <v>1996</v>
      </c>
      <c r="G2447" s="3" t="s">
        <v>82</v>
      </c>
      <c r="H2447" s="2" t="s">
        <v>20</v>
      </c>
      <c r="I2447" s="2" t="s">
        <v>5453</v>
      </c>
      <c r="J2447" s="3" t="str">
        <f>HYPERLINK("https://www.boe.es/gazeta/dias/1813/10/09/pdfs/GRE-1813-132.pdf#page=5","Abrir facsímil")</f>
        <v>Abrir facsímil</v>
      </c>
      <c r="K2447" s="3" t="s">
        <v>22</v>
      </c>
    </row>
    <row r="2448" spans="1:11" ht="42" customHeight="1">
      <c r="A2448" s="2" t="s">
        <v>5454</v>
      </c>
      <c r="B2448" s="2" t="s">
        <v>5454</v>
      </c>
      <c r="C2448" s="2" t="s">
        <v>16</v>
      </c>
      <c r="D2448" s="2" t="s">
        <v>17</v>
      </c>
      <c r="E2448" s="5">
        <v>-31599</v>
      </c>
      <c r="F2448" s="3" t="s">
        <v>2470</v>
      </c>
      <c r="G2448" s="3" t="s">
        <v>58</v>
      </c>
      <c r="H2448" s="2" t="s">
        <v>20</v>
      </c>
      <c r="I2448" s="2" t="s">
        <v>5455</v>
      </c>
      <c r="J2448" s="3" t="str">
        <f>HYPERLINK("https://www.boe.es/gazeta/dias/1813/06/25/pdfs/GMR-1813-11.pdf#page=2","Abrir facsímil")</f>
        <v>Abrir facsímil</v>
      </c>
      <c r="K2448" s="3" t="s">
        <v>22</v>
      </c>
    </row>
    <row r="2449" spans="1:11" ht="42" customHeight="1">
      <c r="A2449" s="2" t="s">
        <v>5456</v>
      </c>
      <c r="B2449" s="2" t="s">
        <v>5456</v>
      </c>
      <c r="C2449" s="2" t="s">
        <v>16</v>
      </c>
      <c r="D2449" s="2" t="s">
        <v>17</v>
      </c>
      <c r="E2449" s="5">
        <v>-31539</v>
      </c>
      <c r="F2449" s="3" t="s">
        <v>1316</v>
      </c>
      <c r="G2449" s="3" t="s">
        <v>58</v>
      </c>
      <c r="H2449" s="2" t="s">
        <v>20</v>
      </c>
      <c r="I2449" s="2" t="s">
        <v>5457</v>
      </c>
      <c r="J2449" s="3" t="str">
        <f>HYPERLINK("https://www.boe.es/gazeta/dias/1813/08/24/pdfs/GMR-1813-32.pdf#page=2","Abrir facsímil")</f>
        <v>Abrir facsímil</v>
      </c>
      <c r="K2449" s="3" t="s">
        <v>22</v>
      </c>
    </row>
    <row r="2450" spans="1:11" ht="42" customHeight="1">
      <c r="A2450" s="2" t="s">
        <v>5458</v>
      </c>
      <c r="B2450" s="2" t="s">
        <v>5458</v>
      </c>
      <c r="C2450" s="2" t="s">
        <v>16</v>
      </c>
      <c r="D2450" s="2" t="s">
        <v>97</v>
      </c>
      <c r="E2450" s="5">
        <v>-31446</v>
      </c>
      <c r="F2450" s="3" t="s">
        <v>1877</v>
      </c>
      <c r="G2450" s="3" t="s">
        <v>54</v>
      </c>
      <c r="H2450" s="2" t="s">
        <v>20</v>
      </c>
      <c r="I2450" s="2" t="s">
        <v>5459</v>
      </c>
      <c r="J2450" s="3" t="str">
        <f>HYPERLINK("https://www.boe.es/gazeta/dias/1813/11/25/pdfs/GRE-1813-155E.pdf#page=3","Abrir facsímil")</f>
        <v>Abrir facsímil</v>
      </c>
      <c r="K2450" s="3" t="s">
        <v>22</v>
      </c>
    </row>
    <row r="2451" spans="1:11" ht="42" customHeight="1">
      <c r="A2451" s="2" t="s">
        <v>5460</v>
      </c>
      <c r="B2451" s="2" t="s">
        <v>5461</v>
      </c>
      <c r="C2451" s="2" t="s">
        <v>25</v>
      </c>
      <c r="D2451" s="2" t="s">
        <v>26</v>
      </c>
      <c r="E2451" s="5">
        <v>-31626</v>
      </c>
      <c r="F2451" s="3" t="s">
        <v>64</v>
      </c>
      <c r="G2451" s="3" t="s">
        <v>87</v>
      </c>
      <c r="H2451" s="2" t="s">
        <v>20</v>
      </c>
      <c r="I2451" s="2" t="s">
        <v>5462</v>
      </c>
      <c r="J2451" s="3" t="str">
        <f>HYPERLINK("https://www.boe.es/gazeta/dias/1813/05/29/pdfs/GRE-1813-66.pdf#page=7","Abrir facsímil")</f>
        <v>Abrir facsímil</v>
      </c>
      <c r="K2451" s="3" t="s">
        <v>22</v>
      </c>
    </row>
    <row r="2452" spans="1:11" ht="42" customHeight="1">
      <c r="A2452" s="2" t="s">
        <v>5463</v>
      </c>
      <c r="B2452" s="2" t="s">
        <v>5463</v>
      </c>
      <c r="C2452" s="2" t="s">
        <v>16</v>
      </c>
      <c r="D2452" s="2" t="s">
        <v>17</v>
      </c>
      <c r="E2452" s="5">
        <v>-31585</v>
      </c>
      <c r="F2452" s="3" t="s">
        <v>177</v>
      </c>
      <c r="G2452" s="3" t="s">
        <v>1474</v>
      </c>
      <c r="H2452" s="2" t="s">
        <v>20</v>
      </c>
      <c r="I2452" s="2" t="s">
        <v>5464</v>
      </c>
      <c r="J2452" s="3" t="str">
        <f>HYPERLINK("https://www.boe.es/gazeta/dias/1813/07/09/pdfs/GMR-1813-16.pdf#page=14","Abrir facsímil")</f>
        <v>Abrir facsímil</v>
      </c>
      <c r="K2452" s="3" t="s">
        <v>22</v>
      </c>
    </row>
    <row r="2453" spans="1:11" ht="42" customHeight="1">
      <c r="A2453" s="2" t="s">
        <v>5465</v>
      </c>
      <c r="B2453" s="2" t="s">
        <v>5465</v>
      </c>
      <c r="C2453" s="2" t="s">
        <v>16</v>
      </c>
      <c r="D2453" s="2" t="s">
        <v>17</v>
      </c>
      <c r="E2453" s="5">
        <v>-31585</v>
      </c>
      <c r="F2453" s="3" t="s">
        <v>177</v>
      </c>
      <c r="G2453" s="3" t="s">
        <v>71</v>
      </c>
      <c r="H2453" s="2" t="s">
        <v>20</v>
      </c>
      <c r="I2453" s="2" t="s">
        <v>5466</v>
      </c>
      <c r="J2453" s="3" t="str">
        <f>HYPERLINK("https://www.boe.es/gazeta/dias/1813/07/09/pdfs/GMR-1813-16.pdf#page=16","Abrir facsímil")</f>
        <v>Abrir facsímil</v>
      </c>
      <c r="K2453" s="3" t="s">
        <v>22</v>
      </c>
    </row>
    <row r="2454" spans="1:11" ht="42" customHeight="1">
      <c r="A2454" s="2" t="s">
        <v>5467</v>
      </c>
      <c r="B2454" s="2" t="s">
        <v>5468</v>
      </c>
      <c r="C2454" s="2" t="s">
        <v>16</v>
      </c>
      <c r="D2454" s="2" t="s">
        <v>17</v>
      </c>
      <c r="E2454" s="5">
        <v>-31542</v>
      </c>
      <c r="F2454" s="3" t="s">
        <v>337</v>
      </c>
      <c r="G2454" s="3" t="s">
        <v>58</v>
      </c>
      <c r="H2454" s="2" t="s">
        <v>20</v>
      </c>
      <c r="I2454" s="2" t="s">
        <v>5469</v>
      </c>
      <c r="J2454" s="3" t="str">
        <f>HYPERLINK("https://www.boe.es/gazeta/dias/1813/08/21/pdfs/GRE-1813-107.pdf#page=2","Abrir facsímil")</f>
        <v>Abrir facsímil</v>
      </c>
      <c r="K2454" s="3" t="s">
        <v>22</v>
      </c>
    </row>
    <row r="2455" spans="1:11" ht="42" customHeight="1">
      <c r="A2455" s="2" t="s">
        <v>5470</v>
      </c>
      <c r="B2455" s="2" t="s">
        <v>5471</v>
      </c>
      <c r="C2455" s="2" t="s">
        <v>25</v>
      </c>
      <c r="D2455" s="2" t="s">
        <v>26</v>
      </c>
      <c r="E2455" s="5">
        <v>-31735</v>
      </c>
      <c r="F2455" s="3" t="s">
        <v>5472</v>
      </c>
      <c r="G2455" s="3" t="s">
        <v>54</v>
      </c>
      <c r="H2455" s="2" t="s">
        <v>20</v>
      </c>
      <c r="I2455" s="2" t="s">
        <v>5473</v>
      </c>
      <c r="J2455" s="3" t="str">
        <f>HYPERLINK("https://www.boe.es/gazeta/dias/1813/02/09/pdfs/GMD-1813-40.pdf#page=3","Abrir facsímil")</f>
        <v>Abrir facsímil</v>
      </c>
      <c r="K2455" s="3" t="s">
        <v>22</v>
      </c>
    </row>
    <row r="2456" spans="1:11" ht="42" customHeight="1">
      <c r="A2456" s="2" t="s">
        <v>5474</v>
      </c>
      <c r="B2456" s="2" t="s">
        <v>5474</v>
      </c>
      <c r="C2456" s="2" t="s">
        <v>25</v>
      </c>
      <c r="D2456" s="2" t="s">
        <v>26</v>
      </c>
      <c r="E2456" s="5">
        <v>-31672</v>
      </c>
      <c r="F2456" s="3" t="s">
        <v>238</v>
      </c>
      <c r="G2456" s="3" t="s">
        <v>65</v>
      </c>
      <c r="H2456" s="2" t="s">
        <v>20</v>
      </c>
      <c r="I2456" s="2" t="s">
        <v>5475</v>
      </c>
      <c r="J2456" s="3" t="str">
        <f>HYPERLINK("https://www.boe.es/gazeta/dias/1813/04/13/pdfs/GRE-1813-45.pdf#page=1","Abrir facsímil")</f>
        <v>Abrir facsímil</v>
      </c>
      <c r="K2456" s="3" t="s">
        <v>22</v>
      </c>
    </row>
    <row r="2457" spans="1:11" ht="42" customHeight="1">
      <c r="A2457" s="2" t="s">
        <v>5476</v>
      </c>
      <c r="B2457" s="2" t="s">
        <v>5476</v>
      </c>
      <c r="C2457" s="2" t="s">
        <v>16</v>
      </c>
      <c r="D2457" s="2" t="s">
        <v>17</v>
      </c>
      <c r="E2457" s="5">
        <v>-31544</v>
      </c>
      <c r="F2457" s="3" t="s">
        <v>200</v>
      </c>
      <c r="G2457" s="3" t="s">
        <v>54</v>
      </c>
      <c r="H2457" s="2" t="s">
        <v>20</v>
      </c>
      <c r="I2457" s="2" t="s">
        <v>5477</v>
      </c>
      <c r="J2457" s="3" t="str">
        <f>HYPERLINK("https://www.boe.es/gazeta/dias/1813/08/19/pdfs/GRE-1813-106.pdf#page=3","Abrir facsímil")</f>
        <v>Abrir facsímil</v>
      </c>
      <c r="K2457" s="3" t="s">
        <v>22</v>
      </c>
    </row>
    <row r="2458" spans="1:11" ht="42" customHeight="1">
      <c r="A2458" s="2" t="s">
        <v>5478</v>
      </c>
      <c r="B2458" s="2" t="s">
        <v>5479</v>
      </c>
      <c r="C2458" s="2" t="s">
        <v>34</v>
      </c>
      <c r="D2458" s="2" t="s">
        <v>35</v>
      </c>
      <c r="E2458" s="5">
        <v>-31709</v>
      </c>
      <c r="F2458" s="3" t="s">
        <v>36</v>
      </c>
      <c r="G2458" s="3" t="s">
        <v>303</v>
      </c>
      <c r="H2458" s="2" t="s">
        <v>20</v>
      </c>
      <c r="I2458" s="2" t="s">
        <v>5480</v>
      </c>
      <c r="J2458" s="3" t="str">
        <f>HYPERLINK("https://www.boe.es/gazeta/dias/1813/03/07/pdfs/GMD-1813-66.pdf#page=3","Abrir facsímil")</f>
        <v>Abrir facsímil</v>
      </c>
      <c r="K2458" s="3" t="s">
        <v>22</v>
      </c>
    </row>
    <row r="2459" spans="1:11" ht="42" customHeight="1">
      <c r="A2459" s="2" t="s">
        <v>5481</v>
      </c>
      <c r="B2459" s="2" t="s">
        <v>5481</v>
      </c>
      <c r="C2459" s="2" t="s">
        <v>16</v>
      </c>
      <c r="D2459" s="2" t="s">
        <v>17</v>
      </c>
      <c r="E2459" s="5">
        <v>-31707</v>
      </c>
      <c r="F2459" s="3" t="s">
        <v>2195</v>
      </c>
      <c r="G2459" s="3" t="s">
        <v>19</v>
      </c>
      <c r="H2459" s="2" t="s">
        <v>20</v>
      </c>
      <c r="I2459" s="2" t="s">
        <v>5482</v>
      </c>
      <c r="J2459" s="3" t="str">
        <f>HYPERLINK("https://www.boe.es/gazeta/dias/1813/03/09/pdfs/GMD-1813-68.pdf#page=4","Abrir facsímil")</f>
        <v>Abrir facsímil</v>
      </c>
      <c r="K2459" s="3" t="s">
        <v>22</v>
      </c>
    </row>
    <row r="2460" spans="1:11" ht="42" customHeight="1">
      <c r="A2460" s="2" t="s">
        <v>5483</v>
      </c>
      <c r="B2460" s="2" t="s">
        <v>5484</v>
      </c>
      <c r="C2460" s="2" t="s">
        <v>16</v>
      </c>
      <c r="D2460" s="2" t="s">
        <v>17</v>
      </c>
      <c r="E2460" s="5">
        <v>-31425</v>
      </c>
      <c r="F2460" s="3" t="s">
        <v>1955</v>
      </c>
      <c r="G2460" s="3" t="s">
        <v>28</v>
      </c>
      <c r="H2460" s="2" t="s">
        <v>20</v>
      </c>
      <c r="I2460" s="2" t="s">
        <v>5485</v>
      </c>
      <c r="J2460" s="3" t="str">
        <f>HYPERLINK("https://www.boe.es/gazeta/dias/1813/12/16/pdfs/GMR-1813-88.pdf#page=8","Abrir facsímil")</f>
        <v>Abrir facsímil</v>
      </c>
      <c r="K2460" s="3" t="s">
        <v>22</v>
      </c>
    </row>
    <row r="2461" spans="1:11" ht="42" customHeight="1">
      <c r="A2461" s="2" t="s">
        <v>5483</v>
      </c>
      <c r="B2461" s="2" t="s">
        <v>5484</v>
      </c>
      <c r="C2461" s="2" t="s">
        <v>16</v>
      </c>
      <c r="D2461" s="2" t="s">
        <v>17</v>
      </c>
      <c r="E2461" s="5">
        <v>-31418</v>
      </c>
      <c r="F2461" s="3" t="s">
        <v>147</v>
      </c>
      <c r="G2461" s="3" t="s">
        <v>82</v>
      </c>
      <c r="H2461" s="2" t="s">
        <v>20</v>
      </c>
      <c r="I2461" s="2" t="s">
        <v>5486</v>
      </c>
      <c r="J2461" s="3" t="str">
        <f>HYPERLINK("https://www.boe.es/gazeta/dias/1813/12/23/pdfs/GRE-1813-168.pdf#page=5","Abrir facsímil")</f>
        <v>Abrir facsímil</v>
      </c>
      <c r="K2461" s="3" t="s">
        <v>22</v>
      </c>
    </row>
    <row r="2462" spans="1:11" ht="42" customHeight="1">
      <c r="A2462" s="2" t="s">
        <v>5487</v>
      </c>
      <c r="B2462" s="2" t="s">
        <v>5487</v>
      </c>
      <c r="C2462" s="2" t="s">
        <v>25</v>
      </c>
      <c r="D2462" s="2" t="s">
        <v>26</v>
      </c>
      <c r="E2462" s="5">
        <v>-31741</v>
      </c>
      <c r="F2462" s="3" t="s">
        <v>1359</v>
      </c>
      <c r="G2462" s="3" t="s">
        <v>19</v>
      </c>
      <c r="H2462" s="2" t="s">
        <v>20</v>
      </c>
      <c r="I2462" s="2" t="s">
        <v>5488</v>
      </c>
      <c r="J2462" s="3" t="str">
        <f>HYPERLINK("https://www.boe.es/gazeta/dias/1813/02/03/pdfs/GMD-1813-34.pdf#page=4","Abrir facsímil")</f>
        <v>Abrir facsímil</v>
      </c>
      <c r="K2462" s="3" t="s">
        <v>22</v>
      </c>
    </row>
    <row r="2463" spans="1:11" ht="42" customHeight="1">
      <c r="A2463" s="2" t="s">
        <v>5489</v>
      </c>
      <c r="B2463" s="2" t="s">
        <v>5489</v>
      </c>
      <c r="C2463" s="2" t="s">
        <v>16</v>
      </c>
      <c r="D2463" s="2" t="s">
        <v>17</v>
      </c>
      <c r="E2463" s="5">
        <v>-31772</v>
      </c>
      <c r="F2463" s="3" t="s">
        <v>709</v>
      </c>
      <c r="G2463" s="3" t="s">
        <v>28</v>
      </c>
      <c r="H2463" s="2" t="s">
        <v>20</v>
      </c>
      <c r="I2463" s="2" t="s">
        <v>5490</v>
      </c>
      <c r="J2463" s="3" t="str">
        <f>HYPERLINK("https://www.boe.es/gazeta/dias/1813/01/03/pdfs/GRE-1813-69.pdf#page=8","Abrir facsímil")</f>
        <v>Abrir facsímil</v>
      </c>
      <c r="K2463" s="3" t="s">
        <v>22</v>
      </c>
    </row>
    <row r="2464" spans="1:11" ht="42" customHeight="1">
      <c r="A2464" s="2" t="s">
        <v>5489</v>
      </c>
      <c r="B2464" s="2" t="s">
        <v>5489</v>
      </c>
      <c r="C2464" s="2" t="s">
        <v>16</v>
      </c>
      <c r="D2464" s="2" t="s">
        <v>17</v>
      </c>
      <c r="E2464" s="5">
        <v>-31621</v>
      </c>
      <c r="F2464" s="3" t="s">
        <v>709</v>
      </c>
      <c r="G2464" s="3" t="s">
        <v>28</v>
      </c>
      <c r="H2464" s="2" t="s">
        <v>20</v>
      </c>
      <c r="I2464" s="2" t="s">
        <v>5490</v>
      </c>
      <c r="J2464" s="3" t="str">
        <f>HYPERLINK("https://www.boe.es/gazeta/dias/1813/06/03/pdfs/GRE-1813-69.pdf#page=8","Abrir facsímil")</f>
        <v>Abrir facsímil</v>
      </c>
      <c r="K2464" s="3" t="s">
        <v>22</v>
      </c>
    </row>
    <row r="2465" spans="1:11" ht="42" customHeight="1">
      <c r="A2465" s="2" t="s">
        <v>5491</v>
      </c>
      <c r="B2465" s="2" t="s">
        <v>5491</v>
      </c>
      <c r="C2465" s="2" t="s">
        <v>16</v>
      </c>
      <c r="D2465" s="2" t="s">
        <v>17</v>
      </c>
      <c r="E2465" s="5">
        <v>-31574</v>
      </c>
      <c r="F2465" s="3" t="s">
        <v>1343</v>
      </c>
      <c r="G2465" s="3" t="s">
        <v>54</v>
      </c>
      <c r="H2465" s="2" t="s">
        <v>20</v>
      </c>
      <c r="I2465" s="2" t="s">
        <v>5492</v>
      </c>
      <c r="J2465" s="3" t="str">
        <f>HYPERLINK("https://www.boe.es/gazeta/dias/1813/07/20/pdfs/GMR-1813-19.pdf#page=3","Abrir facsímil")</f>
        <v>Abrir facsímil</v>
      </c>
      <c r="K2465" s="3" t="s">
        <v>22</v>
      </c>
    </row>
    <row r="2466" spans="1:11" ht="42" customHeight="1">
      <c r="A2466" s="2" t="s">
        <v>5493</v>
      </c>
      <c r="B2466" s="2" t="s">
        <v>5493</v>
      </c>
      <c r="C2466" s="2" t="s">
        <v>16</v>
      </c>
      <c r="D2466" s="2" t="s">
        <v>17</v>
      </c>
      <c r="E2466" s="5">
        <v>-31530</v>
      </c>
      <c r="F2466" s="3" t="s">
        <v>319</v>
      </c>
      <c r="G2466" s="3" t="s">
        <v>320</v>
      </c>
      <c r="H2466" s="2" t="s">
        <v>20</v>
      </c>
      <c r="I2466" s="2" t="s">
        <v>5494</v>
      </c>
      <c r="J2466" s="3" t="str">
        <f>HYPERLINK("https://www.boe.es/gazeta/dias/1813/09/02/pdfs/GRE-1813-112.pdf#page=6","Abrir facsímil")</f>
        <v>Abrir facsímil</v>
      </c>
      <c r="K2466" s="3" t="s">
        <v>22</v>
      </c>
    </row>
    <row r="2467" spans="1:11" ht="42" customHeight="1">
      <c r="A2467" s="2" t="s">
        <v>5495</v>
      </c>
      <c r="B2467" s="2" t="s">
        <v>5496</v>
      </c>
      <c r="C2467" s="2" t="s">
        <v>25</v>
      </c>
      <c r="D2467" s="2" t="s">
        <v>26</v>
      </c>
      <c r="E2467" s="5">
        <v>-31652</v>
      </c>
      <c r="F2467" s="3" t="s">
        <v>3062</v>
      </c>
      <c r="G2467" s="3" t="s">
        <v>65</v>
      </c>
      <c r="H2467" s="2" t="s">
        <v>20</v>
      </c>
      <c r="I2467" s="2" t="s">
        <v>5497</v>
      </c>
      <c r="J2467" s="3" t="str">
        <f>HYPERLINK("https://www.boe.es/gazeta/dias/1813/05/03/pdfs/GMD-1813-123.pdf#page=1","Abrir facsímil")</f>
        <v>Abrir facsímil</v>
      </c>
      <c r="K2467" s="3" t="s">
        <v>22</v>
      </c>
    </row>
    <row r="2468" spans="1:11" ht="42" customHeight="1">
      <c r="A2468" s="2" t="s">
        <v>5498</v>
      </c>
      <c r="B2468" s="2" t="s">
        <v>5499</v>
      </c>
      <c r="C2468" s="2" t="s">
        <v>25</v>
      </c>
      <c r="D2468" s="2" t="s">
        <v>26</v>
      </c>
      <c r="E2468" s="5">
        <v>-31752</v>
      </c>
      <c r="F2468" s="3" t="s">
        <v>182</v>
      </c>
      <c r="G2468" s="3" t="s">
        <v>183</v>
      </c>
      <c r="H2468" s="2" t="s">
        <v>20</v>
      </c>
      <c r="I2468" s="2" t="s">
        <v>5500</v>
      </c>
      <c r="J2468" s="3" t="str">
        <f>HYPERLINK("https://www.boe.es/gazeta/dias/1813/01/23/pdfs/GRE-1813-10.pdf#page=8","Abrir facsímil")</f>
        <v>Abrir facsímil</v>
      </c>
      <c r="K2468" s="3" t="s">
        <v>22</v>
      </c>
    </row>
    <row r="2469" spans="1:11" ht="42" customHeight="1">
      <c r="A2469" s="2" t="s">
        <v>5501</v>
      </c>
      <c r="B2469" s="2" t="s">
        <v>5501</v>
      </c>
      <c r="C2469" s="2" t="s">
        <v>16</v>
      </c>
      <c r="D2469" s="2" t="s">
        <v>17</v>
      </c>
      <c r="E2469" s="5">
        <v>-31511</v>
      </c>
      <c r="F2469" s="3" t="s">
        <v>935</v>
      </c>
      <c r="G2469" s="3" t="s">
        <v>1304</v>
      </c>
      <c r="H2469" s="2" t="s">
        <v>20</v>
      </c>
      <c r="I2469" s="2" t="s">
        <v>5502</v>
      </c>
      <c r="J2469" s="3" t="str">
        <f>HYPERLINK("https://www.boe.es/gazeta/dias/1813/09/21/pdfs/GMR-1813-46.pdf#page=12","Abrir facsímil")</f>
        <v>Abrir facsímil</v>
      </c>
      <c r="K2469" s="3" t="s">
        <v>22</v>
      </c>
    </row>
    <row r="2470" spans="1:11" ht="42" customHeight="1">
      <c r="A2470" s="2" t="s">
        <v>5503</v>
      </c>
      <c r="B2470" s="2" t="s">
        <v>5503</v>
      </c>
      <c r="C2470" s="2" t="s">
        <v>16</v>
      </c>
      <c r="D2470" s="2" t="s">
        <v>17</v>
      </c>
      <c r="E2470" s="5">
        <v>-31507</v>
      </c>
      <c r="F2470" s="3" t="s">
        <v>61</v>
      </c>
      <c r="G2470" s="3" t="s">
        <v>82</v>
      </c>
      <c r="H2470" s="2" t="s">
        <v>20</v>
      </c>
      <c r="I2470" s="2" t="s">
        <v>5504</v>
      </c>
      <c r="J2470" s="3" t="str">
        <f>HYPERLINK("https://www.boe.es/gazeta/dias/1813/09/25/pdfs/GMR-1813-48.pdf#page=5","Abrir facsímil")</f>
        <v>Abrir facsímil</v>
      </c>
      <c r="K2470" s="3" t="s">
        <v>22</v>
      </c>
    </row>
    <row r="2471" spans="1:11" ht="42" customHeight="1">
      <c r="A2471" s="2" t="s">
        <v>5505</v>
      </c>
      <c r="B2471" s="2" t="s">
        <v>5505</v>
      </c>
      <c r="C2471" s="2" t="s">
        <v>277</v>
      </c>
      <c r="D2471" s="2" t="s">
        <v>26</v>
      </c>
      <c r="E2471" s="5">
        <v>-31653</v>
      </c>
      <c r="F2471" s="3" t="s">
        <v>3121</v>
      </c>
      <c r="G2471" s="3" t="s">
        <v>65</v>
      </c>
      <c r="H2471" s="2" t="s">
        <v>20</v>
      </c>
      <c r="I2471" s="2" t="s">
        <v>5506</v>
      </c>
      <c r="J2471" s="3" t="str">
        <f>HYPERLINK("https://www.boe.es/gazeta/dias/1813/05/02/pdfs/GMD-1813-122.pdf#page=1","Abrir facsímil")</f>
        <v>Abrir facsímil</v>
      </c>
      <c r="K2471" s="3" t="s">
        <v>22</v>
      </c>
    </row>
    <row r="2472" spans="1:11" ht="42" customHeight="1">
      <c r="A2472" s="2" t="s">
        <v>5507</v>
      </c>
      <c r="B2472" s="2" t="s">
        <v>5507</v>
      </c>
      <c r="C2472" s="2" t="s">
        <v>16</v>
      </c>
      <c r="D2472" s="2" t="s">
        <v>17</v>
      </c>
      <c r="E2472" s="5">
        <v>-31735</v>
      </c>
      <c r="F2472" s="3" t="s">
        <v>5472</v>
      </c>
      <c r="G2472" s="3" t="s">
        <v>65</v>
      </c>
      <c r="H2472" s="2" t="s">
        <v>20</v>
      </c>
      <c r="I2472" s="2" t="s">
        <v>5508</v>
      </c>
      <c r="J2472" s="3" t="str">
        <f>HYPERLINK("https://www.boe.es/gazeta/dias/1813/02/09/pdfs/GMD-1813-40.pdf#page=1","Abrir facsímil")</f>
        <v>Abrir facsímil</v>
      </c>
      <c r="K2472" s="3" t="s">
        <v>22</v>
      </c>
    </row>
    <row r="2473" spans="1:11" ht="42" customHeight="1">
      <c r="A2473" s="2" t="s">
        <v>5509</v>
      </c>
      <c r="B2473" s="2" t="s">
        <v>5509</v>
      </c>
      <c r="C2473" s="2" t="s">
        <v>16</v>
      </c>
      <c r="D2473" s="2" t="s">
        <v>17</v>
      </c>
      <c r="E2473" s="5">
        <v>-31752</v>
      </c>
      <c r="F2473" s="3" t="s">
        <v>182</v>
      </c>
      <c r="G2473" s="3" t="s">
        <v>58</v>
      </c>
      <c r="H2473" s="2" t="s">
        <v>20</v>
      </c>
      <c r="I2473" s="2" t="s">
        <v>5510</v>
      </c>
      <c r="J2473" s="3" t="str">
        <f>HYPERLINK("https://www.boe.es/gazeta/dias/1813/01/23/pdfs/GRE-1813-10.pdf#page=2","Abrir facsímil")</f>
        <v>Abrir facsímil</v>
      </c>
      <c r="K2473" s="3" t="s">
        <v>22</v>
      </c>
    </row>
    <row r="2474" spans="1:11" ht="42" customHeight="1">
      <c r="A2474" s="2" t="s">
        <v>5511</v>
      </c>
      <c r="B2474" s="2" t="s">
        <v>5511</v>
      </c>
      <c r="C2474" s="2" t="s">
        <v>16</v>
      </c>
      <c r="D2474" s="2" t="s">
        <v>17</v>
      </c>
      <c r="E2474" s="5">
        <v>-31752</v>
      </c>
      <c r="F2474" s="3" t="s">
        <v>182</v>
      </c>
      <c r="G2474" s="3" t="s">
        <v>65</v>
      </c>
      <c r="H2474" s="2" t="s">
        <v>20</v>
      </c>
      <c r="I2474" s="2" t="s">
        <v>5512</v>
      </c>
      <c r="J2474" s="3" t="str">
        <f>HYPERLINK("https://www.boe.es/gazeta/dias/1813/01/23/pdfs/GRE-1813-10.pdf#page=1","Abrir facsímil")</f>
        <v>Abrir facsímil</v>
      </c>
      <c r="K2474" s="3" t="s">
        <v>22</v>
      </c>
    </row>
    <row r="2475" spans="1:11" ht="42" customHeight="1">
      <c r="A2475" s="2" t="s">
        <v>5513</v>
      </c>
      <c r="B2475" s="2" t="s">
        <v>5513</v>
      </c>
      <c r="C2475" s="2" t="s">
        <v>16</v>
      </c>
      <c r="D2475" s="2" t="s">
        <v>17</v>
      </c>
      <c r="E2475" s="5">
        <v>-31733</v>
      </c>
      <c r="F2475" s="3" t="s">
        <v>3036</v>
      </c>
      <c r="G2475" s="3" t="s">
        <v>58</v>
      </c>
      <c r="H2475" s="2" t="s">
        <v>20</v>
      </c>
      <c r="I2475" s="2" t="s">
        <v>5514</v>
      </c>
      <c r="J2475" s="3" t="str">
        <f>HYPERLINK("https://www.boe.es/gazeta/dias/1813/02/11/pdfs/GRE-1813-18.pdf#page=2","Abrir facsímil")</f>
        <v>Abrir facsímil</v>
      </c>
      <c r="K2475" s="3" t="s">
        <v>22</v>
      </c>
    </row>
    <row r="2476" spans="1:11" ht="42" customHeight="1">
      <c r="A2476" s="2" t="s">
        <v>5515</v>
      </c>
      <c r="B2476" s="2" t="s">
        <v>5515</v>
      </c>
      <c r="C2476" s="2" t="s">
        <v>16</v>
      </c>
      <c r="D2476" s="2" t="s">
        <v>17</v>
      </c>
      <c r="E2476" s="5">
        <v>-31574</v>
      </c>
      <c r="F2476" s="3" t="s">
        <v>509</v>
      </c>
      <c r="G2476" s="3" t="s">
        <v>5516</v>
      </c>
      <c r="H2476" s="2" t="s">
        <v>20</v>
      </c>
      <c r="I2476" s="2" t="s">
        <v>5517</v>
      </c>
      <c r="J2476" s="3" t="str">
        <f>HYPERLINK("https://www.boe.es/gazeta/dias/1813/07/20/pdfs/GRE-1813-92.pdf#page=5","Abrir facsímil")</f>
        <v>Abrir facsímil</v>
      </c>
      <c r="K2476" s="3" t="s">
        <v>22</v>
      </c>
    </row>
    <row r="2477" spans="1:11" ht="42" customHeight="1">
      <c r="A2477" s="2" t="s">
        <v>5518</v>
      </c>
      <c r="B2477" s="2" t="s">
        <v>5519</v>
      </c>
      <c r="C2477" s="2" t="s">
        <v>25</v>
      </c>
      <c r="D2477" s="2" t="s">
        <v>26</v>
      </c>
      <c r="E2477" s="5">
        <v>-31754</v>
      </c>
      <c r="F2477" s="3" t="s">
        <v>899</v>
      </c>
      <c r="G2477" s="3" t="s">
        <v>900</v>
      </c>
      <c r="H2477" s="2" t="s">
        <v>20</v>
      </c>
      <c r="I2477" s="2" t="s">
        <v>5520</v>
      </c>
      <c r="J2477" s="3" t="str">
        <f>HYPERLINK("https://www.boe.es/gazeta/dias/1813/01/21/pdfs/GRE-1813-9.pdf#page=8","Abrir facsímil")</f>
        <v>Abrir facsímil</v>
      </c>
      <c r="K2477" s="3" t="s">
        <v>22</v>
      </c>
    </row>
    <row r="2478" spans="1:11" ht="42" customHeight="1">
      <c r="A2478" s="2" t="s">
        <v>5521</v>
      </c>
      <c r="B2478" s="2" t="s">
        <v>5521</v>
      </c>
      <c r="C2478" s="2" t="s">
        <v>25</v>
      </c>
      <c r="D2478" s="2" t="s">
        <v>26</v>
      </c>
      <c r="E2478" s="5">
        <v>-31645</v>
      </c>
      <c r="F2478" s="3" t="s">
        <v>4666</v>
      </c>
      <c r="G2478" s="3" t="s">
        <v>58</v>
      </c>
      <c r="H2478" s="2" t="s">
        <v>20</v>
      </c>
      <c r="I2478" s="2" t="s">
        <v>5522</v>
      </c>
      <c r="J2478" s="3" t="str">
        <f>HYPERLINK("https://www.boe.es/gazeta/dias/1813/05/10/pdfs/GMD-1813-130.pdf#page=2","Abrir facsímil")</f>
        <v>Abrir facsímil</v>
      </c>
      <c r="K2478" s="3" t="s">
        <v>22</v>
      </c>
    </row>
    <row r="2479" spans="1:11" ht="42" customHeight="1">
      <c r="A2479" s="2" t="s">
        <v>5523</v>
      </c>
      <c r="B2479" s="2" t="s">
        <v>5523</v>
      </c>
      <c r="C2479" s="2" t="s">
        <v>16</v>
      </c>
      <c r="D2479" s="2" t="s">
        <v>17</v>
      </c>
      <c r="E2479" s="5">
        <v>-31752</v>
      </c>
      <c r="F2479" s="3" t="s">
        <v>182</v>
      </c>
      <c r="G2479" s="3" t="s">
        <v>58</v>
      </c>
      <c r="H2479" s="2" t="s">
        <v>20</v>
      </c>
      <c r="I2479" s="2" t="s">
        <v>5524</v>
      </c>
      <c r="J2479" s="3" t="str">
        <f>HYPERLINK("https://www.boe.es/gazeta/dias/1813/01/23/pdfs/GRE-1813-10.pdf#page=2","Abrir facsímil")</f>
        <v>Abrir facsímil</v>
      </c>
      <c r="K2479" s="3" t="s">
        <v>22</v>
      </c>
    </row>
    <row r="2480" spans="1:11" ht="42" customHeight="1">
      <c r="A2480" s="2" t="s">
        <v>5525</v>
      </c>
      <c r="B2480" s="2" t="s">
        <v>5526</v>
      </c>
      <c r="C2480" s="2" t="s">
        <v>16</v>
      </c>
      <c r="D2480" s="2" t="s">
        <v>17</v>
      </c>
      <c r="E2480" s="5">
        <v>-31439</v>
      </c>
      <c r="F2480" s="3" t="s">
        <v>3821</v>
      </c>
      <c r="G2480" s="3" t="s">
        <v>19</v>
      </c>
      <c r="H2480" s="2" t="s">
        <v>20</v>
      </c>
      <c r="I2480" s="2" t="s">
        <v>5527</v>
      </c>
      <c r="J2480" s="3" t="str">
        <f>HYPERLINK("https://www.boe.es/gazeta/dias/1813/12/02/pdfs/GRE-1813-159.pdf#page=4","Abrir facsímil")</f>
        <v>Abrir facsímil</v>
      </c>
      <c r="K2480" s="3" t="s">
        <v>22</v>
      </c>
    </row>
    <row r="2481" spans="1:11" ht="42" customHeight="1">
      <c r="A2481" s="2" t="s">
        <v>5528</v>
      </c>
      <c r="B2481" s="2" t="s">
        <v>5529</v>
      </c>
      <c r="C2481" s="2" t="s">
        <v>16</v>
      </c>
      <c r="D2481" s="2" t="s">
        <v>17</v>
      </c>
      <c r="E2481" s="5">
        <v>-31418</v>
      </c>
      <c r="F2481" s="3" t="s">
        <v>147</v>
      </c>
      <c r="G2481" s="3" t="s">
        <v>82</v>
      </c>
      <c r="H2481" s="2" t="s">
        <v>20</v>
      </c>
      <c r="I2481" s="2" t="s">
        <v>5530</v>
      </c>
      <c r="J2481" s="3" t="str">
        <f>HYPERLINK("https://www.boe.es/gazeta/dias/1813/12/23/pdfs/GRE-1813-168.pdf#page=5","Abrir facsímil")</f>
        <v>Abrir facsímil</v>
      </c>
      <c r="K2481" s="3" t="s">
        <v>22</v>
      </c>
    </row>
    <row r="2482" spans="1:11" ht="42" customHeight="1">
      <c r="A2482" s="2" t="s">
        <v>5531</v>
      </c>
      <c r="B2482" s="2" t="s">
        <v>5532</v>
      </c>
      <c r="C2482" s="2" t="s">
        <v>16</v>
      </c>
      <c r="D2482" s="2" t="s">
        <v>17</v>
      </c>
      <c r="E2482" s="5">
        <v>-31577</v>
      </c>
      <c r="F2482" s="3" t="s">
        <v>586</v>
      </c>
      <c r="G2482" s="3" t="s">
        <v>5533</v>
      </c>
      <c r="H2482" s="2" t="s">
        <v>20</v>
      </c>
      <c r="I2482" s="2" t="s">
        <v>5534</v>
      </c>
      <c r="J2482" s="3" t="str">
        <f>HYPERLINK("https://www.boe.es/gazeta/dias/1813/07/17/pdfs/GRE-1813-90.pdf#page=7","Abrir facsímil")</f>
        <v>Abrir facsímil</v>
      </c>
      <c r="K2482" s="3" t="s">
        <v>22</v>
      </c>
    </row>
    <row r="2483" spans="1:11" ht="42" customHeight="1">
      <c r="A2483" s="2" t="s">
        <v>5531</v>
      </c>
      <c r="B2483" s="2" t="s">
        <v>5532</v>
      </c>
      <c r="C2483" s="2" t="s">
        <v>16</v>
      </c>
      <c r="D2483" s="2" t="s">
        <v>17</v>
      </c>
      <c r="E2483" s="5">
        <v>-31577</v>
      </c>
      <c r="F2483" s="3" t="s">
        <v>586</v>
      </c>
      <c r="G2483" s="3" t="s">
        <v>95</v>
      </c>
      <c r="H2483" s="2" t="s">
        <v>20</v>
      </c>
      <c r="I2483" s="2" t="s">
        <v>5535</v>
      </c>
      <c r="J2483" s="3" t="str">
        <f>HYPERLINK("https://www.boe.es/gazeta/dias/1813/07/17/pdfs/GRE-1813-90.pdf#page=6","Abrir facsímil")</f>
        <v>Abrir facsímil</v>
      </c>
      <c r="K2483" s="3" t="s">
        <v>22</v>
      </c>
    </row>
    <row r="2484" spans="1:11" ht="42" customHeight="1">
      <c r="A2484" s="2" t="s">
        <v>5531</v>
      </c>
      <c r="B2484" s="2" t="s">
        <v>5532</v>
      </c>
      <c r="C2484" s="2" t="s">
        <v>16</v>
      </c>
      <c r="D2484" s="2" t="s">
        <v>17</v>
      </c>
      <c r="E2484" s="5">
        <v>-31493</v>
      </c>
      <c r="F2484" s="3" t="s">
        <v>1996</v>
      </c>
      <c r="G2484" s="3" t="s">
        <v>54</v>
      </c>
      <c r="H2484" s="2" t="s">
        <v>20</v>
      </c>
      <c r="I2484" s="2" t="s">
        <v>5536</v>
      </c>
      <c r="J2484" s="3" t="str">
        <f>HYPERLINK("https://www.boe.es/gazeta/dias/1813/10/09/pdfs/GRE-1813-132.pdf#page=3","Abrir facsímil")</f>
        <v>Abrir facsímil</v>
      </c>
      <c r="K2484" s="3" t="s">
        <v>22</v>
      </c>
    </row>
    <row r="2485" spans="1:11" ht="42" customHeight="1">
      <c r="A2485" s="2" t="s">
        <v>5537</v>
      </c>
      <c r="B2485" s="2" t="s">
        <v>5537</v>
      </c>
      <c r="C2485" s="2" t="s">
        <v>16</v>
      </c>
      <c r="D2485" s="2" t="s">
        <v>17</v>
      </c>
      <c r="E2485" s="5">
        <v>-31602</v>
      </c>
      <c r="F2485" s="3" t="s">
        <v>4545</v>
      </c>
      <c r="G2485" s="3" t="s">
        <v>82</v>
      </c>
      <c r="H2485" s="2" t="s">
        <v>20</v>
      </c>
      <c r="I2485" s="2" t="s">
        <v>5538</v>
      </c>
      <c r="J2485" s="3" t="str">
        <f>HYPERLINK("https://www.boe.es/gazeta/dias/1813/06/22/pdfs/GRE-1813-77.pdf#page=5","Abrir facsímil")</f>
        <v>Abrir facsímil</v>
      </c>
      <c r="K2485" s="3" t="s">
        <v>22</v>
      </c>
    </row>
    <row r="2486" spans="1:11" ht="42" customHeight="1">
      <c r="A2486" s="2" t="s">
        <v>5539</v>
      </c>
      <c r="B2486" s="2" t="s">
        <v>5540</v>
      </c>
      <c r="C2486" s="2" t="s">
        <v>25</v>
      </c>
      <c r="D2486" s="2" t="s">
        <v>26</v>
      </c>
      <c r="E2486" s="5">
        <v>-31754</v>
      </c>
      <c r="F2486" s="3" t="s">
        <v>899</v>
      </c>
      <c r="G2486" s="3" t="s">
        <v>900</v>
      </c>
      <c r="H2486" s="2" t="s">
        <v>20</v>
      </c>
      <c r="I2486" s="2" t="s">
        <v>5541</v>
      </c>
      <c r="J2486" s="3" t="str">
        <f>HYPERLINK("https://www.boe.es/gazeta/dias/1813/01/21/pdfs/GRE-1813-9.pdf#page=8","Abrir facsímil")</f>
        <v>Abrir facsímil</v>
      </c>
      <c r="K2486" s="3" t="s">
        <v>22</v>
      </c>
    </row>
    <row r="2487" spans="1:11" ht="42" customHeight="1">
      <c r="A2487" s="2" t="s">
        <v>5542</v>
      </c>
      <c r="B2487" s="2" t="s">
        <v>5543</v>
      </c>
      <c r="C2487" s="2" t="s">
        <v>25</v>
      </c>
      <c r="D2487" s="2" t="s">
        <v>26</v>
      </c>
      <c r="E2487" s="5">
        <v>-31752</v>
      </c>
      <c r="F2487" s="3" t="s">
        <v>182</v>
      </c>
      <c r="G2487" s="3" t="s">
        <v>183</v>
      </c>
      <c r="H2487" s="2" t="s">
        <v>20</v>
      </c>
      <c r="I2487" s="2" t="s">
        <v>5544</v>
      </c>
      <c r="J2487" s="3" t="str">
        <f>HYPERLINK("https://www.boe.es/gazeta/dias/1813/01/23/pdfs/GRE-1813-10.pdf#page=8","Abrir facsímil")</f>
        <v>Abrir facsímil</v>
      </c>
      <c r="K2487" s="3" t="s">
        <v>22</v>
      </c>
    </row>
    <row r="2488" spans="1:11" ht="42" customHeight="1">
      <c r="A2488" s="2" t="s">
        <v>5545</v>
      </c>
      <c r="B2488" s="2" t="s">
        <v>5546</v>
      </c>
      <c r="C2488" s="2" t="s">
        <v>16</v>
      </c>
      <c r="D2488" s="2" t="s">
        <v>17</v>
      </c>
      <c r="E2488" s="5">
        <v>-31558</v>
      </c>
      <c r="F2488" s="3" t="s">
        <v>1288</v>
      </c>
      <c r="G2488" s="3" t="s">
        <v>87</v>
      </c>
      <c r="H2488" s="2" t="s">
        <v>29</v>
      </c>
      <c r="I2488" s="2" t="s">
        <v>5547</v>
      </c>
      <c r="J2488" s="3" t="str">
        <f>HYPERLINK("https://www.boe.es/gazeta/dias/1813/08/05/pdfs/GMR-1813-24.pdf#page=7","Abrir facsímil")</f>
        <v>Abrir facsímil</v>
      </c>
      <c r="K2488" s="3" t="s">
        <v>31</v>
      </c>
    </row>
    <row r="2489" spans="1:11" ht="42" customHeight="1">
      <c r="A2489" s="2" t="s">
        <v>5548</v>
      </c>
      <c r="B2489" s="2" t="s">
        <v>5549</v>
      </c>
      <c r="C2489" s="2" t="s">
        <v>16</v>
      </c>
      <c r="D2489" s="2" t="s">
        <v>17</v>
      </c>
      <c r="E2489" s="5">
        <v>-31546</v>
      </c>
      <c r="F2489" s="3" t="s">
        <v>2057</v>
      </c>
      <c r="G2489" s="3" t="s">
        <v>87</v>
      </c>
      <c r="H2489" s="2" t="s">
        <v>20</v>
      </c>
      <c r="I2489" s="2" t="s">
        <v>5550</v>
      </c>
      <c r="J2489" s="3" t="str">
        <f>HYPERLINK("https://www.boe.es/gazeta/dias/1813/08/17/pdfs/GRE-1813-105.pdf#page=7","Abrir facsímil")</f>
        <v>Abrir facsímil</v>
      </c>
      <c r="K2489" s="3" t="s">
        <v>22</v>
      </c>
    </row>
    <row r="2490" spans="1:11" ht="42" customHeight="1">
      <c r="A2490" s="2" t="s">
        <v>5551</v>
      </c>
      <c r="B2490" s="2" t="s">
        <v>5552</v>
      </c>
      <c r="C2490" s="2" t="s">
        <v>34</v>
      </c>
      <c r="D2490" s="2" t="s">
        <v>35</v>
      </c>
      <c r="E2490" s="5">
        <v>-31500</v>
      </c>
      <c r="F2490" s="3" t="s">
        <v>938</v>
      </c>
      <c r="G2490" s="3" t="s">
        <v>5553</v>
      </c>
      <c r="H2490" s="2" t="s">
        <v>29</v>
      </c>
      <c r="I2490" s="2" t="s">
        <v>5554</v>
      </c>
      <c r="J2490" s="3" t="str">
        <f>HYPERLINK("https://www.boe.es/gazeta/dias/1813/10/02/pdfs/GMR-1813-52.pdf#page=5","Abrir facsímil")</f>
        <v>Abrir facsímil</v>
      </c>
      <c r="K2490" s="3" t="s">
        <v>31</v>
      </c>
    </row>
    <row r="2491" spans="1:11" ht="42" customHeight="1">
      <c r="A2491" s="2" t="s">
        <v>5555</v>
      </c>
      <c r="B2491" s="2" t="s">
        <v>5556</v>
      </c>
      <c r="C2491" s="2" t="s">
        <v>16</v>
      </c>
      <c r="D2491" s="2" t="s">
        <v>17</v>
      </c>
      <c r="E2491" s="5">
        <v>-31490</v>
      </c>
      <c r="F2491" s="3" t="s">
        <v>3271</v>
      </c>
      <c r="G2491" s="3" t="s">
        <v>28</v>
      </c>
      <c r="H2491" s="2" t="s">
        <v>20</v>
      </c>
      <c r="I2491" s="2" t="s">
        <v>5557</v>
      </c>
      <c r="J2491" s="3" t="str">
        <f>HYPERLINK("https://www.boe.es/gazeta/dias/1813/10/12/pdfs/GRE-1813-133.pdf#page=8","Abrir facsímil")</f>
        <v>Abrir facsímil</v>
      </c>
      <c r="K2491" s="3" t="s">
        <v>22</v>
      </c>
    </row>
    <row r="2492" spans="1:11" ht="42" customHeight="1">
      <c r="A2492" s="2" t="s">
        <v>5558</v>
      </c>
      <c r="B2492" s="2" t="s">
        <v>5559</v>
      </c>
      <c r="C2492" s="2" t="s">
        <v>34</v>
      </c>
      <c r="D2492" s="2" t="s">
        <v>97</v>
      </c>
      <c r="E2492" s="5">
        <v>-31479</v>
      </c>
      <c r="F2492" s="3" t="s">
        <v>290</v>
      </c>
      <c r="G2492" s="3" t="s">
        <v>207</v>
      </c>
      <c r="H2492" s="2" t="s">
        <v>20</v>
      </c>
      <c r="I2492" s="2" t="s">
        <v>5560</v>
      </c>
      <c r="J2492" s="3" t="str">
        <f>HYPERLINK("https://www.boe.es/gazeta/dias/1813/10/23/pdfs/GRE-1813-139E.pdf#page=10","Abrir facsímil")</f>
        <v>Abrir facsímil</v>
      </c>
      <c r="K2492" s="3" t="s">
        <v>22</v>
      </c>
    </row>
    <row r="2493" spans="1:11" ht="42" customHeight="1">
      <c r="A2493" s="2" t="s">
        <v>5558</v>
      </c>
      <c r="B2493" s="2" t="s">
        <v>5559</v>
      </c>
      <c r="C2493" s="2" t="s">
        <v>16</v>
      </c>
      <c r="D2493" s="2" t="s">
        <v>17</v>
      </c>
      <c r="E2493" s="5">
        <v>-31476</v>
      </c>
      <c r="F2493" s="3" t="s">
        <v>158</v>
      </c>
      <c r="G2493" s="3" t="s">
        <v>95</v>
      </c>
      <c r="H2493" s="2" t="s">
        <v>20</v>
      </c>
      <c r="I2493" s="2" t="s">
        <v>5561</v>
      </c>
      <c r="J2493" s="3" t="str">
        <f>HYPERLINK("https://www.boe.es/gazeta/dias/1813/10/26/pdfs/GMR-1813-64.pdf#page=6","Abrir facsímil")</f>
        <v>Abrir facsímil</v>
      </c>
      <c r="K2493" s="3" t="s">
        <v>22</v>
      </c>
    </row>
    <row r="2494" spans="1:11" ht="42" customHeight="1">
      <c r="A2494" s="2" t="s">
        <v>5558</v>
      </c>
      <c r="B2494" s="2" t="s">
        <v>5559</v>
      </c>
      <c r="C2494" s="2" t="s">
        <v>16</v>
      </c>
      <c r="D2494" s="2" t="s">
        <v>17</v>
      </c>
      <c r="E2494" s="5">
        <v>-31465</v>
      </c>
      <c r="F2494" s="3" t="s">
        <v>407</v>
      </c>
      <c r="G2494" s="3" t="s">
        <v>82</v>
      </c>
      <c r="H2494" s="2" t="s">
        <v>20</v>
      </c>
      <c r="I2494" s="2" t="s">
        <v>5562</v>
      </c>
      <c r="J2494" s="3" t="str">
        <f>HYPERLINK("https://www.boe.es/gazeta/dias/1813/11/06/pdfs/GMR-1813-70.pdf#page=5","Abrir facsímil")</f>
        <v>Abrir facsímil</v>
      </c>
      <c r="K2494" s="3" t="s">
        <v>22</v>
      </c>
    </row>
    <row r="2495" spans="1:11" ht="42" customHeight="1">
      <c r="A2495" s="2" t="s">
        <v>5558</v>
      </c>
      <c r="B2495" s="2" t="s">
        <v>5559</v>
      </c>
      <c r="C2495" s="2" t="s">
        <v>34</v>
      </c>
      <c r="D2495" s="2" t="s">
        <v>35</v>
      </c>
      <c r="E2495" s="5">
        <v>-31462</v>
      </c>
      <c r="F2495" s="3" t="s">
        <v>1028</v>
      </c>
      <c r="G2495" s="3" t="s">
        <v>258</v>
      </c>
      <c r="H2495" s="2" t="s">
        <v>20</v>
      </c>
      <c r="I2495" s="2" t="s">
        <v>5563</v>
      </c>
      <c r="J2495" s="3" t="str">
        <f>HYPERLINK("https://www.boe.es/gazeta/dias/1813/11/09/pdfs/GMR-1813-71.pdf#page=12","Abrir facsímil")</f>
        <v>Abrir facsímil</v>
      </c>
      <c r="K2495" s="3" t="s">
        <v>22</v>
      </c>
    </row>
    <row r="2496" spans="1:11" ht="42" customHeight="1">
      <c r="A2496" s="2" t="s">
        <v>5564</v>
      </c>
      <c r="B2496" s="2" t="s">
        <v>5565</v>
      </c>
      <c r="C2496" s="2" t="s">
        <v>34</v>
      </c>
      <c r="D2496" s="2" t="s">
        <v>35</v>
      </c>
      <c r="E2496" s="5">
        <v>-31556</v>
      </c>
      <c r="F2496" s="3" t="s">
        <v>118</v>
      </c>
      <c r="G2496" s="3" t="s">
        <v>28</v>
      </c>
      <c r="H2496" s="2" t="s">
        <v>20</v>
      </c>
      <c r="I2496" s="2" t="s">
        <v>5566</v>
      </c>
      <c r="J2496" s="3" t="str">
        <f>HYPERLINK("https://www.boe.es/gazeta/dias/1813/08/07/pdfs/GMR-1813-25.pdf#page=8","Abrir facsímil")</f>
        <v>Abrir facsímil</v>
      </c>
      <c r="K2496" s="3" t="s">
        <v>22</v>
      </c>
    </row>
    <row r="2497" spans="1:11" ht="42" customHeight="1">
      <c r="A2497" s="2" t="s">
        <v>5567</v>
      </c>
      <c r="B2497" s="2" t="s">
        <v>5568</v>
      </c>
      <c r="C2497" s="2" t="s">
        <v>16</v>
      </c>
      <c r="D2497" s="2" t="s">
        <v>17</v>
      </c>
      <c r="E2497" s="5">
        <v>-31754</v>
      </c>
      <c r="F2497" s="3" t="s">
        <v>899</v>
      </c>
      <c r="G2497" s="3" t="s">
        <v>900</v>
      </c>
      <c r="H2497" s="2" t="s">
        <v>20</v>
      </c>
      <c r="I2497" s="2" t="s">
        <v>5569</v>
      </c>
      <c r="J2497" s="3" t="str">
        <f>HYPERLINK("https://www.boe.es/gazeta/dias/1813/01/21/pdfs/GRE-1813-9.pdf#page=8","Abrir facsímil")</f>
        <v>Abrir facsímil</v>
      </c>
      <c r="K2497" s="3" t="s">
        <v>22</v>
      </c>
    </row>
    <row r="2498" spans="1:11" ht="42" customHeight="1">
      <c r="A2498" s="2" t="s">
        <v>5570</v>
      </c>
      <c r="B2498" s="2" t="s">
        <v>5571</v>
      </c>
      <c r="C2498" s="2" t="s">
        <v>435</v>
      </c>
      <c r="D2498" s="2" t="s">
        <v>26</v>
      </c>
      <c r="E2498" s="5">
        <v>-31684</v>
      </c>
      <c r="F2498" s="3" t="s">
        <v>427</v>
      </c>
      <c r="G2498" s="3" t="s">
        <v>428</v>
      </c>
      <c r="H2498" s="2" t="s">
        <v>20</v>
      </c>
      <c r="I2498" s="2" t="s">
        <v>5572</v>
      </c>
      <c r="J2498" s="3" t="str">
        <f>HYPERLINK("https://www.boe.es/gazeta/dias/1813/04/01/pdfs/GRE-1813-40.pdf#page=7","Abrir facsímil")</f>
        <v>Abrir facsímil</v>
      </c>
      <c r="K2498" s="3" t="s">
        <v>22</v>
      </c>
    </row>
    <row r="2499" spans="1:11" ht="42" customHeight="1">
      <c r="A2499" s="2" t="s">
        <v>5573</v>
      </c>
      <c r="B2499" s="2" t="s">
        <v>5574</v>
      </c>
      <c r="C2499" s="2" t="s">
        <v>187</v>
      </c>
      <c r="D2499" s="2" t="s">
        <v>26</v>
      </c>
      <c r="E2499" s="5">
        <v>-31754</v>
      </c>
      <c r="F2499" s="3" t="s">
        <v>899</v>
      </c>
      <c r="G2499" s="3" t="s">
        <v>900</v>
      </c>
      <c r="H2499" s="2" t="s">
        <v>20</v>
      </c>
      <c r="I2499" s="2" t="s">
        <v>5575</v>
      </c>
      <c r="J2499" s="3" t="str">
        <f>HYPERLINK("https://www.boe.es/gazeta/dias/1813/01/21/pdfs/GRE-1813-9.pdf#page=8","Abrir facsímil")</f>
        <v>Abrir facsímil</v>
      </c>
      <c r="K2499" s="3" t="s">
        <v>22</v>
      </c>
    </row>
    <row r="2500" spans="1:11" ht="42" customHeight="1">
      <c r="A2500" s="2" t="s">
        <v>5576</v>
      </c>
      <c r="B2500" s="2" t="s">
        <v>5577</v>
      </c>
      <c r="C2500" s="2" t="s">
        <v>16</v>
      </c>
      <c r="D2500" s="2" t="s">
        <v>17</v>
      </c>
      <c r="E2500" s="5">
        <v>-31458</v>
      </c>
      <c r="F2500" s="3" t="s">
        <v>2315</v>
      </c>
      <c r="G2500" s="3" t="s">
        <v>28</v>
      </c>
      <c r="H2500" s="2" t="s">
        <v>20</v>
      </c>
      <c r="I2500" s="2" t="s">
        <v>5578</v>
      </c>
      <c r="J2500" s="3" t="str">
        <f>HYPERLINK("https://www.boe.es/gazeta/dias/1813/11/13/pdfs/GMR-1813-73.pdf#page=8","Abrir facsímil")</f>
        <v>Abrir facsímil</v>
      </c>
      <c r="K2500" s="3" t="s">
        <v>22</v>
      </c>
    </row>
    <row r="2501" spans="1:11" ht="42" customHeight="1">
      <c r="A2501" s="2" t="s">
        <v>5579</v>
      </c>
      <c r="B2501" s="2" t="s">
        <v>5580</v>
      </c>
      <c r="C2501" s="2" t="s">
        <v>109</v>
      </c>
      <c r="D2501" s="2" t="s">
        <v>26</v>
      </c>
      <c r="E2501" s="5">
        <v>-31567</v>
      </c>
      <c r="F2501" s="3" t="s">
        <v>820</v>
      </c>
      <c r="G2501" s="3" t="s">
        <v>313</v>
      </c>
      <c r="H2501" s="2" t="s">
        <v>20</v>
      </c>
      <c r="I2501" s="2" t="s">
        <v>5581</v>
      </c>
      <c r="J2501" s="3" t="str">
        <f>HYPERLINK("https://www.boe.es/gazeta/dias/1813/07/27/pdfs/GMR-1813-21.pdf#page=9","Abrir facsímil")</f>
        <v>Abrir facsímil</v>
      </c>
      <c r="K2501" s="3" t="s">
        <v>22</v>
      </c>
    </row>
    <row r="2502" spans="1:11" ht="42" customHeight="1">
      <c r="A2502" s="2" t="s">
        <v>5579</v>
      </c>
      <c r="B2502" s="2" t="s">
        <v>5580</v>
      </c>
      <c r="C2502" s="2" t="s">
        <v>16</v>
      </c>
      <c r="D2502" s="2" t="s">
        <v>17</v>
      </c>
      <c r="E2502" s="5">
        <v>-31439</v>
      </c>
      <c r="F2502" s="3" t="s">
        <v>1298</v>
      </c>
      <c r="G2502" s="3" t="s">
        <v>82</v>
      </c>
      <c r="H2502" s="2" t="s">
        <v>20</v>
      </c>
      <c r="I2502" s="2" t="s">
        <v>5582</v>
      </c>
      <c r="J2502" s="3" t="str">
        <f>HYPERLINK("https://www.boe.es/gazeta/dias/1813/12/02/pdfs/GMR-1813-82.pdf#page=5","Abrir facsímil")</f>
        <v>Abrir facsímil</v>
      </c>
      <c r="K2502" s="3" t="s">
        <v>22</v>
      </c>
    </row>
    <row r="2503" spans="1:11" ht="42" customHeight="1">
      <c r="A2503" s="2" t="s">
        <v>5583</v>
      </c>
      <c r="B2503" s="2" t="s">
        <v>5584</v>
      </c>
      <c r="C2503" s="2" t="s">
        <v>34</v>
      </c>
      <c r="D2503" s="2" t="s">
        <v>35</v>
      </c>
      <c r="E2503" s="5">
        <v>-31689</v>
      </c>
      <c r="F2503" s="3" t="s">
        <v>48</v>
      </c>
      <c r="G2503" s="3" t="s">
        <v>49</v>
      </c>
      <c r="H2503" s="2" t="s">
        <v>20</v>
      </c>
      <c r="I2503" s="2" t="s">
        <v>5585</v>
      </c>
      <c r="J2503" s="3" t="str">
        <f>HYPERLINK("https://www.boe.es/gazeta/dias/1813/03/27/pdfs/GRE-1813-38.pdf#page=7","Abrir facsímil")</f>
        <v>Abrir facsímil</v>
      </c>
      <c r="K2503" s="3" t="s">
        <v>22</v>
      </c>
    </row>
    <row r="2504" spans="1:11" ht="42" customHeight="1">
      <c r="A2504" s="2" t="s">
        <v>5586</v>
      </c>
      <c r="B2504" s="2" t="s">
        <v>5587</v>
      </c>
      <c r="C2504" s="2" t="s">
        <v>34</v>
      </c>
      <c r="D2504" s="2" t="s">
        <v>35</v>
      </c>
      <c r="E2504" s="5">
        <v>-31719</v>
      </c>
      <c r="F2504" s="3" t="s">
        <v>251</v>
      </c>
      <c r="G2504" s="3" t="s">
        <v>19</v>
      </c>
      <c r="H2504" s="2" t="s">
        <v>20</v>
      </c>
      <c r="I2504" s="2" t="s">
        <v>5588</v>
      </c>
      <c r="J2504" s="3" t="str">
        <f>HYPERLINK("https://www.boe.es/gazeta/dias/1813/02/25/pdfs/GMD-1813-56.pdf#page=4","Abrir facsímil")</f>
        <v>Abrir facsímil</v>
      </c>
      <c r="K2504" s="3" t="s">
        <v>22</v>
      </c>
    </row>
    <row r="2505" spans="1:11" ht="42" customHeight="1">
      <c r="A2505" s="2" t="s">
        <v>5589</v>
      </c>
      <c r="B2505" s="2" t="s">
        <v>5590</v>
      </c>
      <c r="C2505" s="2" t="s">
        <v>277</v>
      </c>
      <c r="D2505" s="2" t="s">
        <v>26</v>
      </c>
      <c r="E2505" s="5">
        <v>-31586</v>
      </c>
      <c r="F2505" s="3" t="s">
        <v>2807</v>
      </c>
      <c r="G2505" s="3" t="s">
        <v>19</v>
      </c>
      <c r="H2505" s="2" t="s">
        <v>20</v>
      </c>
      <c r="I2505" s="2" t="s">
        <v>5591</v>
      </c>
      <c r="J2505" s="3" t="str">
        <f>HYPERLINK("https://www.boe.es/gazeta/dias/1813/07/08/pdfs/GRE-1813-85.pdf#page=4","Abrir facsímil")</f>
        <v>Abrir facsímil</v>
      </c>
      <c r="K2505" s="3" t="s">
        <v>22</v>
      </c>
    </row>
    <row r="2506" spans="1:11" ht="42" customHeight="1">
      <c r="A2506" s="2" t="s">
        <v>5592</v>
      </c>
      <c r="B2506" s="2" t="s">
        <v>5593</v>
      </c>
      <c r="C2506" s="2" t="s">
        <v>16</v>
      </c>
      <c r="D2506" s="2" t="s">
        <v>17</v>
      </c>
      <c r="E2506" s="5">
        <v>-31767</v>
      </c>
      <c r="F2506" s="3" t="s">
        <v>1915</v>
      </c>
      <c r="G2506" s="3" t="s">
        <v>19</v>
      </c>
      <c r="H2506" s="2" t="s">
        <v>20</v>
      </c>
      <c r="I2506" s="2" t="s">
        <v>5594</v>
      </c>
      <c r="J2506" s="3" t="str">
        <f>HYPERLINK("https://www.boe.es/gazeta/dias/1813/01/08/pdfs/GMD-1813-8.pdf#page=4","Abrir facsímil")</f>
        <v>Abrir facsímil</v>
      </c>
      <c r="K2506" s="3" t="s">
        <v>22</v>
      </c>
    </row>
    <row r="2507" spans="1:11" ht="42" customHeight="1">
      <c r="A2507" s="2" t="s">
        <v>5595</v>
      </c>
      <c r="B2507" s="2" t="s">
        <v>5596</v>
      </c>
      <c r="C2507" s="2" t="s">
        <v>16</v>
      </c>
      <c r="D2507" s="2" t="s">
        <v>17</v>
      </c>
      <c r="E2507" s="5">
        <v>-31663</v>
      </c>
      <c r="F2507" s="3" t="s">
        <v>871</v>
      </c>
      <c r="G2507" s="3" t="s">
        <v>19</v>
      </c>
      <c r="H2507" s="2" t="s">
        <v>20</v>
      </c>
      <c r="I2507" s="2" t="s">
        <v>5597</v>
      </c>
      <c r="J2507" s="3" t="str">
        <f>HYPERLINK("https://www.boe.es/gazeta/dias/1813/04/22/pdfs/GMD-1813-112.pdf#page=4","Abrir facsímil")</f>
        <v>Abrir facsímil</v>
      </c>
      <c r="K2507" s="3" t="s">
        <v>22</v>
      </c>
    </row>
    <row r="2508" spans="1:11" ht="42" customHeight="1">
      <c r="A2508" s="2" t="s">
        <v>5598</v>
      </c>
      <c r="B2508" s="2" t="s">
        <v>5599</v>
      </c>
      <c r="C2508" s="2" t="s">
        <v>16</v>
      </c>
      <c r="D2508" s="2" t="s">
        <v>97</v>
      </c>
      <c r="E2508" s="5">
        <v>-31479</v>
      </c>
      <c r="F2508" s="3" t="s">
        <v>290</v>
      </c>
      <c r="G2508" s="3" t="s">
        <v>821</v>
      </c>
      <c r="H2508" s="2" t="s">
        <v>20</v>
      </c>
      <c r="I2508" s="2" t="s">
        <v>5600</v>
      </c>
      <c r="J2508" s="3" t="str">
        <f>HYPERLINK("https://www.boe.es/gazeta/dias/1813/10/23/pdfs/GRE-1813-139E.pdf#page=13","Abrir facsímil")</f>
        <v>Abrir facsímil</v>
      </c>
      <c r="K2508" s="3" t="s">
        <v>22</v>
      </c>
    </row>
    <row r="2509" spans="1:11" ht="42" customHeight="1">
      <c r="A2509" s="2" t="s">
        <v>5598</v>
      </c>
      <c r="B2509" s="2" t="s">
        <v>5599</v>
      </c>
      <c r="C2509" s="2" t="s">
        <v>25</v>
      </c>
      <c r="D2509" s="2" t="s">
        <v>26</v>
      </c>
      <c r="E2509" s="5">
        <v>-31425</v>
      </c>
      <c r="F2509" s="3" t="s">
        <v>1669</v>
      </c>
      <c r="G2509" s="3" t="s">
        <v>1670</v>
      </c>
      <c r="H2509" s="2" t="s">
        <v>20</v>
      </c>
      <c r="I2509" s="2" t="s">
        <v>5601</v>
      </c>
      <c r="J2509" s="3" t="str">
        <f>HYPERLINK("https://www.boe.es/gazeta/dias/1813/12/16/pdfs/GRE-1813-165.pdf#page=7","Abrir facsímil")</f>
        <v>Abrir facsímil</v>
      </c>
      <c r="K2509" s="3" t="s">
        <v>22</v>
      </c>
    </row>
    <row r="2510" spans="1:11" ht="42" customHeight="1">
      <c r="A2510" s="2" t="s">
        <v>5602</v>
      </c>
      <c r="B2510" s="2" t="s">
        <v>5603</v>
      </c>
      <c r="C2510" s="2" t="s">
        <v>34</v>
      </c>
      <c r="D2510" s="2" t="s">
        <v>35</v>
      </c>
      <c r="E2510" s="5">
        <v>-31709</v>
      </c>
      <c r="F2510" s="3" t="s">
        <v>36</v>
      </c>
      <c r="G2510" s="3" t="s">
        <v>19</v>
      </c>
      <c r="H2510" s="2" t="s">
        <v>20</v>
      </c>
      <c r="I2510" s="2" t="s">
        <v>5604</v>
      </c>
      <c r="J2510" s="3" t="str">
        <f>HYPERLINK("https://www.boe.es/gazeta/dias/1813/03/07/pdfs/GMD-1813-66.pdf#page=4","Abrir facsímil")</f>
        <v>Abrir facsímil</v>
      </c>
      <c r="K2510" s="3" t="s">
        <v>22</v>
      </c>
    </row>
    <row r="2511" spans="1:11" ht="42" customHeight="1">
      <c r="A2511" s="2" t="s">
        <v>5605</v>
      </c>
      <c r="B2511" s="2" t="s">
        <v>5605</v>
      </c>
      <c r="C2511" s="2" t="s">
        <v>435</v>
      </c>
      <c r="D2511" s="2" t="s">
        <v>26</v>
      </c>
      <c r="E2511" s="5">
        <v>-31629</v>
      </c>
      <c r="F2511" s="3" t="s">
        <v>1146</v>
      </c>
      <c r="G2511" s="3" t="s">
        <v>19</v>
      </c>
      <c r="H2511" s="2" t="s">
        <v>20</v>
      </c>
      <c r="I2511" s="2" t="s">
        <v>5606</v>
      </c>
      <c r="J2511" s="3" t="str">
        <f>HYPERLINK("https://www.boe.es/gazeta/dias/1813/05/26/pdfs/GMD-1813-146.pdf#page=4","Abrir facsímil")</f>
        <v>Abrir facsímil</v>
      </c>
      <c r="K2511" s="3" t="s">
        <v>22</v>
      </c>
    </row>
    <row r="2512" spans="1:11" ht="42" customHeight="1">
      <c r="A2512" s="2" t="s">
        <v>5607</v>
      </c>
      <c r="B2512" s="2" t="s">
        <v>5608</v>
      </c>
      <c r="C2512" s="2" t="s">
        <v>435</v>
      </c>
      <c r="D2512" s="2" t="s">
        <v>26</v>
      </c>
      <c r="E2512" s="5">
        <v>-31629</v>
      </c>
      <c r="F2512" s="3" t="s">
        <v>1146</v>
      </c>
      <c r="G2512" s="3" t="s">
        <v>19</v>
      </c>
      <c r="H2512" s="2" t="s">
        <v>20</v>
      </c>
      <c r="I2512" s="2" t="s">
        <v>5609</v>
      </c>
      <c r="J2512" s="3" t="str">
        <f>HYPERLINK("https://www.boe.es/gazeta/dias/1813/05/26/pdfs/GMD-1813-146.pdf#page=4","Abrir facsímil")</f>
        <v>Abrir facsímil</v>
      </c>
      <c r="K2512" s="3" t="s">
        <v>22</v>
      </c>
    </row>
    <row r="2513" spans="1:11" ht="42" customHeight="1">
      <c r="A2513" s="2" t="s">
        <v>5610</v>
      </c>
      <c r="B2513" s="2" t="s">
        <v>5610</v>
      </c>
      <c r="C2513" s="2" t="s">
        <v>16</v>
      </c>
      <c r="D2513" s="2" t="s">
        <v>17</v>
      </c>
      <c r="E2513" s="5">
        <v>-31757</v>
      </c>
      <c r="F2513" s="3" t="s">
        <v>5611</v>
      </c>
      <c r="G2513" s="3" t="s">
        <v>54</v>
      </c>
      <c r="H2513" s="2" t="s">
        <v>20</v>
      </c>
      <c r="I2513" s="2" t="s">
        <v>5612</v>
      </c>
      <c r="J2513" s="3" t="str">
        <f>HYPERLINK("https://www.boe.es/gazeta/dias/1813/01/18/pdfs/GMD-1813-18.pdf#page=3","Abrir facsímil")</f>
        <v>Abrir facsímil</v>
      </c>
      <c r="K2513" s="3" t="s">
        <v>22</v>
      </c>
    </row>
    <row r="2514" spans="1:11" ht="42" customHeight="1">
      <c r="A2514" s="2" t="s">
        <v>5613</v>
      </c>
      <c r="B2514" s="2" t="s">
        <v>5614</v>
      </c>
      <c r="C2514" s="2" t="s">
        <v>16</v>
      </c>
      <c r="D2514" s="2" t="s">
        <v>17</v>
      </c>
      <c r="E2514" s="5">
        <v>-31549</v>
      </c>
      <c r="F2514" s="3" t="s">
        <v>294</v>
      </c>
      <c r="G2514" s="3" t="s">
        <v>295</v>
      </c>
      <c r="H2514" s="2" t="s">
        <v>20</v>
      </c>
      <c r="I2514" s="2" t="s">
        <v>5615</v>
      </c>
      <c r="J2514" s="3" t="str">
        <f>HYPERLINK("https://www.boe.es/gazeta/dias/1813/08/14/pdfs/GRE-1813-103.pdf#page=5","Abrir facsímil")</f>
        <v>Abrir facsímil</v>
      </c>
      <c r="K2514" s="3" t="s">
        <v>22</v>
      </c>
    </row>
    <row r="2515" spans="1:11" ht="42" customHeight="1">
      <c r="A2515" s="2" t="s">
        <v>5616</v>
      </c>
      <c r="B2515" s="2" t="s">
        <v>5617</v>
      </c>
      <c r="C2515" s="2" t="s">
        <v>34</v>
      </c>
      <c r="D2515" s="2" t="s">
        <v>35</v>
      </c>
      <c r="E2515" s="5">
        <v>-31719</v>
      </c>
      <c r="F2515" s="3" t="s">
        <v>251</v>
      </c>
      <c r="G2515" s="3" t="s">
        <v>19</v>
      </c>
      <c r="H2515" s="2" t="s">
        <v>20</v>
      </c>
      <c r="I2515" s="2" t="s">
        <v>5618</v>
      </c>
      <c r="J2515" s="3" t="str">
        <f>HYPERLINK("https://www.boe.es/gazeta/dias/1813/02/25/pdfs/GMD-1813-56.pdf#page=4","Abrir facsímil")</f>
        <v>Abrir facsímil</v>
      </c>
      <c r="K2515" s="3" t="s">
        <v>22</v>
      </c>
    </row>
    <row r="2516" spans="1:11" ht="42" customHeight="1">
      <c r="A2516" s="2" t="s">
        <v>5619</v>
      </c>
      <c r="B2516" s="2" t="s">
        <v>5619</v>
      </c>
      <c r="C2516" s="2" t="s">
        <v>34</v>
      </c>
      <c r="D2516" s="2" t="s">
        <v>35</v>
      </c>
      <c r="E2516" s="5">
        <v>-31514</v>
      </c>
      <c r="F2516" s="3" t="s">
        <v>2099</v>
      </c>
      <c r="G2516" s="3" t="s">
        <v>4358</v>
      </c>
      <c r="H2516" s="2" t="s">
        <v>20</v>
      </c>
      <c r="I2516" s="2" t="s">
        <v>5620</v>
      </c>
      <c r="J2516" s="3" t="str">
        <f>HYPERLINK("https://www.boe.es/gazeta/dias/1813/09/18/pdfs/GMR-1813-45.pdf#page=7","Abrir facsímil")</f>
        <v>Abrir facsímil</v>
      </c>
      <c r="K2516" s="3" t="s">
        <v>22</v>
      </c>
    </row>
    <row r="2517" spans="1:11" ht="42" customHeight="1">
      <c r="A2517" s="2" t="s">
        <v>5619</v>
      </c>
      <c r="B2517" s="2" t="s">
        <v>5619</v>
      </c>
      <c r="C2517" s="2" t="s">
        <v>435</v>
      </c>
      <c r="D2517" s="2" t="s">
        <v>26</v>
      </c>
      <c r="E2517" s="5">
        <v>-31502</v>
      </c>
      <c r="F2517" s="3" t="s">
        <v>257</v>
      </c>
      <c r="G2517" s="3" t="s">
        <v>207</v>
      </c>
      <c r="H2517" s="2" t="s">
        <v>20</v>
      </c>
      <c r="I2517" s="2" t="s">
        <v>5621</v>
      </c>
      <c r="J2517" s="3" t="str">
        <f>HYPERLINK("https://www.boe.es/gazeta/dias/1813/09/30/pdfs/GMR-1813-51.pdf#page=10","Abrir facsímil")</f>
        <v>Abrir facsímil</v>
      </c>
      <c r="K2517" s="3" t="s">
        <v>22</v>
      </c>
    </row>
    <row r="2518" spans="1:11" ht="42" customHeight="1">
      <c r="A2518" s="2" t="s">
        <v>5622</v>
      </c>
      <c r="B2518" s="2" t="s">
        <v>5622</v>
      </c>
      <c r="C2518" s="2" t="s">
        <v>16</v>
      </c>
      <c r="D2518" s="2" t="s">
        <v>17</v>
      </c>
      <c r="E2518" s="5">
        <v>-31563</v>
      </c>
      <c r="F2518" s="3" t="s">
        <v>1267</v>
      </c>
      <c r="G2518" s="3" t="s">
        <v>82</v>
      </c>
      <c r="H2518" s="2" t="s">
        <v>20</v>
      </c>
      <c r="I2518" s="2" t="s">
        <v>5623</v>
      </c>
      <c r="J2518" s="3" t="str">
        <f>HYPERLINK("https://www.boe.es/gazeta/dias/1813/07/31/pdfs/GRE-1813-97.pdf#page=5","Abrir facsímil")</f>
        <v>Abrir facsímil</v>
      </c>
      <c r="K2518" s="3" t="s">
        <v>22</v>
      </c>
    </row>
    <row r="2519" spans="1:11" ht="42" customHeight="1">
      <c r="A2519" s="2" t="s">
        <v>5624</v>
      </c>
      <c r="B2519" s="2" t="s">
        <v>5625</v>
      </c>
      <c r="C2519" s="2" t="s">
        <v>25</v>
      </c>
      <c r="D2519" s="2" t="s">
        <v>26</v>
      </c>
      <c r="E2519" s="5">
        <v>-31619</v>
      </c>
      <c r="F2519" s="3" t="s">
        <v>749</v>
      </c>
      <c r="G2519" s="3" t="s">
        <v>58</v>
      </c>
      <c r="H2519" s="2" t="s">
        <v>20</v>
      </c>
      <c r="I2519" s="2" t="s">
        <v>5626</v>
      </c>
      <c r="J2519" s="3" t="str">
        <f>HYPERLINK("https://www.boe.es/gazeta/dias/1813/06/05/pdfs/GRE-1813-70.pdf#page=2","Abrir facsímil")</f>
        <v>Abrir facsímil</v>
      </c>
      <c r="K2519" s="3" t="s">
        <v>22</v>
      </c>
    </row>
    <row r="2520" spans="1:11" ht="42" customHeight="1">
      <c r="A2520" s="2" t="s">
        <v>5624</v>
      </c>
      <c r="B2520" s="2" t="s">
        <v>5625</v>
      </c>
      <c r="C2520" s="2" t="s">
        <v>16</v>
      </c>
      <c r="D2520" s="2" t="s">
        <v>17</v>
      </c>
      <c r="E2520" s="5">
        <v>-31619</v>
      </c>
      <c r="F2520" s="3" t="s">
        <v>749</v>
      </c>
      <c r="G2520" s="3" t="s">
        <v>19</v>
      </c>
      <c r="H2520" s="2" t="s">
        <v>20</v>
      </c>
      <c r="I2520" s="2" t="s">
        <v>5627</v>
      </c>
      <c r="J2520" s="3" t="str">
        <f>HYPERLINK("https://www.boe.es/gazeta/dias/1813/06/05/pdfs/GRE-1813-70.pdf#page=4","Abrir facsímil")</f>
        <v>Abrir facsímil</v>
      </c>
      <c r="K2520" s="3" t="s">
        <v>22</v>
      </c>
    </row>
    <row r="2521" spans="1:11" ht="42" customHeight="1">
      <c r="A2521" s="2" t="s">
        <v>5624</v>
      </c>
      <c r="B2521" s="2" t="s">
        <v>5625</v>
      </c>
      <c r="C2521" s="2" t="s">
        <v>16</v>
      </c>
      <c r="D2521" s="2" t="s">
        <v>17</v>
      </c>
      <c r="E2521" s="5">
        <v>-31563</v>
      </c>
      <c r="F2521" s="3" t="s">
        <v>1267</v>
      </c>
      <c r="G2521" s="3" t="s">
        <v>95</v>
      </c>
      <c r="H2521" s="2" t="s">
        <v>20</v>
      </c>
      <c r="I2521" s="2" t="s">
        <v>5628</v>
      </c>
      <c r="J2521" s="3" t="str">
        <f>HYPERLINK("https://www.boe.es/gazeta/dias/1813/07/31/pdfs/GRE-1813-97.pdf#page=6","Abrir facsímil")</f>
        <v>Abrir facsímil</v>
      </c>
      <c r="K2521" s="3" t="s">
        <v>22</v>
      </c>
    </row>
    <row r="2522" spans="1:11" ht="42" customHeight="1">
      <c r="A2522" s="2" t="s">
        <v>5629</v>
      </c>
      <c r="B2522" s="2" t="s">
        <v>5630</v>
      </c>
      <c r="C2522" s="2" t="s">
        <v>25</v>
      </c>
      <c r="D2522" s="2" t="s">
        <v>26</v>
      </c>
      <c r="E2522" s="5">
        <v>-31770</v>
      </c>
      <c r="F2522" s="3" t="s">
        <v>188</v>
      </c>
      <c r="G2522" s="3" t="s">
        <v>19</v>
      </c>
      <c r="H2522" s="2" t="s">
        <v>20</v>
      </c>
      <c r="I2522" s="2" t="s">
        <v>5631</v>
      </c>
      <c r="J2522" s="3" t="str">
        <f>HYPERLINK("https://www.boe.es/gazeta/dias/1813/01/05/pdfs/GRE-1813-3.pdf#page=4","Abrir facsímil")</f>
        <v>Abrir facsímil</v>
      </c>
      <c r="K2522" s="3" t="s">
        <v>22</v>
      </c>
    </row>
    <row r="2523" spans="1:11" ht="42" customHeight="1">
      <c r="A2523" s="2" t="s">
        <v>5629</v>
      </c>
      <c r="B2523" s="2" t="s">
        <v>5630</v>
      </c>
      <c r="C2523" s="2" t="s">
        <v>25</v>
      </c>
      <c r="D2523" s="2" t="s">
        <v>26</v>
      </c>
      <c r="E2523" s="5">
        <v>-31768</v>
      </c>
      <c r="F2523" s="3" t="s">
        <v>188</v>
      </c>
      <c r="G2523" s="3" t="s">
        <v>19</v>
      </c>
      <c r="H2523" s="2" t="s">
        <v>20</v>
      </c>
      <c r="I2523" s="2" t="s">
        <v>5631</v>
      </c>
      <c r="J2523" s="3" t="str">
        <f>HYPERLINK("https://www.boe.es/gazeta/dias/1813/01/07/pdfs/GRE-1813-3.pdf#page=4","Abrir facsímil")</f>
        <v>Abrir facsímil</v>
      </c>
      <c r="K2523" s="3" t="s">
        <v>22</v>
      </c>
    </row>
    <row r="2524" spans="1:11" ht="42" customHeight="1">
      <c r="A2524" s="2" t="s">
        <v>5629</v>
      </c>
      <c r="B2524" s="2" t="s">
        <v>5630</v>
      </c>
      <c r="C2524" s="2" t="s">
        <v>16</v>
      </c>
      <c r="D2524" s="2" t="s">
        <v>17</v>
      </c>
      <c r="E2524" s="5">
        <v>-31731</v>
      </c>
      <c r="F2524" s="3" t="s">
        <v>866</v>
      </c>
      <c r="G2524" s="3" t="s">
        <v>867</v>
      </c>
      <c r="H2524" s="2" t="s">
        <v>20</v>
      </c>
      <c r="I2524" s="2" t="s">
        <v>5632</v>
      </c>
      <c r="J2524" s="3" t="str">
        <f>HYPERLINK("https://www.boe.es/gazeta/dias/1813/02/13/pdfs/GRE-1813-19.pdf#page=6","Abrir facsímil")</f>
        <v>Abrir facsímil</v>
      </c>
      <c r="K2524" s="3" t="s">
        <v>22</v>
      </c>
    </row>
    <row r="2525" spans="1:11" ht="42" customHeight="1">
      <c r="A2525" s="2" t="s">
        <v>5629</v>
      </c>
      <c r="B2525" s="2" t="s">
        <v>5630</v>
      </c>
      <c r="C2525" s="2" t="s">
        <v>16</v>
      </c>
      <c r="D2525" s="2" t="s">
        <v>17</v>
      </c>
      <c r="E2525" s="5">
        <v>-31728</v>
      </c>
      <c r="F2525" s="3" t="s">
        <v>1434</v>
      </c>
      <c r="G2525" s="3" t="s">
        <v>95</v>
      </c>
      <c r="H2525" s="2" t="s">
        <v>20</v>
      </c>
      <c r="I2525" s="2" t="s">
        <v>5633</v>
      </c>
      <c r="J2525" s="3" t="str">
        <f>HYPERLINK("https://www.boe.es/gazeta/dias/1813/02/16/pdfs/GRE-1813-20.pdf#page=6","Abrir facsímil")</f>
        <v>Abrir facsímil</v>
      </c>
      <c r="K2525" s="3" t="s">
        <v>22</v>
      </c>
    </row>
    <row r="2526" spans="1:11" ht="42" customHeight="1">
      <c r="A2526" s="2" t="s">
        <v>5629</v>
      </c>
      <c r="B2526" s="2" t="s">
        <v>5630</v>
      </c>
      <c r="C2526" s="2" t="s">
        <v>16</v>
      </c>
      <c r="D2526" s="2" t="s">
        <v>17</v>
      </c>
      <c r="E2526" s="5">
        <v>-31654</v>
      </c>
      <c r="F2526" s="3" t="s">
        <v>1519</v>
      </c>
      <c r="G2526" s="3" t="s">
        <v>1638</v>
      </c>
      <c r="H2526" s="2" t="s">
        <v>20</v>
      </c>
      <c r="I2526" s="2" t="s">
        <v>5634</v>
      </c>
      <c r="J2526" s="3" t="str">
        <f>HYPERLINK("https://www.boe.es/gazeta/dias/1813/05/01/pdfs/GRE-1813-54.pdf#page=6","Abrir facsímil")</f>
        <v>Abrir facsímil</v>
      </c>
      <c r="K2526" s="3" t="s">
        <v>22</v>
      </c>
    </row>
    <row r="2527" spans="1:11" ht="42" customHeight="1">
      <c r="A2527" s="2" t="s">
        <v>5635</v>
      </c>
      <c r="B2527" s="2" t="s">
        <v>5636</v>
      </c>
      <c r="C2527" s="2" t="s">
        <v>16</v>
      </c>
      <c r="D2527" s="2" t="s">
        <v>97</v>
      </c>
      <c r="E2527" s="5">
        <v>-31479</v>
      </c>
      <c r="F2527" s="3" t="s">
        <v>290</v>
      </c>
      <c r="G2527" s="3" t="s">
        <v>1474</v>
      </c>
      <c r="H2527" s="2" t="s">
        <v>20</v>
      </c>
      <c r="I2527" s="2" t="s">
        <v>5637</v>
      </c>
      <c r="J2527" s="3" t="str">
        <f>HYPERLINK("https://www.boe.es/gazeta/dias/1813/10/23/pdfs/GRE-1813-139E.pdf#page=14","Abrir facsímil")</f>
        <v>Abrir facsímil</v>
      </c>
      <c r="K2527" s="3" t="s">
        <v>22</v>
      </c>
    </row>
    <row r="2528" spans="1:11" ht="42" customHeight="1">
      <c r="A2528" s="2" t="s">
        <v>5638</v>
      </c>
      <c r="B2528" s="2" t="s">
        <v>5639</v>
      </c>
      <c r="C2528" s="2" t="s">
        <v>277</v>
      </c>
      <c r="D2528" s="2" t="s">
        <v>26</v>
      </c>
      <c r="E2528" s="5">
        <v>-31719</v>
      </c>
      <c r="F2528" s="3" t="s">
        <v>251</v>
      </c>
      <c r="G2528" s="3" t="s">
        <v>19</v>
      </c>
      <c r="H2528" s="2" t="s">
        <v>20</v>
      </c>
      <c r="I2528" s="2" t="s">
        <v>5640</v>
      </c>
      <c r="J2528" s="3" t="str">
        <f>HYPERLINK("https://www.boe.es/gazeta/dias/1813/02/25/pdfs/GMD-1813-56.pdf#page=4","Abrir facsímil")</f>
        <v>Abrir facsímil</v>
      </c>
      <c r="K2528" s="3" t="s">
        <v>22</v>
      </c>
    </row>
    <row r="2529" spans="1:11" ht="42" customHeight="1">
      <c r="A2529" s="2" t="s">
        <v>5641</v>
      </c>
      <c r="B2529" s="2" t="s">
        <v>5641</v>
      </c>
      <c r="C2529" s="2" t="s">
        <v>16</v>
      </c>
      <c r="D2529" s="2" t="s">
        <v>17</v>
      </c>
      <c r="E2529" s="5">
        <v>-31535</v>
      </c>
      <c r="F2529" s="3" t="s">
        <v>366</v>
      </c>
      <c r="G2529" s="3" t="s">
        <v>95</v>
      </c>
      <c r="H2529" s="2" t="s">
        <v>20</v>
      </c>
      <c r="I2529" s="2" t="s">
        <v>5642</v>
      </c>
      <c r="J2529" s="3" t="str">
        <f>HYPERLINK("https://www.boe.es/gazeta/dias/1813/08/28/pdfs/GRE-1813-110.pdf#page=6","Abrir facsímil")</f>
        <v>Abrir facsímil</v>
      </c>
      <c r="K2529" s="3" t="s">
        <v>22</v>
      </c>
    </row>
    <row r="2530" spans="1:11" ht="42" customHeight="1">
      <c r="A2530" s="2" t="s">
        <v>5643</v>
      </c>
      <c r="B2530" s="2" t="s">
        <v>5644</v>
      </c>
      <c r="C2530" s="2" t="s">
        <v>16</v>
      </c>
      <c r="D2530" s="2" t="s">
        <v>17</v>
      </c>
      <c r="E2530" s="5">
        <v>-31670</v>
      </c>
      <c r="F2530" s="3" t="s">
        <v>92</v>
      </c>
      <c r="G2530" s="3" t="s">
        <v>5645</v>
      </c>
      <c r="H2530" s="2" t="s">
        <v>20</v>
      </c>
      <c r="I2530" s="2" t="s">
        <v>5646</v>
      </c>
      <c r="J2530" s="3" t="str">
        <f>HYPERLINK("https://www.boe.es/gazeta/dias/1813/04/15/pdfs/GRE-1813-46.pdf#page=3","Abrir facsímil")</f>
        <v>Abrir facsímil</v>
      </c>
      <c r="K2530" s="3" t="s">
        <v>22</v>
      </c>
    </row>
    <row r="2531" spans="1:11" ht="42" customHeight="1">
      <c r="A2531" s="2" t="s">
        <v>5647</v>
      </c>
      <c r="B2531" s="2" t="s">
        <v>5648</v>
      </c>
      <c r="C2531" s="2" t="s">
        <v>16</v>
      </c>
      <c r="D2531" s="2" t="s">
        <v>17</v>
      </c>
      <c r="E2531" s="5">
        <v>-31525</v>
      </c>
      <c r="F2531" s="3" t="s">
        <v>1131</v>
      </c>
      <c r="G2531" s="3" t="s">
        <v>1406</v>
      </c>
      <c r="H2531" s="2" t="s">
        <v>20</v>
      </c>
      <c r="I2531" s="2" t="s">
        <v>5649</v>
      </c>
      <c r="J2531" s="3" t="str">
        <f>HYPERLINK("https://www.boe.es/gazeta/dias/1813/09/07/pdfs/GRE-1813-114.pdf#page=5","Abrir facsímil")</f>
        <v>Abrir facsímil</v>
      </c>
      <c r="K2531" s="3" t="s">
        <v>22</v>
      </c>
    </row>
    <row r="2532" spans="1:11" ht="42" customHeight="1">
      <c r="A2532" s="2" t="s">
        <v>5650</v>
      </c>
      <c r="B2532" s="2" t="s">
        <v>5651</v>
      </c>
      <c r="C2532" s="2" t="s">
        <v>435</v>
      </c>
      <c r="D2532" s="2" t="s">
        <v>26</v>
      </c>
      <c r="E2532" s="5">
        <v>-31511</v>
      </c>
      <c r="F2532" s="3" t="s">
        <v>935</v>
      </c>
      <c r="G2532" s="3" t="s">
        <v>82</v>
      </c>
      <c r="H2532" s="2" t="s">
        <v>29</v>
      </c>
      <c r="I2532" s="2" t="s">
        <v>5652</v>
      </c>
      <c r="J2532" s="3" t="str">
        <f>HYPERLINK("https://www.boe.es/gazeta/dias/1813/09/21/pdfs/GMR-1813-46.pdf#page=5","Abrir facsímil")</f>
        <v>Abrir facsímil</v>
      </c>
      <c r="K2532" s="3" t="s">
        <v>31</v>
      </c>
    </row>
    <row r="2533" spans="1:11" ht="42" customHeight="1">
      <c r="A2533" s="2" t="s">
        <v>5653</v>
      </c>
      <c r="B2533" s="2" t="s">
        <v>5654</v>
      </c>
      <c r="C2533" s="2" t="s">
        <v>25</v>
      </c>
      <c r="D2533" s="2" t="s">
        <v>26</v>
      </c>
      <c r="E2533" s="5">
        <v>-31675</v>
      </c>
      <c r="F2533" s="3" t="s">
        <v>27</v>
      </c>
      <c r="G2533" s="3" t="s">
        <v>648</v>
      </c>
      <c r="H2533" s="2" t="s">
        <v>20</v>
      </c>
      <c r="I2533" s="2" t="s">
        <v>5655</v>
      </c>
      <c r="J2533" s="3" t="str">
        <f>HYPERLINK("https://www.boe.es/gazeta/dias/1813/04/10/pdfs/GRE-1813-44.pdf#page=7","Abrir facsímil")</f>
        <v>Abrir facsímil</v>
      </c>
      <c r="K2533" s="3" t="s">
        <v>22</v>
      </c>
    </row>
    <row r="2534" spans="1:11" ht="42" customHeight="1">
      <c r="A2534" s="2" t="s">
        <v>5656</v>
      </c>
      <c r="B2534" s="2" t="s">
        <v>5657</v>
      </c>
      <c r="C2534" s="2" t="s">
        <v>16</v>
      </c>
      <c r="D2534" s="2" t="s">
        <v>17</v>
      </c>
      <c r="E2534" s="5">
        <v>-31559</v>
      </c>
      <c r="F2534" s="3" t="s">
        <v>1485</v>
      </c>
      <c r="G2534" s="3" t="s">
        <v>1486</v>
      </c>
      <c r="H2534" s="2" t="s">
        <v>20</v>
      </c>
      <c r="I2534" s="2" t="s">
        <v>5658</v>
      </c>
      <c r="J2534" s="3" t="str">
        <f>HYPERLINK("https://www.boe.es/gazeta/dias/1813/08/04/pdfs/GRE-1813-113.pdf#page=8","Abrir facsímil")</f>
        <v>Abrir facsímil</v>
      </c>
      <c r="K2534" s="3" t="s">
        <v>22</v>
      </c>
    </row>
    <row r="2535" spans="1:11" ht="42" customHeight="1">
      <c r="A2535" s="2" t="s">
        <v>5656</v>
      </c>
      <c r="B2535" s="2" t="s">
        <v>5657</v>
      </c>
      <c r="C2535" s="2" t="s">
        <v>16</v>
      </c>
      <c r="D2535" s="2" t="s">
        <v>17</v>
      </c>
      <c r="E2535" s="5">
        <v>-31528</v>
      </c>
      <c r="F2535" s="3" t="s">
        <v>1485</v>
      </c>
      <c r="G2535" s="3" t="s">
        <v>1486</v>
      </c>
      <c r="H2535" s="2" t="s">
        <v>20</v>
      </c>
      <c r="I2535" s="2" t="s">
        <v>5658</v>
      </c>
      <c r="J2535" s="3" t="str">
        <f>HYPERLINK("https://www.boe.es/gazeta/dias/1813/09/04/pdfs/GRE-1813-113.pdf#page=8","Abrir facsímil")</f>
        <v>Abrir facsímil</v>
      </c>
      <c r="K2535" s="3" t="s">
        <v>22</v>
      </c>
    </row>
    <row r="2536" spans="1:11" ht="42" customHeight="1">
      <c r="A2536" s="2" t="s">
        <v>5659</v>
      </c>
      <c r="B2536" s="2" t="s">
        <v>5659</v>
      </c>
      <c r="C2536" s="2" t="s">
        <v>16</v>
      </c>
      <c r="D2536" s="2" t="s">
        <v>17</v>
      </c>
      <c r="E2536" s="5">
        <v>-31658</v>
      </c>
      <c r="F2536" s="3" t="s">
        <v>1654</v>
      </c>
      <c r="G2536" s="3" t="s">
        <v>1655</v>
      </c>
      <c r="H2536" s="2" t="s">
        <v>20</v>
      </c>
      <c r="I2536" s="2" t="s">
        <v>5660</v>
      </c>
      <c r="J2536" s="3" t="str">
        <f>HYPERLINK("https://www.boe.es/gazeta/dias/1813/04/27/pdfs/GMD-1813-117.pdf#page=1","Abrir facsímil")</f>
        <v>Abrir facsímil</v>
      </c>
      <c r="K2536" s="3" t="s">
        <v>22</v>
      </c>
    </row>
    <row r="2537" spans="1:11" ht="42" customHeight="1">
      <c r="A2537" s="2" t="s">
        <v>5661</v>
      </c>
      <c r="B2537" s="2" t="s">
        <v>5661</v>
      </c>
      <c r="C2537" s="2" t="s">
        <v>16</v>
      </c>
      <c r="D2537" s="2" t="s">
        <v>17</v>
      </c>
      <c r="E2537" s="5">
        <v>-31741</v>
      </c>
      <c r="F2537" s="3" t="s">
        <v>1359</v>
      </c>
      <c r="G2537" s="3" t="s">
        <v>54</v>
      </c>
      <c r="H2537" s="2" t="s">
        <v>20</v>
      </c>
      <c r="I2537" s="2" t="s">
        <v>5662</v>
      </c>
      <c r="J2537" s="3" t="str">
        <f>HYPERLINK("https://www.boe.es/gazeta/dias/1813/02/03/pdfs/GMD-1813-34.pdf#page=3","Abrir facsímil")</f>
        <v>Abrir facsímil</v>
      </c>
      <c r="K2537" s="3" t="s">
        <v>22</v>
      </c>
    </row>
    <row r="2538" spans="1:11" ht="42" customHeight="1">
      <c r="A2538" s="2" t="s">
        <v>5661</v>
      </c>
      <c r="B2538" s="2" t="s">
        <v>5661</v>
      </c>
      <c r="C2538" s="2" t="s">
        <v>16</v>
      </c>
      <c r="D2538" s="2" t="s">
        <v>17</v>
      </c>
      <c r="E2538" s="5">
        <v>-31542</v>
      </c>
      <c r="F2538" s="3" t="s">
        <v>337</v>
      </c>
      <c r="G2538" s="3" t="s">
        <v>58</v>
      </c>
      <c r="H2538" s="2" t="s">
        <v>20</v>
      </c>
      <c r="I2538" s="2" t="s">
        <v>5663</v>
      </c>
      <c r="J2538" s="3" t="str">
        <f>HYPERLINK("https://www.boe.es/gazeta/dias/1813/08/21/pdfs/GRE-1813-107.pdf#page=2","Abrir facsímil")</f>
        <v>Abrir facsímil</v>
      </c>
      <c r="K2538" s="3" t="s">
        <v>22</v>
      </c>
    </row>
    <row r="2539" spans="1:11" ht="42" customHeight="1">
      <c r="A2539" s="2" t="s">
        <v>5661</v>
      </c>
      <c r="B2539" s="2" t="s">
        <v>5661</v>
      </c>
      <c r="C2539" s="2" t="s">
        <v>16</v>
      </c>
      <c r="D2539" s="2" t="s">
        <v>17</v>
      </c>
      <c r="E2539" s="5">
        <v>-31444</v>
      </c>
      <c r="F2539" s="3" t="s">
        <v>389</v>
      </c>
      <c r="G2539" s="3" t="s">
        <v>95</v>
      </c>
      <c r="H2539" s="2" t="s">
        <v>20</v>
      </c>
      <c r="I2539" s="2" t="s">
        <v>5664</v>
      </c>
      <c r="J2539" s="3" t="str">
        <f>HYPERLINK("https://www.boe.es/gazeta/dias/1813/11/27/pdfs/GMR-1813-80.pdf#page=6","Abrir facsímil")</f>
        <v>Abrir facsímil</v>
      </c>
      <c r="K2539" s="3" t="s">
        <v>22</v>
      </c>
    </row>
    <row r="2540" spans="1:11" ht="42" customHeight="1">
      <c r="A2540" s="2" t="s">
        <v>5665</v>
      </c>
      <c r="B2540" s="2" t="s">
        <v>5666</v>
      </c>
      <c r="C2540" s="2" t="s">
        <v>16</v>
      </c>
      <c r="D2540" s="2" t="s">
        <v>17</v>
      </c>
      <c r="E2540" s="5">
        <v>-31434</v>
      </c>
      <c r="F2540" s="3" t="s">
        <v>948</v>
      </c>
      <c r="G2540" s="3" t="s">
        <v>28</v>
      </c>
      <c r="H2540" s="2" t="s">
        <v>20</v>
      </c>
      <c r="I2540" s="2" t="s">
        <v>5667</v>
      </c>
      <c r="J2540" s="3" t="str">
        <f>HYPERLINK("https://www.boe.es/gazeta/dias/1813/12/07/pdfs/GMR-1813-84.pdf#page=8","Abrir facsímil")</f>
        <v>Abrir facsímil</v>
      </c>
      <c r="K2540" s="3" t="s">
        <v>22</v>
      </c>
    </row>
    <row r="2541" spans="1:11" ht="42" customHeight="1">
      <c r="A2541" s="2" t="s">
        <v>5668</v>
      </c>
      <c r="B2541" s="2" t="s">
        <v>5669</v>
      </c>
      <c r="C2541" s="2" t="s">
        <v>16</v>
      </c>
      <c r="D2541" s="2" t="s">
        <v>17</v>
      </c>
      <c r="E2541" s="5">
        <v>-31684</v>
      </c>
      <c r="F2541" s="3" t="s">
        <v>427</v>
      </c>
      <c r="G2541" s="3" t="s">
        <v>1123</v>
      </c>
      <c r="H2541" s="2" t="s">
        <v>20</v>
      </c>
      <c r="I2541" s="2" t="s">
        <v>5670</v>
      </c>
      <c r="J2541" s="3" t="str">
        <f>HYPERLINK("https://www.boe.es/gazeta/dias/1813/04/01/pdfs/GRE-1813-40.pdf#page=8","Abrir facsímil")</f>
        <v>Abrir facsímil</v>
      </c>
      <c r="K2541" s="3" t="s">
        <v>22</v>
      </c>
    </row>
    <row r="2542" spans="1:11" ht="42" customHeight="1">
      <c r="A2542" s="2" t="s">
        <v>5671</v>
      </c>
      <c r="B2542" s="2" t="s">
        <v>5671</v>
      </c>
      <c r="C2542" s="2" t="s">
        <v>16</v>
      </c>
      <c r="D2542" s="2" t="s">
        <v>17</v>
      </c>
      <c r="E2542" s="5">
        <v>-31455</v>
      </c>
      <c r="F2542" s="3" t="s">
        <v>693</v>
      </c>
      <c r="G2542" s="3" t="s">
        <v>65</v>
      </c>
      <c r="H2542" s="2" t="s">
        <v>20</v>
      </c>
      <c r="I2542" s="2" t="s">
        <v>5672</v>
      </c>
      <c r="J2542" s="3" t="str">
        <f>HYPERLINK("https://www.boe.es/gazeta/dias/1813/11/16/pdfs/GRE-1813-150.pdf#page=1","Abrir facsímil")</f>
        <v>Abrir facsímil</v>
      </c>
      <c r="K2542" s="3" t="s">
        <v>22</v>
      </c>
    </row>
    <row r="2543" spans="1:11" ht="42" customHeight="1">
      <c r="A2543" s="2" t="s">
        <v>5673</v>
      </c>
      <c r="B2543" s="2" t="s">
        <v>5673</v>
      </c>
      <c r="C2543" s="2" t="s">
        <v>25</v>
      </c>
      <c r="D2543" s="2" t="s">
        <v>26</v>
      </c>
      <c r="E2543" s="5">
        <v>-31530</v>
      </c>
      <c r="F2543" s="3" t="s">
        <v>133</v>
      </c>
      <c r="G2543" s="3" t="s">
        <v>65</v>
      </c>
      <c r="H2543" s="2" t="s">
        <v>20</v>
      </c>
      <c r="I2543" s="2" t="s">
        <v>5674</v>
      </c>
      <c r="J2543" s="3" t="str">
        <f>HYPERLINK("https://www.boe.es/gazeta/dias/1813/09/02/pdfs/GMR-1813-36.pdf#page=1","Abrir facsímil")</f>
        <v>Abrir facsímil</v>
      </c>
      <c r="K2543" s="3" t="s">
        <v>22</v>
      </c>
    </row>
    <row r="2544" spans="1:11" ht="42" customHeight="1">
      <c r="A2544" s="2" t="s">
        <v>5675</v>
      </c>
      <c r="B2544" s="2" t="s">
        <v>5676</v>
      </c>
      <c r="C2544" s="2" t="s">
        <v>25</v>
      </c>
      <c r="D2544" s="2" t="s">
        <v>26</v>
      </c>
      <c r="E2544" s="5">
        <v>-31747</v>
      </c>
      <c r="F2544" s="3" t="s">
        <v>86</v>
      </c>
      <c r="G2544" s="3" t="s">
        <v>28</v>
      </c>
      <c r="H2544" s="2" t="s">
        <v>20</v>
      </c>
      <c r="I2544" s="2" t="s">
        <v>5677</v>
      </c>
      <c r="J2544" s="3" t="str">
        <f>HYPERLINK("https://www.boe.es/gazeta/dias/1813/01/28/pdfs/GRE-1813-12.pdf#page=8","Abrir facsímil")</f>
        <v>Abrir facsímil</v>
      </c>
      <c r="K2544" s="3" t="s">
        <v>22</v>
      </c>
    </row>
    <row r="2545" spans="1:11" ht="42" customHeight="1">
      <c r="A2545" s="2" t="s">
        <v>5678</v>
      </c>
      <c r="B2545" s="2" t="s">
        <v>5678</v>
      </c>
      <c r="C2545" s="2" t="s">
        <v>25</v>
      </c>
      <c r="D2545" s="2" t="s">
        <v>26</v>
      </c>
      <c r="E2545" s="5">
        <v>-31744</v>
      </c>
      <c r="F2545" s="3" t="s">
        <v>5679</v>
      </c>
      <c r="G2545" s="3" t="s">
        <v>58</v>
      </c>
      <c r="H2545" s="2" t="s">
        <v>20</v>
      </c>
      <c r="I2545" s="2" t="s">
        <v>5680</v>
      </c>
      <c r="J2545" s="3" t="str">
        <f>HYPERLINK("https://www.boe.es/gazeta/dias/1813/01/31/pdfs/GMD-1813-31.pdf#page=2","Abrir facsímil")</f>
        <v>Abrir facsímil</v>
      </c>
      <c r="K2545" s="3" t="s">
        <v>22</v>
      </c>
    </row>
    <row r="2546" spans="1:11" ht="42" customHeight="1">
      <c r="A2546" s="2" t="s">
        <v>5681</v>
      </c>
      <c r="B2546" s="2" t="s">
        <v>5681</v>
      </c>
      <c r="C2546" s="2" t="s">
        <v>25</v>
      </c>
      <c r="D2546" s="2" t="s">
        <v>26</v>
      </c>
      <c r="E2546" s="5">
        <v>-31458</v>
      </c>
      <c r="F2546" s="3" t="s">
        <v>2315</v>
      </c>
      <c r="G2546" s="3" t="s">
        <v>87</v>
      </c>
      <c r="H2546" s="2" t="s">
        <v>20</v>
      </c>
      <c r="I2546" s="2" t="s">
        <v>5682</v>
      </c>
      <c r="J2546" s="3" t="str">
        <f>HYPERLINK("https://www.boe.es/gazeta/dias/1813/11/13/pdfs/GMR-1813-73.pdf#page=7","Abrir facsímil")</f>
        <v>Abrir facsímil</v>
      </c>
      <c r="K2546" s="3" t="s">
        <v>22</v>
      </c>
    </row>
    <row r="2547" spans="1:11" ht="42" customHeight="1">
      <c r="A2547" s="2" t="s">
        <v>5683</v>
      </c>
      <c r="B2547" s="2" t="s">
        <v>5684</v>
      </c>
      <c r="C2547" s="2" t="s">
        <v>187</v>
      </c>
      <c r="D2547" s="2" t="s">
        <v>26</v>
      </c>
      <c r="E2547" s="5">
        <v>-31551</v>
      </c>
      <c r="F2547" s="3" t="s">
        <v>954</v>
      </c>
      <c r="G2547" s="3" t="s">
        <v>28</v>
      </c>
      <c r="H2547" s="2" t="s">
        <v>20</v>
      </c>
      <c r="I2547" s="2" t="s">
        <v>5685</v>
      </c>
      <c r="J2547" s="3" t="str">
        <f>HYPERLINK("https://www.boe.es/gazeta/dias/1813/08/12/pdfs/GMR-1813-27.pdf#page=8","Abrir facsímil")</f>
        <v>Abrir facsímil</v>
      </c>
      <c r="K2547" s="3" t="s">
        <v>22</v>
      </c>
    </row>
    <row r="2548" spans="1:11" ht="42" customHeight="1">
      <c r="A2548" s="2" t="s">
        <v>5686</v>
      </c>
      <c r="B2548" s="2" t="s">
        <v>5686</v>
      </c>
      <c r="C2548" s="2" t="s">
        <v>16</v>
      </c>
      <c r="D2548" s="2" t="s">
        <v>17</v>
      </c>
      <c r="E2548" s="5">
        <v>-31549</v>
      </c>
      <c r="F2548" s="3" t="s">
        <v>332</v>
      </c>
      <c r="G2548" s="3" t="s">
        <v>54</v>
      </c>
      <c r="H2548" s="2" t="s">
        <v>20</v>
      </c>
      <c r="I2548" s="2" t="s">
        <v>5687</v>
      </c>
      <c r="J2548" s="3" t="str">
        <f>HYPERLINK("https://www.boe.es/gazeta/dias/1813/08/14/pdfs/GMR-1813-28.pdf#page=3","Abrir facsímil")</f>
        <v>Abrir facsímil</v>
      </c>
      <c r="K2548" s="3" t="s">
        <v>22</v>
      </c>
    </row>
    <row r="2549" spans="1:11" ht="42" customHeight="1">
      <c r="A2549" s="2" t="s">
        <v>5688</v>
      </c>
      <c r="B2549" s="2" t="s">
        <v>5688</v>
      </c>
      <c r="C2549" s="2" t="s">
        <v>34</v>
      </c>
      <c r="D2549" s="2" t="s">
        <v>35</v>
      </c>
      <c r="E2549" s="5">
        <v>-31537</v>
      </c>
      <c r="F2549" s="3" t="s">
        <v>138</v>
      </c>
      <c r="G2549" s="3" t="s">
        <v>95</v>
      </c>
      <c r="H2549" s="2" t="s">
        <v>20</v>
      </c>
      <c r="I2549" s="2" t="s">
        <v>5689</v>
      </c>
      <c r="J2549" s="3" t="str">
        <f>HYPERLINK("https://www.boe.es/gazeta/dias/1813/08/26/pdfs/GMR-1813-33.pdf#page=6","Abrir facsímil")</f>
        <v>Abrir facsímil</v>
      </c>
      <c r="K2549" s="3" t="s">
        <v>22</v>
      </c>
    </row>
    <row r="2550" spans="1:11" ht="42" customHeight="1">
      <c r="A2550" s="2" t="s">
        <v>5688</v>
      </c>
      <c r="B2550" s="2" t="s">
        <v>5688</v>
      </c>
      <c r="C2550" s="2" t="s">
        <v>69</v>
      </c>
      <c r="D2550" s="2" t="s">
        <v>26</v>
      </c>
      <c r="E2550" s="5">
        <v>-31439</v>
      </c>
      <c r="F2550" s="3" t="s">
        <v>1298</v>
      </c>
      <c r="G2550" s="3" t="s">
        <v>65</v>
      </c>
      <c r="H2550" s="2" t="s">
        <v>20</v>
      </c>
      <c r="I2550" s="2" t="s">
        <v>5690</v>
      </c>
      <c r="J2550" s="3" t="str">
        <f>HYPERLINK("https://www.boe.es/gazeta/dias/1813/12/02/pdfs/GMR-1813-82.pdf#page=1","Abrir facsímil")</f>
        <v>Abrir facsímil</v>
      </c>
      <c r="K2550" s="3" t="s">
        <v>22</v>
      </c>
    </row>
    <row r="2551" spans="1:11" ht="42" customHeight="1">
      <c r="A2551" s="2" t="s">
        <v>5691</v>
      </c>
      <c r="B2551" s="2" t="s">
        <v>5692</v>
      </c>
      <c r="C2551" s="2" t="s">
        <v>16</v>
      </c>
      <c r="D2551" s="2" t="s">
        <v>17</v>
      </c>
      <c r="E2551" s="5">
        <v>-31578</v>
      </c>
      <c r="F2551" s="3" t="s">
        <v>974</v>
      </c>
      <c r="G2551" s="3" t="s">
        <v>207</v>
      </c>
      <c r="H2551" s="2" t="s">
        <v>20</v>
      </c>
      <c r="I2551" s="2" t="s">
        <v>5693</v>
      </c>
      <c r="J2551" s="3" t="str">
        <f>HYPERLINK("https://www.boe.es/gazeta/dias/1813/07/16/pdfs/GMR-1813-18.pdf#page=10","Abrir facsímil")</f>
        <v>Abrir facsímil</v>
      </c>
      <c r="K2551" s="3" t="s">
        <v>22</v>
      </c>
    </row>
    <row r="2552" spans="1:11" ht="42" customHeight="1">
      <c r="A2552" s="2" t="s">
        <v>5694</v>
      </c>
      <c r="B2552" s="2" t="s">
        <v>5694</v>
      </c>
      <c r="C2552" s="2" t="s">
        <v>16</v>
      </c>
      <c r="D2552" s="2" t="s">
        <v>17</v>
      </c>
      <c r="E2552" s="5">
        <v>-31717</v>
      </c>
      <c r="F2552" s="3" t="s">
        <v>4754</v>
      </c>
      <c r="G2552" s="3" t="s">
        <v>58</v>
      </c>
      <c r="H2552" s="2" t="s">
        <v>20</v>
      </c>
      <c r="I2552" s="2" t="s">
        <v>5695</v>
      </c>
      <c r="J2552" s="3" t="str">
        <f>HYPERLINK("https://www.boe.es/gazeta/dias/1813/02/27/pdfs/GMD-1813-58.pdf#page=2","Abrir facsímil")</f>
        <v>Abrir facsímil</v>
      </c>
      <c r="K2552" s="3" t="s">
        <v>22</v>
      </c>
    </row>
    <row r="2553" spans="1:11" ht="42" customHeight="1">
      <c r="A2553" s="2" t="s">
        <v>5696</v>
      </c>
      <c r="B2553" s="2" t="s">
        <v>5697</v>
      </c>
      <c r="C2553" s="2" t="s">
        <v>25</v>
      </c>
      <c r="D2553" s="2" t="s">
        <v>26</v>
      </c>
      <c r="E2553" s="5">
        <v>-31677</v>
      </c>
      <c r="F2553" s="3" t="s">
        <v>76</v>
      </c>
      <c r="G2553" s="3" t="s">
        <v>28</v>
      </c>
      <c r="H2553" s="2" t="s">
        <v>20</v>
      </c>
      <c r="I2553" s="2" t="s">
        <v>5698</v>
      </c>
      <c r="J2553" s="3" t="str">
        <f>HYPERLINK("https://www.boe.es/gazeta/dias/1813/04/08/pdfs/GRE-1813-43.pdf#page=8","Abrir facsímil")</f>
        <v>Abrir facsímil</v>
      </c>
      <c r="K2553" s="3" t="s">
        <v>22</v>
      </c>
    </row>
    <row r="2554" spans="1:11" ht="42" customHeight="1">
      <c r="A2554" s="2" t="s">
        <v>5699</v>
      </c>
      <c r="B2554" s="2" t="s">
        <v>5699</v>
      </c>
      <c r="C2554" s="2" t="s">
        <v>16</v>
      </c>
      <c r="D2554" s="2" t="s">
        <v>17</v>
      </c>
      <c r="E2554" s="5">
        <v>-31683</v>
      </c>
      <c r="F2554" s="3" t="s">
        <v>1213</v>
      </c>
      <c r="G2554" s="3" t="s">
        <v>65</v>
      </c>
      <c r="H2554" s="2" t="s">
        <v>20</v>
      </c>
      <c r="I2554" s="2" t="s">
        <v>5700</v>
      </c>
      <c r="J2554" s="3" t="str">
        <f>HYPERLINK("https://www.boe.es/gazeta/dias/1813/04/02/pdfs/GMD-1813-92.pdf#page=1","Abrir facsímil")</f>
        <v>Abrir facsímil</v>
      </c>
      <c r="K2554" s="3" t="s">
        <v>22</v>
      </c>
    </row>
    <row r="2555" spans="1:11" ht="42" customHeight="1">
      <c r="A2555" s="2" t="s">
        <v>5701</v>
      </c>
      <c r="B2555" s="2" t="s">
        <v>5702</v>
      </c>
      <c r="C2555" s="2" t="s">
        <v>34</v>
      </c>
      <c r="D2555" s="2" t="s">
        <v>35</v>
      </c>
      <c r="E2555" s="5">
        <v>-31518</v>
      </c>
      <c r="F2555" s="3" t="s">
        <v>155</v>
      </c>
      <c r="G2555" s="3" t="s">
        <v>82</v>
      </c>
      <c r="H2555" s="2" t="s">
        <v>20</v>
      </c>
      <c r="I2555" s="2" t="s">
        <v>5703</v>
      </c>
      <c r="J2555" s="3" t="str">
        <f>HYPERLINK("https://www.boe.es/gazeta/dias/1813/09/14/pdfs/GRE-1813-119.pdf#page=5","Abrir facsímil")</f>
        <v>Abrir facsímil</v>
      </c>
      <c r="K2555" s="3" t="s">
        <v>22</v>
      </c>
    </row>
    <row r="2556" spans="1:11" ht="42" customHeight="1">
      <c r="A2556" s="2" t="s">
        <v>5704</v>
      </c>
      <c r="B2556" s="2" t="s">
        <v>5705</v>
      </c>
      <c r="C2556" s="2" t="s">
        <v>16</v>
      </c>
      <c r="D2556" s="2" t="s">
        <v>17</v>
      </c>
      <c r="E2556" s="5">
        <v>-31695</v>
      </c>
      <c r="F2556" s="3" t="s">
        <v>2770</v>
      </c>
      <c r="G2556" s="3" t="s">
        <v>19</v>
      </c>
      <c r="H2556" s="2" t="s">
        <v>20</v>
      </c>
      <c r="I2556" s="2" t="s">
        <v>5706</v>
      </c>
      <c r="J2556" s="3" t="str">
        <f>HYPERLINK("https://www.boe.es/gazeta/dias/1813/03/21/pdfs/GMD-1813-80.pdf#page=4","Abrir facsímil")</f>
        <v>Abrir facsímil</v>
      </c>
      <c r="K2556" s="3" t="s">
        <v>22</v>
      </c>
    </row>
    <row r="2557" spans="1:11" ht="42" customHeight="1">
      <c r="A2557" s="2" t="s">
        <v>5707</v>
      </c>
      <c r="B2557" s="2" t="s">
        <v>5707</v>
      </c>
      <c r="C2557" s="2" t="s">
        <v>16</v>
      </c>
      <c r="D2557" s="2" t="s">
        <v>17</v>
      </c>
      <c r="E2557" s="5">
        <v>-31707</v>
      </c>
      <c r="F2557" s="3" t="s">
        <v>2195</v>
      </c>
      <c r="G2557" s="3" t="s">
        <v>54</v>
      </c>
      <c r="H2557" s="2" t="s">
        <v>20</v>
      </c>
      <c r="I2557" s="2" t="s">
        <v>5708</v>
      </c>
      <c r="J2557" s="3" t="str">
        <f>HYPERLINK("https://www.boe.es/gazeta/dias/1813/03/09/pdfs/GMD-1813-68.pdf#page=3","Abrir facsímil")</f>
        <v>Abrir facsímil</v>
      </c>
      <c r="K2557" s="3" t="s">
        <v>22</v>
      </c>
    </row>
    <row r="2558" spans="1:11" ht="42" customHeight="1">
      <c r="A2558" s="2" t="s">
        <v>5707</v>
      </c>
      <c r="B2558" s="2" t="s">
        <v>5707</v>
      </c>
      <c r="C2558" s="2" t="s">
        <v>16</v>
      </c>
      <c r="D2558" s="2" t="s">
        <v>17</v>
      </c>
      <c r="E2558" s="5">
        <v>-31706</v>
      </c>
      <c r="F2558" s="3" t="s">
        <v>2256</v>
      </c>
      <c r="G2558" s="3" t="s">
        <v>54</v>
      </c>
      <c r="H2558" s="2" t="s">
        <v>20</v>
      </c>
      <c r="I2558" s="2" t="s">
        <v>5709</v>
      </c>
      <c r="J2558" s="3" t="str">
        <f>HYPERLINK("https://www.boe.es/gazeta/dias/1813/03/10/pdfs/GMD-1813-69.pdf#page=3","Abrir facsímil")</f>
        <v>Abrir facsímil</v>
      </c>
      <c r="K2558" s="3" t="s">
        <v>22</v>
      </c>
    </row>
    <row r="2559" spans="1:11" ht="42" customHeight="1">
      <c r="A2559" s="2" t="s">
        <v>5707</v>
      </c>
      <c r="B2559" s="2" t="s">
        <v>5707</v>
      </c>
      <c r="C2559" s="2" t="s">
        <v>16</v>
      </c>
      <c r="D2559" s="2" t="s">
        <v>17</v>
      </c>
      <c r="E2559" s="5">
        <v>-31486</v>
      </c>
      <c r="F2559" s="3" t="s">
        <v>1284</v>
      </c>
      <c r="G2559" s="3" t="s">
        <v>87</v>
      </c>
      <c r="H2559" s="2" t="s">
        <v>20</v>
      </c>
      <c r="I2559" s="2" t="s">
        <v>5710</v>
      </c>
      <c r="J2559" s="3" t="str">
        <f>HYPERLINK("https://www.boe.es/gazeta/dias/1813/10/16/pdfs/GMR-1813-60.pdf#page=7","Abrir facsímil")</f>
        <v>Abrir facsímil</v>
      </c>
      <c r="K2559" s="3" t="s">
        <v>22</v>
      </c>
    </row>
    <row r="2560" spans="1:11" ht="42" customHeight="1">
      <c r="A2560" s="2" t="s">
        <v>5707</v>
      </c>
      <c r="B2560" s="2" t="s">
        <v>5707</v>
      </c>
      <c r="C2560" s="2" t="s">
        <v>16</v>
      </c>
      <c r="D2560" s="2" t="s">
        <v>17</v>
      </c>
      <c r="E2560" s="5">
        <v>-31467</v>
      </c>
      <c r="F2560" s="3" t="s">
        <v>1464</v>
      </c>
      <c r="G2560" s="3" t="s">
        <v>19</v>
      </c>
      <c r="H2560" s="2" t="s">
        <v>20</v>
      </c>
      <c r="I2560" s="2" t="s">
        <v>5711</v>
      </c>
      <c r="J2560" s="3" t="str">
        <f>HYPERLINK("https://www.boe.es/gazeta/dias/1813/11/04/pdfs/GRE-1813-144.pdf#page=4","Abrir facsímil")</f>
        <v>Abrir facsímil</v>
      </c>
      <c r="K2560" s="3" t="s">
        <v>22</v>
      </c>
    </row>
    <row r="2561" spans="1:11" ht="42" customHeight="1">
      <c r="A2561" s="2" t="s">
        <v>5712</v>
      </c>
      <c r="B2561" s="2" t="s">
        <v>5713</v>
      </c>
      <c r="C2561" s="2" t="s">
        <v>25</v>
      </c>
      <c r="D2561" s="2" t="s">
        <v>26</v>
      </c>
      <c r="E2561" s="5">
        <v>-31687</v>
      </c>
      <c r="F2561" s="3" t="s">
        <v>2723</v>
      </c>
      <c r="G2561" s="3" t="s">
        <v>19</v>
      </c>
      <c r="H2561" s="2" t="s">
        <v>20</v>
      </c>
      <c r="I2561" s="2" t="s">
        <v>5714</v>
      </c>
      <c r="J2561" s="3" t="str">
        <f>HYPERLINK("https://www.boe.es/gazeta/dias/1813/03/29/pdfs/GMD-1813-88.pdf#page=4","Abrir facsímil")</f>
        <v>Abrir facsímil</v>
      </c>
      <c r="K2561" s="3" t="s">
        <v>22</v>
      </c>
    </row>
    <row r="2562" spans="1:11" ht="42" customHeight="1">
      <c r="A2562" s="2" t="s">
        <v>5715</v>
      </c>
      <c r="B2562" s="2" t="s">
        <v>5716</v>
      </c>
      <c r="C2562" s="2" t="s">
        <v>16</v>
      </c>
      <c r="D2562" s="2" t="s">
        <v>17</v>
      </c>
      <c r="E2562" s="5">
        <v>-31691</v>
      </c>
      <c r="F2562" s="3" t="s">
        <v>1542</v>
      </c>
      <c r="G2562" s="3" t="s">
        <v>28</v>
      </c>
      <c r="H2562" s="2" t="s">
        <v>20</v>
      </c>
      <c r="I2562" s="2" t="s">
        <v>5717</v>
      </c>
      <c r="J2562" s="3" t="str">
        <f>HYPERLINK("https://www.boe.es/gazeta/dias/1813/03/25/pdfs/GRE-1813-37.pdf#page=8","Abrir facsímil")</f>
        <v>Abrir facsímil</v>
      </c>
      <c r="K2562" s="3" t="s">
        <v>22</v>
      </c>
    </row>
    <row r="2563" spans="1:11" ht="42" customHeight="1">
      <c r="A2563" s="2" t="s">
        <v>5718</v>
      </c>
      <c r="B2563" s="2" t="s">
        <v>5719</v>
      </c>
      <c r="C2563" s="2" t="s">
        <v>25</v>
      </c>
      <c r="D2563" s="2" t="s">
        <v>26</v>
      </c>
      <c r="E2563" s="5">
        <v>-31745</v>
      </c>
      <c r="F2563" s="3" t="s">
        <v>445</v>
      </c>
      <c r="G2563" s="3" t="s">
        <v>28</v>
      </c>
      <c r="H2563" s="2" t="s">
        <v>20</v>
      </c>
      <c r="I2563" s="2" t="s">
        <v>5720</v>
      </c>
      <c r="J2563" s="3" t="str">
        <f>HYPERLINK("https://www.boe.es/gazeta/dias/1813/01/30/pdfs/GRE-1813-13.pdf#page=8","Abrir facsímil")</f>
        <v>Abrir facsímil</v>
      </c>
      <c r="K2563" s="3" t="s">
        <v>22</v>
      </c>
    </row>
    <row r="2564" spans="1:11" ht="42" customHeight="1">
      <c r="A2564" s="2" t="s">
        <v>5721</v>
      </c>
      <c r="B2564" s="2" t="s">
        <v>5722</v>
      </c>
      <c r="C2564" s="2" t="s">
        <v>25</v>
      </c>
      <c r="D2564" s="2" t="s">
        <v>26</v>
      </c>
      <c r="E2564" s="5">
        <v>-31677</v>
      </c>
      <c r="F2564" s="3" t="s">
        <v>76</v>
      </c>
      <c r="G2564" s="3" t="s">
        <v>28</v>
      </c>
      <c r="H2564" s="2" t="s">
        <v>20</v>
      </c>
      <c r="I2564" s="2" t="s">
        <v>5723</v>
      </c>
      <c r="J2564" s="3" t="str">
        <f>HYPERLINK("https://www.boe.es/gazeta/dias/1813/04/08/pdfs/GRE-1813-43.pdf#page=8","Abrir facsímil")</f>
        <v>Abrir facsímil</v>
      </c>
      <c r="K2564" s="3" t="s">
        <v>22</v>
      </c>
    </row>
    <row r="2565" spans="1:11" ht="42" customHeight="1">
      <c r="A2565" s="2" t="s">
        <v>5724</v>
      </c>
      <c r="B2565" s="2" t="s">
        <v>5725</v>
      </c>
      <c r="C2565" s="2" t="s">
        <v>16</v>
      </c>
      <c r="D2565" s="2" t="s">
        <v>17</v>
      </c>
      <c r="E2565" s="5">
        <v>-31481</v>
      </c>
      <c r="F2565" s="3" t="s">
        <v>40</v>
      </c>
      <c r="G2565" s="3" t="s">
        <v>95</v>
      </c>
      <c r="H2565" s="2" t="s">
        <v>20</v>
      </c>
      <c r="I2565" s="2" t="s">
        <v>5726</v>
      </c>
      <c r="J2565" s="3" t="str">
        <f>HYPERLINK("https://www.boe.es/gazeta/dias/1813/10/21/pdfs/GMR-1813-62.pdf#page=6","Abrir facsímil")</f>
        <v>Abrir facsímil</v>
      </c>
      <c r="K2565" s="3" t="s">
        <v>22</v>
      </c>
    </row>
    <row r="2566" spans="1:11" ht="42" customHeight="1">
      <c r="A2566" s="2" t="s">
        <v>5727</v>
      </c>
      <c r="B2566" s="2" t="s">
        <v>5728</v>
      </c>
      <c r="C2566" s="2" t="s">
        <v>16</v>
      </c>
      <c r="D2566" s="2" t="s">
        <v>97</v>
      </c>
      <c r="E2566" s="5">
        <v>-31519</v>
      </c>
      <c r="F2566" s="3" t="s">
        <v>312</v>
      </c>
      <c r="G2566" s="3" t="s">
        <v>82</v>
      </c>
      <c r="H2566" s="2" t="s">
        <v>20</v>
      </c>
      <c r="I2566" s="2" t="s">
        <v>5729</v>
      </c>
      <c r="J2566" s="3" t="str">
        <f>HYPERLINK("https://www.boe.es/gazeta/dias/1813/09/13/pdfs/GRE-1813-118E.pdf#page=5","Abrir facsímil")</f>
        <v>Abrir facsímil</v>
      </c>
      <c r="K2566" s="3" t="s">
        <v>22</v>
      </c>
    </row>
    <row r="2567" spans="1:11" ht="42" customHeight="1">
      <c r="A2567" s="2" t="s">
        <v>5727</v>
      </c>
      <c r="B2567" s="2" t="s">
        <v>5728</v>
      </c>
      <c r="C2567" s="2" t="s">
        <v>16</v>
      </c>
      <c r="D2567" s="2" t="s">
        <v>97</v>
      </c>
      <c r="E2567" s="5">
        <v>-31519</v>
      </c>
      <c r="F2567" s="3" t="s">
        <v>312</v>
      </c>
      <c r="G2567" s="3" t="s">
        <v>95</v>
      </c>
      <c r="H2567" s="2" t="s">
        <v>20</v>
      </c>
      <c r="I2567" s="2" t="s">
        <v>5730</v>
      </c>
      <c r="J2567" s="3" t="str">
        <f>HYPERLINK("https://www.boe.es/gazeta/dias/1813/09/13/pdfs/GRE-1813-118E.pdf#page=6","Abrir facsímil")</f>
        <v>Abrir facsímil</v>
      </c>
      <c r="K2567" s="3" t="s">
        <v>22</v>
      </c>
    </row>
    <row r="2568" spans="1:11" ht="42" customHeight="1">
      <c r="A2568" s="2" t="s">
        <v>5731</v>
      </c>
      <c r="B2568" s="2" t="s">
        <v>5732</v>
      </c>
      <c r="C2568" s="2" t="s">
        <v>16</v>
      </c>
      <c r="D2568" s="2" t="s">
        <v>17</v>
      </c>
      <c r="E2568" s="5">
        <v>-31521</v>
      </c>
      <c r="F2568" s="3" t="s">
        <v>1282</v>
      </c>
      <c r="G2568" s="3" t="s">
        <v>95</v>
      </c>
      <c r="H2568" s="2" t="s">
        <v>20</v>
      </c>
      <c r="I2568" s="2" t="s">
        <v>5733</v>
      </c>
      <c r="J2568" s="3" t="str">
        <f>HYPERLINK("https://www.boe.es/gazeta/dias/1813/09/11/pdfs/GMR-1813-41.pdf#page=6","Abrir facsímil")</f>
        <v>Abrir facsímil</v>
      </c>
      <c r="K2568" s="3" t="s">
        <v>22</v>
      </c>
    </row>
    <row r="2569" spans="1:11" ht="42" customHeight="1">
      <c r="A2569" s="2" t="s">
        <v>5734</v>
      </c>
      <c r="B2569" s="2" t="s">
        <v>5735</v>
      </c>
      <c r="C2569" s="2" t="s">
        <v>16</v>
      </c>
      <c r="D2569" s="2" t="s">
        <v>17</v>
      </c>
      <c r="E2569" s="5">
        <v>-31511</v>
      </c>
      <c r="F2569" s="3" t="s">
        <v>935</v>
      </c>
      <c r="G2569" s="3" t="s">
        <v>178</v>
      </c>
      <c r="H2569" s="2" t="s">
        <v>20</v>
      </c>
      <c r="I2569" s="2" t="s">
        <v>5736</v>
      </c>
      <c r="J2569" s="3" t="str">
        <f>HYPERLINK("https://www.boe.es/gazeta/dias/1813/09/21/pdfs/GMR-1813-46.pdf#page=11","Abrir facsímil")</f>
        <v>Abrir facsímil</v>
      </c>
      <c r="K2569" s="3" t="s">
        <v>22</v>
      </c>
    </row>
    <row r="2570" spans="1:11" ht="42" customHeight="1">
      <c r="A2570" s="2" t="s">
        <v>5734</v>
      </c>
      <c r="B2570" s="2" t="s">
        <v>5735</v>
      </c>
      <c r="C2570" s="2" t="s">
        <v>16</v>
      </c>
      <c r="D2570" s="2" t="s">
        <v>17</v>
      </c>
      <c r="E2570" s="5">
        <v>-31481</v>
      </c>
      <c r="F2570" s="3" t="s">
        <v>40</v>
      </c>
      <c r="G2570" s="3" t="s">
        <v>87</v>
      </c>
      <c r="H2570" s="2" t="s">
        <v>20</v>
      </c>
      <c r="I2570" s="2" t="s">
        <v>5737</v>
      </c>
      <c r="J2570" s="3" t="str">
        <f>HYPERLINK("https://www.boe.es/gazeta/dias/1813/10/21/pdfs/GMR-1813-62.pdf#page=7","Abrir facsímil")</f>
        <v>Abrir facsímil</v>
      </c>
      <c r="K2570" s="3" t="s">
        <v>22</v>
      </c>
    </row>
    <row r="2571" spans="1:11" ht="42" customHeight="1">
      <c r="A2571" s="2" t="s">
        <v>5738</v>
      </c>
      <c r="B2571" s="2" t="s">
        <v>5739</v>
      </c>
      <c r="C2571" s="2" t="s">
        <v>16</v>
      </c>
      <c r="D2571" s="2" t="s">
        <v>97</v>
      </c>
      <c r="E2571" s="5">
        <v>-31479</v>
      </c>
      <c r="F2571" s="3" t="s">
        <v>290</v>
      </c>
      <c r="G2571" s="3" t="s">
        <v>82</v>
      </c>
      <c r="H2571" s="2" t="s">
        <v>29</v>
      </c>
      <c r="I2571" s="2" t="s">
        <v>5740</v>
      </c>
      <c r="J2571" s="3" t="str">
        <f>HYPERLINK("https://www.boe.es/gazeta/dias/1813/10/23/pdfs/GRE-1813-139E.pdf#page=5","Abrir facsímil")</f>
        <v>Abrir facsímil</v>
      </c>
      <c r="K2571" s="3" t="s">
        <v>31</v>
      </c>
    </row>
    <row r="2572" spans="1:11" ht="42" customHeight="1">
      <c r="A2572" s="2" t="s">
        <v>5741</v>
      </c>
      <c r="B2572" s="2" t="s">
        <v>5742</v>
      </c>
      <c r="C2572" s="2" t="s">
        <v>25</v>
      </c>
      <c r="D2572" s="2" t="s">
        <v>26</v>
      </c>
      <c r="E2572" s="5">
        <v>-31467</v>
      </c>
      <c r="F2572" s="3" t="s">
        <v>120</v>
      </c>
      <c r="G2572" s="3" t="s">
        <v>58</v>
      </c>
      <c r="H2572" s="2" t="s">
        <v>20</v>
      </c>
      <c r="I2572" s="2" t="s">
        <v>5743</v>
      </c>
      <c r="J2572" s="3" t="str">
        <f>HYPERLINK("https://www.boe.es/gazeta/dias/1813/11/04/pdfs/GMR-1813-68.pdf#page=2","Abrir facsímil")</f>
        <v>Abrir facsímil</v>
      </c>
      <c r="K2572" s="3" t="s">
        <v>22</v>
      </c>
    </row>
    <row r="2573" spans="1:11" ht="42" customHeight="1">
      <c r="A2573" s="2" t="s">
        <v>5744</v>
      </c>
      <c r="B2573" s="2" t="s">
        <v>5744</v>
      </c>
      <c r="C2573" s="2" t="s">
        <v>16</v>
      </c>
      <c r="D2573" s="2" t="s">
        <v>17</v>
      </c>
      <c r="E2573" s="5">
        <v>-31465</v>
      </c>
      <c r="F2573" s="3" t="s">
        <v>407</v>
      </c>
      <c r="G2573" s="3" t="s">
        <v>54</v>
      </c>
      <c r="H2573" s="2" t="s">
        <v>20</v>
      </c>
      <c r="I2573" s="2" t="s">
        <v>5745</v>
      </c>
      <c r="J2573" s="3" t="str">
        <f>HYPERLINK("https://www.boe.es/gazeta/dias/1813/11/06/pdfs/GMR-1813-70.pdf#page=3","Abrir facsímil")</f>
        <v>Abrir facsímil</v>
      </c>
      <c r="K2573" s="3" t="s">
        <v>22</v>
      </c>
    </row>
    <row r="2574" spans="1:11" ht="42" customHeight="1">
      <c r="A2574" s="2" t="s">
        <v>5744</v>
      </c>
      <c r="B2574" s="2" t="s">
        <v>5744</v>
      </c>
      <c r="C2574" s="2" t="s">
        <v>16</v>
      </c>
      <c r="D2574" s="2" t="s">
        <v>17</v>
      </c>
      <c r="E2574" s="5">
        <v>-31455</v>
      </c>
      <c r="F2574" s="3" t="s">
        <v>693</v>
      </c>
      <c r="G2574" s="3" t="s">
        <v>1588</v>
      </c>
      <c r="H2574" s="2" t="s">
        <v>20</v>
      </c>
      <c r="I2574" s="2" t="s">
        <v>5746</v>
      </c>
      <c r="J2574" s="3" t="str">
        <f>HYPERLINK("https://www.boe.es/gazeta/dias/1813/11/16/pdfs/GRE-1813-150.pdf#page=4","Abrir facsímil")</f>
        <v>Abrir facsímil</v>
      </c>
      <c r="K2574" s="3" t="s">
        <v>22</v>
      </c>
    </row>
    <row r="2575" spans="1:11" ht="42" customHeight="1">
      <c r="A2575" s="2" t="s">
        <v>5747</v>
      </c>
      <c r="B2575" s="2" t="s">
        <v>5747</v>
      </c>
      <c r="C2575" s="2" t="s">
        <v>16</v>
      </c>
      <c r="D2575" s="2" t="s">
        <v>17</v>
      </c>
      <c r="E2575" s="5">
        <v>-31530</v>
      </c>
      <c r="F2575" s="3" t="s">
        <v>133</v>
      </c>
      <c r="G2575" s="3" t="s">
        <v>54</v>
      </c>
      <c r="H2575" s="2" t="s">
        <v>20</v>
      </c>
      <c r="I2575" s="2" t="s">
        <v>5748</v>
      </c>
      <c r="J2575" s="3" t="str">
        <f>HYPERLINK("https://www.boe.es/gazeta/dias/1813/09/02/pdfs/GMR-1813-36.pdf#page=3","Abrir facsímil")</f>
        <v>Abrir facsímil</v>
      </c>
      <c r="K2575" s="3" t="s">
        <v>22</v>
      </c>
    </row>
    <row r="2576" spans="1:11" ht="42" customHeight="1">
      <c r="A2576" s="2" t="s">
        <v>5749</v>
      </c>
      <c r="B2576" s="2" t="s">
        <v>5750</v>
      </c>
      <c r="C2576" s="2" t="s">
        <v>16</v>
      </c>
      <c r="D2576" s="2" t="s">
        <v>17</v>
      </c>
      <c r="E2576" s="5">
        <v>-31711</v>
      </c>
      <c r="F2576" s="3" t="s">
        <v>385</v>
      </c>
      <c r="G2576" s="3" t="s">
        <v>54</v>
      </c>
      <c r="H2576" s="2" t="s">
        <v>20</v>
      </c>
      <c r="I2576" s="2" t="s">
        <v>5751</v>
      </c>
      <c r="J2576" s="3" t="str">
        <f>HYPERLINK("https://www.boe.es/gazeta/dias/1813/03/05/pdfs/GRE-1813-99.pdf#page=3","Abrir facsímil")</f>
        <v>Abrir facsímil</v>
      </c>
      <c r="K2576" s="3" t="s">
        <v>22</v>
      </c>
    </row>
    <row r="2577" spans="1:11" ht="42" customHeight="1">
      <c r="A2577" s="2" t="s">
        <v>5749</v>
      </c>
      <c r="B2577" s="2" t="s">
        <v>5750</v>
      </c>
      <c r="C2577" s="2" t="s">
        <v>16</v>
      </c>
      <c r="D2577" s="2" t="s">
        <v>17</v>
      </c>
      <c r="E2577" s="5">
        <v>-31558</v>
      </c>
      <c r="F2577" s="3" t="s">
        <v>385</v>
      </c>
      <c r="G2577" s="3" t="s">
        <v>54</v>
      </c>
      <c r="H2577" s="2" t="s">
        <v>20</v>
      </c>
      <c r="I2577" s="2" t="s">
        <v>5751</v>
      </c>
      <c r="J2577" s="3" t="str">
        <f>HYPERLINK("https://www.boe.es/gazeta/dias/1813/08/05/pdfs/GRE-1813-99.pdf#page=3","Abrir facsímil")</f>
        <v>Abrir facsímil</v>
      </c>
      <c r="K2577" s="3" t="s">
        <v>22</v>
      </c>
    </row>
    <row r="2578" spans="1:11" ht="42" customHeight="1">
      <c r="A2578" s="2" t="s">
        <v>5752</v>
      </c>
      <c r="B2578" s="2" t="s">
        <v>5753</v>
      </c>
      <c r="C2578" s="2" t="s">
        <v>16</v>
      </c>
      <c r="D2578" s="2" t="s">
        <v>17</v>
      </c>
      <c r="E2578" s="5">
        <v>-31530</v>
      </c>
      <c r="F2578" s="3" t="s">
        <v>133</v>
      </c>
      <c r="G2578" s="3" t="s">
        <v>54</v>
      </c>
      <c r="H2578" s="2" t="s">
        <v>20</v>
      </c>
      <c r="I2578" s="2" t="s">
        <v>5754</v>
      </c>
      <c r="J2578" s="3" t="str">
        <f>HYPERLINK("https://www.boe.es/gazeta/dias/1813/09/02/pdfs/GMR-1813-36.pdf#page=3","Abrir facsímil")</f>
        <v>Abrir facsímil</v>
      </c>
      <c r="K2578" s="3" t="s">
        <v>22</v>
      </c>
    </row>
    <row r="2579" spans="1:11" ht="42" customHeight="1">
      <c r="A2579" s="2" t="s">
        <v>5749</v>
      </c>
      <c r="B2579" s="2" t="s">
        <v>5750</v>
      </c>
      <c r="C2579" s="2" t="s">
        <v>16</v>
      </c>
      <c r="D2579" s="2" t="s">
        <v>17</v>
      </c>
      <c r="E2579" s="5">
        <v>-31530</v>
      </c>
      <c r="F2579" s="3" t="s">
        <v>319</v>
      </c>
      <c r="G2579" s="3" t="s">
        <v>5755</v>
      </c>
      <c r="H2579" s="2" t="s">
        <v>20</v>
      </c>
      <c r="I2579" s="2" t="s">
        <v>5756</v>
      </c>
      <c r="J2579" s="3" t="str">
        <f>HYPERLINK("https://www.boe.es/gazeta/dias/1813/09/02/pdfs/GRE-1813-112.pdf#page=5","Abrir facsímil")</f>
        <v>Abrir facsímil</v>
      </c>
      <c r="K2579" s="3" t="s">
        <v>22</v>
      </c>
    </row>
    <row r="2580" spans="1:11" ht="42" customHeight="1">
      <c r="A2580" s="2" t="s">
        <v>5757</v>
      </c>
      <c r="B2580" s="2" t="s">
        <v>5758</v>
      </c>
      <c r="C2580" s="2" t="s">
        <v>109</v>
      </c>
      <c r="D2580" s="2" t="s">
        <v>26</v>
      </c>
      <c r="E2580" s="5">
        <v>-31574</v>
      </c>
      <c r="F2580" s="3" t="s">
        <v>509</v>
      </c>
      <c r="G2580" s="3" t="s">
        <v>28</v>
      </c>
      <c r="H2580" s="2" t="s">
        <v>20</v>
      </c>
      <c r="I2580" s="2" t="s">
        <v>5759</v>
      </c>
      <c r="J2580" s="3" t="str">
        <f>HYPERLINK("https://www.boe.es/gazeta/dias/1813/07/20/pdfs/GRE-1813-92.pdf#page=8","Abrir facsímil")</f>
        <v>Abrir facsímil</v>
      </c>
      <c r="K2580" s="3" t="s">
        <v>22</v>
      </c>
    </row>
    <row r="2581" spans="1:11" ht="42" customHeight="1">
      <c r="A2581" s="2" t="s">
        <v>5760</v>
      </c>
      <c r="B2581" s="2" t="s">
        <v>5761</v>
      </c>
      <c r="C2581" s="2" t="s">
        <v>34</v>
      </c>
      <c r="D2581" s="2" t="s">
        <v>35</v>
      </c>
      <c r="E2581" s="5">
        <v>-31709</v>
      </c>
      <c r="F2581" s="3" t="s">
        <v>36</v>
      </c>
      <c r="G2581" s="3" t="s">
        <v>19</v>
      </c>
      <c r="H2581" s="2" t="s">
        <v>20</v>
      </c>
      <c r="I2581" s="2" t="s">
        <v>5762</v>
      </c>
      <c r="J2581" s="3" t="str">
        <f>HYPERLINK("https://www.boe.es/gazeta/dias/1813/03/07/pdfs/GMD-1813-66.pdf#page=4","Abrir facsímil")</f>
        <v>Abrir facsímil</v>
      </c>
      <c r="K2581" s="3" t="s">
        <v>22</v>
      </c>
    </row>
    <row r="2582" spans="1:11" ht="42" customHeight="1">
      <c r="A2582" s="2" t="s">
        <v>5763</v>
      </c>
      <c r="B2582" s="2" t="s">
        <v>5764</v>
      </c>
      <c r="C2582" s="2" t="s">
        <v>16</v>
      </c>
      <c r="D2582" s="2" t="s">
        <v>17</v>
      </c>
      <c r="E2582" s="5">
        <v>-31481</v>
      </c>
      <c r="F2582" s="3" t="s">
        <v>40</v>
      </c>
      <c r="G2582" s="3" t="s">
        <v>4276</v>
      </c>
      <c r="H2582" s="2" t="s">
        <v>20</v>
      </c>
      <c r="I2582" s="2" t="s">
        <v>5765</v>
      </c>
      <c r="J2582" s="3" t="str">
        <f>HYPERLINK("https://www.boe.es/gazeta/dias/1813/10/21/pdfs/GMR-1813-62.pdf#page=5","Abrir facsímil")</f>
        <v>Abrir facsímil</v>
      </c>
      <c r="K2582" s="3" t="s">
        <v>22</v>
      </c>
    </row>
    <row r="2583" spans="1:11" ht="42" customHeight="1">
      <c r="A2583" s="2" t="s">
        <v>5766</v>
      </c>
      <c r="B2583" s="2" t="s">
        <v>5766</v>
      </c>
      <c r="C2583" s="2" t="s">
        <v>16</v>
      </c>
      <c r="D2583" s="2" t="s">
        <v>17</v>
      </c>
      <c r="E2583" s="5">
        <v>-31413</v>
      </c>
      <c r="F2583" s="3" t="s">
        <v>149</v>
      </c>
      <c r="G2583" s="3" t="s">
        <v>82</v>
      </c>
      <c r="H2583" s="2" t="s">
        <v>20</v>
      </c>
      <c r="I2583" s="2" t="s">
        <v>5767</v>
      </c>
      <c r="J2583" s="3" t="str">
        <f>HYPERLINK("https://www.boe.es/gazeta/dias/1813/12/28/pdfs/GMR-1813-93.pdf#page=5","Abrir facsímil")</f>
        <v>Abrir facsímil</v>
      </c>
      <c r="K2583" s="3" t="s">
        <v>22</v>
      </c>
    </row>
    <row r="2584" spans="1:11" ht="42" customHeight="1">
      <c r="A2584" s="2" t="s">
        <v>5768</v>
      </c>
      <c r="B2584" s="2" t="s">
        <v>5768</v>
      </c>
      <c r="C2584" s="2" t="s">
        <v>187</v>
      </c>
      <c r="D2584" s="2" t="s">
        <v>26</v>
      </c>
      <c r="E2584" s="5">
        <v>-31768</v>
      </c>
      <c r="F2584" s="3" t="s">
        <v>5769</v>
      </c>
      <c r="G2584" s="3" t="s">
        <v>54</v>
      </c>
      <c r="H2584" s="2" t="s">
        <v>20</v>
      </c>
      <c r="I2584" s="2" t="s">
        <v>5770</v>
      </c>
      <c r="J2584" s="3" t="str">
        <f>HYPERLINK("https://www.boe.es/gazeta/dias/1813/01/07/pdfs/GMD-1813-7.pdf#page=3","Abrir facsímil")</f>
        <v>Abrir facsímil</v>
      </c>
      <c r="K2584" s="3" t="s">
        <v>22</v>
      </c>
    </row>
    <row r="2585" spans="1:11" ht="42" customHeight="1">
      <c r="A2585" s="2" t="s">
        <v>5771</v>
      </c>
      <c r="B2585" s="2" t="s">
        <v>5771</v>
      </c>
      <c r="C2585" s="2" t="s">
        <v>16</v>
      </c>
      <c r="D2585" s="2" t="s">
        <v>97</v>
      </c>
      <c r="E2585" s="5">
        <v>-31499</v>
      </c>
      <c r="F2585" s="3" t="s">
        <v>220</v>
      </c>
      <c r="G2585" s="3" t="s">
        <v>178</v>
      </c>
      <c r="H2585" s="2" t="s">
        <v>20</v>
      </c>
      <c r="I2585" s="2" t="s">
        <v>5772</v>
      </c>
      <c r="J2585" s="3" t="str">
        <f>HYPERLINK("https://www.boe.es/gazeta/dias/1813/10/03/pdfs/GMR-1813-53E.pdf#page=11","Abrir facsímil")</f>
        <v>Abrir facsímil</v>
      </c>
      <c r="K2585" s="3" t="s">
        <v>22</v>
      </c>
    </row>
    <row r="2586" spans="1:11" ht="42" customHeight="1">
      <c r="A2586" s="2" t="s">
        <v>5773</v>
      </c>
      <c r="B2586" s="2" t="s">
        <v>5774</v>
      </c>
      <c r="C2586" s="2" t="s">
        <v>25</v>
      </c>
      <c r="D2586" s="2" t="s">
        <v>26</v>
      </c>
      <c r="E2586" s="5">
        <v>-31514</v>
      </c>
      <c r="F2586" s="3" t="s">
        <v>2099</v>
      </c>
      <c r="G2586" s="3" t="s">
        <v>19</v>
      </c>
      <c r="H2586" s="2" t="s">
        <v>20</v>
      </c>
      <c r="I2586" s="2" t="s">
        <v>5775</v>
      </c>
      <c r="J2586" s="3" t="str">
        <f>HYPERLINK("https://www.boe.es/gazeta/dias/1813/09/18/pdfs/GMR-1813-45.pdf#page=4","Abrir facsímil")</f>
        <v>Abrir facsímil</v>
      </c>
      <c r="K2586" s="3" t="s">
        <v>22</v>
      </c>
    </row>
    <row r="2587" spans="1:11" ht="42" customHeight="1">
      <c r="A2587" s="2" t="s">
        <v>5776</v>
      </c>
      <c r="B2587" s="2" t="s">
        <v>5777</v>
      </c>
      <c r="C2587" s="2" t="s">
        <v>25</v>
      </c>
      <c r="D2587" s="2" t="s">
        <v>26</v>
      </c>
      <c r="E2587" s="5">
        <v>-31677</v>
      </c>
      <c r="F2587" s="3" t="s">
        <v>76</v>
      </c>
      <c r="G2587" s="3" t="s">
        <v>28</v>
      </c>
      <c r="H2587" s="2" t="s">
        <v>20</v>
      </c>
      <c r="I2587" s="2" t="s">
        <v>5778</v>
      </c>
      <c r="J2587" s="3" t="str">
        <f>HYPERLINK("https://www.boe.es/gazeta/dias/1813/04/08/pdfs/GRE-1813-43.pdf#page=8","Abrir facsímil")</f>
        <v>Abrir facsímil</v>
      </c>
      <c r="K2587" s="3" t="s">
        <v>22</v>
      </c>
    </row>
    <row r="2588" spans="1:11" ht="42" customHeight="1">
      <c r="A2588" s="2" t="s">
        <v>5779</v>
      </c>
      <c r="B2588" s="2" t="s">
        <v>5779</v>
      </c>
      <c r="C2588" s="2" t="s">
        <v>16</v>
      </c>
      <c r="D2588" s="2" t="s">
        <v>17</v>
      </c>
      <c r="E2588" s="5">
        <v>-31772</v>
      </c>
      <c r="F2588" s="3" t="s">
        <v>709</v>
      </c>
      <c r="G2588" s="3" t="s">
        <v>28</v>
      </c>
      <c r="H2588" s="2" t="s">
        <v>20</v>
      </c>
      <c r="I2588" s="2" t="s">
        <v>5780</v>
      </c>
      <c r="J2588" s="3" t="str">
        <f>HYPERLINK("https://www.boe.es/gazeta/dias/1813/01/03/pdfs/GRE-1813-69.pdf#page=8","Abrir facsímil")</f>
        <v>Abrir facsímil</v>
      </c>
      <c r="K2588" s="3" t="s">
        <v>22</v>
      </c>
    </row>
    <row r="2589" spans="1:11" ht="42" customHeight="1">
      <c r="A2589" s="2" t="s">
        <v>5779</v>
      </c>
      <c r="B2589" s="2" t="s">
        <v>5779</v>
      </c>
      <c r="C2589" s="2" t="s">
        <v>16</v>
      </c>
      <c r="D2589" s="2" t="s">
        <v>17</v>
      </c>
      <c r="E2589" s="5">
        <v>-31726</v>
      </c>
      <c r="F2589" s="3" t="s">
        <v>533</v>
      </c>
      <c r="G2589" s="3" t="s">
        <v>82</v>
      </c>
      <c r="H2589" s="2" t="s">
        <v>20</v>
      </c>
      <c r="I2589" s="2" t="s">
        <v>5781</v>
      </c>
      <c r="J2589" s="3" t="str">
        <f>HYPERLINK("https://www.boe.es/gazeta/dias/1813/02/18/pdfs/GRE-1813-21.pdf#page=5","Abrir facsímil")</f>
        <v>Abrir facsímil</v>
      </c>
      <c r="K2589" s="3" t="s">
        <v>22</v>
      </c>
    </row>
    <row r="2590" spans="1:11" ht="42" customHeight="1">
      <c r="A2590" s="2" t="s">
        <v>5779</v>
      </c>
      <c r="B2590" s="2" t="s">
        <v>5779</v>
      </c>
      <c r="C2590" s="2" t="s">
        <v>16</v>
      </c>
      <c r="D2590" s="2" t="s">
        <v>17</v>
      </c>
      <c r="E2590" s="5">
        <v>-31621</v>
      </c>
      <c r="F2590" s="3" t="s">
        <v>709</v>
      </c>
      <c r="G2590" s="3" t="s">
        <v>28</v>
      </c>
      <c r="H2590" s="2" t="s">
        <v>20</v>
      </c>
      <c r="I2590" s="2" t="s">
        <v>5780</v>
      </c>
      <c r="J2590" s="3" t="str">
        <f>HYPERLINK("https://www.boe.es/gazeta/dias/1813/06/03/pdfs/GRE-1813-69.pdf#page=8","Abrir facsímil")</f>
        <v>Abrir facsímil</v>
      </c>
      <c r="K2590" s="3" t="s">
        <v>22</v>
      </c>
    </row>
    <row r="2591" spans="1:11" ht="42" customHeight="1">
      <c r="A2591" s="2" t="s">
        <v>5779</v>
      </c>
      <c r="B2591" s="2" t="s">
        <v>5779</v>
      </c>
      <c r="C2591" s="2" t="s">
        <v>16</v>
      </c>
      <c r="D2591" s="2" t="s">
        <v>17</v>
      </c>
      <c r="E2591" s="5">
        <v>-31609</v>
      </c>
      <c r="F2591" s="3" t="s">
        <v>711</v>
      </c>
      <c r="G2591" s="3" t="s">
        <v>87</v>
      </c>
      <c r="H2591" s="2" t="s">
        <v>20</v>
      </c>
      <c r="I2591" s="2" t="s">
        <v>5782</v>
      </c>
      <c r="J2591" s="3" t="str">
        <f>HYPERLINK("https://www.boe.es/gazeta/dias/1813/06/15/pdfs/GMR-1813-6.pdf#page=7","Abrir facsímil")</f>
        <v>Abrir facsímil</v>
      </c>
      <c r="K2591" s="3" t="s">
        <v>22</v>
      </c>
    </row>
    <row r="2592" spans="1:11" ht="42" customHeight="1">
      <c r="A2592" s="2" t="s">
        <v>5783</v>
      </c>
      <c r="B2592" s="2" t="s">
        <v>5783</v>
      </c>
      <c r="C2592" s="2" t="s">
        <v>16</v>
      </c>
      <c r="D2592" s="2" t="s">
        <v>17</v>
      </c>
      <c r="E2592" s="5">
        <v>-31612</v>
      </c>
      <c r="F2592" s="3" t="s">
        <v>5784</v>
      </c>
      <c r="G2592" s="3" t="s">
        <v>95</v>
      </c>
      <c r="H2592" s="2" t="s">
        <v>20</v>
      </c>
      <c r="I2592" s="2" t="s">
        <v>5785</v>
      </c>
      <c r="J2592" s="3" t="str">
        <f>HYPERLINK("https://www.boe.es/gazeta/dias/1813/06/12/pdfs/GRE-1813-73.pdf#page=6","Abrir facsímil")</f>
        <v>Abrir facsímil</v>
      </c>
      <c r="K2592" s="3" t="s">
        <v>22</v>
      </c>
    </row>
    <row r="2593" spans="1:11" ht="42" customHeight="1">
      <c r="A2593" s="2" t="s">
        <v>5786</v>
      </c>
      <c r="B2593" s="2" t="s">
        <v>5786</v>
      </c>
      <c r="C2593" s="2" t="s">
        <v>34</v>
      </c>
      <c r="D2593" s="2" t="s">
        <v>35</v>
      </c>
      <c r="E2593" s="5">
        <v>-31472</v>
      </c>
      <c r="F2593" s="3" t="s">
        <v>1942</v>
      </c>
      <c r="G2593" s="3" t="s">
        <v>28</v>
      </c>
      <c r="H2593" s="2" t="s">
        <v>20</v>
      </c>
      <c r="I2593" s="2" t="s">
        <v>5787</v>
      </c>
      <c r="J2593" s="3" t="str">
        <f>HYPERLINK("https://www.boe.es/gazeta/dias/1813/10/30/pdfs/GRE-1813-142.pdf#page=8","Abrir facsímil")</f>
        <v>Abrir facsímil</v>
      </c>
      <c r="K2593" s="3" t="s">
        <v>22</v>
      </c>
    </row>
    <row r="2594" spans="1:11" ht="42" customHeight="1">
      <c r="A2594" s="2" t="s">
        <v>5788</v>
      </c>
      <c r="B2594" s="2" t="s">
        <v>5788</v>
      </c>
      <c r="C2594" s="2" t="s">
        <v>16</v>
      </c>
      <c r="D2594" s="2" t="s">
        <v>17</v>
      </c>
      <c r="E2594" s="5">
        <v>-31453</v>
      </c>
      <c r="F2594" s="3" t="s">
        <v>695</v>
      </c>
      <c r="G2594" s="3" t="s">
        <v>19</v>
      </c>
      <c r="H2594" s="2" t="s">
        <v>20</v>
      </c>
      <c r="I2594" s="2" t="s">
        <v>5789</v>
      </c>
      <c r="J2594" s="3" t="str">
        <f>HYPERLINK("https://www.boe.es/gazeta/dias/1813/11/18/pdfs/GRE-1813-151.pdf#page=4","Abrir facsímil")</f>
        <v>Abrir facsímil</v>
      </c>
      <c r="K2594" s="3" t="s">
        <v>22</v>
      </c>
    </row>
    <row r="2595" spans="1:11" ht="42" customHeight="1">
      <c r="A2595" s="2" t="s">
        <v>5790</v>
      </c>
      <c r="B2595" s="2" t="s">
        <v>5791</v>
      </c>
      <c r="C2595" s="2" t="s">
        <v>16</v>
      </c>
      <c r="D2595" s="2" t="s">
        <v>17</v>
      </c>
      <c r="E2595" s="5">
        <v>-31635</v>
      </c>
      <c r="F2595" s="3" t="s">
        <v>2173</v>
      </c>
      <c r="G2595" s="3" t="s">
        <v>4157</v>
      </c>
      <c r="H2595" s="2" t="s">
        <v>20</v>
      </c>
      <c r="I2595" s="2" t="s">
        <v>5792</v>
      </c>
      <c r="J2595" s="3" t="str">
        <f>HYPERLINK("https://www.boe.es/gazeta/dias/1813/05/20/pdfs/GRE-1813-62.pdf#page=4","Abrir facsímil")</f>
        <v>Abrir facsímil</v>
      </c>
      <c r="K2595" s="3" t="s">
        <v>22</v>
      </c>
    </row>
    <row r="2596" spans="1:11" ht="42" customHeight="1">
      <c r="A2596" s="2" t="s">
        <v>5793</v>
      </c>
      <c r="B2596" s="2" t="s">
        <v>5794</v>
      </c>
      <c r="C2596" s="2" t="s">
        <v>16</v>
      </c>
      <c r="D2596" s="2" t="s">
        <v>97</v>
      </c>
      <c r="E2596" s="5">
        <v>-31479</v>
      </c>
      <c r="F2596" s="3" t="s">
        <v>290</v>
      </c>
      <c r="G2596" s="3" t="s">
        <v>95</v>
      </c>
      <c r="H2596" s="2" t="s">
        <v>20</v>
      </c>
      <c r="I2596" s="2" t="s">
        <v>5795</v>
      </c>
      <c r="J2596" s="3" t="str">
        <f>HYPERLINK("https://www.boe.es/gazeta/dias/1813/10/23/pdfs/GRE-1813-139E.pdf#page=6","Abrir facsímil")</f>
        <v>Abrir facsímil</v>
      </c>
      <c r="K2596" s="3" t="s">
        <v>22</v>
      </c>
    </row>
    <row r="2597" spans="1:11" ht="42" customHeight="1">
      <c r="A2597" s="2" t="s">
        <v>5796</v>
      </c>
      <c r="B2597" s="2" t="s">
        <v>5796</v>
      </c>
      <c r="C2597" s="2" t="s">
        <v>16</v>
      </c>
      <c r="D2597" s="2" t="s">
        <v>17</v>
      </c>
      <c r="E2597" s="5">
        <v>-31745</v>
      </c>
      <c r="F2597" s="3" t="s">
        <v>445</v>
      </c>
      <c r="G2597" s="3" t="s">
        <v>54</v>
      </c>
      <c r="H2597" s="2" t="s">
        <v>20</v>
      </c>
      <c r="I2597" s="2" t="s">
        <v>5797</v>
      </c>
      <c r="J2597" s="3" t="str">
        <f>HYPERLINK("https://www.boe.es/gazeta/dias/1813/01/30/pdfs/GRE-1813-13.pdf#page=3","Abrir facsímil")</f>
        <v>Abrir facsímil</v>
      </c>
      <c r="K2597" s="3" t="s">
        <v>22</v>
      </c>
    </row>
    <row r="2598" spans="1:11" ht="42" customHeight="1">
      <c r="A2598" s="2" t="s">
        <v>5798</v>
      </c>
      <c r="B2598" s="2" t="s">
        <v>5798</v>
      </c>
      <c r="C2598" s="2" t="s">
        <v>16</v>
      </c>
      <c r="D2598" s="2" t="s">
        <v>17</v>
      </c>
      <c r="E2598" s="5">
        <v>-31483</v>
      </c>
      <c r="F2598" s="3" t="s">
        <v>308</v>
      </c>
      <c r="G2598" s="3" t="s">
        <v>82</v>
      </c>
      <c r="H2598" s="2" t="s">
        <v>20</v>
      </c>
      <c r="I2598" s="2" t="s">
        <v>5799</v>
      </c>
      <c r="J2598" s="3" t="str">
        <f>HYPERLINK("https://www.boe.es/gazeta/dias/1813/10/19/pdfs/GRE-1813-136.pdf#page=5","Abrir facsímil")</f>
        <v>Abrir facsímil</v>
      </c>
      <c r="K2598" s="3" t="s">
        <v>22</v>
      </c>
    </row>
    <row r="2599" spans="1:11" ht="42" customHeight="1">
      <c r="A2599" s="2" t="s">
        <v>5796</v>
      </c>
      <c r="B2599" s="2" t="s">
        <v>5796</v>
      </c>
      <c r="C2599" s="2" t="s">
        <v>16</v>
      </c>
      <c r="D2599" s="2" t="s">
        <v>17</v>
      </c>
      <c r="E2599" s="5">
        <v>-31413</v>
      </c>
      <c r="F2599" s="3" t="s">
        <v>152</v>
      </c>
      <c r="G2599" s="3" t="s">
        <v>19</v>
      </c>
      <c r="H2599" s="2" t="s">
        <v>20</v>
      </c>
      <c r="I2599" s="2" t="s">
        <v>5800</v>
      </c>
      <c r="J2599" s="3" t="str">
        <f>HYPERLINK("https://www.boe.es/gazeta/dias/1813/12/28/pdfs/GRE-1813-170.pdf#page=4","Abrir facsímil")</f>
        <v>Abrir facsímil</v>
      </c>
      <c r="K2599" s="3" t="s">
        <v>22</v>
      </c>
    </row>
    <row r="2600" spans="1:11" ht="42" customHeight="1">
      <c r="A2600" s="2" t="s">
        <v>5801</v>
      </c>
      <c r="B2600" s="2" t="s">
        <v>5801</v>
      </c>
      <c r="C2600" s="2" t="s">
        <v>16</v>
      </c>
      <c r="D2600" s="2" t="s">
        <v>17</v>
      </c>
      <c r="E2600" s="5">
        <v>-31563</v>
      </c>
      <c r="F2600" s="3" t="s">
        <v>1267</v>
      </c>
      <c r="G2600" s="3" t="s">
        <v>28</v>
      </c>
      <c r="H2600" s="2" t="s">
        <v>20</v>
      </c>
      <c r="I2600" s="2" t="s">
        <v>5802</v>
      </c>
      <c r="J2600" s="3" t="str">
        <f>HYPERLINK("https://www.boe.es/gazeta/dias/1813/07/31/pdfs/GRE-1813-97.pdf#page=8","Abrir facsímil")</f>
        <v>Abrir facsímil</v>
      </c>
      <c r="K2600" s="3" t="s">
        <v>22</v>
      </c>
    </row>
    <row r="2601" spans="1:11" ht="42" customHeight="1">
      <c r="A2601" s="2" t="s">
        <v>5803</v>
      </c>
      <c r="B2601" s="2" t="s">
        <v>5803</v>
      </c>
      <c r="C2601" s="2" t="s">
        <v>34</v>
      </c>
      <c r="D2601" s="2" t="s">
        <v>35</v>
      </c>
      <c r="E2601" s="5">
        <v>-31712</v>
      </c>
      <c r="F2601" s="3" t="s">
        <v>3469</v>
      </c>
      <c r="G2601" s="3" t="s">
        <v>19</v>
      </c>
      <c r="H2601" s="2" t="s">
        <v>20</v>
      </c>
      <c r="I2601" s="2" t="s">
        <v>5804</v>
      </c>
      <c r="J2601" s="3" t="str">
        <f>HYPERLINK("https://www.boe.es/gazeta/dias/1813/03/04/pdfs/GRE-1813-28.pdf#page=4","Abrir facsímil")</f>
        <v>Abrir facsímil</v>
      </c>
      <c r="K2601" s="3" t="s">
        <v>22</v>
      </c>
    </row>
    <row r="2602" spans="1:11" ht="42" customHeight="1">
      <c r="A2602" s="2" t="s">
        <v>5805</v>
      </c>
      <c r="B2602" s="2" t="s">
        <v>5805</v>
      </c>
      <c r="C2602" s="2" t="s">
        <v>16</v>
      </c>
      <c r="D2602" s="2" t="s">
        <v>17</v>
      </c>
      <c r="E2602" s="5">
        <v>-31521</v>
      </c>
      <c r="F2602" s="3" t="s">
        <v>1282</v>
      </c>
      <c r="G2602" s="3" t="s">
        <v>28</v>
      </c>
      <c r="H2602" s="2" t="s">
        <v>20</v>
      </c>
      <c r="I2602" s="2" t="s">
        <v>5806</v>
      </c>
      <c r="J2602" s="3" t="str">
        <f>HYPERLINK("https://www.boe.es/gazeta/dias/1813/09/11/pdfs/GMR-1813-41.pdf#page=8","Abrir facsímil")</f>
        <v>Abrir facsímil</v>
      </c>
      <c r="K2602" s="3" t="s">
        <v>22</v>
      </c>
    </row>
    <row r="2603" spans="1:11" ht="42" customHeight="1">
      <c r="A2603" s="2" t="s">
        <v>5807</v>
      </c>
      <c r="B2603" s="2" t="s">
        <v>5807</v>
      </c>
      <c r="C2603" s="2" t="s">
        <v>34</v>
      </c>
      <c r="D2603" s="2" t="s">
        <v>35</v>
      </c>
      <c r="E2603" s="5">
        <v>-31703</v>
      </c>
      <c r="F2603" s="3" t="s">
        <v>4331</v>
      </c>
      <c r="G2603" s="3" t="s">
        <v>95</v>
      </c>
      <c r="H2603" s="2" t="s">
        <v>20</v>
      </c>
      <c r="I2603" s="2" t="s">
        <v>5808</v>
      </c>
      <c r="J2603" s="3" t="str">
        <f>HYPERLINK("https://www.boe.es/gazeta/dias/1813/03/13/pdfs/GRE-1813-32.pdf#page=6","Abrir facsímil")</f>
        <v>Abrir facsímil</v>
      </c>
      <c r="K2603" s="3" t="s">
        <v>22</v>
      </c>
    </row>
    <row r="2604" spans="1:11" ht="42" customHeight="1">
      <c r="A2604" s="2" t="s">
        <v>5809</v>
      </c>
      <c r="B2604" s="2" t="s">
        <v>5809</v>
      </c>
      <c r="C2604" s="2" t="s">
        <v>34</v>
      </c>
      <c r="D2604" s="2" t="s">
        <v>35</v>
      </c>
      <c r="E2604" s="5">
        <v>-31758</v>
      </c>
      <c r="F2604" s="3" t="s">
        <v>5810</v>
      </c>
      <c r="G2604" s="3" t="s">
        <v>5811</v>
      </c>
      <c r="H2604" s="2" t="s">
        <v>20</v>
      </c>
      <c r="I2604" s="2" t="s">
        <v>5812</v>
      </c>
      <c r="J2604" s="3" t="str">
        <f>HYPERLINK("https://www.boe.es/gazeta/dias/1813/01/17/pdfs/GMD-1813-17.pdf#page=4","Abrir facsímil")</f>
        <v>Abrir facsímil</v>
      </c>
      <c r="K2604" s="3" t="s">
        <v>22</v>
      </c>
    </row>
    <row r="2605" spans="1:11" ht="42" customHeight="1">
      <c r="A2605" s="2" t="s">
        <v>5813</v>
      </c>
      <c r="B2605" s="2" t="s">
        <v>5813</v>
      </c>
      <c r="C2605" s="2" t="s">
        <v>187</v>
      </c>
      <c r="D2605" s="2" t="s">
        <v>26</v>
      </c>
      <c r="E2605" s="5">
        <v>-31693</v>
      </c>
      <c r="F2605" s="3" t="s">
        <v>3950</v>
      </c>
      <c r="G2605" s="3" t="s">
        <v>28</v>
      </c>
      <c r="H2605" s="2" t="s">
        <v>20</v>
      </c>
      <c r="I2605" s="2" t="s">
        <v>5814</v>
      </c>
      <c r="J2605" s="3" t="str">
        <f>HYPERLINK("https://www.boe.es/gazeta/dias/1813/03/23/pdfs/GRE-1813-36.pdf#page=8","Abrir facsímil")</f>
        <v>Abrir facsímil</v>
      </c>
      <c r="K2605" s="3" t="s">
        <v>22</v>
      </c>
    </row>
    <row r="2606" spans="1:11" ht="42" customHeight="1">
      <c r="A2606" s="2" t="s">
        <v>5815</v>
      </c>
      <c r="B2606" s="2" t="s">
        <v>5816</v>
      </c>
      <c r="C2606" s="2" t="s">
        <v>34</v>
      </c>
      <c r="D2606" s="2" t="s">
        <v>35</v>
      </c>
      <c r="E2606" s="5">
        <v>-31504</v>
      </c>
      <c r="F2606" s="3" t="s">
        <v>192</v>
      </c>
      <c r="G2606" s="3" t="s">
        <v>82</v>
      </c>
      <c r="H2606" s="2" t="s">
        <v>20</v>
      </c>
      <c r="I2606" s="2" t="s">
        <v>5817</v>
      </c>
      <c r="J2606" s="3" t="str">
        <f>HYPERLINK("https://www.boe.es/gazeta/dias/1813/09/28/pdfs/GRE-1813-127.pdf#page=5","Abrir facsímil")</f>
        <v>Abrir facsímil</v>
      </c>
      <c r="K2606" s="3" t="s">
        <v>22</v>
      </c>
    </row>
    <row r="2607" spans="1:11" ht="42" customHeight="1">
      <c r="A2607" s="2" t="s">
        <v>5818</v>
      </c>
      <c r="B2607" s="2" t="s">
        <v>5818</v>
      </c>
      <c r="C2607" s="2" t="s">
        <v>16</v>
      </c>
      <c r="D2607" s="2" t="s">
        <v>17</v>
      </c>
      <c r="E2607" s="5">
        <v>-31732</v>
      </c>
      <c r="F2607" s="3" t="s">
        <v>1904</v>
      </c>
      <c r="G2607" s="3" t="s">
        <v>54</v>
      </c>
      <c r="H2607" s="2" t="s">
        <v>20</v>
      </c>
      <c r="I2607" s="2" t="s">
        <v>5819</v>
      </c>
      <c r="J2607" s="3" t="str">
        <f>HYPERLINK("https://www.boe.es/gazeta/dias/1813/02/12/pdfs/GMD-1813-43.pdf#page=3","Abrir facsímil")</f>
        <v>Abrir facsímil</v>
      </c>
      <c r="K2607" s="3" t="s">
        <v>22</v>
      </c>
    </row>
    <row r="2608" spans="1:11" ht="42" customHeight="1">
      <c r="A2608" s="2" t="s">
        <v>5820</v>
      </c>
      <c r="B2608" s="2" t="s">
        <v>5821</v>
      </c>
      <c r="C2608" s="2" t="s">
        <v>34</v>
      </c>
      <c r="D2608" s="2" t="s">
        <v>35</v>
      </c>
      <c r="E2608" s="5">
        <v>-31495</v>
      </c>
      <c r="F2608" s="3" t="s">
        <v>194</v>
      </c>
      <c r="G2608" s="3" t="s">
        <v>812</v>
      </c>
      <c r="H2608" s="2" t="s">
        <v>20</v>
      </c>
      <c r="I2608" s="2" t="s">
        <v>5822</v>
      </c>
      <c r="J2608" s="3" t="str">
        <f>HYPERLINK("https://www.boe.es/gazeta/dias/1813/10/07/pdfs/GMR-1813-55.pdf#page=4","Abrir facsímil")</f>
        <v>Abrir facsímil</v>
      </c>
      <c r="K2608" s="3" t="s">
        <v>22</v>
      </c>
    </row>
    <row r="2609" spans="1:11" ht="42" customHeight="1">
      <c r="A2609" s="2" t="s">
        <v>5823</v>
      </c>
      <c r="B2609" s="2" t="s">
        <v>5823</v>
      </c>
      <c r="C2609" s="2" t="s">
        <v>16</v>
      </c>
      <c r="D2609" s="2" t="s">
        <v>17</v>
      </c>
      <c r="E2609" s="5">
        <v>-31737</v>
      </c>
      <c r="F2609" s="3" t="s">
        <v>5824</v>
      </c>
      <c r="G2609" s="3" t="s">
        <v>19</v>
      </c>
      <c r="H2609" s="2" t="s">
        <v>20</v>
      </c>
      <c r="I2609" s="2" t="s">
        <v>5825</v>
      </c>
      <c r="J2609" s="3" t="str">
        <f>HYPERLINK("https://www.boe.es/gazeta/dias/1813/02/07/pdfs/GMD-1813-38.pdf#page=4","Abrir facsímil")</f>
        <v>Abrir facsímil</v>
      </c>
      <c r="K2609" s="3" t="s">
        <v>22</v>
      </c>
    </row>
    <row r="2610" spans="1:11" ht="42" customHeight="1">
      <c r="A2610" s="2" t="s">
        <v>5826</v>
      </c>
      <c r="B2610" s="2" t="s">
        <v>5826</v>
      </c>
      <c r="C2610" s="2" t="s">
        <v>16</v>
      </c>
      <c r="D2610" s="2" t="s">
        <v>17</v>
      </c>
      <c r="E2610" s="5">
        <v>-31467</v>
      </c>
      <c r="F2610" s="3" t="s">
        <v>120</v>
      </c>
      <c r="G2610" s="3" t="s">
        <v>28</v>
      </c>
      <c r="H2610" s="2" t="s">
        <v>20</v>
      </c>
      <c r="I2610" s="2" t="s">
        <v>5827</v>
      </c>
      <c r="J2610" s="3" t="str">
        <f>HYPERLINK("https://www.boe.es/gazeta/dias/1813/11/04/pdfs/GMR-1813-68.pdf#page=8","Abrir facsímil")</f>
        <v>Abrir facsímil</v>
      </c>
      <c r="K2610" s="3" t="s">
        <v>22</v>
      </c>
    </row>
    <row r="2611" spans="1:11" ht="42" customHeight="1">
      <c r="A2611" s="2" t="s">
        <v>5828</v>
      </c>
      <c r="B2611" s="2" t="s">
        <v>5828</v>
      </c>
      <c r="C2611" s="2" t="s">
        <v>16</v>
      </c>
      <c r="D2611" s="2" t="s">
        <v>17</v>
      </c>
      <c r="E2611" s="5">
        <v>-31719</v>
      </c>
      <c r="F2611" s="3" t="s">
        <v>251</v>
      </c>
      <c r="G2611" s="3" t="s">
        <v>19</v>
      </c>
      <c r="H2611" s="2" t="s">
        <v>20</v>
      </c>
      <c r="I2611" s="2" t="s">
        <v>5829</v>
      </c>
      <c r="J2611" s="3" t="str">
        <f>HYPERLINK("https://www.boe.es/gazeta/dias/1813/02/25/pdfs/GMD-1813-56.pdf#page=4","Abrir facsímil")</f>
        <v>Abrir facsímil</v>
      </c>
      <c r="K2611" s="3" t="s">
        <v>22</v>
      </c>
    </row>
    <row r="2612" spans="1:11" ht="42" customHeight="1">
      <c r="A2612" s="2" t="s">
        <v>5828</v>
      </c>
      <c r="B2612" s="2" t="s">
        <v>5828</v>
      </c>
      <c r="C2612" s="2" t="s">
        <v>16</v>
      </c>
      <c r="D2612" s="2" t="s">
        <v>17</v>
      </c>
      <c r="E2612" s="5">
        <v>-31623</v>
      </c>
      <c r="F2612" s="3" t="s">
        <v>267</v>
      </c>
      <c r="G2612" s="3" t="s">
        <v>3502</v>
      </c>
      <c r="H2612" s="2" t="s">
        <v>20</v>
      </c>
      <c r="I2612" s="2" t="s">
        <v>5830</v>
      </c>
      <c r="J2612" s="3" t="str">
        <f>HYPERLINK("https://www.boe.es/gazeta/dias/1813/06/01/pdfs/GRE-1813-67.pdf#page=7","Abrir facsímil")</f>
        <v>Abrir facsímil</v>
      </c>
      <c r="K2612" s="3" t="s">
        <v>22</v>
      </c>
    </row>
    <row r="2613" spans="1:11" ht="42" customHeight="1">
      <c r="A2613" s="2" t="s">
        <v>5828</v>
      </c>
      <c r="B2613" s="2" t="s">
        <v>5828</v>
      </c>
      <c r="C2613" s="2" t="s">
        <v>25</v>
      </c>
      <c r="D2613" s="2" t="s">
        <v>26</v>
      </c>
      <c r="E2613" s="5">
        <v>-31418</v>
      </c>
      <c r="F2613" s="3" t="s">
        <v>1529</v>
      </c>
      <c r="G2613" s="3" t="s">
        <v>19</v>
      </c>
      <c r="H2613" s="2" t="s">
        <v>20</v>
      </c>
      <c r="I2613" s="2" t="s">
        <v>5831</v>
      </c>
      <c r="J2613" s="3" t="str">
        <f>HYPERLINK("https://www.boe.es/gazeta/dias/1813/12/23/pdfs/GMR-1813-91.pdf#page=4","Abrir facsímil")</f>
        <v>Abrir facsímil</v>
      </c>
      <c r="K2613" s="3" t="s">
        <v>22</v>
      </c>
    </row>
    <row r="2614" spans="1:11" ht="42" customHeight="1">
      <c r="A2614" s="2" t="s">
        <v>5832</v>
      </c>
      <c r="B2614" s="2" t="s">
        <v>5832</v>
      </c>
      <c r="C2614" s="2" t="s">
        <v>16</v>
      </c>
      <c r="D2614" s="2" t="s">
        <v>17</v>
      </c>
      <c r="E2614" s="5">
        <v>-31723</v>
      </c>
      <c r="F2614" s="3" t="s">
        <v>273</v>
      </c>
      <c r="G2614" s="3" t="s">
        <v>19</v>
      </c>
      <c r="H2614" s="2" t="s">
        <v>20</v>
      </c>
      <c r="I2614" s="2" t="s">
        <v>5833</v>
      </c>
      <c r="J2614" s="3" t="str">
        <f>HYPERLINK("https://www.boe.es/gazeta/dias/1813/02/21/pdfs/GMD-1813-52.pdf#page=4","Abrir facsímil")</f>
        <v>Abrir facsímil</v>
      </c>
      <c r="K2614" s="3" t="s">
        <v>22</v>
      </c>
    </row>
    <row r="2615" spans="1:11" ht="42" customHeight="1">
      <c r="A2615" s="2" t="s">
        <v>5834</v>
      </c>
      <c r="B2615" s="2" t="s">
        <v>5834</v>
      </c>
      <c r="C2615" s="2" t="s">
        <v>16</v>
      </c>
      <c r="D2615" s="2" t="s">
        <v>17</v>
      </c>
      <c r="E2615" s="5">
        <v>-31497</v>
      </c>
      <c r="F2615" s="3" t="s">
        <v>1457</v>
      </c>
      <c r="G2615" s="3" t="s">
        <v>95</v>
      </c>
      <c r="H2615" s="2" t="s">
        <v>20</v>
      </c>
      <c r="I2615" s="2" t="s">
        <v>5835</v>
      </c>
      <c r="J2615" s="3" t="str">
        <f>HYPERLINK("https://www.boe.es/gazeta/dias/1813/10/05/pdfs/GMR-1813-54.pdf#page=6","Abrir facsímil")</f>
        <v>Abrir facsímil</v>
      </c>
      <c r="K2615" s="3" t="s">
        <v>22</v>
      </c>
    </row>
    <row r="2616" spans="1:11" ht="42" customHeight="1">
      <c r="A2616" s="2" t="s">
        <v>5836</v>
      </c>
      <c r="B2616" s="2" t="s">
        <v>5836</v>
      </c>
      <c r="C2616" s="2" t="s">
        <v>16</v>
      </c>
      <c r="D2616" s="2" t="s">
        <v>17</v>
      </c>
      <c r="E2616" s="5">
        <v>-31614</v>
      </c>
      <c r="F2616" s="3" t="s">
        <v>498</v>
      </c>
      <c r="G2616" s="3" t="s">
        <v>28</v>
      </c>
      <c r="H2616" s="2" t="s">
        <v>20</v>
      </c>
      <c r="I2616" s="2" t="s">
        <v>5837</v>
      </c>
      <c r="J2616" s="3" t="str">
        <f>HYPERLINK("https://www.boe.es/gazeta/dias/1813/06/10/pdfs/GRE-1813-72.pdf#page=8","Abrir facsímil")</f>
        <v>Abrir facsímil</v>
      </c>
      <c r="K2616" s="3" t="s">
        <v>22</v>
      </c>
    </row>
    <row r="2617" spans="1:11" ht="42" customHeight="1">
      <c r="A2617" s="2" t="s">
        <v>5838</v>
      </c>
      <c r="B2617" s="2" t="s">
        <v>5838</v>
      </c>
      <c r="C2617" s="2" t="s">
        <v>16</v>
      </c>
      <c r="D2617" s="2" t="s">
        <v>17</v>
      </c>
      <c r="E2617" s="5">
        <v>-31465</v>
      </c>
      <c r="F2617" s="3" t="s">
        <v>2930</v>
      </c>
      <c r="G2617" s="3" t="s">
        <v>2931</v>
      </c>
      <c r="H2617" s="2" t="s">
        <v>20</v>
      </c>
      <c r="I2617" s="2" t="s">
        <v>5839</v>
      </c>
      <c r="J2617" s="3" t="str">
        <f>HYPERLINK("https://www.boe.es/gazeta/dias/1813/11/06/pdfs/GRE-1813-145.pdf#page=4","Abrir facsímil")</f>
        <v>Abrir facsímil</v>
      </c>
      <c r="K2617" s="3" t="s">
        <v>22</v>
      </c>
    </row>
    <row r="2618" spans="1:11" ht="42" customHeight="1">
      <c r="A2618" s="2" t="s">
        <v>5840</v>
      </c>
      <c r="B2618" s="2" t="s">
        <v>5840</v>
      </c>
      <c r="C2618" s="2" t="s">
        <v>34</v>
      </c>
      <c r="D2618" s="2" t="s">
        <v>35</v>
      </c>
      <c r="E2618" s="5">
        <v>-31633</v>
      </c>
      <c r="F2618" s="3" t="s">
        <v>875</v>
      </c>
      <c r="G2618" s="3" t="s">
        <v>4198</v>
      </c>
      <c r="H2618" s="2" t="s">
        <v>20</v>
      </c>
      <c r="I2618" s="2" t="s">
        <v>5841</v>
      </c>
      <c r="J2618" s="3" t="str">
        <f>HYPERLINK("https://www.boe.es/gazeta/dias/1813/05/22/pdfs/GRE-1813-63.pdf#page=5","Abrir facsímil")</f>
        <v>Abrir facsímil</v>
      </c>
      <c r="K2618" s="3" t="s">
        <v>22</v>
      </c>
    </row>
    <row r="2619" spans="1:11" ht="42" customHeight="1">
      <c r="A2619" s="2" t="s">
        <v>5842</v>
      </c>
      <c r="B2619" s="2" t="s">
        <v>5842</v>
      </c>
      <c r="C2619" s="2" t="s">
        <v>16</v>
      </c>
      <c r="D2619" s="2" t="s">
        <v>17</v>
      </c>
      <c r="E2619" s="5">
        <v>-31602</v>
      </c>
      <c r="F2619" s="3" t="s">
        <v>2117</v>
      </c>
      <c r="G2619" s="3" t="s">
        <v>95</v>
      </c>
      <c r="H2619" s="2" t="s">
        <v>20</v>
      </c>
      <c r="I2619" s="2" t="s">
        <v>5843</v>
      </c>
      <c r="J2619" s="3" t="str">
        <f>HYPERLINK("https://www.boe.es/gazeta/dias/1813/06/22/pdfs/GMR-1813-9.pdf#page=6","Abrir facsímil")</f>
        <v>Abrir facsímil</v>
      </c>
      <c r="K2619" s="3" t="s">
        <v>22</v>
      </c>
    </row>
    <row r="2620" spans="1:11" ht="42" customHeight="1">
      <c r="A2620" s="2" t="s">
        <v>5844</v>
      </c>
      <c r="B2620" s="2" t="s">
        <v>5844</v>
      </c>
      <c r="C2620" s="2" t="s">
        <v>16</v>
      </c>
      <c r="D2620" s="2" t="s">
        <v>17</v>
      </c>
      <c r="E2620" s="5">
        <v>-31703</v>
      </c>
      <c r="F2620" s="3" t="s">
        <v>4331</v>
      </c>
      <c r="G2620" s="3" t="s">
        <v>28</v>
      </c>
      <c r="H2620" s="2" t="s">
        <v>20</v>
      </c>
      <c r="I2620" s="2" t="s">
        <v>5845</v>
      </c>
      <c r="J2620" s="3" t="str">
        <f>HYPERLINK("https://www.boe.es/gazeta/dias/1813/03/13/pdfs/GRE-1813-32.pdf#page=8","Abrir facsímil")</f>
        <v>Abrir facsímil</v>
      </c>
      <c r="K2620" s="3" t="s">
        <v>22</v>
      </c>
    </row>
    <row r="2621" spans="1:11" ht="42" customHeight="1">
      <c r="A2621" s="2" t="s">
        <v>5846</v>
      </c>
      <c r="B2621" s="2" t="s">
        <v>5847</v>
      </c>
      <c r="C2621" s="2" t="s">
        <v>25</v>
      </c>
      <c r="D2621" s="2" t="s">
        <v>26</v>
      </c>
      <c r="E2621" s="5">
        <v>-31675</v>
      </c>
      <c r="F2621" s="3" t="s">
        <v>27</v>
      </c>
      <c r="G2621" s="3" t="s">
        <v>28</v>
      </c>
      <c r="H2621" s="2" t="s">
        <v>20</v>
      </c>
      <c r="I2621" s="2" t="s">
        <v>5848</v>
      </c>
      <c r="J2621" s="3" t="str">
        <f>HYPERLINK("https://www.boe.es/gazeta/dias/1813/04/10/pdfs/GRE-1813-44.pdf#page=8","Abrir facsímil")</f>
        <v>Abrir facsímil</v>
      </c>
      <c r="K2621" s="3" t="s">
        <v>22</v>
      </c>
    </row>
    <row r="2622" spans="1:11" ht="42" customHeight="1">
      <c r="A2622" s="2" t="s">
        <v>5849</v>
      </c>
      <c r="B2622" s="2" t="s">
        <v>5850</v>
      </c>
      <c r="C2622" s="2" t="s">
        <v>16</v>
      </c>
      <c r="D2622" s="2" t="s">
        <v>17</v>
      </c>
      <c r="E2622" s="5">
        <v>-31738</v>
      </c>
      <c r="F2622" s="3" t="s">
        <v>556</v>
      </c>
      <c r="G2622" s="3" t="s">
        <v>28</v>
      </c>
      <c r="H2622" s="2" t="s">
        <v>20</v>
      </c>
      <c r="I2622" s="2" t="s">
        <v>5851</v>
      </c>
      <c r="J2622" s="3" t="str">
        <f>HYPERLINK("https://www.boe.es/gazeta/dias/1813/02/06/pdfs/GRE-1813-16.pdf#page=8","Abrir facsímil")</f>
        <v>Abrir facsímil</v>
      </c>
      <c r="K2622" s="3" t="s">
        <v>22</v>
      </c>
    </row>
    <row r="2623" spans="1:11" ht="42" customHeight="1">
      <c r="A2623" s="2" t="s">
        <v>5852</v>
      </c>
      <c r="B2623" s="2" t="s">
        <v>5853</v>
      </c>
      <c r="C2623" s="2" t="s">
        <v>277</v>
      </c>
      <c r="D2623" s="2" t="s">
        <v>26</v>
      </c>
      <c r="E2623" s="5">
        <v>-31774</v>
      </c>
      <c r="F2623" s="3" t="s">
        <v>3665</v>
      </c>
      <c r="G2623" s="3" t="s">
        <v>54</v>
      </c>
      <c r="H2623" s="2" t="s">
        <v>20</v>
      </c>
      <c r="I2623" s="2" t="s">
        <v>5854</v>
      </c>
      <c r="J2623" s="3" t="str">
        <f>HYPERLINK("https://www.boe.es/gazeta/dias/1813/01/01/pdfs/GMD-1813-1.pdf#page=3","Abrir facsímil")</f>
        <v>Abrir facsímil</v>
      </c>
      <c r="K2623" s="3" t="s">
        <v>22</v>
      </c>
    </row>
    <row r="2624" spans="1:11" ht="42" customHeight="1">
      <c r="A2624" s="2" t="s">
        <v>5855</v>
      </c>
      <c r="B2624" s="2" t="s">
        <v>5856</v>
      </c>
      <c r="C2624" s="2" t="s">
        <v>25</v>
      </c>
      <c r="D2624" s="2" t="s">
        <v>26</v>
      </c>
      <c r="E2624" s="5">
        <v>-31677</v>
      </c>
      <c r="F2624" s="3" t="s">
        <v>76</v>
      </c>
      <c r="G2624" s="3" t="s">
        <v>28</v>
      </c>
      <c r="H2624" s="2" t="s">
        <v>20</v>
      </c>
      <c r="I2624" s="2" t="s">
        <v>5857</v>
      </c>
      <c r="J2624" s="3" t="str">
        <f>HYPERLINK("https://www.boe.es/gazeta/dias/1813/04/08/pdfs/GRE-1813-43.pdf#page=8","Abrir facsímil")</f>
        <v>Abrir facsímil</v>
      </c>
      <c r="K2624" s="3" t="s">
        <v>22</v>
      </c>
    </row>
    <row r="2625" spans="1:11" ht="42" customHeight="1">
      <c r="A2625" s="2" t="s">
        <v>5858</v>
      </c>
      <c r="B2625" s="2" t="s">
        <v>5859</v>
      </c>
      <c r="C2625" s="2" t="s">
        <v>16</v>
      </c>
      <c r="D2625" s="2" t="s">
        <v>17</v>
      </c>
      <c r="E2625" s="5">
        <v>-31474</v>
      </c>
      <c r="F2625" s="3" t="s">
        <v>130</v>
      </c>
      <c r="G2625" s="3" t="s">
        <v>28</v>
      </c>
      <c r="H2625" s="2" t="s">
        <v>20</v>
      </c>
      <c r="I2625" s="2" t="s">
        <v>5860</v>
      </c>
      <c r="J2625" s="3" t="str">
        <f>HYPERLINK("https://www.boe.es/gazeta/dias/1813/10/28/pdfs/GRE-1813-141.pdf#page=8","Abrir facsímil")</f>
        <v>Abrir facsímil</v>
      </c>
      <c r="K2625" s="3" t="s">
        <v>22</v>
      </c>
    </row>
    <row r="2626" spans="1:11" ht="42" customHeight="1">
      <c r="A2626" s="2" t="s">
        <v>5861</v>
      </c>
      <c r="B2626" s="2" t="s">
        <v>5862</v>
      </c>
      <c r="C2626" s="2" t="s">
        <v>16</v>
      </c>
      <c r="D2626" s="2" t="s">
        <v>17</v>
      </c>
      <c r="E2626" s="5">
        <v>-31481</v>
      </c>
      <c r="F2626" s="3" t="s">
        <v>40</v>
      </c>
      <c r="G2626" s="3" t="s">
        <v>4276</v>
      </c>
      <c r="H2626" s="2" t="s">
        <v>20</v>
      </c>
      <c r="I2626" s="2" t="s">
        <v>5863</v>
      </c>
      <c r="J2626" s="3" t="str">
        <f>HYPERLINK("https://www.boe.es/gazeta/dias/1813/10/21/pdfs/GMR-1813-62.pdf#page=5","Abrir facsímil")</f>
        <v>Abrir facsímil</v>
      </c>
      <c r="K2626" s="3" t="s">
        <v>22</v>
      </c>
    </row>
    <row r="2627" spans="1:11" ht="42" customHeight="1">
      <c r="A2627" s="2" t="s">
        <v>5864</v>
      </c>
      <c r="B2627" s="2" t="s">
        <v>5865</v>
      </c>
      <c r="C2627" s="2" t="s">
        <v>16</v>
      </c>
      <c r="D2627" s="2" t="s">
        <v>17</v>
      </c>
      <c r="E2627" s="5">
        <v>-31553</v>
      </c>
      <c r="F2627" s="3" t="s">
        <v>1853</v>
      </c>
      <c r="G2627" s="3" t="s">
        <v>95</v>
      </c>
      <c r="H2627" s="2" t="s">
        <v>20</v>
      </c>
      <c r="I2627" s="2" t="s">
        <v>5866</v>
      </c>
      <c r="J2627" s="3" t="str">
        <f>HYPERLINK("https://www.boe.es/gazeta/dias/1813/08/10/pdfs/GMR-1813-26.pdf#page=6","Abrir facsímil")</f>
        <v>Abrir facsímil</v>
      </c>
      <c r="K2627" s="3" t="s">
        <v>22</v>
      </c>
    </row>
    <row r="2628" spans="1:11" ht="42" customHeight="1">
      <c r="A2628" s="2" t="s">
        <v>5867</v>
      </c>
      <c r="B2628" s="2" t="s">
        <v>5868</v>
      </c>
      <c r="C2628" s="2" t="s">
        <v>277</v>
      </c>
      <c r="D2628" s="2" t="s">
        <v>26</v>
      </c>
      <c r="E2628" s="5">
        <v>-31551</v>
      </c>
      <c r="F2628" s="3" t="s">
        <v>4349</v>
      </c>
      <c r="G2628" s="3" t="s">
        <v>28</v>
      </c>
      <c r="H2628" s="2" t="s">
        <v>20</v>
      </c>
      <c r="I2628" s="2" t="s">
        <v>5869</v>
      </c>
      <c r="J2628" s="3" t="str">
        <f>HYPERLINK("https://www.boe.es/gazeta/dias/1813/08/12/pdfs/GRE-1813-102.pdf#page=8","Abrir facsímil")</f>
        <v>Abrir facsímil</v>
      </c>
      <c r="K2628" s="3" t="s">
        <v>22</v>
      </c>
    </row>
    <row r="2629" spans="1:11" ht="42" customHeight="1">
      <c r="A2629" s="2" t="s">
        <v>5870</v>
      </c>
      <c r="B2629" s="2" t="s">
        <v>5871</v>
      </c>
      <c r="C2629" s="2" t="s">
        <v>16</v>
      </c>
      <c r="D2629" s="2" t="s">
        <v>17</v>
      </c>
      <c r="E2629" s="5">
        <v>-31714</v>
      </c>
      <c r="F2629" s="3" t="s">
        <v>479</v>
      </c>
      <c r="G2629" s="3" t="s">
        <v>19</v>
      </c>
      <c r="H2629" s="2" t="s">
        <v>20</v>
      </c>
      <c r="I2629" s="2" t="s">
        <v>5872</v>
      </c>
      <c r="J2629" s="3" t="str">
        <f>HYPERLINK("https://www.boe.es/gazeta/dias/1813/03/02/pdfs/GRE-1813-27.pdf#page=4","Abrir facsímil")</f>
        <v>Abrir facsímil</v>
      </c>
      <c r="K2629" s="3" t="s">
        <v>22</v>
      </c>
    </row>
    <row r="2630" spans="1:11" ht="42" customHeight="1">
      <c r="A2630" s="2" t="s">
        <v>5873</v>
      </c>
      <c r="B2630" s="2" t="s">
        <v>5874</v>
      </c>
      <c r="C2630" s="2" t="s">
        <v>16</v>
      </c>
      <c r="D2630" s="2" t="s">
        <v>17</v>
      </c>
      <c r="E2630" s="5">
        <v>-31759</v>
      </c>
      <c r="F2630" s="3" t="s">
        <v>419</v>
      </c>
      <c r="G2630" s="3" t="s">
        <v>420</v>
      </c>
      <c r="H2630" s="2" t="s">
        <v>20</v>
      </c>
      <c r="I2630" s="2" t="s">
        <v>5875</v>
      </c>
      <c r="J2630" s="3" t="str">
        <f>HYPERLINK("https://www.boe.es/gazeta/dias/1813/01/16/pdfs/GRE-1813-7.pdf#page=8","Abrir facsímil")</f>
        <v>Abrir facsímil</v>
      </c>
      <c r="K2630" s="3" t="s">
        <v>22</v>
      </c>
    </row>
    <row r="2631" spans="1:11" ht="42" customHeight="1">
      <c r="A2631" s="2" t="s">
        <v>5876</v>
      </c>
      <c r="B2631" s="2" t="s">
        <v>5877</v>
      </c>
      <c r="C2631" s="2" t="s">
        <v>16</v>
      </c>
      <c r="D2631" s="2" t="s">
        <v>17</v>
      </c>
      <c r="E2631" s="5">
        <v>-31581</v>
      </c>
      <c r="F2631" s="3" t="s">
        <v>3599</v>
      </c>
      <c r="G2631" s="3" t="s">
        <v>82</v>
      </c>
      <c r="H2631" s="2" t="s">
        <v>20</v>
      </c>
      <c r="I2631" s="2" t="s">
        <v>5878</v>
      </c>
      <c r="J2631" s="3" t="str">
        <f>HYPERLINK("https://www.boe.es/gazeta/dias/1813/07/13/pdfs/GRE-1813-88.pdf#page=5","Abrir facsímil")</f>
        <v>Abrir facsímil</v>
      </c>
      <c r="K2631" s="3" t="s">
        <v>22</v>
      </c>
    </row>
    <row r="2632" spans="1:11" ht="42" customHeight="1">
      <c r="A2632" s="2" t="s">
        <v>5879</v>
      </c>
      <c r="B2632" s="2" t="s">
        <v>5879</v>
      </c>
      <c r="C2632" s="2" t="s">
        <v>34</v>
      </c>
      <c r="D2632" s="2" t="s">
        <v>35</v>
      </c>
      <c r="E2632" s="5">
        <v>-31772</v>
      </c>
      <c r="F2632" s="3" t="s">
        <v>709</v>
      </c>
      <c r="G2632" s="3" t="s">
        <v>82</v>
      </c>
      <c r="H2632" s="2" t="s">
        <v>20</v>
      </c>
      <c r="I2632" s="2" t="s">
        <v>5880</v>
      </c>
      <c r="J2632" s="3" t="str">
        <f>HYPERLINK("https://www.boe.es/gazeta/dias/1813/01/03/pdfs/GRE-1813-69.pdf#page=5","Abrir facsímil")</f>
        <v>Abrir facsímil</v>
      </c>
      <c r="K2632" s="3" t="s">
        <v>22</v>
      </c>
    </row>
    <row r="2633" spans="1:11" ht="42" customHeight="1">
      <c r="A2633" s="2" t="s">
        <v>5879</v>
      </c>
      <c r="B2633" s="2" t="s">
        <v>5879</v>
      </c>
      <c r="C2633" s="2" t="s">
        <v>34</v>
      </c>
      <c r="D2633" s="2" t="s">
        <v>35</v>
      </c>
      <c r="E2633" s="5">
        <v>-31772</v>
      </c>
      <c r="F2633" s="3" t="s">
        <v>709</v>
      </c>
      <c r="G2633" s="3" t="s">
        <v>95</v>
      </c>
      <c r="H2633" s="2" t="s">
        <v>20</v>
      </c>
      <c r="I2633" s="2" t="s">
        <v>5881</v>
      </c>
      <c r="J2633" s="3" t="str">
        <f>HYPERLINK("https://www.boe.es/gazeta/dias/1813/01/03/pdfs/GRE-1813-69.pdf#page=6","Abrir facsímil")</f>
        <v>Abrir facsímil</v>
      </c>
      <c r="K2633" s="3" t="s">
        <v>22</v>
      </c>
    </row>
    <row r="2634" spans="1:11" ht="42" customHeight="1">
      <c r="A2634" s="2" t="s">
        <v>5879</v>
      </c>
      <c r="B2634" s="2" t="s">
        <v>5879</v>
      </c>
      <c r="C2634" s="2" t="s">
        <v>16</v>
      </c>
      <c r="D2634" s="2" t="s">
        <v>17</v>
      </c>
      <c r="E2634" s="5">
        <v>-31770</v>
      </c>
      <c r="F2634" s="3" t="s">
        <v>1738</v>
      </c>
      <c r="G2634" s="3" t="s">
        <v>5882</v>
      </c>
      <c r="H2634" s="2" t="s">
        <v>20</v>
      </c>
      <c r="I2634" s="2" t="s">
        <v>5883</v>
      </c>
      <c r="J2634" s="3" t="str">
        <f>HYPERLINK("https://www.boe.es/gazeta/dias/1813/01/05/pdfs/GRE-1813-2.pdf#page=7","Abrir facsímil")</f>
        <v>Abrir facsímil</v>
      </c>
      <c r="K2634" s="3" t="s">
        <v>22</v>
      </c>
    </row>
    <row r="2635" spans="1:11" ht="42" customHeight="1">
      <c r="A2635" s="2" t="s">
        <v>5879</v>
      </c>
      <c r="B2635" s="2" t="s">
        <v>5879</v>
      </c>
      <c r="C2635" s="2" t="s">
        <v>16</v>
      </c>
      <c r="D2635" s="2" t="s">
        <v>17</v>
      </c>
      <c r="E2635" s="5">
        <v>-31770</v>
      </c>
      <c r="F2635" s="3" t="s">
        <v>1738</v>
      </c>
      <c r="G2635" s="3" t="s">
        <v>28</v>
      </c>
      <c r="H2635" s="2" t="s">
        <v>20</v>
      </c>
      <c r="I2635" s="2" t="s">
        <v>5884</v>
      </c>
      <c r="J2635" s="3" t="str">
        <f>HYPERLINK("https://www.boe.es/gazeta/dias/1813/01/05/pdfs/GRE-1813-2.pdf#page=8","Abrir facsímil")</f>
        <v>Abrir facsímil</v>
      </c>
      <c r="K2635" s="3" t="s">
        <v>22</v>
      </c>
    </row>
    <row r="2636" spans="1:11" ht="42" customHeight="1">
      <c r="A2636" s="2" t="s">
        <v>5879</v>
      </c>
      <c r="B2636" s="2" t="s">
        <v>5879</v>
      </c>
      <c r="C2636" s="2" t="s">
        <v>16</v>
      </c>
      <c r="D2636" s="2" t="s">
        <v>17</v>
      </c>
      <c r="E2636" s="5">
        <v>-31759</v>
      </c>
      <c r="F2636" s="3" t="s">
        <v>419</v>
      </c>
      <c r="G2636" s="3" t="s">
        <v>420</v>
      </c>
      <c r="H2636" s="2" t="s">
        <v>20</v>
      </c>
      <c r="I2636" s="2" t="s">
        <v>5885</v>
      </c>
      <c r="J2636" s="3" t="str">
        <f>HYPERLINK("https://www.boe.es/gazeta/dias/1813/01/16/pdfs/GRE-1813-7.pdf#page=8","Abrir facsímil")</f>
        <v>Abrir facsímil</v>
      </c>
      <c r="K2636" s="3" t="s">
        <v>22</v>
      </c>
    </row>
    <row r="2637" spans="1:11" ht="42" customHeight="1">
      <c r="A2637" s="2" t="s">
        <v>5879</v>
      </c>
      <c r="B2637" s="2" t="s">
        <v>5879</v>
      </c>
      <c r="C2637" s="2" t="s">
        <v>34</v>
      </c>
      <c r="D2637" s="2" t="s">
        <v>35</v>
      </c>
      <c r="E2637" s="5">
        <v>-31756</v>
      </c>
      <c r="F2637" s="3" t="s">
        <v>951</v>
      </c>
      <c r="G2637" s="3" t="s">
        <v>5886</v>
      </c>
      <c r="H2637" s="2" t="s">
        <v>20</v>
      </c>
      <c r="I2637" s="2" t="s">
        <v>5887</v>
      </c>
      <c r="J2637" s="3" t="str">
        <f>HYPERLINK("https://www.boe.es/gazeta/dias/1813/01/19/pdfs/GRE-1813-8.pdf#page=6","Abrir facsímil")</f>
        <v>Abrir facsímil</v>
      </c>
      <c r="K2637" s="3" t="s">
        <v>22</v>
      </c>
    </row>
    <row r="2638" spans="1:11" ht="42" customHeight="1">
      <c r="A2638" s="2" t="s">
        <v>5879</v>
      </c>
      <c r="B2638" s="2" t="s">
        <v>5879</v>
      </c>
      <c r="C2638" s="2" t="s">
        <v>34</v>
      </c>
      <c r="D2638" s="2" t="s">
        <v>35</v>
      </c>
      <c r="E2638" s="5">
        <v>-31749</v>
      </c>
      <c r="F2638" s="3" t="s">
        <v>1515</v>
      </c>
      <c r="G2638" s="3" t="s">
        <v>1516</v>
      </c>
      <c r="H2638" s="2" t="s">
        <v>20</v>
      </c>
      <c r="I2638" s="2" t="s">
        <v>5888</v>
      </c>
      <c r="J2638" s="3" t="str">
        <f>HYPERLINK("https://www.boe.es/gazeta/dias/1813/01/26/pdfs/GRE-1813-11.pdf#page=5","Abrir facsímil")</f>
        <v>Abrir facsímil</v>
      </c>
      <c r="K2638" s="3" t="s">
        <v>22</v>
      </c>
    </row>
    <row r="2639" spans="1:11" ht="42" customHeight="1">
      <c r="A2639" s="2" t="s">
        <v>5879</v>
      </c>
      <c r="B2639" s="2" t="s">
        <v>5879</v>
      </c>
      <c r="C2639" s="2" t="s">
        <v>25</v>
      </c>
      <c r="D2639" s="2" t="s">
        <v>26</v>
      </c>
      <c r="E2639" s="5">
        <v>-31734</v>
      </c>
      <c r="F2639" s="3" t="s">
        <v>362</v>
      </c>
      <c r="G2639" s="3" t="s">
        <v>54</v>
      </c>
      <c r="H2639" s="2" t="s">
        <v>20</v>
      </c>
      <c r="I2639" s="2" t="s">
        <v>5889</v>
      </c>
      <c r="J2639" s="3" t="str">
        <f>HYPERLINK("https://www.boe.es/gazeta/dias/1813/02/10/pdfs/GMD-1813-41.pdf#page=3","Abrir facsímil")</f>
        <v>Abrir facsímil</v>
      </c>
      <c r="K2639" s="3" t="s">
        <v>22</v>
      </c>
    </row>
    <row r="2640" spans="1:11" ht="42" customHeight="1">
      <c r="A2640" s="2" t="s">
        <v>5879</v>
      </c>
      <c r="B2640" s="2" t="s">
        <v>5879</v>
      </c>
      <c r="C2640" s="2" t="s">
        <v>16</v>
      </c>
      <c r="D2640" s="2" t="s">
        <v>17</v>
      </c>
      <c r="E2640" s="5">
        <v>-31728</v>
      </c>
      <c r="F2640" s="3" t="s">
        <v>1434</v>
      </c>
      <c r="G2640" s="3" t="s">
        <v>2541</v>
      </c>
      <c r="H2640" s="2" t="s">
        <v>20</v>
      </c>
      <c r="I2640" s="2" t="s">
        <v>5890</v>
      </c>
      <c r="J2640" s="3" t="str">
        <f>HYPERLINK("https://www.boe.es/gazeta/dias/1813/02/16/pdfs/GRE-1813-20.pdf#page=8","Abrir facsímil")</f>
        <v>Abrir facsímil</v>
      </c>
      <c r="K2640" s="3" t="s">
        <v>22</v>
      </c>
    </row>
    <row r="2641" spans="1:11" ht="42" customHeight="1">
      <c r="A2641" s="2" t="s">
        <v>5879</v>
      </c>
      <c r="B2641" s="2" t="s">
        <v>5879</v>
      </c>
      <c r="C2641" s="2" t="s">
        <v>34</v>
      </c>
      <c r="D2641" s="2" t="s">
        <v>35</v>
      </c>
      <c r="E2641" s="5">
        <v>-31724</v>
      </c>
      <c r="F2641" s="3" t="s">
        <v>626</v>
      </c>
      <c r="G2641" s="3" t="s">
        <v>87</v>
      </c>
      <c r="H2641" s="2" t="s">
        <v>20</v>
      </c>
      <c r="I2641" s="2" t="s">
        <v>5891</v>
      </c>
      <c r="J2641" s="3" t="str">
        <f>HYPERLINK("https://www.boe.es/gazeta/dias/1813/02/20/pdfs/GRE-1813-22.pdf#page=7","Abrir facsímil")</f>
        <v>Abrir facsímil</v>
      </c>
      <c r="K2641" s="3" t="s">
        <v>22</v>
      </c>
    </row>
    <row r="2642" spans="1:11" ht="42" customHeight="1">
      <c r="A2642" s="2" t="s">
        <v>5879</v>
      </c>
      <c r="B2642" s="2" t="s">
        <v>5879</v>
      </c>
      <c r="C2642" s="2" t="s">
        <v>34</v>
      </c>
      <c r="D2642" s="2" t="s">
        <v>35</v>
      </c>
      <c r="E2642" s="5">
        <v>-31719</v>
      </c>
      <c r="F2642" s="3" t="s">
        <v>1770</v>
      </c>
      <c r="G2642" s="3" t="s">
        <v>2633</v>
      </c>
      <c r="H2642" s="2" t="s">
        <v>20</v>
      </c>
      <c r="I2642" s="2" t="s">
        <v>5892</v>
      </c>
      <c r="J2642" s="3" t="str">
        <f>HYPERLINK("https://www.boe.es/gazeta/dias/1813/02/25/pdfs/GRE-1813-24.pdf#page=4","Abrir facsímil")</f>
        <v>Abrir facsímil</v>
      </c>
      <c r="K2642" s="3" t="s">
        <v>22</v>
      </c>
    </row>
    <row r="2643" spans="1:11" ht="42" customHeight="1">
      <c r="A2643" s="2" t="s">
        <v>5879</v>
      </c>
      <c r="B2643" s="2" t="s">
        <v>5879</v>
      </c>
      <c r="C2643" s="2" t="s">
        <v>16</v>
      </c>
      <c r="D2643" s="2" t="s">
        <v>17</v>
      </c>
      <c r="E2643" s="5">
        <v>-31717</v>
      </c>
      <c r="F2643" s="3" t="s">
        <v>2338</v>
      </c>
      <c r="G2643" s="3" t="s">
        <v>5893</v>
      </c>
      <c r="H2643" s="2" t="s">
        <v>20</v>
      </c>
      <c r="I2643" s="2" t="s">
        <v>5894</v>
      </c>
      <c r="J2643" s="3" t="str">
        <f>HYPERLINK("https://www.boe.es/gazeta/dias/1813/02/27/pdfs/GRE-1813-25.pdf#page=6","Abrir facsímil")</f>
        <v>Abrir facsímil</v>
      </c>
      <c r="K2643" s="3" t="s">
        <v>22</v>
      </c>
    </row>
    <row r="2644" spans="1:11" ht="42" customHeight="1">
      <c r="A2644" s="2" t="s">
        <v>5879</v>
      </c>
      <c r="B2644" s="2" t="s">
        <v>5879</v>
      </c>
      <c r="C2644" s="2" t="s">
        <v>16</v>
      </c>
      <c r="D2644" s="2" t="s">
        <v>17</v>
      </c>
      <c r="E2644" s="5">
        <v>-31717</v>
      </c>
      <c r="F2644" s="3" t="s">
        <v>2338</v>
      </c>
      <c r="G2644" s="3" t="s">
        <v>82</v>
      </c>
      <c r="H2644" s="2" t="s">
        <v>20</v>
      </c>
      <c r="I2644" s="2" t="s">
        <v>5895</v>
      </c>
      <c r="J2644" s="3" t="str">
        <f>HYPERLINK("https://www.boe.es/gazeta/dias/1813/02/27/pdfs/GRE-1813-25.pdf#page=5","Abrir facsímil")</f>
        <v>Abrir facsímil</v>
      </c>
      <c r="K2644" s="3" t="s">
        <v>22</v>
      </c>
    </row>
    <row r="2645" spans="1:11" ht="42" customHeight="1">
      <c r="A2645" s="2" t="s">
        <v>5879</v>
      </c>
      <c r="B2645" s="2" t="s">
        <v>5879</v>
      </c>
      <c r="C2645" s="2" t="s">
        <v>34</v>
      </c>
      <c r="D2645" s="2" t="s">
        <v>35</v>
      </c>
      <c r="E2645" s="5">
        <v>-31712</v>
      </c>
      <c r="F2645" s="3" t="s">
        <v>3469</v>
      </c>
      <c r="G2645" s="3" t="s">
        <v>3128</v>
      </c>
      <c r="H2645" s="2" t="s">
        <v>20</v>
      </c>
      <c r="I2645" s="2" t="s">
        <v>5896</v>
      </c>
      <c r="J2645" s="3" t="str">
        <f>HYPERLINK("https://www.boe.es/gazeta/dias/1813/03/04/pdfs/GRE-1813-28.pdf#page=6","Abrir facsímil")</f>
        <v>Abrir facsímil</v>
      </c>
      <c r="K2645" s="3" t="s">
        <v>22</v>
      </c>
    </row>
    <row r="2646" spans="1:11" ht="42" customHeight="1">
      <c r="A2646" s="2" t="s">
        <v>5879</v>
      </c>
      <c r="B2646" s="2" t="s">
        <v>5879</v>
      </c>
      <c r="C2646" s="2" t="s">
        <v>34</v>
      </c>
      <c r="D2646" s="2" t="s">
        <v>35</v>
      </c>
      <c r="E2646" s="5">
        <v>-31712</v>
      </c>
      <c r="F2646" s="3" t="s">
        <v>3469</v>
      </c>
      <c r="G2646" s="3" t="s">
        <v>82</v>
      </c>
      <c r="H2646" s="2" t="s">
        <v>20</v>
      </c>
      <c r="I2646" s="2" t="s">
        <v>5897</v>
      </c>
      <c r="J2646" s="3" t="str">
        <f>HYPERLINK("https://www.boe.es/gazeta/dias/1813/03/04/pdfs/GRE-1813-28.pdf#page=5","Abrir facsímil")</f>
        <v>Abrir facsímil</v>
      </c>
      <c r="K2646" s="3" t="s">
        <v>22</v>
      </c>
    </row>
    <row r="2647" spans="1:11" ht="42" customHeight="1">
      <c r="A2647" s="2" t="s">
        <v>5879</v>
      </c>
      <c r="B2647" s="2" t="s">
        <v>5879</v>
      </c>
      <c r="C2647" s="2" t="s">
        <v>16</v>
      </c>
      <c r="D2647" s="2" t="s">
        <v>17</v>
      </c>
      <c r="E2647" s="5">
        <v>-31710</v>
      </c>
      <c r="F2647" s="3" t="s">
        <v>2689</v>
      </c>
      <c r="G2647" s="3" t="s">
        <v>3142</v>
      </c>
      <c r="H2647" s="2" t="s">
        <v>20</v>
      </c>
      <c r="I2647" s="2" t="s">
        <v>5898</v>
      </c>
      <c r="J2647" s="3" t="str">
        <f>HYPERLINK("https://www.boe.es/gazeta/dias/1813/03/06/pdfs/GRE-1813-29.pdf#page=6","Abrir facsímil")</f>
        <v>Abrir facsímil</v>
      </c>
      <c r="K2647" s="3" t="s">
        <v>22</v>
      </c>
    </row>
    <row r="2648" spans="1:11" ht="42" customHeight="1">
      <c r="A2648" s="2" t="s">
        <v>5879</v>
      </c>
      <c r="B2648" s="2" t="s">
        <v>5879</v>
      </c>
      <c r="C2648" s="2" t="s">
        <v>34</v>
      </c>
      <c r="D2648" s="2" t="s">
        <v>35</v>
      </c>
      <c r="E2648" s="5">
        <v>-31707</v>
      </c>
      <c r="F2648" s="3" t="s">
        <v>1557</v>
      </c>
      <c r="G2648" s="3" t="s">
        <v>65</v>
      </c>
      <c r="H2648" s="2" t="s">
        <v>20</v>
      </c>
      <c r="I2648" s="2" t="s">
        <v>5899</v>
      </c>
      <c r="J2648" s="3" t="str">
        <f>HYPERLINK("https://www.boe.es/gazeta/dias/1813/03/09/pdfs/GRE-1813-30.pdf#page=1","Abrir facsímil")</f>
        <v>Abrir facsímil</v>
      </c>
      <c r="K2648" s="3" t="s">
        <v>22</v>
      </c>
    </row>
    <row r="2649" spans="1:11" ht="42" customHeight="1">
      <c r="A2649" s="2" t="s">
        <v>5879</v>
      </c>
      <c r="B2649" s="2" t="s">
        <v>5879</v>
      </c>
      <c r="C2649" s="2" t="s">
        <v>34</v>
      </c>
      <c r="D2649" s="2" t="s">
        <v>35</v>
      </c>
      <c r="E2649" s="5">
        <v>-31705</v>
      </c>
      <c r="F2649" s="3" t="s">
        <v>243</v>
      </c>
      <c r="G2649" s="3" t="s">
        <v>5900</v>
      </c>
      <c r="H2649" s="2" t="s">
        <v>20</v>
      </c>
      <c r="I2649" s="2" t="s">
        <v>5901</v>
      </c>
      <c r="J2649" s="3" t="str">
        <f>HYPERLINK("https://www.boe.es/gazeta/dias/1813/03/11/pdfs/GRE-1813-31.pdf#page=4","Abrir facsímil")</f>
        <v>Abrir facsímil</v>
      </c>
      <c r="K2649" s="3" t="s">
        <v>22</v>
      </c>
    </row>
    <row r="2650" spans="1:11" ht="42" customHeight="1">
      <c r="A2650" s="2" t="s">
        <v>5879</v>
      </c>
      <c r="B2650" s="2" t="s">
        <v>5879</v>
      </c>
      <c r="C2650" s="2" t="s">
        <v>34</v>
      </c>
      <c r="D2650" s="2" t="s">
        <v>35</v>
      </c>
      <c r="E2650" s="5">
        <v>-31705</v>
      </c>
      <c r="F2650" s="3" t="s">
        <v>243</v>
      </c>
      <c r="G2650" s="3" t="s">
        <v>54</v>
      </c>
      <c r="H2650" s="2" t="s">
        <v>20</v>
      </c>
      <c r="I2650" s="2" t="s">
        <v>5902</v>
      </c>
      <c r="J2650" s="3" t="str">
        <f>HYPERLINK("https://www.boe.es/gazeta/dias/1813/03/11/pdfs/GRE-1813-31.pdf#page=3","Abrir facsímil")</f>
        <v>Abrir facsímil</v>
      </c>
      <c r="K2650" s="3" t="s">
        <v>22</v>
      </c>
    </row>
    <row r="2651" spans="1:11" ht="42" customHeight="1">
      <c r="A2651" s="2" t="s">
        <v>5879</v>
      </c>
      <c r="B2651" s="2" t="s">
        <v>5879</v>
      </c>
      <c r="C2651" s="2" t="s">
        <v>34</v>
      </c>
      <c r="D2651" s="2" t="s">
        <v>35</v>
      </c>
      <c r="E2651" s="5">
        <v>-31691</v>
      </c>
      <c r="F2651" s="3" t="s">
        <v>1542</v>
      </c>
      <c r="G2651" s="3" t="s">
        <v>95</v>
      </c>
      <c r="H2651" s="2" t="s">
        <v>20</v>
      </c>
      <c r="I2651" s="2" t="s">
        <v>5903</v>
      </c>
      <c r="J2651" s="3" t="str">
        <f>HYPERLINK("https://www.boe.es/gazeta/dias/1813/03/25/pdfs/GRE-1813-37.pdf#page=6","Abrir facsímil")</f>
        <v>Abrir facsímil</v>
      </c>
      <c r="K2651" s="3" t="s">
        <v>22</v>
      </c>
    </row>
    <row r="2652" spans="1:11" ht="42" customHeight="1">
      <c r="A2652" s="2" t="s">
        <v>5879</v>
      </c>
      <c r="B2652" s="2" t="s">
        <v>5879</v>
      </c>
      <c r="C2652" s="2" t="s">
        <v>16</v>
      </c>
      <c r="D2652" s="2" t="s">
        <v>17</v>
      </c>
      <c r="E2652" s="5">
        <v>-31689</v>
      </c>
      <c r="F2652" s="3" t="s">
        <v>48</v>
      </c>
      <c r="G2652" s="3" t="s">
        <v>5904</v>
      </c>
      <c r="H2652" s="2" t="s">
        <v>20</v>
      </c>
      <c r="I2652" s="2" t="s">
        <v>5905</v>
      </c>
      <c r="J2652" s="3" t="str">
        <f>HYPERLINK("https://www.boe.es/gazeta/dias/1813/03/27/pdfs/GRE-1813-38.pdf#page=6","Abrir facsímil")</f>
        <v>Abrir facsímil</v>
      </c>
      <c r="K2652" s="3" t="s">
        <v>22</v>
      </c>
    </row>
    <row r="2653" spans="1:11" ht="42" customHeight="1">
      <c r="A2653" s="2" t="s">
        <v>5879</v>
      </c>
      <c r="B2653" s="2" t="s">
        <v>5879</v>
      </c>
      <c r="C2653" s="2" t="s">
        <v>16</v>
      </c>
      <c r="D2653" s="2" t="s">
        <v>17</v>
      </c>
      <c r="E2653" s="5">
        <v>-31686</v>
      </c>
      <c r="F2653" s="3" t="s">
        <v>372</v>
      </c>
      <c r="G2653" s="3" t="s">
        <v>58</v>
      </c>
      <c r="H2653" s="2" t="s">
        <v>20</v>
      </c>
      <c r="I2653" s="2" t="s">
        <v>5906</v>
      </c>
      <c r="J2653" s="3" t="str">
        <f>HYPERLINK("https://www.boe.es/gazeta/dias/1813/03/30/pdfs/GRE-1813-39.pdf#page=2","Abrir facsímil")</f>
        <v>Abrir facsímil</v>
      </c>
      <c r="K2653" s="3" t="s">
        <v>22</v>
      </c>
    </row>
    <row r="2654" spans="1:11" ht="42" customHeight="1">
      <c r="A2654" s="2" t="s">
        <v>5879</v>
      </c>
      <c r="B2654" s="2" t="s">
        <v>5879</v>
      </c>
      <c r="C2654" s="2" t="s">
        <v>16</v>
      </c>
      <c r="D2654" s="2" t="s">
        <v>17</v>
      </c>
      <c r="E2654" s="5">
        <v>-31684</v>
      </c>
      <c r="F2654" s="3" t="s">
        <v>427</v>
      </c>
      <c r="G2654" s="3" t="s">
        <v>428</v>
      </c>
      <c r="H2654" s="2" t="s">
        <v>20</v>
      </c>
      <c r="I2654" s="2" t="s">
        <v>5907</v>
      </c>
      <c r="J2654" s="3" t="str">
        <f>HYPERLINK("https://www.boe.es/gazeta/dias/1813/04/01/pdfs/GRE-1813-40.pdf#page=7","Abrir facsímil")</f>
        <v>Abrir facsímil</v>
      </c>
      <c r="K2654" s="3" t="s">
        <v>22</v>
      </c>
    </row>
    <row r="2655" spans="1:11" ht="42" customHeight="1">
      <c r="A2655" s="2" t="s">
        <v>5879</v>
      </c>
      <c r="B2655" s="2" t="s">
        <v>5879</v>
      </c>
      <c r="C2655" s="2" t="s">
        <v>34</v>
      </c>
      <c r="D2655" s="2" t="s">
        <v>35</v>
      </c>
      <c r="E2655" s="5">
        <v>-31677</v>
      </c>
      <c r="F2655" s="3" t="s">
        <v>76</v>
      </c>
      <c r="G2655" s="3" t="s">
        <v>895</v>
      </c>
      <c r="H2655" s="2" t="s">
        <v>20</v>
      </c>
      <c r="I2655" s="2" t="s">
        <v>5908</v>
      </c>
      <c r="J2655" s="3" t="str">
        <f>HYPERLINK("https://www.boe.es/gazeta/dias/1813/04/08/pdfs/GRE-1813-43.pdf#page=5","Abrir facsímil")</f>
        <v>Abrir facsímil</v>
      </c>
      <c r="K2655" s="3" t="s">
        <v>22</v>
      </c>
    </row>
    <row r="2656" spans="1:11" ht="42" customHeight="1">
      <c r="A2656" s="2" t="s">
        <v>5879</v>
      </c>
      <c r="B2656" s="2" t="s">
        <v>5879</v>
      </c>
      <c r="C2656" s="2" t="s">
        <v>16</v>
      </c>
      <c r="D2656" s="2" t="s">
        <v>17</v>
      </c>
      <c r="E2656" s="5">
        <v>-31677</v>
      </c>
      <c r="F2656" s="3" t="s">
        <v>76</v>
      </c>
      <c r="G2656" s="3" t="s">
        <v>95</v>
      </c>
      <c r="H2656" s="2" t="s">
        <v>20</v>
      </c>
      <c r="I2656" s="2" t="s">
        <v>5909</v>
      </c>
      <c r="J2656" s="3" t="str">
        <f>HYPERLINK("https://www.boe.es/gazeta/dias/1813/04/08/pdfs/GRE-1813-43.pdf#page=6","Abrir facsímil")</f>
        <v>Abrir facsímil</v>
      </c>
      <c r="K2656" s="3" t="s">
        <v>22</v>
      </c>
    </row>
    <row r="2657" spans="1:11" ht="42" customHeight="1">
      <c r="A2657" s="2" t="s">
        <v>5879</v>
      </c>
      <c r="B2657" s="2" t="s">
        <v>5879</v>
      </c>
      <c r="C2657" s="2" t="s">
        <v>16</v>
      </c>
      <c r="D2657" s="2" t="s">
        <v>17</v>
      </c>
      <c r="E2657" s="5">
        <v>-31675</v>
      </c>
      <c r="F2657" s="3" t="s">
        <v>27</v>
      </c>
      <c r="G2657" s="3" t="s">
        <v>95</v>
      </c>
      <c r="H2657" s="2" t="s">
        <v>20</v>
      </c>
      <c r="I2657" s="2" t="s">
        <v>5910</v>
      </c>
      <c r="J2657" s="3" t="str">
        <f>HYPERLINK("https://www.boe.es/gazeta/dias/1813/04/10/pdfs/GRE-1813-44.pdf#page=6","Abrir facsímil")</f>
        <v>Abrir facsímil</v>
      </c>
      <c r="K2657" s="3" t="s">
        <v>22</v>
      </c>
    </row>
    <row r="2658" spans="1:11" ht="42" customHeight="1">
      <c r="A2658" s="2" t="s">
        <v>5879</v>
      </c>
      <c r="B2658" s="2" t="s">
        <v>5879</v>
      </c>
      <c r="C2658" s="2" t="s">
        <v>34</v>
      </c>
      <c r="D2658" s="2" t="s">
        <v>35</v>
      </c>
      <c r="E2658" s="5">
        <v>-31670</v>
      </c>
      <c r="F2658" s="3" t="s">
        <v>92</v>
      </c>
      <c r="G2658" s="3" t="s">
        <v>5911</v>
      </c>
      <c r="H2658" s="2" t="s">
        <v>20</v>
      </c>
      <c r="I2658" s="2" t="s">
        <v>5912</v>
      </c>
      <c r="J2658" s="3" t="str">
        <f>HYPERLINK("https://www.boe.es/gazeta/dias/1813/04/15/pdfs/GRE-1813-46.pdf#page=7","Abrir facsímil")</f>
        <v>Abrir facsímil</v>
      </c>
      <c r="K2658" s="3" t="s">
        <v>22</v>
      </c>
    </row>
    <row r="2659" spans="1:11" ht="42" customHeight="1">
      <c r="A2659" s="2" t="s">
        <v>5879</v>
      </c>
      <c r="B2659" s="2" t="s">
        <v>5879</v>
      </c>
      <c r="C2659" s="2" t="s">
        <v>34</v>
      </c>
      <c r="D2659" s="2" t="s">
        <v>35</v>
      </c>
      <c r="E2659" s="5">
        <v>-31663</v>
      </c>
      <c r="F2659" s="3" t="s">
        <v>2638</v>
      </c>
      <c r="G2659" s="3" t="s">
        <v>5913</v>
      </c>
      <c r="H2659" s="2" t="s">
        <v>20</v>
      </c>
      <c r="I2659" s="2" t="s">
        <v>5914</v>
      </c>
      <c r="J2659" s="3" t="str">
        <f>HYPERLINK("https://www.boe.es/gazeta/dias/1813/04/22/pdfs/GRE-1813-50.pdf#page=5","Abrir facsímil")</f>
        <v>Abrir facsímil</v>
      </c>
      <c r="K2659" s="3" t="s">
        <v>22</v>
      </c>
    </row>
    <row r="2660" spans="1:11" ht="42" customHeight="1">
      <c r="A2660" s="2" t="s">
        <v>5879</v>
      </c>
      <c r="B2660" s="2" t="s">
        <v>5879</v>
      </c>
      <c r="C2660" s="2" t="s">
        <v>16</v>
      </c>
      <c r="D2660" s="2" t="s">
        <v>17</v>
      </c>
      <c r="E2660" s="5">
        <v>-31658</v>
      </c>
      <c r="F2660" s="3" t="s">
        <v>1113</v>
      </c>
      <c r="G2660" s="3" t="s">
        <v>1091</v>
      </c>
      <c r="H2660" s="2" t="s">
        <v>20</v>
      </c>
      <c r="I2660" s="2" t="s">
        <v>5915</v>
      </c>
      <c r="J2660" s="3" t="str">
        <f>HYPERLINK("https://www.boe.es/gazeta/dias/1813/04/27/pdfs/GRE-1813-52.pdf#page=7","Abrir facsímil")</f>
        <v>Abrir facsímil</v>
      </c>
      <c r="K2660" s="3" t="s">
        <v>22</v>
      </c>
    </row>
    <row r="2661" spans="1:11" ht="42" customHeight="1">
      <c r="A2661" s="2" t="s">
        <v>5879</v>
      </c>
      <c r="B2661" s="2" t="s">
        <v>5879</v>
      </c>
      <c r="C2661" s="2" t="s">
        <v>16</v>
      </c>
      <c r="D2661" s="2" t="s">
        <v>17</v>
      </c>
      <c r="E2661" s="5">
        <v>-31649</v>
      </c>
      <c r="F2661" s="3" t="s">
        <v>1057</v>
      </c>
      <c r="G2661" s="3" t="s">
        <v>5916</v>
      </c>
      <c r="H2661" s="2" t="s">
        <v>20</v>
      </c>
      <c r="I2661" s="2" t="s">
        <v>5917</v>
      </c>
      <c r="J2661" s="3" t="str">
        <f>HYPERLINK("https://www.boe.es/gazeta/dias/1813/05/06/pdfs/GRE-1813-56.pdf#page=5","Abrir facsímil")</f>
        <v>Abrir facsímil</v>
      </c>
      <c r="K2661" s="3" t="s">
        <v>22</v>
      </c>
    </row>
    <row r="2662" spans="1:11" ht="42" customHeight="1">
      <c r="A2662" s="2" t="s">
        <v>5879</v>
      </c>
      <c r="B2662" s="2" t="s">
        <v>5879</v>
      </c>
      <c r="C2662" s="2" t="s">
        <v>34</v>
      </c>
      <c r="D2662" s="2" t="s">
        <v>35</v>
      </c>
      <c r="E2662" s="5">
        <v>-31649</v>
      </c>
      <c r="F2662" s="3" t="s">
        <v>1057</v>
      </c>
      <c r="G2662" s="3" t="s">
        <v>1304</v>
      </c>
      <c r="H2662" s="2" t="s">
        <v>20</v>
      </c>
      <c r="I2662" s="2" t="s">
        <v>5918</v>
      </c>
      <c r="J2662" s="3" t="str">
        <f>HYPERLINK("https://www.boe.es/gazeta/dias/1813/05/06/pdfs/GRE-1813-56.pdf#page=6","Abrir facsímil")</f>
        <v>Abrir facsímil</v>
      </c>
      <c r="K2662" s="3" t="s">
        <v>22</v>
      </c>
    </row>
    <row r="2663" spans="1:11" ht="42" customHeight="1">
      <c r="A2663" s="2" t="s">
        <v>5879</v>
      </c>
      <c r="B2663" s="2" t="s">
        <v>5879</v>
      </c>
      <c r="C2663" s="2" t="s">
        <v>16</v>
      </c>
      <c r="D2663" s="2" t="s">
        <v>17</v>
      </c>
      <c r="E2663" s="5">
        <v>-31647</v>
      </c>
      <c r="F2663" s="3" t="s">
        <v>1972</v>
      </c>
      <c r="G2663" s="3" t="s">
        <v>5919</v>
      </c>
      <c r="H2663" s="2" t="s">
        <v>20</v>
      </c>
      <c r="I2663" s="2" t="s">
        <v>5920</v>
      </c>
      <c r="J2663" s="3" t="str">
        <f>HYPERLINK("https://www.boe.es/gazeta/dias/1813/05/08/pdfs/GRE-1813-57.pdf#page=7","Abrir facsímil")</f>
        <v>Abrir facsímil</v>
      </c>
      <c r="K2663" s="3" t="s">
        <v>22</v>
      </c>
    </row>
    <row r="2664" spans="1:11" ht="42" customHeight="1">
      <c r="A2664" s="2" t="s">
        <v>5879</v>
      </c>
      <c r="B2664" s="2" t="s">
        <v>5879</v>
      </c>
      <c r="C2664" s="2" t="s">
        <v>34</v>
      </c>
      <c r="D2664" s="2" t="s">
        <v>35</v>
      </c>
      <c r="E2664" s="5">
        <v>-31644</v>
      </c>
      <c r="F2664" s="3" t="s">
        <v>3904</v>
      </c>
      <c r="G2664" s="3" t="s">
        <v>5921</v>
      </c>
      <c r="H2664" s="2" t="s">
        <v>20</v>
      </c>
      <c r="I2664" s="2" t="s">
        <v>5922</v>
      </c>
      <c r="J2664" s="3" t="str">
        <f>HYPERLINK("https://www.boe.es/gazeta/dias/1813/05/11/pdfs/GRE-1813-58.pdf#page=8","Abrir facsímil")</f>
        <v>Abrir facsímil</v>
      </c>
      <c r="K2664" s="3" t="s">
        <v>22</v>
      </c>
    </row>
    <row r="2665" spans="1:11" ht="42" customHeight="1">
      <c r="A2665" s="2" t="s">
        <v>5879</v>
      </c>
      <c r="B2665" s="2" t="s">
        <v>5879</v>
      </c>
      <c r="C2665" s="2" t="s">
        <v>16</v>
      </c>
      <c r="D2665" s="2" t="s">
        <v>17</v>
      </c>
      <c r="E2665" s="5">
        <v>-31640</v>
      </c>
      <c r="F2665" s="3" t="s">
        <v>2392</v>
      </c>
      <c r="G2665" s="3" t="s">
        <v>5923</v>
      </c>
      <c r="H2665" s="2" t="s">
        <v>20</v>
      </c>
      <c r="I2665" s="2" t="s">
        <v>5924</v>
      </c>
      <c r="J2665" s="3" t="str">
        <f>HYPERLINK("https://www.boe.es/gazeta/dias/1813/05/15/pdfs/GRE-1813-60.pdf#page=7","Abrir facsímil")</f>
        <v>Abrir facsímil</v>
      </c>
      <c r="K2665" s="3" t="s">
        <v>22</v>
      </c>
    </row>
    <row r="2666" spans="1:11" ht="42" customHeight="1">
      <c r="A2666" s="2" t="s">
        <v>5879</v>
      </c>
      <c r="B2666" s="2" t="s">
        <v>5879</v>
      </c>
      <c r="C2666" s="2" t="s">
        <v>34</v>
      </c>
      <c r="D2666" s="2" t="s">
        <v>35</v>
      </c>
      <c r="E2666" s="5">
        <v>-31637</v>
      </c>
      <c r="F2666" s="3" t="s">
        <v>234</v>
      </c>
      <c r="G2666" s="3" t="s">
        <v>5925</v>
      </c>
      <c r="H2666" s="2" t="s">
        <v>20</v>
      </c>
      <c r="I2666" s="2" t="s">
        <v>5926</v>
      </c>
      <c r="J2666" s="3" t="str">
        <f>HYPERLINK("https://www.boe.es/gazeta/dias/1813/05/18/pdfs/GRE-1813-61.pdf#page=7","Abrir facsímil")</f>
        <v>Abrir facsímil</v>
      </c>
      <c r="K2666" s="3" t="s">
        <v>22</v>
      </c>
    </row>
    <row r="2667" spans="1:11" ht="42" customHeight="1">
      <c r="A2667" s="2" t="s">
        <v>5879</v>
      </c>
      <c r="B2667" s="2" t="s">
        <v>5879</v>
      </c>
      <c r="C2667" s="2" t="s">
        <v>16</v>
      </c>
      <c r="D2667" s="2" t="s">
        <v>17</v>
      </c>
      <c r="E2667" s="5">
        <v>-31635</v>
      </c>
      <c r="F2667" s="3" t="s">
        <v>2173</v>
      </c>
      <c r="G2667" s="3" t="s">
        <v>65</v>
      </c>
      <c r="H2667" s="2" t="s">
        <v>20</v>
      </c>
      <c r="I2667" s="2" t="s">
        <v>5927</v>
      </c>
      <c r="J2667" s="3" t="str">
        <f>HYPERLINK("https://www.boe.es/gazeta/dias/1813/05/20/pdfs/GRE-1813-62.pdf#page=1","Abrir facsímil")</f>
        <v>Abrir facsímil</v>
      </c>
      <c r="K2667" s="3" t="s">
        <v>22</v>
      </c>
    </row>
    <row r="2668" spans="1:11" ht="42" customHeight="1">
      <c r="A2668" s="2" t="s">
        <v>5879</v>
      </c>
      <c r="B2668" s="2" t="s">
        <v>5879</v>
      </c>
      <c r="C2668" s="2" t="s">
        <v>34</v>
      </c>
      <c r="D2668" s="2" t="s">
        <v>35</v>
      </c>
      <c r="E2668" s="5">
        <v>-31621</v>
      </c>
      <c r="F2668" s="3" t="s">
        <v>709</v>
      </c>
      <c r="G2668" s="3" t="s">
        <v>82</v>
      </c>
      <c r="H2668" s="2" t="s">
        <v>20</v>
      </c>
      <c r="I2668" s="2" t="s">
        <v>5880</v>
      </c>
      <c r="J2668" s="3" t="str">
        <f>HYPERLINK("https://www.boe.es/gazeta/dias/1813/06/03/pdfs/GRE-1813-69.pdf#page=5","Abrir facsímil")</f>
        <v>Abrir facsímil</v>
      </c>
      <c r="K2668" s="3" t="s">
        <v>22</v>
      </c>
    </row>
    <row r="2669" spans="1:11" ht="42" customHeight="1">
      <c r="A2669" s="2" t="s">
        <v>5879</v>
      </c>
      <c r="B2669" s="2" t="s">
        <v>5879</v>
      </c>
      <c r="C2669" s="2" t="s">
        <v>34</v>
      </c>
      <c r="D2669" s="2" t="s">
        <v>35</v>
      </c>
      <c r="E2669" s="5">
        <v>-31621</v>
      </c>
      <c r="F2669" s="3" t="s">
        <v>709</v>
      </c>
      <c r="G2669" s="3" t="s">
        <v>95</v>
      </c>
      <c r="H2669" s="2" t="s">
        <v>20</v>
      </c>
      <c r="I2669" s="2" t="s">
        <v>5881</v>
      </c>
      <c r="J2669" s="3" t="str">
        <f>HYPERLINK("https://www.boe.es/gazeta/dias/1813/06/03/pdfs/GRE-1813-69.pdf#page=6","Abrir facsímil")</f>
        <v>Abrir facsímil</v>
      </c>
      <c r="K2669" s="3" t="s">
        <v>22</v>
      </c>
    </row>
    <row r="2670" spans="1:11" ht="42" customHeight="1">
      <c r="A2670" s="2" t="s">
        <v>5879</v>
      </c>
      <c r="B2670" s="2" t="s">
        <v>5879</v>
      </c>
      <c r="C2670" s="2" t="s">
        <v>16</v>
      </c>
      <c r="D2670" s="2" t="s">
        <v>17</v>
      </c>
      <c r="E2670" s="5">
        <v>-31619</v>
      </c>
      <c r="F2670" s="3" t="s">
        <v>749</v>
      </c>
      <c r="G2670" s="3" t="s">
        <v>95</v>
      </c>
      <c r="H2670" s="2" t="s">
        <v>20</v>
      </c>
      <c r="I2670" s="2" t="s">
        <v>5928</v>
      </c>
      <c r="J2670" s="3" t="str">
        <f>HYPERLINK("https://www.boe.es/gazeta/dias/1813/06/05/pdfs/GRE-1813-70.pdf#page=6","Abrir facsímil")</f>
        <v>Abrir facsímil</v>
      </c>
      <c r="K2670" s="3" t="s">
        <v>22</v>
      </c>
    </row>
    <row r="2671" spans="1:11" ht="42" customHeight="1">
      <c r="A2671" s="2" t="s">
        <v>5879</v>
      </c>
      <c r="B2671" s="2" t="s">
        <v>5879</v>
      </c>
      <c r="C2671" s="2" t="s">
        <v>34</v>
      </c>
      <c r="D2671" s="2" t="s">
        <v>35</v>
      </c>
      <c r="E2671" s="5">
        <v>-31619</v>
      </c>
      <c r="F2671" s="3" t="s">
        <v>749</v>
      </c>
      <c r="G2671" s="3" t="s">
        <v>87</v>
      </c>
      <c r="H2671" s="2" t="s">
        <v>20</v>
      </c>
      <c r="I2671" s="2" t="s">
        <v>5929</v>
      </c>
      <c r="J2671" s="3" t="str">
        <f>HYPERLINK("https://www.boe.es/gazeta/dias/1813/06/05/pdfs/GRE-1813-70.pdf#page=7","Abrir facsímil")</f>
        <v>Abrir facsímil</v>
      </c>
      <c r="K2671" s="3" t="s">
        <v>22</v>
      </c>
    </row>
    <row r="2672" spans="1:11" ht="42" customHeight="1">
      <c r="A2672" s="2" t="s">
        <v>5879</v>
      </c>
      <c r="B2672" s="2" t="s">
        <v>5879</v>
      </c>
      <c r="C2672" s="2" t="s">
        <v>16</v>
      </c>
      <c r="D2672" s="2" t="s">
        <v>17</v>
      </c>
      <c r="E2672" s="5">
        <v>-31618</v>
      </c>
      <c r="F2672" s="3" t="s">
        <v>1057</v>
      </c>
      <c r="G2672" s="3" t="s">
        <v>5916</v>
      </c>
      <c r="H2672" s="2" t="s">
        <v>20</v>
      </c>
      <c r="I2672" s="2" t="s">
        <v>5917</v>
      </c>
      <c r="J2672" s="3" t="str">
        <f>HYPERLINK("https://www.boe.es/gazeta/dias/1813/06/06/pdfs/GRE-1813-56.pdf#page=5","Abrir facsímil")</f>
        <v>Abrir facsímil</v>
      </c>
      <c r="K2672" s="3" t="s">
        <v>22</v>
      </c>
    </row>
    <row r="2673" spans="1:11" ht="42" customHeight="1">
      <c r="A2673" s="2" t="s">
        <v>5879</v>
      </c>
      <c r="B2673" s="2" t="s">
        <v>5879</v>
      </c>
      <c r="C2673" s="2" t="s">
        <v>34</v>
      </c>
      <c r="D2673" s="2" t="s">
        <v>35</v>
      </c>
      <c r="E2673" s="5">
        <v>-31618</v>
      </c>
      <c r="F2673" s="3" t="s">
        <v>1057</v>
      </c>
      <c r="G2673" s="3" t="s">
        <v>1304</v>
      </c>
      <c r="H2673" s="2" t="s">
        <v>20</v>
      </c>
      <c r="I2673" s="2" t="s">
        <v>5918</v>
      </c>
      <c r="J2673" s="3" t="str">
        <f>HYPERLINK("https://www.boe.es/gazeta/dias/1813/06/06/pdfs/GRE-1813-56.pdf#page=6","Abrir facsímil")</f>
        <v>Abrir facsímil</v>
      </c>
      <c r="K2673" s="3" t="s">
        <v>22</v>
      </c>
    </row>
    <row r="2674" spans="1:11" ht="42" customHeight="1">
      <c r="A2674" s="2" t="s">
        <v>5879</v>
      </c>
      <c r="B2674" s="2" t="s">
        <v>5879</v>
      </c>
      <c r="C2674" s="2" t="s">
        <v>16</v>
      </c>
      <c r="D2674" s="2" t="s">
        <v>17</v>
      </c>
      <c r="E2674" s="5">
        <v>-31616</v>
      </c>
      <c r="F2674" s="3" t="s">
        <v>2201</v>
      </c>
      <c r="G2674" s="3" t="s">
        <v>821</v>
      </c>
      <c r="H2674" s="2" t="s">
        <v>20</v>
      </c>
      <c r="I2674" s="2" t="s">
        <v>5930</v>
      </c>
      <c r="J2674" s="3" t="str">
        <f>HYPERLINK("https://www.boe.es/gazeta/dias/1813/06/08/pdfs/GMR-1813-3.pdf#page=13","Abrir facsímil")</f>
        <v>Abrir facsímil</v>
      </c>
      <c r="K2674" s="3" t="s">
        <v>22</v>
      </c>
    </row>
    <row r="2675" spans="1:11" ht="42" customHeight="1">
      <c r="A2675" s="2" t="s">
        <v>5879</v>
      </c>
      <c r="B2675" s="2" t="s">
        <v>5879</v>
      </c>
      <c r="C2675" s="2" t="s">
        <v>16</v>
      </c>
      <c r="D2675" s="2" t="s">
        <v>17</v>
      </c>
      <c r="E2675" s="5">
        <v>-31614</v>
      </c>
      <c r="F2675" s="3" t="s">
        <v>498</v>
      </c>
      <c r="G2675" s="3" t="s">
        <v>87</v>
      </c>
      <c r="H2675" s="2" t="s">
        <v>20</v>
      </c>
      <c r="I2675" s="2" t="s">
        <v>5931</v>
      </c>
      <c r="J2675" s="3" t="str">
        <f>HYPERLINK("https://www.boe.es/gazeta/dias/1813/06/10/pdfs/GRE-1813-72.pdf#page=7","Abrir facsímil")</f>
        <v>Abrir facsímil</v>
      </c>
      <c r="K2675" s="3" t="s">
        <v>22</v>
      </c>
    </row>
    <row r="2676" spans="1:11" ht="42" customHeight="1">
      <c r="A2676" s="2" t="s">
        <v>5879</v>
      </c>
      <c r="B2676" s="2" t="s">
        <v>5879</v>
      </c>
      <c r="C2676" s="2" t="s">
        <v>16</v>
      </c>
      <c r="D2676" s="2" t="s">
        <v>17</v>
      </c>
      <c r="E2676" s="5">
        <v>-31612</v>
      </c>
      <c r="F2676" s="3" t="s">
        <v>5784</v>
      </c>
      <c r="G2676" s="3" t="s">
        <v>82</v>
      </c>
      <c r="H2676" s="2" t="s">
        <v>20</v>
      </c>
      <c r="I2676" s="2" t="s">
        <v>5932</v>
      </c>
      <c r="J2676" s="3" t="str">
        <f>HYPERLINK("https://www.boe.es/gazeta/dias/1813/06/12/pdfs/GRE-1813-73.pdf#page=5","Abrir facsímil")</f>
        <v>Abrir facsímil</v>
      </c>
      <c r="K2676" s="3" t="s">
        <v>22</v>
      </c>
    </row>
    <row r="2677" spans="1:11" ht="42" customHeight="1">
      <c r="A2677" s="2" t="s">
        <v>5879</v>
      </c>
      <c r="B2677" s="2" t="s">
        <v>5879</v>
      </c>
      <c r="C2677" s="2" t="s">
        <v>16</v>
      </c>
      <c r="D2677" s="2" t="s">
        <v>17</v>
      </c>
      <c r="E2677" s="5">
        <v>-31609</v>
      </c>
      <c r="F2677" s="3" t="s">
        <v>711</v>
      </c>
      <c r="G2677" s="3" t="s">
        <v>3485</v>
      </c>
      <c r="H2677" s="2" t="s">
        <v>20</v>
      </c>
      <c r="I2677" s="2" t="s">
        <v>5933</v>
      </c>
      <c r="J2677" s="3" t="str">
        <f>HYPERLINK("https://www.boe.es/gazeta/dias/1813/06/15/pdfs/GMR-1813-6.pdf#page=8","Abrir facsímil")</f>
        <v>Abrir facsímil</v>
      </c>
      <c r="K2677" s="3" t="s">
        <v>22</v>
      </c>
    </row>
    <row r="2678" spans="1:11" ht="42" customHeight="1">
      <c r="A2678" s="2" t="s">
        <v>5879</v>
      </c>
      <c r="B2678" s="2" t="s">
        <v>5879</v>
      </c>
      <c r="C2678" s="2" t="s">
        <v>16</v>
      </c>
      <c r="D2678" s="2" t="s">
        <v>17</v>
      </c>
      <c r="E2678" s="5">
        <v>-31609</v>
      </c>
      <c r="F2678" s="3" t="s">
        <v>711</v>
      </c>
      <c r="G2678" s="3" t="s">
        <v>313</v>
      </c>
      <c r="H2678" s="2" t="s">
        <v>20</v>
      </c>
      <c r="I2678" s="2" t="s">
        <v>5934</v>
      </c>
      <c r="J2678" s="3" t="str">
        <f>HYPERLINK("https://www.boe.es/gazeta/dias/1813/06/15/pdfs/GMR-1813-6.pdf#page=9","Abrir facsímil")</f>
        <v>Abrir facsímil</v>
      </c>
      <c r="K2678" s="3" t="s">
        <v>22</v>
      </c>
    </row>
    <row r="2679" spans="1:11" ht="42" customHeight="1">
      <c r="A2679" s="2" t="s">
        <v>5879</v>
      </c>
      <c r="B2679" s="2" t="s">
        <v>5879</v>
      </c>
      <c r="C2679" s="2" t="s">
        <v>16</v>
      </c>
      <c r="D2679" s="2" t="s">
        <v>17</v>
      </c>
      <c r="E2679" s="5">
        <v>-31607</v>
      </c>
      <c r="F2679" s="3" t="s">
        <v>3370</v>
      </c>
      <c r="G2679" s="3" t="s">
        <v>87</v>
      </c>
      <c r="H2679" s="2" t="s">
        <v>20</v>
      </c>
      <c r="I2679" s="2" t="s">
        <v>5935</v>
      </c>
      <c r="J2679" s="3" t="str">
        <f>HYPERLINK("https://www.boe.es/gazeta/dias/1813/06/17/pdfs/GRE-1813-75.pdf#page=7","Abrir facsímil")</f>
        <v>Abrir facsímil</v>
      </c>
      <c r="K2679" s="3" t="s">
        <v>22</v>
      </c>
    </row>
    <row r="2680" spans="1:11" ht="42" customHeight="1">
      <c r="A2680" s="2" t="s">
        <v>5879</v>
      </c>
      <c r="B2680" s="2" t="s">
        <v>5879</v>
      </c>
      <c r="C2680" s="2" t="s">
        <v>34</v>
      </c>
      <c r="D2680" s="2" t="s">
        <v>35</v>
      </c>
      <c r="E2680" s="5">
        <v>-31602</v>
      </c>
      <c r="F2680" s="3" t="s">
        <v>4545</v>
      </c>
      <c r="G2680" s="3" t="s">
        <v>95</v>
      </c>
      <c r="H2680" s="2" t="s">
        <v>20</v>
      </c>
      <c r="I2680" s="2" t="s">
        <v>5936</v>
      </c>
      <c r="J2680" s="3" t="str">
        <f>HYPERLINK("https://www.boe.es/gazeta/dias/1813/06/22/pdfs/GRE-1813-77.pdf#page=6","Abrir facsímil")</f>
        <v>Abrir facsímil</v>
      </c>
      <c r="K2680" s="3" t="s">
        <v>22</v>
      </c>
    </row>
    <row r="2681" spans="1:11" ht="42" customHeight="1">
      <c r="A2681" s="2" t="s">
        <v>5879</v>
      </c>
      <c r="B2681" s="2" t="s">
        <v>5879</v>
      </c>
      <c r="C2681" s="2" t="s">
        <v>16</v>
      </c>
      <c r="D2681" s="2" t="s">
        <v>17</v>
      </c>
      <c r="E2681" s="5">
        <v>-31600</v>
      </c>
      <c r="F2681" s="3" t="s">
        <v>2121</v>
      </c>
      <c r="G2681" s="3" t="s">
        <v>19</v>
      </c>
      <c r="H2681" s="2" t="s">
        <v>20</v>
      </c>
      <c r="I2681" s="2" t="s">
        <v>5937</v>
      </c>
      <c r="J2681" s="3" t="str">
        <f>HYPERLINK("https://www.boe.es/gazeta/dias/1813/06/24/pdfs/GRE-1813-78.pdf#page=4","Abrir facsímil")</f>
        <v>Abrir facsímil</v>
      </c>
      <c r="K2681" s="3" t="s">
        <v>22</v>
      </c>
    </row>
    <row r="2682" spans="1:11" ht="42" customHeight="1">
      <c r="A2682" s="2" t="s">
        <v>5879</v>
      </c>
      <c r="B2682" s="2" t="s">
        <v>5879</v>
      </c>
      <c r="C2682" s="2" t="s">
        <v>16</v>
      </c>
      <c r="D2682" s="2" t="s">
        <v>17</v>
      </c>
      <c r="E2682" s="5">
        <v>-31600</v>
      </c>
      <c r="F2682" s="3" t="s">
        <v>2121</v>
      </c>
      <c r="G2682" s="3" t="s">
        <v>95</v>
      </c>
      <c r="H2682" s="2" t="s">
        <v>20</v>
      </c>
      <c r="I2682" s="2" t="s">
        <v>5938</v>
      </c>
      <c r="J2682" s="3" t="str">
        <f>HYPERLINK("https://www.boe.es/gazeta/dias/1813/06/24/pdfs/GRE-1813-78.pdf#page=6","Abrir facsímil")</f>
        <v>Abrir facsímil</v>
      </c>
      <c r="K2682" s="3" t="s">
        <v>22</v>
      </c>
    </row>
    <row r="2683" spans="1:11" ht="42" customHeight="1">
      <c r="A2683" s="2" t="s">
        <v>5879</v>
      </c>
      <c r="B2683" s="2" t="s">
        <v>5879</v>
      </c>
      <c r="C2683" s="2" t="s">
        <v>109</v>
      </c>
      <c r="D2683" s="2" t="s">
        <v>26</v>
      </c>
      <c r="E2683" s="5">
        <v>-31595</v>
      </c>
      <c r="F2683" s="3" t="s">
        <v>70</v>
      </c>
      <c r="G2683" s="3" t="s">
        <v>178</v>
      </c>
      <c r="H2683" s="2" t="s">
        <v>20</v>
      </c>
      <c r="I2683" s="2" t="s">
        <v>5939</v>
      </c>
      <c r="J2683" s="3" t="str">
        <f>HYPERLINK("https://www.boe.es/gazeta/dias/1813/06/29/pdfs/GMR-1813-13.pdf#page=11","Abrir facsímil")</f>
        <v>Abrir facsímil</v>
      </c>
      <c r="K2683" s="3" t="s">
        <v>22</v>
      </c>
    </row>
    <row r="2684" spans="1:11" ht="42" customHeight="1">
      <c r="A2684" s="2" t="s">
        <v>5879</v>
      </c>
      <c r="B2684" s="2" t="s">
        <v>5879</v>
      </c>
      <c r="C2684" s="2" t="s">
        <v>16</v>
      </c>
      <c r="D2684" s="2" t="s">
        <v>17</v>
      </c>
      <c r="E2684" s="5">
        <v>-31595</v>
      </c>
      <c r="F2684" s="3" t="s">
        <v>1319</v>
      </c>
      <c r="G2684" s="3" t="s">
        <v>95</v>
      </c>
      <c r="H2684" s="2" t="s">
        <v>20</v>
      </c>
      <c r="I2684" s="2" t="s">
        <v>5940</v>
      </c>
      <c r="J2684" s="3" t="str">
        <f>HYPERLINK("https://www.boe.es/gazeta/dias/1813/06/29/pdfs/GRE-1813-80.pdf#page=6","Abrir facsímil")</f>
        <v>Abrir facsímil</v>
      </c>
      <c r="K2684" s="3" t="s">
        <v>22</v>
      </c>
    </row>
    <row r="2685" spans="1:11" ht="42" customHeight="1">
      <c r="A2685" s="2" t="s">
        <v>5879</v>
      </c>
      <c r="B2685" s="2" t="s">
        <v>5879</v>
      </c>
      <c r="C2685" s="2" t="s">
        <v>16</v>
      </c>
      <c r="D2685" s="2" t="s">
        <v>17</v>
      </c>
      <c r="E2685" s="5">
        <v>-31595</v>
      </c>
      <c r="F2685" s="3" t="s">
        <v>1319</v>
      </c>
      <c r="G2685" s="3" t="s">
        <v>87</v>
      </c>
      <c r="H2685" s="2" t="s">
        <v>20</v>
      </c>
      <c r="I2685" s="2" t="s">
        <v>5941</v>
      </c>
      <c r="J2685" s="3" t="str">
        <f>HYPERLINK("https://www.boe.es/gazeta/dias/1813/06/29/pdfs/GRE-1813-80.pdf#page=7","Abrir facsímil")</f>
        <v>Abrir facsímil</v>
      </c>
      <c r="K2685" s="3" t="s">
        <v>22</v>
      </c>
    </row>
    <row r="2686" spans="1:11" ht="42" customHeight="1">
      <c r="A2686" s="2" t="s">
        <v>5879</v>
      </c>
      <c r="B2686" s="2" t="s">
        <v>5879</v>
      </c>
      <c r="C2686" s="2" t="s">
        <v>16</v>
      </c>
      <c r="D2686" s="2" t="s">
        <v>17</v>
      </c>
      <c r="E2686" s="5">
        <v>-31593</v>
      </c>
      <c r="F2686" s="3" t="s">
        <v>5942</v>
      </c>
      <c r="G2686" s="3" t="s">
        <v>54</v>
      </c>
      <c r="H2686" s="2" t="s">
        <v>20</v>
      </c>
      <c r="I2686" s="2" t="s">
        <v>5943</v>
      </c>
      <c r="J2686" s="3" t="str">
        <f>HYPERLINK("https://www.boe.es/gazeta/dias/1813/07/01/pdfs/GRE-1813-81.pdf#page=3","Abrir facsímil")</f>
        <v>Abrir facsímil</v>
      </c>
      <c r="K2686" s="3" t="s">
        <v>22</v>
      </c>
    </row>
    <row r="2687" spans="1:11" ht="42" customHeight="1">
      <c r="A2687" s="2" t="s">
        <v>5879</v>
      </c>
      <c r="B2687" s="2" t="s">
        <v>5879</v>
      </c>
      <c r="C2687" s="2" t="s">
        <v>16</v>
      </c>
      <c r="D2687" s="2" t="s">
        <v>17</v>
      </c>
      <c r="E2687" s="5">
        <v>-31592</v>
      </c>
      <c r="F2687" s="3" t="s">
        <v>1538</v>
      </c>
      <c r="G2687" s="3" t="s">
        <v>178</v>
      </c>
      <c r="H2687" s="2" t="s">
        <v>20</v>
      </c>
      <c r="I2687" s="2" t="s">
        <v>5944</v>
      </c>
      <c r="J2687" s="3" t="str">
        <f>HYPERLINK("https://www.boe.es/gazeta/dias/1813/07/02/pdfs/GMR-1813-14.pdf#page=11","Abrir facsímil")</f>
        <v>Abrir facsímil</v>
      </c>
      <c r="K2687" s="3" t="s">
        <v>22</v>
      </c>
    </row>
    <row r="2688" spans="1:11" ht="42" customHeight="1">
      <c r="A2688" s="2" t="s">
        <v>5879</v>
      </c>
      <c r="B2688" s="2" t="s">
        <v>5879</v>
      </c>
      <c r="C2688" s="2" t="s">
        <v>16</v>
      </c>
      <c r="D2688" s="2" t="s">
        <v>17</v>
      </c>
      <c r="E2688" s="5">
        <v>-31588</v>
      </c>
      <c r="F2688" s="3" t="s">
        <v>2402</v>
      </c>
      <c r="G2688" s="3" t="s">
        <v>3624</v>
      </c>
      <c r="H2688" s="2" t="s">
        <v>20</v>
      </c>
      <c r="I2688" s="2" t="s">
        <v>5945</v>
      </c>
      <c r="J2688" s="3" t="str">
        <f>HYPERLINK("https://www.boe.es/gazeta/dias/1813/07/06/pdfs/GRE-1813-84.pdf#page=5","Abrir facsímil")</f>
        <v>Abrir facsímil</v>
      </c>
      <c r="K2688" s="3" t="s">
        <v>22</v>
      </c>
    </row>
    <row r="2689" spans="1:11" ht="42" customHeight="1">
      <c r="A2689" s="2" t="s">
        <v>5879</v>
      </c>
      <c r="B2689" s="2" t="s">
        <v>5879</v>
      </c>
      <c r="C2689" s="2" t="s">
        <v>16</v>
      </c>
      <c r="D2689" s="2" t="s">
        <v>17</v>
      </c>
      <c r="E2689" s="5">
        <v>-31584</v>
      </c>
      <c r="F2689" s="3" t="s">
        <v>114</v>
      </c>
      <c r="G2689" s="3" t="s">
        <v>28</v>
      </c>
      <c r="H2689" s="2" t="s">
        <v>20</v>
      </c>
      <c r="I2689" s="2" t="s">
        <v>5946</v>
      </c>
      <c r="J2689" s="3" t="str">
        <f>HYPERLINK("https://www.boe.es/gazeta/dias/1813/07/10/pdfs/GRE-1813-86.pdf#page=8","Abrir facsímil")</f>
        <v>Abrir facsímil</v>
      </c>
      <c r="K2689" s="3" t="s">
        <v>22</v>
      </c>
    </row>
    <row r="2690" spans="1:11" ht="42" customHeight="1">
      <c r="A2690" s="2" t="s">
        <v>5879</v>
      </c>
      <c r="B2690" s="2" t="s">
        <v>5879</v>
      </c>
      <c r="C2690" s="2" t="s">
        <v>16</v>
      </c>
      <c r="D2690" s="2" t="s">
        <v>17</v>
      </c>
      <c r="E2690" s="5">
        <v>-31581</v>
      </c>
      <c r="F2690" s="3" t="s">
        <v>1321</v>
      </c>
      <c r="G2690" s="3" t="s">
        <v>258</v>
      </c>
      <c r="H2690" s="2" t="s">
        <v>20</v>
      </c>
      <c r="I2690" s="2" t="s">
        <v>5947</v>
      </c>
      <c r="J2690" s="3" t="str">
        <f>HYPERLINK("https://www.boe.es/gazeta/dias/1813/07/13/pdfs/GMR-1813-17.pdf#page=12","Abrir facsímil")</f>
        <v>Abrir facsímil</v>
      </c>
      <c r="K2690" s="3" t="s">
        <v>22</v>
      </c>
    </row>
    <row r="2691" spans="1:11" ht="42" customHeight="1">
      <c r="A2691" s="2" t="s">
        <v>5879</v>
      </c>
      <c r="B2691" s="2" t="s">
        <v>5879</v>
      </c>
      <c r="C2691" s="2" t="s">
        <v>16</v>
      </c>
      <c r="D2691" s="2" t="s">
        <v>17</v>
      </c>
      <c r="E2691" s="5">
        <v>-31572</v>
      </c>
      <c r="F2691" s="3" t="s">
        <v>317</v>
      </c>
      <c r="G2691" s="3" t="s">
        <v>28</v>
      </c>
      <c r="H2691" s="2" t="s">
        <v>20</v>
      </c>
      <c r="I2691" s="2" t="s">
        <v>5948</v>
      </c>
      <c r="J2691" s="3" t="str">
        <f>HYPERLINK("https://www.boe.es/gazeta/dias/1813/07/22/pdfs/GRE-1813-93.pdf#page=8","Abrir facsímil")</f>
        <v>Abrir facsímil</v>
      </c>
      <c r="K2691" s="3" t="s">
        <v>22</v>
      </c>
    </row>
    <row r="2692" spans="1:11" ht="42" customHeight="1">
      <c r="A2692" s="2" t="s">
        <v>5879</v>
      </c>
      <c r="B2692" s="2" t="s">
        <v>5879</v>
      </c>
      <c r="C2692" s="2" t="s">
        <v>16</v>
      </c>
      <c r="D2692" s="2" t="s">
        <v>17</v>
      </c>
      <c r="E2692" s="5">
        <v>-31567</v>
      </c>
      <c r="F2692" s="3" t="s">
        <v>820</v>
      </c>
      <c r="G2692" s="3" t="s">
        <v>821</v>
      </c>
      <c r="H2692" s="2" t="s">
        <v>20</v>
      </c>
      <c r="I2692" s="2" t="s">
        <v>5949</v>
      </c>
      <c r="J2692" s="3" t="str">
        <f>HYPERLINK("https://www.boe.es/gazeta/dias/1813/07/27/pdfs/GMR-1813-21.pdf#page=13","Abrir facsímil")</f>
        <v>Abrir facsímil</v>
      </c>
      <c r="K2692" s="3" t="s">
        <v>22</v>
      </c>
    </row>
    <row r="2693" spans="1:11" ht="42" customHeight="1">
      <c r="A2693" s="2" t="s">
        <v>5879</v>
      </c>
      <c r="B2693" s="2" t="s">
        <v>5879</v>
      </c>
      <c r="C2693" s="2" t="s">
        <v>16</v>
      </c>
      <c r="D2693" s="2" t="s">
        <v>17</v>
      </c>
      <c r="E2693" s="5">
        <v>-31567</v>
      </c>
      <c r="F2693" s="3" t="s">
        <v>1471</v>
      </c>
      <c r="G2693" s="3" t="s">
        <v>95</v>
      </c>
      <c r="H2693" s="2" t="s">
        <v>20</v>
      </c>
      <c r="I2693" s="2" t="s">
        <v>5950</v>
      </c>
      <c r="J2693" s="3" t="str">
        <f>HYPERLINK("https://www.boe.es/gazeta/dias/1813/07/27/pdfs/GRE-1813-95.pdf#page=6","Abrir facsímil")</f>
        <v>Abrir facsímil</v>
      </c>
      <c r="K2693" s="3" t="s">
        <v>22</v>
      </c>
    </row>
    <row r="2694" spans="1:11" ht="42" customHeight="1">
      <c r="A2694" s="2" t="s">
        <v>5879</v>
      </c>
      <c r="B2694" s="2" t="s">
        <v>5879</v>
      </c>
      <c r="C2694" s="2" t="s">
        <v>16</v>
      </c>
      <c r="D2694" s="2" t="s">
        <v>17</v>
      </c>
      <c r="E2694" s="5">
        <v>-31565</v>
      </c>
      <c r="F2694" s="3" t="s">
        <v>306</v>
      </c>
      <c r="G2694" s="3" t="s">
        <v>87</v>
      </c>
      <c r="H2694" s="2" t="s">
        <v>20</v>
      </c>
      <c r="I2694" s="2" t="s">
        <v>5951</v>
      </c>
      <c r="J2694" s="3" t="str">
        <f>HYPERLINK("https://www.boe.es/gazeta/dias/1813/07/29/pdfs/GRE-1813-96.pdf#page=7","Abrir facsímil")</f>
        <v>Abrir facsímil</v>
      </c>
      <c r="K2694" s="3" t="s">
        <v>22</v>
      </c>
    </row>
    <row r="2695" spans="1:11" ht="42" customHeight="1">
      <c r="A2695" s="2" t="s">
        <v>5879</v>
      </c>
      <c r="B2695" s="2" t="s">
        <v>5879</v>
      </c>
      <c r="C2695" s="2" t="s">
        <v>16</v>
      </c>
      <c r="D2695" s="2" t="s">
        <v>17</v>
      </c>
      <c r="E2695" s="5">
        <v>-31564</v>
      </c>
      <c r="F2695" s="3" t="s">
        <v>206</v>
      </c>
      <c r="G2695" s="3" t="s">
        <v>207</v>
      </c>
      <c r="H2695" s="2" t="s">
        <v>20</v>
      </c>
      <c r="I2695" s="2" t="s">
        <v>5952</v>
      </c>
      <c r="J2695" s="3" t="str">
        <f>HYPERLINK("https://www.boe.es/gazeta/dias/1813/07/30/pdfs/GMR-1813-22.pdf#page=10","Abrir facsímil")</f>
        <v>Abrir facsímil</v>
      </c>
      <c r="K2695" s="3" t="s">
        <v>22</v>
      </c>
    </row>
    <row r="2696" spans="1:11" ht="42" customHeight="1">
      <c r="A2696" s="2" t="s">
        <v>5879</v>
      </c>
      <c r="B2696" s="2" t="s">
        <v>5879</v>
      </c>
      <c r="C2696" s="2" t="s">
        <v>16</v>
      </c>
      <c r="D2696" s="2" t="s">
        <v>17</v>
      </c>
      <c r="E2696" s="5">
        <v>-31563</v>
      </c>
      <c r="F2696" s="3" t="s">
        <v>1267</v>
      </c>
      <c r="G2696" s="3" t="s">
        <v>87</v>
      </c>
      <c r="H2696" s="2" t="s">
        <v>20</v>
      </c>
      <c r="I2696" s="2" t="s">
        <v>5953</v>
      </c>
      <c r="J2696" s="3" t="str">
        <f>HYPERLINK("https://www.boe.es/gazeta/dias/1813/07/31/pdfs/GRE-1813-97.pdf#page=7","Abrir facsímil")</f>
        <v>Abrir facsímil</v>
      </c>
      <c r="K2696" s="3" t="s">
        <v>22</v>
      </c>
    </row>
    <row r="2697" spans="1:11" ht="42" customHeight="1">
      <c r="A2697" s="2" t="s">
        <v>5879</v>
      </c>
      <c r="B2697" s="2" t="s">
        <v>5879</v>
      </c>
      <c r="C2697" s="2" t="s">
        <v>435</v>
      </c>
      <c r="D2697" s="2" t="s">
        <v>26</v>
      </c>
      <c r="E2697" s="5">
        <v>-31560</v>
      </c>
      <c r="F2697" s="3" t="s">
        <v>1233</v>
      </c>
      <c r="G2697" s="3" t="s">
        <v>82</v>
      </c>
      <c r="H2697" s="2" t="s">
        <v>20</v>
      </c>
      <c r="I2697" s="2" t="s">
        <v>5954</v>
      </c>
      <c r="J2697" s="3" t="str">
        <f>HYPERLINK("https://www.boe.es/gazeta/dias/1813/08/03/pdfs/GMR-1813-23.pdf#page=5","Abrir facsímil")</f>
        <v>Abrir facsímil</v>
      </c>
      <c r="K2697" s="3" t="s">
        <v>22</v>
      </c>
    </row>
    <row r="2698" spans="1:11" ht="42" customHeight="1">
      <c r="A2698" s="2" t="s">
        <v>5879</v>
      </c>
      <c r="B2698" s="2" t="s">
        <v>5879</v>
      </c>
      <c r="C2698" s="2" t="s">
        <v>16</v>
      </c>
      <c r="D2698" s="2" t="s">
        <v>17</v>
      </c>
      <c r="E2698" s="5">
        <v>-31560</v>
      </c>
      <c r="F2698" s="3" t="s">
        <v>590</v>
      </c>
      <c r="G2698" s="3" t="s">
        <v>82</v>
      </c>
      <c r="H2698" s="2" t="s">
        <v>20</v>
      </c>
      <c r="I2698" s="2" t="s">
        <v>5955</v>
      </c>
      <c r="J2698" s="3" t="str">
        <f>HYPERLINK("https://www.boe.es/gazeta/dias/1813/08/03/pdfs/GRE-1813-98.pdf#page=5","Abrir facsímil")</f>
        <v>Abrir facsímil</v>
      </c>
      <c r="K2698" s="3" t="s">
        <v>22</v>
      </c>
    </row>
    <row r="2699" spans="1:11" ht="42" customHeight="1">
      <c r="A2699" s="2" t="s">
        <v>5879</v>
      </c>
      <c r="B2699" s="2" t="s">
        <v>5879</v>
      </c>
      <c r="C2699" s="2" t="s">
        <v>16</v>
      </c>
      <c r="D2699" s="2" t="s">
        <v>17</v>
      </c>
      <c r="E2699" s="5">
        <v>-31560</v>
      </c>
      <c r="F2699" s="3" t="s">
        <v>590</v>
      </c>
      <c r="G2699" s="3" t="s">
        <v>95</v>
      </c>
      <c r="H2699" s="2" t="s">
        <v>20</v>
      </c>
      <c r="I2699" s="2" t="s">
        <v>5956</v>
      </c>
      <c r="J2699" s="3" t="str">
        <f>HYPERLINK("https://www.boe.es/gazeta/dias/1813/08/03/pdfs/GRE-1813-98.pdf#page=6","Abrir facsímil")</f>
        <v>Abrir facsímil</v>
      </c>
      <c r="K2699" s="3" t="s">
        <v>22</v>
      </c>
    </row>
    <row r="2700" spans="1:11" ht="42" customHeight="1">
      <c r="A2700" s="2" t="s">
        <v>5879</v>
      </c>
      <c r="B2700" s="2" t="s">
        <v>5879</v>
      </c>
      <c r="C2700" s="2" t="s">
        <v>34</v>
      </c>
      <c r="D2700" s="2" t="s">
        <v>35</v>
      </c>
      <c r="E2700" s="5">
        <v>-31553</v>
      </c>
      <c r="F2700" s="3" t="s">
        <v>1853</v>
      </c>
      <c r="G2700" s="3" t="s">
        <v>95</v>
      </c>
      <c r="H2700" s="2" t="s">
        <v>20</v>
      </c>
      <c r="I2700" s="2" t="s">
        <v>5957</v>
      </c>
      <c r="J2700" s="3" t="str">
        <f>HYPERLINK("https://www.boe.es/gazeta/dias/1813/08/10/pdfs/GMR-1813-26.pdf#page=6","Abrir facsímil")</f>
        <v>Abrir facsímil</v>
      </c>
      <c r="K2700" s="3" t="s">
        <v>22</v>
      </c>
    </row>
    <row r="2701" spans="1:11" ht="42" customHeight="1">
      <c r="A2701" s="2" t="s">
        <v>5879</v>
      </c>
      <c r="B2701" s="2" t="s">
        <v>5879</v>
      </c>
      <c r="C2701" s="2" t="s">
        <v>16</v>
      </c>
      <c r="D2701" s="2" t="s">
        <v>17</v>
      </c>
      <c r="E2701" s="5">
        <v>-31551</v>
      </c>
      <c r="F2701" s="3" t="s">
        <v>954</v>
      </c>
      <c r="G2701" s="3" t="s">
        <v>87</v>
      </c>
      <c r="H2701" s="2" t="s">
        <v>20</v>
      </c>
      <c r="I2701" s="2" t="s">
        <v>5958</v>
      </c>
      <c r="J2701" s="3" t="str">
        <f>HYPERLINK("https://www.boe.es/gazeta/dias/1813/08/12/pdfs/GMR-1813-27.pdf#page=7","Abrir facsímil")</f>
        <v>Abrir facsímil</v>
      </c>
      <c r="K2701" s="3" t="s">
        <v>22</v>
      </c>
    </row>
    <row r="2702" spans="1:11" ht="42" customHeight="1">
      <c r="A2702" s="2" t="s">
        <v>5879</v>
      </c>
      <c r="B2702" s="2" t="s">
        <v>5879</v>
      </c>
      <c r="C2702" s="2" t="s">
        <v>109</v>
      </c>
      <c r="D2702" s="2" t="s">
        <v>26</v>
      </c>
      <c r="E2702" s="5">
        <v>-31551</v>
      </c>
      <c r="F2702" s="3" t="s">
        <v>4349</v>
      </c>
      <c r="G2702" s="3" t="s">
        <v>82</v>
      </c>
      <c r="H2702" s="2" t="s">
        <v>20</v>
      </c>
      <c r="I2702" s="2" t="s">
        <v>5959</v>
      </c>
      <c r="J2702" s="3" t="str">
        <f>HYPERLINK("https://www.boe.es/gazeta/dias/1813/08/12/pdfs/GRE-1813-102.pdf#page=5","Abrir facsímil")</f>
        <v>Abrir facsímil</v>
      </c>
      <c r="K2702" s="3" t="s">
        <v>22</v>
      </c>
    </row>
    <row r="2703" spans="1:11" ht="42" customHeight="1">
      <c r="A2703" s="2" t="s">
        <v>5879</v>
      </c>
      <c r="B2703" s="2" t="s">
        <v>5879</v>
      </c>
      <c r="C2703" s="2" t="s">
        <v>16</v>
      </c>
      <c r="D2703" s="2" t="s">
        <v>17</v>
      </c>
      <c r="E2703" s="5">
        <v>-31549</v>
      </c>
      <c r="F2703" s="3" t="s">
        <v>294</v>
      </c>
      <c r="G2703" s="3" t="s">
        <v>28</v>
      </c>
      <c r="H2703" s="2" t="s">
        <v>20</v>
      </c>
      <c r="I2703" s="2" t="s">
        <v>5960</v>
      </c>
      <c r="J2703" s="3" t="str">
        <f>HYPERLINK("https://www.boe.es/gazeta/dias/1813/08/14/pdfs/GRE-1813-103.pdf#page=8","Abrir facsímil")</f>
        <v>Abrir facsímil</v>
      </c>
      <c r="K2703" s="3" t="s">
        <v>22</v>
      </c>
    </row>
    <row r="2704" spans="1:11" ht="42" customHeight="1">
      <c r="A2704" s="2" t="s">
        <v>5879</v>
      </c>
      <c r="B2704" s="2" t="s">
        <v>5879</v>
      </c>
      <c r="C2704" s="2" t="s">
        <v>16</v>
      </c>
      <c r="D2704" s="2" t="s">
        <v>17</v>
      </c>
      <c r="E2704" s="5">
        <v>-31546</v>
      </c>
      <c r="F2704" s="3" t="s">
        <v>461</v>
      </c>
      <c r="G2704" s="3" t="s">
        <v>87</v>
      </c>
      <c r="H2704" s="2" t="s">
        <v>20</v>
      </c>
      <c r="I2704" s="2" t="s">
        <v>5961</v>
      </c>
      <c r="J2704" s="3" t="str">
        <f>HYPERLINK("https://www.boe.es/gazeta/dias/1813/08/17/pdfs/GMR-1813-29.pdf#page=7","Abrir facsímil")</f>
        <v>Abrir facsímil</v>
      </c>
      <c r="K2704" s="3" t="s">
        <v>22</v>
      </c>
    </row>
    <row r="2705" spans="1:11" ht="42" customHeight="1">
      <c r="A2705" s="2" t="s">
        <v>5879</v>
      </c>
      <c r="B2705" s="2" t="s">
        <v>5879</v>
      </c>
      <c r="C2705" s="2" t="s">
        <v>16</v>
      </c>
      <c r="D2705" s="2" t="s">
        <v>17</v>
      </c>
      <c r="E2705" s="5">
        <v>-31542</v>
      </c>
      <c r="F2705" s="3" t="s">
        <v>347</v>
      </c>
      <c r="G2705" s="3" t="s">
        <v>87</v>
      </c>
      <c r="H2705" s="2" t="s">
        <v>20</v>
      </c>
      <c r="I2705" s="2" t="s">
        <v>5962</v>
      </c>
      <c r="J2705" s="3" t="str">
        <f>HYPERLINK("https://www.boe.es/gazeta/dias/1813/08/21/pdfs/GMR-1813-31.pdf#page=7","Abrir facsímil")</f>
        <v>Abrir facsímil</v>
      </c>
      <c r="K2705" s="3" t="s">
        <v>22</v>
      </c>
    </row>
    <row r="2706" spans="1:11" ht="42" customHeight="1">
      <c r="A2706" s="2" t="s">
        <v>5879</v>
      </c>
      <c r="B2706" s="2" t="s">
        <v>5879</v>
      </c>
      <c r="C2706" s="2" t="s">
        <v>16</v>
      </c>
      <c r="D2706" s="2" t="s">
        <v>17</v>
      </c>
      <c r="E2706" s="5">
        <v>-31539</v>
      </c>
      <c r="F2706" s="3" t="s">
        <v>1220</v>
      </c>
      <c r="G2706" s="3" t="s">
        <v>95</v>
      </c>
      <c r="H2706" s="2" t="s">
        <v>20</v>
      </c>
      <c r="I2706" s="2" t="s">
        <v>5963</v>
      </c>
      <c r="J2706" s="3" t="str">
        <f>HYPERLINK("https://www.boe.es/gazeta/dias/1813/08/24/pdfs/GRE-1813-108.pdf#page=6","Abrir facsímil")</f>
        <v>Abrir facsímil</v>
      </c>
      <c r="K2706" s="3" t="s">
        <v>22</v>
      </c>
    </row>
    <row r="2707" spans="1:11" ht="42" customHeight="1">
      <c r="A2707" s="2" t="s">
        <v>5879</v>
      </c>
      <c r="B2707" s="2" t="s">
        <v>5879</v>
      </c>
      <c r="C2707" s="2" t="s">
        <v>16</v>
      </c>
      <c r="D2707" s="2" t="s">
        <v>17</v>
      </c>
      <c r="E2707" s="5">
        <v>-31537</v>
      </c>
      <c r="F2707" s="3" t="s">
        <v>5241</v>
      </c>
      <c r="G2707" s="3" t="s">
        <v>28</v>
      </c>
      <c r="H2707" s="2" t="s">
        <v>20</v>
      </c>
      <c r="I2707" s="2" t="s">
        <v>5964</v>
      </c>
      <c r="J2707" s="3" t="str">
        <f>HYPERLINK("https://www.boe.es/gazeta/dias/1813/08/26/pdfs/GRE-1813-109.pdf#page=8","Abrir facsímil")</f>
        <v>Abrir facsímil</v>
      </c>
      <c r="K2707" s="3" t="s">
        <v>22</v>
      </c>
    </row>
    <row r="2708" spans="1:11" ht="42" customHeight="1">
      <c r="A2708" s="2" t="s">
        <v>5879</v>
      </c>
      <c r="B2708" s="2" t="s">
        <v>5879</v>
      </c>
      <c r="C2708" s="2" t="s">
        <v>16</v>
      </c>
      <c r="D2708" s="2" t="s">
        <v>17</v>
      </c>
      <c r="E2708" s="5">
        <v>-31535</v>
      </c>
      <c r="F2708" s="3" t="s">
        <v>894</v>
      </c>
      <c r="G2708" s="3" t="s">
        <v>87</v>
      </c>
      <c r="H2708" s="2" t="s">
        <v>20</v>
      </c>
      <c r="I2708" s="2" t="s">
        <v>5965</v>
      </c>
      <c r="J2708" s="3" t="str">
        <f>HYPERLINK("https://www.boe.es/gazeta/dias/1813/08/28/pdfs/GMR-1813-34.pdf#page=7","Abrir facsímil")</f>
        <v>Abrir facsímil</v>
      </c>
      <c r="K2708" s="3" t="s">
        <v>22</v>
      </c>
    </row>
    <row r="2709" spans="1:11" ht="42" customHeight="1">
      <c r="A2709" s="2" t="s">
        <v>5879</v>
      </c>
      <c r="B2709" s="2" t="s">
        <v>5879</v>
      </c>
      <c r="C2709" s="2" t="s">
        <v>16</v>
      </c>
      <c r="D2709" s="2" t="s">
        <v>17</v>
      </c>
      <c r="E2709" s="5">
        <v>-31535</v>
      </c>
      <c r="F2709" s="3" t="s">
        <v>366</v>
      </c>
      <c r="G2709" s="3" t="s">
        <v>87</v>
      </c>
      <c r="H2709" s="2" t="s">
        <v>20</v>
      </c>
      <c r="I2709" s="2" t="s">
        <v>5966</v>
      </c>
      <c r="J2709" s="3" t="str">
        <f>HYPERLINK("https://www.boe.es/gazeta/dias/1813/08/28/pdfs/GRE-1813-110.pdf#page=7","Abrir facsímil")</f>
        <v>Abrir facsímil</v>
      </c>
      <c r="K2709" s="3" t="s">
        <v>22</v>
      </c>
    </row>
    <row r="2710" spans="1:11" ht="42" customHeight="1">
      <c r="A2710" s="2" t="s">
        <v>5879</v>
      </c>
      <c r="B2710" s="2" t="s">
        <v>5879</v>
      </c>
      <c r="C2710" s="2" t="s">
        <v>435</v>
      </c>
      <c r="D2710" s="2" t="s">
        <v>26</v>
      </c>
      <c r="E2710" s="5">
        <v>-31532</v>
      </c>
      <c r="F2710" s="3" t="s">
        <v>1728</v>
      </c>
      <c r="G2710" s="3" t="s">
        <v>54</v>
      </c>
      <c r="H2710" s="2" t="s">
        <v>20</v>
      </c>
      <c r="I2710" s="2" t="s">
        <v>5967</v>
      </c>
      <c r="J2710" s="3" t="str">
        <f>HYPERLINK("https://www.boe.es/gazeta/dias/1813/08/31/pdfs/GMR-1813-35.pdf#page=3","Abrir facsímil")</f>
        <v>Abrir facsímil</v>
      </c>
      <c r="K2710" s="3" t="s">
        <v>22</v>
      </c>
    </row>
    <row r="2711" spans="1:11" ht="42" customHeight="1">
      <c r="A2711" s="2" t="s">
        <v>5879</v>
      </c>
      <c r="B2711" s="2" t="s">
        <v>5879</v>
      </c>
      <c r="C2711" s="2" t="s">
        <v>16</v>
      </c>
      <c r="D2711" s="2" t="s">
        <v>17</v>
      </c>
      <c r="E2711" s="5">
        <v>-31532</v>
      </c>
      <c r="F2711" s="3" t="s">
        <v>215</v>
      </c>
      <c r="G2711" s="3" t="s">
        <v>28</v>
      </c>
      <c r="H2711" s="2" t="s">
        <v>20</v>
      </c>
      <c r="I2711" s="2" t="s">
        <v>5968</v>
      </c>
      <c r="J2711" s="3" t="str">
        <f>HYPERLINK("https://www.boe.es/gazeta/dias/1813/08/31/pdfs/GRE-1813-111.pdf#page=8","Abrir facsímil")</f>
        <v>Abrir facsímil</v>
      </c>
      <c r="K2711" s="3" t="s">
        <v>22</v>
      </c>
    </row>
    <row r="2712" spans="1:11" ht="42" customHeight="1">
      <c r="A2712" s="2" t="s">
        <v>5879</v>
      </c>
      <c r="B2712" s="2" t="s">
        <v>5879</v>
      </c>
      <c r="C2712" s="2" t="s">
        <v>16</v>
      </c>
      <c r="D2712" s="2" t="s">
        <v>17</v>
      </c>
      <c r="E2712" s="5">
        <v>-31521</v>
      </c>
      <c r="F2712" s="3" t="s">
        <v>1256</v>
      </c>
      <c r="G2712" s="3" t="s">
        <v>19</v>
      </c>
      <c r="H2712" s="2" t="s">
        <v>20</v>
      </c>
      <c r="I2712" s="2" t="s">
        <v>5969</v>
      </c>
      <c r="J2712" s="3" t="str">
        <f>HYPERLINK("https://www.boe.es/gazeta/dias/1813/09/11/pdfs/GRE-1813-116.pdf#page=4","Abrir facsímil")</f>
        <v>Abrir facsímil</v>
      </c>
      <c r="K2712" s="3" t="s">
        <v>22</v>
      </c>
    </row>
    <row r="2713" spans="1:11" ht="42" customHeight="1">
      <c r="A2713" s="2" t="s">
        <v>5879</v>
      </c>
      <c r="B2713" s="2" t="s">
        <v>5879</v>
      </c>
      <c r="C2713" s="2" t="s">
        <v>16</v>
      </c>
      <c r="D2713" s="2" t="s">
        <v>17</v>
      </c>
      <c r="E2713" s="5">
        <v>-31514</v>
      </c>
      <c r="F2713" s="3" t="s">
        <v>1095</v>
      </c>
      <c r="G2713" s="3" t="s">
        <v>95</v>
      </c>
      <c r="H2713" s="2" t="s">
        <v>20</v>
      </c>
      <c r="I2713" s="2" t="s">
        <v>5970</v>
      </c>
      <c r="J2713" s="3" t="str">
        <f>HYPERLINK("https://www.boe.es/gazeta/dias/1813/09/18/pdfs/GRE-1813-121.pdf#page=6","Abrir facsímil")</f>
        <v>Abrir facsímil</v>
      </c>
      <c r="K2713" s="3" t="s">
        <v>22</v>
      </c>
    </row>
    <row r="2714" spans="1:11" ht="42" customHeight="1">
      <c r="A2714" s="2" t="s">
        <v>5879</v>
      </c>
      <c r="B2714" s="2" t="s">
        <v>5879</v>
      </c>
      <c r="C2714" s="2" t="s">
        <v>16</v>
      </c>
      <c r="D2714" s="2" t="s">
        <v>17</v>
      </c>
      <c r="E2714" s="5">
        <v>-31511</v>
      </c>
      <c r="F2714" s="3" t="s">
        <v>2149</v>
      </c>
      <c r="G2714" s="3" t="s">
        <v>54</v>
      </c>
      <c r="H2714" s="2" t="s">
        <v>20</v>
      </c>
      <c r="I2714" s="2" t="s">
        <v>5971</v>
      </c>
      <c r="J2714" s="3" t="str">
        <f>HYPERLINK("https://www.boe.es/gazeta/dias/1813/09/21/pdfs/GRE-1813-122.pdf#page=3","Abrir facsímil")</f>
        <v>Abrir facsímil</v>
      </c>
      <c r="K2714" s="3" t="s">
        <v>22</v>
      </c>
    </row>
    <row r="2715" spans="1:11" ht="42" customHeight="1">
      <c r="A2715" s="2" t="s">
        <v>5879</v>
      </c>
      <c r="B2715" s="2" t="s">
        <v>5879</v>
      </c>
      <c r="C2715" s="2" t="s">
        <v>16</v>
      </c>
      <c r="D2715" s="2" t="s">
        <v>97</v>
      </c>
      <c r="E2715" s="5">
        <v>-31511</v>
      </c>
      <c r="F2715" s="3" t="s">
        <v>3791</v>
      </c>
      <c r="G2715" s="3" t="s">
        <v>65</v>
      </c>
      <c r="H2715" s="2" t="s">
        <v>20</v>
      </c>
      <c r="I2715" s="2" t="s">
        <v>5972</v>
      </c>
      <c r="J2715" s="3" t="str">
        <f>HYPERLINK("https://www.boe.es/gazeta/dias/1813/09/21/pdfs/GRE-1813-124E.pdf#page=1","Abrir facsímil")</f>
        <v>Abrir facsímil</v>
      </c>
      <c r="K2715" s="3" t="s">
        <v>22</v>
      </c>
    </row>
    <row r="2716" spans="1:11" ht="42" customHeight="1">
      <c r="A2716" s="2" t="s">
        <v>5879</v>
      </c>
      <c r="B2716" s="2" t="s">
        <v>5879</v>
      </c>
      <c r="C2716" s="2" t="s">
        <v>16</v>
      </c>
      <c r="D2716" s="2" t="s">
        <v>17</v>
      </c>
      <c r="E2716" s="5">
        <v>-31504</v>
      </c>
      <c r="F2716" s="3" t="s">
        <v>192</v>
      </c>
      <c r="G2716" s="3" t="s">
        <v>95</v>
      </c>
      <c r="H2716" s="2" t="s">
        <v>20</v>
      </c>
      <c r="I2716" s="2" t="s">
        <v>5973</v>
      </c>
      <c r="J2716" s="3" t="str">
        <f>HYPERLINK("https://www.boe.es/gazeta/dias/1813/09/28/pdfs/GRE-1813-127.pdf#page=6","Abrir facsímil")</f>
        <v>Abrir facsímil</v>
      </c>
      <c r="K2716" s="3" t="s">
        <v>22</v>
      </c>
    </row>
    <row r="2717" spans="1:11" ht="42" customHeight="1">
      <c r="A2717" s="2" t="s">
        <v>5879</v>
      </c>
      <c r="B2717" s="2" t="s">
        <v>5879</v>
      </c>
      <c r="C2717" s="2" t="s">
        <v>16</v>
      </c>
      <c r="D2717" s="2" t="s">
        <v>17</v>
      </c>
      <c r="E2717" s="5">
        <v>-31504</v>
      </c>
      <c r="F2717" s="3" t="s">
        <v>192</v>
      </c>
      <c r="G2717" s="3" t="s">
        <v>87</v>
      </c>
      <c r="H2717" s="2" t="s">
        <v>20</v>
      </c>
      <c r="I2717" s="2" t="s">
        <v>5974</v>
      </c>
      <c r="J2717" s="3" t="str">
        <f>HYPERLINK("https://www.boe.es/gazeta/dias/1813/09/28/pdfs/GRE-1813-127.pdf#page=7","Abrir facsímil")</f>
        <v>Abrir facsímil</v>
      </c>
      <c r="K2717" s="3" t="s">
        <v>22</v>
      </c>
    </row>
    <row r="2718" spans="1:11" ht="42" customHeight="1">
      <c r="A2718" s="2" t="s">
        <v>5879</v>
      </c>
      <c r="B2718" s="2" t="s">
        <v>5879</v>
      </c>
      <c r="C2718" s="2" t="s">
        <v>34</v>
      </c>
      <c r="D2718" s="2" t="s">
        <v>35</v>
      </c>
      <c r="E2718" s="5">
        <v>-31502</v>
      </c>
      <c r="F2718" s="3" t="s">
        <v>257</v>
      </c>
      <c r="G2718" s="3" t="s">
        <v>58</v>
      </c>
      <c r="H2718" s="2" t="s">
        <v>20</v>
      </c>
      <c r="I2718" s="2" t="s">
        <v>5975</v>
      </c>
      <c r="J2718" s="3" t="str">
        <f>HYPERLINK("https://www.boe.es/gazeta/dias/1813/09/30/pdfs/GMR-1813-51.pdf#page=2","Abrir facsímil")</f>
        <v>Abrir facsímil</v>
      </c>
      <c r="K2718" s="3" t="s">
        <v>22</v>
      </c>
    </row>
    <row r="2719" spans="1:11" ht="42" customHeight="1">
      <c r="A2719" s="2" t="s">
        <v>5879</v>
      </c>
      <c r="B2719" s="2" t="s">
        <v>5879</v>
      </c>
      <c r="C2719" s="2" t="s">
        <v>16</v>
      </c>
      <c r="D2719" s="2" t="s">
        <v>17</v>
      </c>
      <c r="E2719" s="5">
        <v>-31502</v>
      </c>
      <c r="F2719" s="3" t="s">
        <v>1363</v>
      </c>
      <c r="G2719" s="3" t="s">
        <v>87</v>
      </c>
      <c r="H2719" s="2" t="s">
        <v>20</v>
      </c>
      <c r="I2719" s="2" t="s">
        <v>5976</v>
      </c>
      <c r="J2719" s="3" t="str">
        <f>HYPERLINK("https://www.boe.es/gazeta/dias/1813/09/30/pdfs/GRE-1813-128.pdf#page=7","Abrir facsímil")</f>
        <v>Abrir facsímil</v>
      </c>
      <c r="K2719" s="3" t="s">
        <v>22</v>
      </c>
    </row>
    <row r="2720" spans="1:11" ht="42" customHeight="1">
      <c r="A2720" s="2" t="s">
        <v>5879</v>
      </c>
      <c r="B2720" s="2" t="s">
        <v>5879</v>
      </c>
      <c r="C2720" s="2" t="s">
        <v>16</v>
      </c>
      <c r="D2720" s="2" t="s">
        <v>17</v>
      </c>
      <c r="E2720" s="5">
        <v>-31500</v>
      </c>
      <c r="F2720" s="3" t="s">
        <v>5349</v>
      </c>
      <c r="G2720" s="3" t="s">
        <v>82</v>
      </c>
      <c r="H2720" s="2" t="s">
        <v>20</v>
      </c>
      <c r="I2720" s="2" t="s">
        <v>5977</v>
      </c>
      <c r="J2720" s="3" t="str">
        <f>HYPERLINK("https://www.boe.es/gazeta/dias/1813/10/02/pdfs/GRE-1813-129.pdf#page=5","Abrir facsímil")</f>
        <v>Abrir facsímil</v>
      </c>
      <c r="K2720" s="3" t="s">
        <v>22</v>
      </c>
    </row>
    <row r="2721" spans="1:11" ht="42" customHeight="1">
      <c r="A2721" s="2" t="s">
        <v>5879</v>
      </c>
      <c r="B2721" s="2" t="s">
        <v>5879</v>
      </c>
      <c r="C2721" s="2" t="s">
        <v>16</v>
      </c>
      <c r="D2721" s="2" t="s">
        <v>17</v>
      </c>
      <c r="E2721" s="5">
        <v>-31495</v>
      </c>
      <c r="F2721" s="3" t="s">
        <v>484</v>
      </c>
      <c r="G2721" s="3" t="s">
        <v>28</v>
      </c>
      <c r="H2721" s="2" t="s">
        <v>20</v>
      </c>
      <c r="I2721" s="2" t="s">
        <v>5978</v>
      </c>
      <c r="J2721" s="3" t="str">
        <f>HYPERLINK("https://www.boe.es/gazeta/dias/1813/10/07/pdfs/GRE-1813-131.pdf#page=8","Abrir facsímil")</f>
        <v>Abrir facsímil</v>
      </c>
      <c r="K2721" s="3" t="s">
        <v>22</v>
      </c>
    </row>
    <row r="2722" spans="1:11" ht="42" customHeight="1">
      <c r="A2722" s="2" t="s">
        <v>5879</v>
      </c>
      <c r="B2722" s="2" t="s">
        <v>5879</v>
      </c>
      <c r="C2722" s="2" t="s">
        <v>109</v>
      </c>
      <c r="D2722" s="2" t="s">
        <v>26</v>
      </c>
      <c r="E2722" s="5">
        <v>-31493</v>
      </c>
      <c r="F2722" s="3" t="s">
        <v>1097</v>
      </c>
      <c r="G2722" s="3" t="s">
        <v>87</v>
      </c>
      <c r="H2722" s="2" t="s">
        <v>20</v>
      </c>
      <c r="I2722" s="2" t="s">
        <v>5979</v>
      </c>
      <c r="J2722" s="3" t="str">
        <f>HYPERLINK("https://www.boe.es/gazeta/dias/1813/10/09/pdfs/GMR-1813-56.pdf#page=7","Abrir facsímil")</f>
        <v>Abrir facsímil</v>
      </c>
      <c r="K2722" s="3" t="s">
        <v>22</v>
      </c>
    </row>
    <row r="2723" spans="1:11" ht="42" customHeight="1">
      <c r="A2723" s="2" t="s">
        <v>5879</v>
      </c>
      <c r="B2723" s="2" t="s">
        <v>5879</v>
      </c>
      <c r="C2723" s="2" t="s">
        <v>16</v>
      </c>
      <c r="D2723" s="2" t="s">
        <v>17</v>
      </c>
      <c r="E2723" s="5">
        <v>-31490</v>
      </c>
      <c r="F2723" s="3" t="s">
        <v>3271</v>
      </c>
      <c r="G2723" s="3" t="s">
        <v>95</v>
      </c>
      <c r="H2723" s="2" t="s">
        <v>20</v>
      </c>
      <c r="I2723" s="2" t="s">
        <v>5980</v>
      </c>
      <c r="J2723" s="3" t="str">
        <f>HYPERLINK("https://www.boe.es/gazeta/dias/1813/10/12/pdfs/GRE-1813-133.pdf#page=6","Abrir facsímil")</f>
        <v>Abrir facsímil</v>
      </c>
      <c r="K2723" s="3" t="s">
        <v>22</v>
      </c>
    </row>
    <row r="2724" spans="1:11" ht="42" customHeight="1">
      <c r="A2724" s="2" t="s">
        <v>5879</v>
      </c>
      <c r="B2724" s="2" t="s">
        <v>5879</v>
      </c>
      <c r="C2724" s="2" t="s">
        <v>16</v>
      </c>
      <c r="D2724" s="2" t="s">
        <v>17</v>
      </c>
      <c r="E2724" s="5">
        <v>-31490</v>
      </c>
      <c r="F2724" s="3" t="s">
        <v>3271</v>
      </c>
      <c r="G2724" s="3" t="s">
        <v>87</v>
      </c>
      <c r="H2724" s="2" t="s">
        <v>20</v>
      </c>
      <c r="I2724" s="2" t="s">
        <v>5981</v>
      </c>
      <c r="J2724" s="3" t="str">
        <f>HYPERLINK("https://www.boe.es/gazeta/dias/1813/10/12/pdfs/GRE-1813-133.pdf#page=7","Abrir facsímil")</f>
        <v>Abrir facsímil</v>
      </c>
      <c r="K2724" s="3" t="s">
        <v>22</v>
      </c>
    </row>
    <row r="2725" spans="1:11" ht="42" customHeight="1">
      <c r="A2725" s="2" t="s">
        <v>5879</v>
      </c>
      <c r="B2725" s="2" t="s">
        <v>5879</v>
      </c>
      <c r="C2725" s="2" t="s">
        <v>16</v>
      </c>
      <c r="D2725" s="2" t="s">
        <v>17</v>
      </c>
      <c r="E2725" s="5">
        <v>-31488</v>
      </c>
      <c r="F2725" s="3" t="s">
        <v>1023</v>
      </c>
      <c r="G2725" s="3" t="s">
        <v>28</v>
      </c>
      <c r="H2725" s="2" t="s">
        <v>20</v>
      </c>
      <c r="I2725" s="2" t="s">
        <v>5982</v>
      </c>
      <c r="J2725" s="3" t="str">
        <f>HYPERLINK("https://www.boe.es/gazeta/dias/1813/10/14/pdfs/GRE-1813-134.pdf#page=8","Abrir facsímil")</f>
        <v>Abrir facsímil</v>
      </c>
      <c r="K2725" s="3" t="s">
        <v>22</v>
      </c>
    </row>
    <row r="2726" spans="1:11" ht="42" customHeight="1">
      <c r="A2726" s="2" t="s">
        <v>5879</v>
      </c>
      <c r="B2726" s="2" t="s">
        <v>5879</v>
      </c>
      <c r="C2726" s="2" t="s">
        <v>16</v>
      </c>
      <c r="D2726" s="2" t="s">
        <v>17</v>
      </c>
      <c r="E2726" s="5">
        <v>-31486</v>
      </c>
      <c r="F2726" s="3" t="s">
        <v>597</v>
      </c>
      <c r="G2726" s="3" t="s">
        <v>28</v>
      </c>
      <c r="H2726" s="2" t="s">
        <v>20</v>
      </c>
      <c r="I2726" s="2" t="s">
        <v>5983</v>
      </c>
      <c r="J2726" s="3" t="str">
        <f>HYPERLINK("https://www.boe.es/gazeta/dias/1813/10/16/pdfs/GRE-1813-135.pdf#page=8","Abrir facsímil")</f>
        <v>Abrir facsímil</v>
      </c>
      <c r="K2726" s="3" t="s">
        <v>22</v>
      </c>
    </row>
    <row r="2727" spans="1:11" ht="42" customHeight="1">
      <c r="A2727" s="2" t="s">
        <v>5879</v>
      </c>
      <c r="B2727" s="2" t="s">
        <v>5879</v>
      </c>
      <c r="C2727" s="2" t="s">
        <v>16</v>
      </c>
      <c r="D2727" s="2" t="s">
        <v>17</v>
      </c>
      <c r="E2727" s="5">
        <v>-31483</v>
      </c>
      <c r="F2727" s="3" t="s">
        <v>1292</v>
      </c>
      <c r="G2727" s="3" t="s">
        <v>5984</v>
      </c>
      <c r="H2727" s="2" t="s">
        <v>20</v>
      </c>
      <c r="I2727" s="2" t="s">
        <v>5985</v>
      </c>
      <c r="J2727" s="3" t="str">
        <f>HYPERLINK("https://www.boe.es/gazeta/dias/1813/10/19/pdfs/GMR-1813-61.pdf#page=11","Abrir facsímil")</f>
        <v>Abrir facsímil</v>
      </c>
      <c r="K2727" s="3" t="s">
        <v>22</v>
      </c>
    </row>
    <row r="2728" spans="1:11" ht="42" customHeight="1">
      <c r="A2728" s="2" t="s">
        <v>5879</v>
      </c>
      <c r="B2728" s="2" t="s">
        <v>5879</v>
      </c>
      <c r="C2728" s="2" t="s">
        <v>16</v>
      </c>
      <c r="D2728" s="2" t="s">
        <v>17</v>
      </c>
      <c r="E2728" s="5">
        <v>-31483</v>
      </c>
      <c r="F2728" s="3" t="s">
        <v>308</v>
      </c>
      <c r="G2728" s="3" t="s">
        <v>87</v>
      </c>
      <c r="H2728" s="2" t="s">
        <v>20</v>
      </c>
      <c r="I2728" s="2" t="s">
        <v>5986</v>
      </c>
      <c r="J2728" s="3" t="str">
        <f>HYPERLINK("https://www.boe.es/gazeta/dias/1813/10/19/pdfs/GRE-1813-136.pdf#page=7","Abrir facsímil")</f>
        <v>Abrir facsímil</v>
      </c>
      <c r="K2728" s="3" t="s">
        <v>22</v>
      </c>
    </row>
    <row r="2729" spans="1:11" ht="42" customHeight="1">
      <c r="A2729" s="2" t="s">
        <v>5879</v>
      </c>
      <c r="B2729" s="2" t="s">
        <v>5879</v>
      </c>
      <c r="C2729" s="2" t="s">
        <v>16</v>
      </c>
      <c r="D2729" s="2" t="s">
        <v>17</v>
      </c>
      <c r="E2729" s="5">
        <v>-31479</v>
      </c>
      <c r="F2729" s="3" t="s">
        <v>322</v>
      </c>
      <c r="G2729" s="3" t="s">
        <v>178</v>
      </c>
      <c r="H2729" s="2" t="s">
        <v>20</v>
      </c>
      <c r="I2729" s="2" t="s">
        <v>5987</v>
      </c>
      <c r="J2729" s="3" t="str">
        <f>HYPERLINK("https://www.boe.es/gazeta/dias/1813/10/23/pdfs/GMR-1813-63.pdf#page=11","Abrir facsímil")</f>
        <v>Abrir facsímil</v>
      </c>
      <c r="K2729" s="3" t="s">
        <v>22</v>
      </c>
    </row>
    <row r="2730" spans="1:11" ht="42" customHeight="1">
      <c r="A2730" s="2" t="s">
        <v>5879</v>
      </c>
      <c r="B2730" s="2" t="s">
        <v>5879</v>
      </c>
      <c r="C2730" s="2" t="s">
        <v>16</v>
      </c>
      <c r="D2730" s="2" t="s">
        <v>17</v>
      </c>
      <c r="E2730" s="5">
        <v>-31479</v>
      </c>
      <c r="F2730" s="3" t="s">
        <v>322</v>
      </c>
      <c r="G2730" s="3" t="s">
        <v>28</v>
      </c>
      <c r="H2730" s="2" t="s">
        <v>20</v>
      </c>
      <c r="I2730" s="2" t="s">
        <v>5988</v>
      </c>
      <c r="J2730" s="3" t="str">
        <f>HYPERLINK("https://www.boe.es/gazeta/dias/1813/10/23/pdfs/GMR-1813-63.pdf#page=8","Abrir facsímil")</f>
        <v>Abrir facsímil</v>
      </c>
      <c r="K2730" s="3" t="s">
        <v>22</v>
      </c>
    </row>
    <row r="2731" spans="1:11" ht="42" customHeight="1">
      <c r="A2731" s="2" t="s">
        <v>5879</v>
      </c>
      <c r="B2731" s="2" t="s">
        <v>5879</v>
      </c>
      <c r="C2731" s="2" t="s">
        <v>16</v>
      </c>
      <c r="D2731" s="2" t="s">
        <v>17</v>
      </c>
      <c r="E2731" s="5">
        <v>-31476</v>
      </c>
      <c r="F2731" s="3" t="s">
        <v>229</v>
      </c>
      <c r="G2731" s="3" t="s">
        <v>5989</v>
      </c>
      <c r="H2731" s="2" t="s">
        <v>20</v>
      </c>
      <c r="I2731" s="2" t="s">
        <v>5990</v>
      </c>
      <c r="J2731" s="3" t="str">
        <f>HYPERLINK("https://www.boe.es/gazeta/dias/1813/10/26/pdfs/GRE-1813-140.pdf#page=5","Abrir facsímil")</f>
        <v>Abrir facsímil</v>
      </c>
      <c r="K2731" s="3" t="s">
        <v>22</v>
      </c>
    </row>
    <row r="2732" spans="1:11" ht="42" customHeight="1">
      <c r="A2732" s="2" t="s">
        <v>5879</v>
      </c>
      <c r="B2732" s="2" t="s">
        <v>5879</v>
      </c>
      <c r="C2732" s="2" t="s">
        <v>16</v>
      </c>
      <c r="D2732" s="2" t="s">
        <v>17</v>
      </c>
      <c r="E2732" s="5">
        <v>-31465</v>
      </c>
      <c r="F2732" s="3" t="s">
        <v>2930</v>
      </c>
      <c r="G2732" s="3" t="s">
        <v>54</v>
      </c>
      <c r="H2732" s="2" t="s">
        <v>20</v>
      </c>
      <c r="I2732" s="2" t="s">
        <v>5991</v>
      </c>
      <c r="J2732" s="3" t="str">
        <f>HYPERLINK("https://www.boe.es/gazeta/dias/1813/11/06/pdfs/GRE-1813-145.pdf#page=3","Abrir facsímil")</f>
        <v>Abrir facsímil</v>
      </c>
      <c r="K2732" s="3" t="s">
        <v>22</v>
      </c>
    </row>
    <row r="2733" spans="1:11" ht="42" customHeight="1">
      <c r="A2733" s="2" t="s">
        <v>5879</v>
      </c>
      <c r="B2733" s="2" t="s">
        <v>5879</v>
      </c>
      <c r="C2733" s="2" t="s">
        <v>16</v>
      </c>
      <c r="D2733" s="2" t="s">
        <v>17</v>
      </c>
      <c r="E2733" s="5">
        <v>-31460</v>
      </c>
      <c r="F2733" s="3" t="s">
        <v>599</v>
      </c>
      <c r="G2733" s="3" t="s">
        <v>3624</v>
      </c>
      <c r="H2733" s="2" t="s">
        <v>20</v>
      </c>
      <c r="I2733" s="2" t="s">
        <v>5992</v>
      </c>
      <c r="J2733" s="3" t="str">
        <f>HYPERLINK("https://www.boe.es/gazeta/dias/1813/11/11/pdfs/GMR-1813-72.pdf#page=11","Abrir facsímil")</f>
        <v>Abrir facsímil</v>
      </c>
      <c r="K2733" s="3" t="s">
        <v>22</v>
      </c>
    </row>
    <row r="2734" spans="1:11" ht="42" customHeight="1">
      <c r="A2734" s="2" t="s">
        <v>5879</v>
      </c>
      <c r="B2734" s="2" t="s">
        <v>5879</v>
      </c>
      <c r="C2734" s="2" t="s">
        <v>16</v>
      </c>
      <c r="D2734" s="2" t="s">
        <v>17</v>
      </c>
      <c r="E2734" s="5">
        <v>-31453</v>
      </c>
      <c r="F2734" s="3" t="s">
        <v>695</v>
      </c>
      <c r="G2734" s="3" t="s">
        <v>87</v>
      </c>
      <c r="H2734" s="2" t="s">
        <v>20</v>
      </c>
      <c r="I2734" s="2" t="s">
        <v>5993</v>
      </c>
      <c r="J2734" s="3" t="str">
        <f>HYPERLINK("https://www.boe.es/gazeta/dias/1813/11/18/pdfs/GRE-1813-151.pdf#page=7","Abrir facsímil")</f>
        <v>Abrir facsímil</v>
      </c>
      <c r="K2734" s="3" t="s">
        <v>22</v>
      </c>
    </row>
    <row r="2735" spans="1:11" ht="42" customHeight="1">
      <c r="A2735" s="2" t="s">
        <v>5879</v>
      </c>
      <c r="B2735" s="2" t="s">
        <v>5879</v>
      </c>
      <c r="C2735" s="2" t="s">
        <v>16</v>
      </c>
      <c r="D2735" s="2" t="s">
        <v>17</v>
      </c>
      <c r="E2735" s="5">
        <v>-31439</v>
      </c>
      <c r="F2735" s="3" t="s">
        <v>3821</v>
      </c>
      <c r="G2735" s="3" t="s">
        <v>58</v>
      </c>
      <c r="H2735" s="2" t="s">
        <v>20</v>
      </c>
      <c r="I2735" s="2" t="s">
        <v>5994</v>
      </c>
      <c r="J2735" s="3" t="str">
        <f>HYPERLINK("https://www.boe.es/gazeta/dias/1813/12/02/pdfs/GRE-1813-159.pdf#page=2","Abrir facsímil")</f>
        <v>Abrir facsímil</v>
      </c>
      <c r="K2735" s="3" t="s">
        <v>22</v>
      </c>
    </row>
    <row r="2736" spans="1:11" ht="42" customHeight="1">
      <c r="A2736" s="2" t="s">
        <v>5879</v>
      </c>
      <c r="B2736" s="2" t="s">
        <v>5879</v>
      </c>
      <c r="C2736" s="2" t="s">
        <v>16</v>
      </c>
      <c r="D2736" s="2" t="s">
        <v>17</v>
      </c>
      <c r="E2736" s="5">
        <v>-31437</v>
      </c>
      <c r="F2736" s="3" t="s">
        <v>217</v>
      </c>
      <c r="G2736" s="3" t="s">
        <v>1099</v>
      </c>
      <c r="H2736" s="2" t="s">
        <v>20</v>
      </c>
      <c r="I2736" s="2" t="s">
        <v>5995</v>
      </c>
      <c r="J2736" s="3" t="str">
        <f>HYPERLINK("https://www.boe.es/gazeta/dias/1813/12/04/pdfs/GRE-1813-160.pdf#page=6","Abrir facsímil")</f>
        <v>Abrir facsímil</v>
      </c>
      <c r="K2736" s="3" t="s">
        <v>22</v>
      </c>
    </row>
    <row r="2737" spans="1:11" ht="42" customHeight="1">
      <c r="A2737" s="2" t="s">
        <v>5879</v>
      </c>
      <c r="B2737" s="2" t="s">
        <v>5879</v>
      </c>
      <c r="C2737" s="2" t="s">
        <v>16</v>
      </c>
      <c r="D2737" s="2" t="s">
        <v>17</v>
      </c>
      <c r="E2737" s="5">
        <v>-31437</v>
      </c>
      <c r="F2737" s="3" t="s">
        <v>217</v>
      </c>
      <c r="G2737" s="3" t="s">
        <v>28</v>
      </c>
      <c r="H2737" s="2" t="s">
        <v>20</v>
      </c>
      <c r="I2737" s="2" t="s">
        <v>5996</v>
      </c>
      <c r="J2737" s="3" t="str">
        <f>HYPERLINK("https://www.boe.es/gazeta/dias/1813/12/04/pdfs/GRE-1813-160.pdf#page=8","Abrir facsímil")</f>
        <v>Abrir facsímil</v>
      </c>
      <c r="K2737" s="3" t="s">
        <v>22</v>
      </c>
    </row>
    <row r="2738" spans="1:11" ht="42" customHeight="1">
      <c r="A2738" s="2" t="s">
        <v>5879</v>
      </c>
      <c r="B2738" s="2" t="s">
        <v>5879</v>
      </c>
      <c r="C2738" s="2" t="s">
        <v>16</v>
      </c>
      <c r="D2738" s="2" t="s">
        <v>17</v>
      </c>
      <c r="E2738" s="5">
        <v>-31434</v>
      </c>
      <c r="F2738" s="3" t="s">
        <v>948</v>
      </c>
      <c r="G2738" s="3" t="s">
        <v>95</v>
      </c>
      <c r="H2738" s="2" t="s">
        <v>20</v>
      </c>
      <c r="I2738" s="2" t="s">
        <v>5997</v>
      </c>
      <c r="J2738" s="3" t="str">
        <f>HYPERLINK("https://www.boe.es/gazeta/dias/1813/12/07/pdfs/GMR-1813-84.pdf#page=6","Abrir facsímil")</f>
        <v>Abrir facsímil</v>
      </c>
      <c r="K2738" s="3" t="s">
        <v>22</v>
      </c>
    </row>
    <row r="2739" spans="1:11" ht="42" customHeight="1">
      <c r="A2739" s="2" t="s">
        <v>5879</v>
      </c>
      <c r="B2739" s="2" t="s">
        <v>5879</v>
      </c>
      <c r="C2739" s="2" t="s">
        <v>16</v>
      </c>
      <c r="D2739" s="2" t="s">
        <v>17</v>
      </c>
      <c r="E2739" s="5">
        <v>-31434</v>
      </c>
      <c r="F2739" s="3" t="s">
        <v>18</v>
      </c>
      <c r="G2739" s="3" t="s">
        <v>87</v>
      </c>
      <c r="H2739" s="2" t="s">
        <v>20</v>
      </c>
      <c r="I2739" s="2" t="s">
        <v>5998</v>
      </c>
      <c r="J2739" s="3" t="str">
        <f>HYPERLINK("https://www.boe.es/gazeta/dias/1813/12/07/pdfs/GRE-1813-161.pdf#page=7","Abrir facsímil")</f>
        <v>Abrir facsímil</v>
      </c>
      <c r="K2739" s="3" t="s">
        <v>22</v>
      </c>
    </row>
    <row r="2740" spans="1:11" ht="42" customHeight="1">
      <c r="A2740" s="2" t="s">
        <v>5879</v>
      </c>
      <c r="B2740" s="2" t="s">
        <v>5879</v>
      </c>
      <c r="C2740" s="2" t="s">
        <v>109</v>
      </c>
      <c r="D2740" s="2" t="s">
        <v>26</v>
      </c>
      <c r="E2740" s="5">
        <v>-31432</v>
      </c>
      <c r="F2740" s="3" t="s">
        <v>803</v>
      </c>
      <c r="G2740" s="3" t="s">
        <v>54</v>
      </c>
      <c r="H2740" s="2" t="s">
        <v>20</v>
      </c>
      <c r="I2740" s="2" t="s">
        <v>5999</v>
      </c>
      <c r="J2740" s="3" t="str">
        <f>HYPERLINK("https://www.boe.es/gazeta/dias/1813/12/09/pdfs/GRE-1813-162.pdf#page=3","Abrir facsímil")</f>
        <v>Abrir facsímil</v>
      </c>
      <c r="K2740" s="3" t="s">
        <v>22</v>
      </c>
    </row>
    <row r="2741" spans="1:11" ht="42" customHeight="1">
      <c r="A2741" s="2" t="s">
        <v>5879</v>
      </c>
      <c r="B2741" s="2" t="s">
        <v>5879</v>
      </c>
      <c r="C2741" s="2" t="s">
        <v>16</v>
      </c>
      <c r="D2741" s="2" t="s">
        <v>17</v>
      </c>
      <c r="E2741" s="5">
        <v>-31427</v>
      </c>
      <c r="F2741" s="3" t="s">
        <v>489</v>
      </c>
      <c r="G2741" s="3" t="s">
        <v>6000</v>
      </c>
      <c r="H2741" s="2" t="s">
        <v>20</v>
      </c>
      <c r="I2741" s="2" t="s">
        <v>6001</v>
      </c>
      <c r="J2741" s="3" t="str">
        <f>HYPERLINK("https://www.boe.es/gazeta/dias/1813/12/14/pdfs/GMR-1813-87.pdf#page=11","Abrir facsímil")</f>
        <v>Abrir facsímil</v>
      </c>
      <c r="K2741" s="3" t="s">
        <v>22</v>
      </c>
    </row>
    <row r="2742" spans="1:11" ht="42" customHeight="1">
      <c r="A2742" s="2" t="s">
        <v>5879</v>
      </c>
      <c r="B2742" s="2" t="s">
        <v>5879</v>
      </c>
      <c r="C2742" s="2" t="s">
        <v>34</v>
      </c>
      <c r="D2742" s="2" t="s">
        <v>35</v>
      </c>
      <c r="E2742" s="5">
        <v>-31427</v>
      </c>
      <c r="F2742" s="3" t="s">
        <v>1822</v>
      </c>
      <c r="G2742" s="3" t="s">
        <v>87</v>
      </c>
      <c r="H2742" s="2" t="s">
        <v>20</v>
      </c>
      <c r="I2742" s="2" t="s">
        <v>6002</v>
      </c>
      <c r="J2742" s="3" t="str">
        <f>HYPERLINK("https://www.boe.es/gazeta/dias/1813/12/14/pdfs/GRE-1813-164.pdf#page=7","Abrir facsímil")</f>
        <v>Abrir facsímil</v>
      </c>
      <c r="K2742" s="3" t="s">
        <v>22</v>
      </c>
    </row>
    <row r="2743" spans="1:11" ht="42" customHeight="1">
      <c r="A2743" s="2" t="s">
        <v>5879</v>
      </c>
      <c r="B2743" s="2" t="s">
        <v>5879</v>
      </c>
      <c r="C2743" s="2" t="s">
        <v>187</v>
      </c>
      <c r="D2743" s="2" t="s">
        <v>26</v>
      </c>
      <c r="E2743" s="5">
        <v>-31423</v>
      </c>
      <c r="F2743" s="3" t="s">
        <v>2465</v>
      </c>
      <c r="G2743" s="3" t="s">
        <v>28</v>
      </c>
      <c r="H2743" s="2" t="s">
        <v>20</v>
      </c>
      <c r="I2743" s="2" t="s">
        <v>6003</v>
      </c>
      <c r="J2743" s="3" t="str">
        <f>HYPERLINK("https://www.boe.es/gazeta/dias/1813/12/18/pdfs/GMR-1813-89.pdf#page=8","Abrir facsímil")</f>
        <v>Abrir facsímil</v>
      </c>
      <c r="K2743" s="3" t="s">
        <v>22</v>
      </c>
    </row>
    <row r="2744" spans="1:11" ht="42" customHeight="1">
      <c r="A2744" s="2" t="s">
        <v>5879</v>
      </c>
      <c r="B2744" s="2" t="s">
        <v>5879</v>
      </c>
      <c r="C2744" s="2" t="s">
        <v>16</v>
      </c>
      <c r="D2744" s="2" t="s">
        <v>17</v>
      </c>
      <c r="E2744" s="5">
        <v>-31423</v>
      </c>
      <c r="F2744" s="3" t="s">
        <v>340</v>
      </c>
      <c r="G2744" s="3" t="s">
        <v>341</v>
      </c>
      <c r="H2744" s="2" t="s">
        <v>20</v>
      </c>
      <c r="I2744" s="2" t="s">
        <v>6004</v>
      </c>
      <c r="J2744" s="3" t="str">
        <f>HYPERLINK("https://www.boe.es/gazeta/dias/1813/12/18/pdfs/GRE-1813-166.pdf#page=7","Abrir facsímil")</f>
        <v>Abrir facsímil</v>
      </c>
      <c r="K2744" s="3" t="s">
        <v>22</v>
      </c>
    </row>
    <row r="2745" spans="1:11" ht="42" customHeight="1">
      <c r="A2745" s="2" t="s">
        <v>5879</v>
      </c>
      <c r="B2745" s="2" t="s">
        <v>5879</v>
      </c>
      <c r="C2745" s="2" t="s">
        <v>16</v>
      </c>
      <c r="D2745" s="2" t="s">
        <v>17</v>
      </c>
      <c r="E2745" s="5">
        <v>-31420</v>
      </c>
      <c r="F2745" s="3" t="s">
        <v>145</v>
      </c>
      <c r="G2745" s="3" t="s">
        <v>313</v>
      </c>
      <c r="H2745" s="2" t="s">
        <v>20</v>
      </c>
      <c r="I2745" s="2" t="s">
        <v>6005</v>
      </c>
      <c r="J2745" s="3" t="str">
        <f>HYPERLINK("https://www.boe.es/gazeta/dias/1813/12/21/pdfs/GMR-1813-90.pdf#page=9","Abrir facsímil")</f>
        <v>Abrir facsímil</v>
      </c>
      <c r="K2745" s="3" t="s">
        <v>22</v>
      </c>
    </row>
    <row r="2746" spans="1:11" ht="42" customHeight="1">
      <c r="A2746" s="2" t="s">
        <v>5879</v>
      </c>
      <c r="B2746" s="2" t="s">
        <v>5879</v>
      </c>
      <c r="C2746" s="2" t="s">
        <v>16</v>
      </c>
      <c r="D2746" s="2" t="s">
        <v>17</v>
      </c>
      <c r="E2746" s="5">
        <v>-31420</v>
      </c>
      <c r="F2746" s="3" t="s">
        <v>210</v>
      </c>
      <c r="G2746" s="3" t="s">
        <v>87</v>
      </c>
      <c r="H2746" s="2" t="s">
        <v>20</v>
      </c>
      <c r="I2746" s="2" t="s">
        <v>6006</v>
      </c>
      <c r="J2746" s="3" t="str">
        <f>HYPERLINK("https://www.boe.es/gazeta/dias/1813/12/21/pdfs/GRE-1813-167.pdf#page=7","Abrir facsímil")</f>
        <v>Abrir facsímil</v>
      </c>
      <c r="K2746" s="3" t="s">
        <v>22</v>
      </c>
    </row>
    <row r="2747" spans="1:11" ht="42" customHeight="1">
      <c r="A2747" s="2" t="s">
        <v>5879</v>
      </c>
      <c r="B2747" s="2" t="s">
        <v>5879</v>
      </c>
      <c r="C2747" s="2" t="s">
        <v>16</v>
      </c>
      <c r="D2747" s="2" t="s">
        <v>17</v>
      </c>
      <c r="E2747" s="5">
        <v>-31418</v>
      </c>
      <c r="F2747" s="3" t="s">
        <v>147</v>
      </c>
      <c r="G2747" s="3" t="s">
        <v>87</v>
      </c>
      <c r="H2747" s="2" t="s">
        <v>20</v>
      </c>
      <c r="I2747" s="2" t="s">
        <v>6007</v>
      </c>
      <c r="J2747" s="3" t="str">
        <f>HYPERLINK("https://www.boe.es/gazeta/dias/1813/12/23/pdfs/GRE-1813-168.pdf#page=7","Abrir facsímil")</f>
        <v>Abrir facsímil</v>
      </c>
      <c r="K2747" s="3" t="s">
        <v>22</v>
      </c>
    </row>
    <row r="2748" spans="1:11" ht="42" customHeight="1">
      <c r="A2748" s="2" t="s">
        <v>5879</v>
      </c>
      <c r="B2748" s="2" t="s">
        <v>5879</v>
      </c>
      <c r="C2748" s="2" t="s">
        <v>34</v>
      </c>
      <c r="D2748" s="2" t="s">
        <v>35</v>
      </c>
      <c r="E2748" s="5">
        <v>-31418</v>
      </c>
      <c r="F2748" s="3" t="s">
        <v>147</v>
      </c>
      <c r="G2748" s="3" t="s">
        <v>28</v>
      </c>
      <c r="H2748" s="2" t="s">
        <v>20</v>
      </c>
      <c r="I2748" s="2" t="s">
        <v>6008</v>
      </c>
      <c r="J2748" s="3" t="str">
        <f>HYPERLINK("https://www.boe.es/gazeta/dias/1813/12/23/pdfs/GRE-1813-168.pdf#page=8","Abrir facsímil")</f>
        <v>Abrir facsímil</v>
      </c>
      <c r="K2748" s="3" t="s">
        <v>22</v>
      </c>
    </row>
    <row r="2749" spans="1:11" ht="42" customHeight="1">
      <c r="A2749" s="2" t="s">
        <v>5879</v>
      </c>
      <c r="B2749" s="2" t="s">
        <v>5879</v>
      </c>
      <c r="C2749" s="2" t="s">
        <v>34</v>
      </c>
      <c r="D2749" s="2" t="s">
        <v>35</v>
      </c>
      <c r="E2749" s="5">
        <v>-31413</v>
      </c>
      <c r="F2749" s="3" t="s">
        <v>152</v>
      </c>
      <c r="G2749" s="3" t="s">
        <v>28</v>
      </c>
      <c r="H2749" s="2" t="s">
        <v>20</v>
      </c>
      <c r="I2749" s="2" t="s">
        <v>6009</v>
      </c>
      <c r="J2749" s="3" t="str">
        <f>HYPERLINK("https://www.boe.es/gazeta/dias/1813/12/28/pdfs/GRE-1813-170.pdf#page=8","Abrir facsímil")</f>
        <v>Abrir facsímil</v>
      </c>
      <c r="K2749" s="3" t="s">
        <v>22</v>
      </c>
    </row>
    <row r="2750" spans="1:11" ht="42" customHeight="1">
      <c r="A2750" s="2" t="s">
        <v>6010</v>
      </c>
      <c r="B2750" s="2" t="s">
        <v>6010</v>
      </c>
      <c r="C2750" s="2" t="s">
        <v>16</v>
      </c>
      <c r="D2750" s="2" t="s">
        <v>17</v>
      </c>
      <c r="E2750" s="5">
        <v>-31439</v>
      </c>
      <c r="F2750" s="3" t="s">
        <v>1298</v>
      </c>
      <c r="G2750" s="3" t="s">
        <v>87</v>
      </c>
      <c r="H2750" s="2" t="s">
        <v>20</v>
      </c>
      <c r="I2750" s="2" t="s">
        <v>6011</v>
      </c>
      <c r="J2750" s="3" t="str">
        <f>HYPERLINK("https://www.boe.es/gazeta/dias/1813/12/02/pdfs/GMR-1813-82.pdf#page=7","Abrir facsímil")</f>
        <v>Abrir facsímil</v>
      </c>
      <c r="K2750" s="3" t="s">
        <v>22</v>
      </c>
    </row>
    <row r="2751" spans="1:11" ht="42" customHeight="1">
      <c r="A2751" s="2" t="s">
        <v>6012</v>
      </c>
      <c r="B2751" s="2" t="s">
        <v>6013</v>
      </c>
      <c r="C2751" s="2" t="s">
        <v>16</v>
      </c>
      <c r="D2751" s="2" t="s">
        <v>97</v>
      </c>
      <c r="E2751" s="5">
        <v>-31479</v>
      </c>
      <c r="F2751" s="3" t="s">
        <v>290</v>
      </c>
      <c r="G2751" s="3" t="s">
        <v>87</v>
      </c>
      <c r="H2751" s="2" t="s">
        <v>20</v>
      </c>
      <c r="I2751" s="2" t="s">
        <v>6014</v>
      </c>
      <c r="J2751" s="3" t="str">
        <f>HYPERLINK("https://www.boe.es/gazeta/dias/1813/10/23/pdfs/GRE-1813-139E.pdf#page=7","Abrir facsímil")</f>
        <v>Abrir facsímil</v>
      </c>
      <c r="K2751" s="3" t="s">
        <v>22</v>
      </c>
    </row>
    <row r="2752" spans="1:11" ht="42" customHeight="1">
      <c r="A2752" s="2" t="s">
        <v>6015</v>
      </c>
      <c r="B2752" s="2" t="s">
        <v>6016</v>
      </c>
      <c r="C2752" s="2" t="s">
        <v>16</v>
      </c>
      <c r="D2752" s="2" t="s">
        <v>17</v>
      </c>
      <c r="E2752" s="5">
        <v>-31465</v>
      </c>
      <c r="F2752" s="3" t="s">
        <v>407</v>
      </c>
      <c r="G2752" s="3" t="s">
        <v>3112</v>
      </c>
      <c r="H2752" s="2" t="s">
        <v>20</v>
      </c>
      <c r="I2752" s="2" t="s">
        <v>6017</v>
      </c>
      <c r="J2752" s="3" t="str">
        <f>HYPERLINK("https://www.boe.es/gazeta/dias/1813/11/06/pdfs/GMR-1813-70.pdf#page=6","Abrir facsímil")</f>
        <v>Abrir facsímil</v>
      </c>
      <c r="K2752" s="3" t="s">
        <v>22</v>
      </c>
    </row>
    <row r="2753" spans="1:11" ht="42" customHeight="1">
      <c r="A2753" s="2" t="s">
        <v>6018</v>
      </c>
      <c r="B2753" s="2" t="s">
        <v>6019</v>
      </c>
      <c r="C2753" s="2" t="s">
        <v>16</v>
      </c>
      <c r="D2753" s="2" t="s">
        <v>17</v>
      </c>
      <c r="E2753" s="5">
        <v>-31710</v>
      </c>
      <c r="F2753" s="3" t="s">
        <v>4744</v>
      </c>
      <c r="G2753" s="3" t="s">
        <v>54</v>
      </c>
      <c r="H2753" s="2" t="s">
        <v>20</v>
      </c>
      <c r="I2753" s="2" t="s">
        <v>6020</v>
      </c>
      <c r="J2753" s="3" t="str">
        <f>HYPERLINK("https://www.boe.es/gazeta/dias/1813/03/06/pdfs/GMD-1813-65.pdf#page=3","Abrir facsímil")</f>
        <v>Abrir facsímil</v>
      </c>
      <c r="K2753" s="3" t="s">
        <v>22</v>
      </c>
    </row>
    <row r="2754" spans="1:11" ht="42" customHeight="1">
      <c r="A2754" s="2" t="s">
        <v>6021</v>
      </c>
      <c r="B2754" s="2" t="s">
        <v>6022</v>
      </c>
      <c r="C2754" s="2" t="s">
        <v>16</v>
      </c>
      <c r="D2754" s="2" t="s">
        <v>17</v>
      </c>
      <c r="E2754" s="5">
        <v>-31530</v>
      </c>
      <c r="F2754" s="3" t="s">
        <v>133</v>
      </c>
      <c r="G2754" s="3" t="s">
        <v>19</v>
      </c>
      <c r="H2754" s="2" t="s">
        <v>20</v>
      </c>
      <c r="I2754" s="2" t="s">
        <v>6023</v>
      </c>
      <c r="J2754" s="3" t="str">
        <f>HYPERLINK("https://www.boe.es/gazeta/dias/1813/09/02/pdfs/GMR-1813-36.pdf#page=4","Abrir facsímil")</f>
        <v>Abrir facsímil</v>
      </c>
      <c r="K2754" s="3" t="s">
        <v>22</v>
      </c>
    </row>
    <row r="2755" spans="1:11" ht="42" customHeight="1">
      <c r="A2755" s="2" t="s">
        <v>6021</v>
      </c>
      <c r="B2755" s="2" t="s">
        <v>6022</v>
      </c>
      <c r="C2755" s="2" t="s">
        <v>16</v>
      </c>
      <c r="D2755" s="2" t="s">
        <v>17</v>
      </c>
      <c r="E2755" s="5">
        <v>-31525</v>
      </c>
      <c r="F2755" s="3" t="s">
        <v>135</v>
      </c>
      <c r="G2755" s="3" t="s">
        <v>82</v>
      </c>
      <c r="H2755" s="2" t="s">
        <v>20</v>
      </c>
      <c r="I2755" s="2" t="s">
        <v>6024</v>
      </c>
      <c r="J2755" s="3" t="str">
        <f>HYPERLINK("https://www.boe.es/gazeta/dias/1813/09/07/pdfs/GMR-1813-38.pdf#page=5","Abrir facsímil")</f>
        <v>Abrir facsímil</v>
      </c>
      <c r="K2755" s="3" t="s">
        <v>22</v>
      </c>
    </row>
    <row r="2756" spans="1:11" ht="42" customHeight="1">
      <c r="A2756" s="2" t="s">
        <v>6021</v>
      </c>
      <c r="B2756" s="2" t="s">
        <v>6022</v>
      </c>
      <c r="C2756" s="2" t="s">
        <v>16</v>
      </c>
      <c r="D2756" s="2" t="s">
        <v>17</v>
      </c>
      <c r="E2756" s="5">
        <v>-31511</v>
      </c>
      <c r="F2756" s="3" t="s">
        <v>2149</v>
      </c>
      <c r="G2756" s="3" t="s">
        <v>82</v>
      </c>
      <c r="H2756" s="2" t="s">
        <v>20</v>
      </c>
      <c r="I2756" s="2" t="s">
        <v>6025</v>
      </c>
      <c r="J2756" s="3" t="str">
        <f>HYPERLINK("https://www.boe.es/gazeta/dias/1813/09/21/pdfs/GRE-1813-122.pdf#page=5","Abrir facsímil")</f>
        <v>Abrir facsímil</v>
      </c>
      <c r="K2756" s="3" t="s">
        <v>22</v>
      </c>
    </row>
    <row r="2757" spans="1:11" ht="42" customHeight="1">
      <c r="A2757" s="2" t="s">
        <v>6026</v>
      </c>
      <c r="B2757" s="2" t="s">
        <v>6027</v>
      </c>
      <c r="C2757" s="2" t="s">
        <v>16</v>
      </c>
      <c r="D2757" s="2" t="s">
        <v>17</v>
      </c>
      <c r="E2757" s="5">
        <v>-31582</v>
      </c>
      <c r="F2757" s="3" t="s">
        <v>907</v>
      </c>
      <c r="G2757" s="3" t="s">
        <v>87</v>
      </c>
      <c r="H2757" s="2" t="s">
        <v>20</v>
      </c>
      <c r="I2757" s="2" t="s">
        <v>6028</v>
      </c>
      <c r="J2757" s="3" t="str">
        <f>HYPERLINK("https://www.boe.es/gazeta/dias/1813/07/12/pdfs/GRE-1813-87.pdf#page=7","Abrir facsímil")</f>
        <v>Abrir facsímil</v>
      </c>
      <c r="K2757" s="3" t="s">
        <v>22</v>
      </c>
    </row>
    <row r="2758" spans="1:11" ht="42" customHeight="1">
      <c r="A2758" s="2" t="s">
        <v>6029</v>
      </c>
      <c r="B2758" s="2" t="s">
        <v>6030</v>
      </c>
      <c r="C2758" s="2" t="s">
        <v>16</v>
      </c>
      <c r="D2758" s="2" t="s">
        <v>97</v>
      </c>
      <c r="E2758" s="5">
        <v>-31479</v>
      </c>
      <c r="F2758" s="3" t="s">
        <v>290</v>
      </c>
      <c r="G2758" s="3" t="s">
        <v>87</v>
      </c>
      <c r="H2758" s="2" t="s">
        <v>20</v>
      </c>
      <c r="I2758" s="2" t="s">
        <v>6031</v>
      </c>
      <c r="J2758" s="3" t="str">
        <f>HYPERLINK("https://www.boe.es/gazeta/dias/1813/10/23/pdfs/GRE-1813-139E.pdf#page=7","Abrir facsímil")</f>
        <v>Abrir facsímil</v>
      </c>
      <c r="K2758" s="3" t="s">
        <v>22</v>
      </c>
    </row>
    <row r="2759" spans="1:11" ht="42" customHeight="1">
      <c r="A2759" s="2" t="s">
        <v>6032</v>
      </c>
      <c r="B2759" s="2" t="s">
        <v>6033</v>
      </c>
      <c r="C2759" s="2" t="s">
        <v>16</v>
      </c>
      <c r="D2759" s="2" t="s">
        <v>17</v>
      </c>
      <c r="E2759" s="5">
        <v>-31465</v>
      </c>
      <c r="F2759" s="3" t="s">
        <v>407</v>
      </c>
      <c r="G2759" s="3" t="s">
        <v>3112</v>
      </c>
      <c r="H2759" s="2" t="s">
        <v>20</v>
      </c>
      <c r="I2759" s="2" t="s">
        <v>6034</v>
      </c>
      <c r="J2759" s="3" t="str">
        <f>HYPERLINK("https://www.boe.es/gazeta/dias/1813/11/06/pdfs/GMR-1813-70.pdf#page=6","Abrir facsímil")</f>
        <v>Abrir facsímil</v>
      </c>
      <c r="K2759" s="3" t="s">
        <v>22</v>
      </c>
    </row>
    <row r="2760" spans="1:11" ht="42" customHeight="1">
      <c r="A2760" s="2" t="s">
        <v>6035</v>
      </c>
      <c r="B2760" s="2" t="s">
        <v>6036</v>
      </c>
      <c r="C2760" s="2" t="s">
        <v>25</v>
      </c>
      <c r="D2760" s="2" t="s">
        <v>26</v>
      </c>
      <c r="E2760" s="5">
        <v>-31535</v>
      </c>
      <c r="F2760" s="3" t="s">
        <v>366</v>
      </c>
      <c r="G2760" s="3" t="s">
        <v>95</v>
      </c>
      <c r="H2760" s="2" t="s">
        <v>20</v>
      </c>
      <c r="I2760" s="2" t="s">
        <v>6037</v>
      </c>
      <c r="J2760" s="3" t="str">
        <f>HYPERLINK("https://www.boe.es/gazeta/dias/1813/08/28/pdfs/GRE-1813-110.pdf#page=6","Abrir facsímil")</f>
        <v>Abrir facsímil</v>
      </c>
      <c r="K2760" s="3" t="s">
        <v>22</v>
      </c>
    </row>
    <row r="2761" spans="1:11" ht="42" customHeight="1">
      <c r="A2761" s="2" t="s">
        <v>6038</v>
      </c>
      <c r="B2761" s="2" t="s">
        <v>6039</v>
      </c>
      <c r="C2761" s="2" t="s">
        <v>16</v>
      </c>
      <c r="D2761" s="2" t="s">
        <v>17</v>
      </c>
      <c r="E2761" s="5">
        <v>-31458</v>
      </c>
      <c r="F2761" s="3" t="s">
        <v>1171</v>
      </c>
      <c r="G2761" s="3" t="s">
        <v>28</v>
      </c>
      <c r="H2761" s="2" t="s">
        <v>20</v>
      </c>
      <c r="I2761" s="2" t="s">
        <v>6040</v>
      </c>
      <c r="J2761" s="3" t="str">
        <f>HYPERLINK("https://www.boe.es/gazeta/dias/1813/11/13/pdfs/GRE-1813-149.pdf#page=8","Abrir facsímil")</f>
        <v>Abrir facsímil</v>
      </c>
      <c r="K2761" s="3" t="s">
        <v>22</v>
      </c>
    </row>
    <row r="2762" spans="1:11" ht="42" customHeight="1">
      <c r="A2762" s="2" t="s">
        <v>6041</v>
      </c>
      <c r="B2762" s="2" t="s">
        <v>6041</v>
      </c>
      <c r="C2762" s="2" t="s">
        <v>34</v>
      </c>
      <c r="D2762" s="2" t="s">
        <v>35</v>
      </c>
      <c r="E2762" s="5">
        <v>-31708</v>
      </c>
      <c r="F2762" s="3" t="s">
        <v>166</v>
      </c>
      <c r="G2762" s="3" t="s">
        <v>65</v>
      </c>
      <c r="H2762" s="2" t="s">
        <v>20</v>
      </c>
      <c r="I2762" s="2" t="s">
        <v>6042</v>
      </c>
      <c r="J2762" s="3" t="str">
        <f>HYPERLINK("https://www.boe.es/gazeta/dias/1813/03/08/pdfs/GMD-1813-67.pdf#page=1","Abrir facsímil")</f>
        <v>Abrir facsímil</v>
      </c>
      <c r="K2762" s="3" t="s">
        <v>22</v>
      </c>
    </row>
    <row r="2763" spans="1:11" ht="42" customHeight="1">
      <c r="A2763" s="2" t="s">
        <v>6043</v>
      </c>
      <c r="B2763" s="2" t="s">
        <v>6044</v>
      </c>
      <c r="C2763" s="2" t="s">
        <v>34</v>
      </c>
      <c r="D2763" s="2" t="s">
        <v>35</v>
      </c>
      <c r="E2763" s="5">
        <v>-31709</v>
      </c>
      <c r="F2763" s="3" t="s">
        <v>36</v>
      </c>
      <c r="G2763" s="3" t="s">
        <v>303</v>
      </c>
      <c r="H2763" s="2" t="s">
        <v>20</v>
      </c>
      <c r="I2763" s="2" t="s">
        <v>6045</v>
      </c>
      <c r="J2763" s="3" t="str">
        <f>HYPERLINK("https://www.boe.es/gazeta/dias/1813/03/07/pdfs/GMD-1813-66.pdf#page=3","Abrir facsímil")</f>
        <v>Abrir facsímil</v>
      </c>
      <c r="K2763" s="3" t="s">
        <v>22</v>
      </c>
    </row>
    <row r="2764" spans="1:11" ht="42" customHeight="1">
      <c r="A2764" s="2" t="s">
        <v>6046</v>
      </c>
      <c r="B2764" s="2" t="s">
        <v>6046</v>
      </c>
      <c r="C2764" s="2" t="s">
        <v>16</v>
      </c>
      <c r="D2764" s="2" t="s">
        <v>17</v>
      </c>
      <c r="E2764" s="5">
        <v>-31726</v>
      </c>
      <c r="F2764" s="3" t="s">
        <v>493</v>
      </c>
      <c r="G2764" s="3" t="s">
        <v>19</v>
      </c>
      <c r="H2764" s="2" t="s">
        <v>20</v>
      </c>
      <c r="I2764" s="2" t="s">
        <v>6047</v>
      </c>
      <c r="J2764" s="3" t="str">
        <f>HYPERLINK("https://www.boe.es/gazeta/dias/1813/02/18/pdfs/GMD-1813-49.pdf#page=4","Abrir facsímil")</f>
        <v>Abrir facsímil</v>
      </c>
      <c r="K2764" s="3" t="s">
        <v>22</v>
      </c>
    </row>
    <row r="2765" spans="1:11" ht="42" customHeight="1">
      <c r="A2765" s="2" t="s">
        <v>6048</v>
      </c>
      <c r="B2765" s="2" t="s">
        <v>6048</v>
      </c>
      <c r="C2765" s="2" t="s">
        <v>25</v>
      </c>
      <c r="D2765" s="2" t="s">
        <v>26</v>
      </c>
      <c r="E2765" s="5">
        <v>-31628</v>
      </c>
      <c r="F2765" s="3" t="s">
        <v>358</v>
      </c>
      <c r="G2765" s="3" t="s">
        <v>87</v>
      </c>
      <c r="H2765" s="2" t="s">
        <v>20</v>
      </c>
      <c r="I2765" s="2" t="s">
        <v>6049</v>
      </c>
      <c r="J2765" s="3" t="str">
        <f>HYPERLINK("https://www.boe.es/gazeta/dias/1813/05/27/pdfs/GRE-1813-65.pdf#page=7","Abrir facsímil")</f>
        <v>Abrir facsímil</v>
      </c>
      <c r="K2765" s="3" t="s">
        <v>22</v>
      </c>
    </row>
    <row r="2766" spans="1:11" ht="42" customHeight="1">
      <c r="A2766" s="2" t="s">
        <v>6050</v>
      </c>
      <c r="B2766" s="2" t="s">
        <v>6050</v>
      </c>
      <c r="C2766" s="2" t="s">
        <v>25</v>
      </c>
      <c r="D2766" s="2" t="s">
        <v>26</v>
      </c>
      <c r="E2766" s="5">
        <v>-31602</v>
      </c>
      <c r="F2766" s="3" t="s">
        <v>2117</v>
      </c>
      <c r="G2766" s="3" t="s">
        <v>71</v>
      </c>
      <c r="H2766" s="2" t="s">
        <v>20</v>
      </c>
      <c r="I2766" s="2" t="s">
        <v>6051</v>
      </c>
      <c r="J2766" s="3" t="str">
        <f>HYPERLINK("https://www.boe.es/gazeta/dias/1813/06/22/pdfs/GMR-1813-9.pdf#page=16","Abrir facsímil")</f>
        <v>Abrir facsímil</v>
      </c>
      <c r="K2766" s="3" t="s">
        <v>22</v>
      </c>
    </row>
    <row r="2767" spans="1:11" ht="42" customHeight="1">
      <c r="A2767" s="2" t="s">
        <v>6052</v>
      </c>
      <c r="B2767" s="2" t="s">
        <v>6052</v>
      </c>
      <c r="C2767" s="2" t="s">
        <v>16</v>
      </c>
      <c r="D2767" s="2" t="s">
        <v>17</v>
      </c>
      <c r="E2767" s="5">
        <v>-31460</v>
      </c>
      <c r="F2767" s="3" t="s">
        <v>1468</v>
      </c>
      <c r="G2767" s="3" t="s">
        <v>6053</v>
      </c>
      <c r="H2767" s="2" t="s">
        <v>20</v>
      </c>
      <c r="I2767" s="2" t="s">
        <v>6054</v>
      </c>
      <c r="J2767" s="3" t="str">
        <f>HYPERLINK("https://www.boe.es/gazeta/dias/1813/11/11/pdfs/GRE-1813-147.pdf#page=8","Abrir facsímil")</f>
        <v>Abrir facsímil</v>
      </c>
      <c r="K2767" s="3" t="s">
        <v>22</v>
      </c>
    </row>
    <row r="2768" spans="1:11" ht="42" customHeight="1">
      <c r="A2768" s="2" t="s">
        <v>6055</v>
      </c>
      <c r="B2768" s="2" t="s">
        <v>6056</v>
      </c>
      <c r="C2768" s="2" t="s">
        <v>16</v>
      </c>
      <c r="D2768" s="2" t="s">
        <v>17</v>
      </c>
      <c r="E2768" s="5">
        <v>-31465</v>
      </c>
      <c r="F2768" s="3" t="s">
        <v>407</v>
      </c>
      <c r="G2768" s="3" t="s">
        <v>82</v>
      </c>
      <c r="H2768" s="2" t="s">
        <v>20</v>
      </c>
      <c r="I2768" s="2" t="s">
        <v>6057</v>
      </c>
      <c r="J2768" s="3" t="str">
        <f>HYPERLINK("https://www.boe.es/gazeta/dias/1813/11/06/pdfs/GMR-1813-70.pdf#page=5","Abrir facsímil")</f>
        <v>Abrir facsímil</v>
      </c>
      <c r="K2768" s="3" t="s">
        <v>22</v>
      </c>
    </row>
    <row r="2769" spans="1:11" ht="42" customHeight="1">
      <c r="A2769" s="2" t="s">
        <v>6058</v>
      </c>
      <c r="B2769" s="2" t="s">
        <v>6058</v>
      </c>
      <c r="C2769" s="2" t="s">
        <v>6059</v>
      </c>
      <c r="D2769" s="2" t="s">
        <v>35</v>
      </c>
      <c r="E2769" s="5">
        <v>-31689</v>
      </c>
      <c r="F2769" s="3" t="s">
        <v>48</v>
      </c>
      <c r="G2769" s="3" t="s">
        <v>49</v>
      </c>
      <c r="H2769" s="2" t="s">
        <v>20</v>
      </c>
      <c r="I2769" s="2" t="s">
        <v>6060</v>
      </c>
      <c r="J2769" s="3" t="str">
        <f>HYPERLINK("https://www.boe.es/gazeta/dias/1813/03/27/pdfs/GRE-1813-38.pdf#page=7","Abrir facsímil")</f>
        <v>Abrir facsímil</v>
      </c>
      <c r="K2769" s="3" t="s">
        <v>22</v>
      </c>
    </row>
    <row r="2770" spans="1:11" ht="42" customHeight="1">
      <c r="A2770" s="2" t="s">
        <v>6061</v>
      </c>
      <c r="B2770" s="2" t="s">
        <v>6061</v>
      </c>
      <c r="C2770" s="2" t="s">
        <v>16</v>
      </c>
      <c r="D2770" s="2" t="s">
        <v>17</v>
      </c>
      <c r="E2770" s="5">
        <v>-31602</v>
      </c>
      <c r="F2770" s="3" t="s">
        <v>2117</v>
      </c>
      <c r="G2770" s="3" t="s">
        <v>3006</v>
      </c>
      <c r="H2770" s="2" t="s">
        <v>20</v>
      </c>
      <c r="I2770" s="2" t="s">
        <v>6062</v>
      </c>
      <c r="J2770" s="3" t="str">
        <f>HYPERLINK("https://www.boe.es/gazeta/dias/1813/06/22/pdfs/GMR-1813-9.pdf#page=15","Abrir facsímil")</f>
        <v>Abrir facsímil</v>
      </c>
      <c r="K2770" s="3" t="s">
        <v>22</v>
      </c>
    </row>
    <row r="2771" spans="1:11" ht="42" customHeight="1">
      <c r="A2771" s="2" t="s">
        <v>6063</v>
      </c>
      <c r="B2771" s="2" t="s">
        <v>6064</v>
      </c>
      <c r="C2771" s="2" t="s">
        <v>25</v>
      </c>
      <c r="D2771" s="2" t="s">
        <v>26</v>
      </c>
      <c r="E2771" s="5">
        <v>-31675</v>
      </c>
      <c r="F2771" s="3" t="s">
        <v>27</v>
      </c>
      <c r="G2771" s="3" t="s">
        <v>28</v>
      </c>
      <c r="H2771" s="2" t="s">
        <v>20</v>
      </c>
      <c r="I2771" s="2" t="s">
        <v>6065</v>
      </c>
      <c r="J2771" s="3" t="str">
        <f>HYPERLINK("https://www.boe.es/gazeta/dias/1813/04/10/pdfs/GRE-1813-44.pdf#page=8","Abrir facsímil")</f>
        <v>Abrir facsímil</v>
      </c>
      <c r="K2771" s="3" t="s">
        <v>22</v>
      </c>
    </row>
    <row r="2772" spans="1:11" ht="42" customHeight="1">
      <c r="A2772" s="2" t="s">
        <v>6066</v>
      </c>
      <c r="B2772" s="2" t="s">
        <v>6067</v>
      </c>
      <c r="C2772" s="2" t="s">
        <v>16</v>
      </c>
      <c r="D2772" s="2" t="s">
        <v>17</v>
      </c>
      <c r="E2772" s="5">
        <v>-31521</v>
      </c>
      <c r="F2772" s="3" t="s">
        <v>1256</v>
      </c>
      <c r="G2772" s="3" t="s">
        <v>87</v>
      </c>
      <c r="H2772" s="2" t="s">
        <v>20</v>
      </c>
      <c r="I2772" s="2" t="s">
        <v>6068</v>
      </c>
      <c r="J2772" s="3" t="str">
        <f>HYPERLINK("https://www.boe.es/gazeta/dias/1813/09/11/pdfs/GRE-1813-116.pdf#page=7","Abrir facsímil")</f>
        <v>Abrir facsímil</v>
      </c>
      <c r="K2772" s="3" t="s">
        <v>22</v>
      </c>
    </row>
    <row r="2773" spans="1:11" ht="42" customHeight="1">
      <c r="A2773" s="2" t="s">
        <v>6069</v>
      </c>
      <c r="B2773" s="2" t="s">
        <v>6070</v>
      </c>
      <c r="C2773" s="2" t="s">
        <v>16</v>
      </c>
      <c r="D2773" s="2" t="s">
        <v>17</v>
      </c>
      <c r="E2773" s="5">
        <v>-31549</v>
      </c>
      <c r="F2773" s="3" t="s">
        <v>294</v>
      </c>
      <c r="G2773" s="3" t="s">
        <v>54</v>
      </c>
      <c r="H2773" s="2" t="s">
        <v>20</v>
      </c>
      <c r="I2773" s="2" t="s">
        <v>6071</v>
      </c>
      <c r="J2773" s="3" t="str">
        <f>HYPERLINK("https://www.boe.es/gazeta/dias/1813/08/14/pdfs/GRE-1813-103.pdf#page=3","Abrir facsímil")</f>
        <v>Abrir facsímil</v>
      </c>
      <c r="K2773" s="3" t="s">
        <v>22</v>
      </c>
    </row>
    <row r="2774" spans="1:11" ht="42" customHeight="1">
      <c r="A2774" s="2" t="s">
        <v>6072</v>
      </c>
      <c r="B2774" s="2" t="s">
        <v>6072</v>
      </c>
      <c r="C2774" s="2" t="s">
        <v>16</v>
      </c>
      <c r="D2774" s="2" t="s">
        <v>17</v>
      </c>
      <c r="E2774" s="5">
        <v>-31465</v>
      </c>
      <c r="F2774" s="3" t="s">
        <v>407</v>
      </c>
      <c r="G2774" s="3" t="s">
        <v>54</v>
      </c>
      <c r="H2774" s="2" t="s">
        <v>20</v>
      </c>
      <c r="I2774" s="2" t="s">
        <v>6073</v>
      </c>
      <c r="J2774" s="3" t="str">
        <f>HYPERLINK("https://www.boe.es/gazeta/dias/1813/11/06/pdfs/GMR-1813-70.pdf#page=3","Abrir facsímil")</f>
        <v>Abrir facsímil</v>
      </c>
      <c r="K2774" s="3" t="s">
        <v>22</v>
      </c>
    </row>
    <row r="2775" spans="1:11" ht="42" customHeight="1">
      <c r="A2775" s="2" t="s">
        <v>6072</v>
      </c>
      <c r="B2775" s="2" t="s">
        <v>6072</v>
      </c>
      <c r="C2775" s="2" t="s">
        <v>16</v>
      </c>
      <c r="D2775" s="2" t="s">
        <v>17</v>
      </c>
      <c r="E2775" s="5">
        <v>-31462</v>
      </c>
      <c r="F2775" s="3" t="s">
        <v>1028</v>
      </c>
      <c r="G2775" s="3" t="s">
        <v>58</v>
      </c>
      <c r="H2775" s="2" t="s">
        <v>20</v>
      </c>
      <c r="I2775" s="2" t="s">
        <v>6074</v>
      </c>
      <c r="J2775" s="3" t="str">
        <f>HYPERLINK("https://www.boe.es/gazeta/dias/1813/11/09/pdfs/GMR-1813-71.pdf#page=2","Abrir facsímil")</f>
        <v>Abrir facsímil</v>
      </c>
      <c r="K2775" s="3" t="s">
        <v>22</v>
      </c>
    </row>
    <row r="2776" spans="1:11" ht="42" customHeight="1">
      <c r="A2776" s="2" t="s">
        <v>6072</v>
      </c>
      <c r="B2776" s="2" t="s">
        <v>6072</v>
      </c>
      <c r="C2776" s="2" t="s">
        <v>16</v>
      </c>
      <c r="D2776" s="2" t="s">
        <v>17</v>
      </c>
      <c r="E2776" s="5">
        <v>-31455</v>
      </c>
      <c r="F2776" s="3" t="s">
        <v>693</v>
      </c>
      <c r="G2776" s="3" t="s">
        <v>58</v>
      </c>
      <c r="H2776" s="2" t="s">
        <v>20</v>
      </c>
      <c r="I2776" s="2" t="s">
        <v>6075</v>
      </c>
      <c r="J2776" s="3" t="str">
        <f>HYPERLINK("https://www.boe.es/gazeta/dias/1813/11/16/pdfs/GRE-1813-150.pdf#page=2","Abrir facsímil")</f>
        <v>Abrir facsímil</v>
      </c>
      <c r="K2776" s="3" t="s">
        <v>22</v>
      </c>
    </row>
    <row r="2777" spans="1:11" ht="42" customHeight="1">
      <c r="A2777" s="2" t="s">
        <v>6076</v>
      </c>
      <c r="B2777" s="2" t="s">
        <v>6077</v>
      </c>
      <c r="C2777" s="2" t="s">
        <v>16</v>
      </c>
      <c r="D2777" s="2" t="s">
        <v>17</v>
      </c>
      <c r="E2777" s="5">
        <v>-31451</v>
      </c>
      <c r="F2777" s="3" t="s">
        <v>127</v>
      </c>
      <c r="G2777" s="3" t="s">
        <v>87</v>
      </c>
      <c r="H2777" s="2" t="s">
        <v>20</v>
      </c>
      <c r="I2777" s="2" t="s">
        <v>6078</v>
      </c>
      <c r="J2777" s="3" t="str">
        <f>HYPERLINK("https://www.boe.es/gazeta/dias/1813/11/20/pdfs/GRE-1813-152.pdf#page=7","Abrir facsímil")</f>
        <v>Abrir facsímil</v>
      </c>
      <c r="K2777" s="3" t="s">
        <v>22</v>
      </c>
    </row>
    <row r="2778" spans="1:11" ht="42" customHeight="1">
      <c r="A2778" s="2" t="s">
        <v>6079</v>
      </c>
      <c r="B2778" s="2" t="s">
        <v>6080</v>
      </c>
      <c r="C2778" s="2" t="s">
        <v>16</v>
      </c>
      <c r="D2778" s="2" t="s">
        <v>17</v>
      </c>
      <c r="E2778" s="5">
        <v>-31668</v>
      </c>
      <c r="F2778" s="3" t="s">
        <v>574</v>
      </c>
      <c r="G2778" s="3" t="s">
        <v>82</v>
      </c>
      <c r="H2778" s="2" t="s">
        <v>20</v>
      </c>
      <c r="I2778" s="2" t="s">
        <v>6081</v>
      </c>
      <c r="J2778" s="3" t="str">
        <f>HYPERLINK("https://www.boe.es/gazeta/dias/1813/04/17/pdfs/GRE-1813-48.pdf#page=5","Abrir facsímil")</f>
        <v>Abrir facsímil</v>
      </c>
      <c r="K2778" s="3" t="s">
        <v>22</v>
      </c>
    </row>
    <row r="2779" spans="1:11" ht="42" customHeight="1">
      <c r="A2779" s="2" t="s">
        <v>6082</v>
      </c>
      <c r="B2779" s="2" t="s">
        <v>6083</v>
      </c>
      <c r="C2779" s="2" t="s">
        <v>16</v>
      </c>
      <c r="D2779" s="2" t="s">
        <v>17</v>
      </c>
      <c r="E2779" s="5">
        <v>-31462</v>
      </c>
      <c r="F2779" s="3" t="s">
        <v>1028</v>
      </c>
      <c r="G2779" s="3" t="s">
        <v>207</v>
      </c>
      <c r="H2779" s="2" t="s">
        <v>20</v>
      </c>
      <c r="I2779" s="2" t="s">
        <v>6084</v>
      </c>
      <c r="J2779" s="3" t="str">
        <f>HYPERLINK("https://www.boe.es/gazeta/dias/1813/11/09/pdfs/GMR-1813-71.pdf#page=10","Abrir facsímil")</f>
        <v>Abrir facsímil</v>
      </c>
      <c r="K2779" s="3" t="s">
        <v>22</v>
      </c>
    </row>
    <row r="2780" spans="1:11" ht="42" customHeight="1">
      <c r="A2780" s="2" t="s">
        <v>6085</v>
      </c>
      <c r="B2780" s="2" t="s">
        <v>6086</v>
      </c>
      <c r="C2780" s="2" t="s">
        <v>16</v>
      </c>
      <c r="D2780" s="2" t="s">
        <v>97</v>
      </c>
      <c r="E2780" s="5">
        <v>-31479</v>
      </c>
      <c r="F2780" s="3" t="s">
        <v>290</v>
      </c>
      <c r="G2780" s="3" t="s">
        <v>82</v>
      </c>
      <c r="H2780" s="2" t="s">
        <v>20</v>
      </c>
      <c r="I2780" s="2" t="s">
        <v>6087</v>
      </c>
      <c r="J2780" s="3" t="str">
        <f>HYPERLINK("https://www.boe.es/gazeta/dias/1813/10/23/pdfs/GRE-1813-139E.pdf#page=5","Abrir facsímil")</f>
        <v>Abrir facsímil</v>
      </c>
      <c r="K2780" s="3" t="s">
        <v>22</v>
      </c>
    </row>
    <row r="2781" spans="1:11" ht="42" customHeight="1">
      <c r="A2781" s="2" t="s">
        <v>6085</v>
      </c>
      <c r="B2781" s="2" t="s">
        <v>6086</v>
      </c>
      <c r="C2781" s="2" t="s">
        <v>16</v>
      </c>
      <c r="D2781" s="2" t="s">
        <v>97</v>
      </c>
      <c r="E2781" s="5">
        <v>-31479</v>
      </c>
      <c r="F2781" s="3" t="s">
        <v>290</v>
      </c>
      <c r="G2781" s="3" t="s">
        <v>95</v>
      </c>
      <c r="H2781" s="2" t="s">
        <v>20</v>
      </c>
      <c r="I2781" s="2" t="s">
        <v>6088</v>
      </c>
      <c r="J2781" s="3" t="str">
        <f>HYPERLINK("https://www.boe.es/gazeta/dias/1813/10/23/pdfs/GRE-1813-139E.pdf#page=6","Abrir facsímil")</f>
        <v>Abrir facsímil</v>
      </c>
      <c r="K2781" s="3" t="s">
        <v>22</v>
      </c>
    </row>
    <row r="2782" spans="1:11" ht="42" customHeight="1">
      <c r="A2782" s="2" t="s">
        <v>6085</v>
      </c>
      <c r="B2782" s="2" t="s">
        <v>6086</v>
      </c>
      <c r="C2782" s="2" t="s">
        <v>16</v>
      </c>
      <c r="D2782" s="2" t="s">
        <v>97</v>
      </c>
      <c r="E2782" s="5">
        <v>-31479</v>
      </c>
      <c r="F2782" s="3" t="s">
        <v>290</v>
      </c>
      <c r="G2782" s="3" t="s">
        <v>87</v>
      </c>
      <c r="H2782" s="2" t="s">
        <v>20</v>
      </c>
      <c r="I2782" s="2" t="s">
        <v>6089</v>
      </c>
      <c r="J2782" s="3" t="str">
        <f>HYPERLINK("https://www.boe.es/gazeta/dias/1813/10/23/pdfs/GRE-1813-139E.pdf#page=7","Abrir facsímil")</f>
        <v>Abrir facsímil</v>
      </c>
      <c r="K2782" s="3" t="s">
        <v>22</v>
      </c>
    </row>
    <row r="2783" spans="1:11" ht="42" customHeight="1">
      <c r="A2783" s="2" t="s">
        <v>6085</v>
      </c>
      <c r="B2783" s="2" t="s">
        <v>6086</v>
      </c>
      <c r="C2783" s="2" t="s">
        <v>16</v>
      </c>
      <c r="D2783" s="2" t="s">
        <v>97</v>
      </c>
      <c r="E2783" s="5">
        <v>-31479</v>
      </c>
      <c r="F2783" s="3" t="s">
        <v>290</v>
      </c>
      <c r="G2783" s="3" t="s">
        <v>28</v>
      </c>
      <c r="H2783" s="2" t="s">
        <v>20</v>
      </c>
      <c r="I2783" s="2" t="s">
        <v>6090</v>
      </c>
      <c r="J2783" s="3" t="str">
        <f>HYPERLINK("https://www.boe.es/gazeta/dias/1813/10/23/pdfs/GRE-1813-139E.pdf#page=8","Abrir facsímil")</f>
        <v>Abrir facsímil</v>
      </c>
      <c r="K2783" s="3" t="s">
        <v>22</v>
      </c>
    </row>
    <row r="2784" spans="1:11" ht="42" customHeight="1">
      <c r="A2784" s="2" t="s">
        <v>6085</v>
      </c>
      <c r="B2784" s="2" t="s">
        <v>6086</v>
      </c>
      <c r="C2784" s="2" t="s">
        <v>16</v>
      </c>
      <c r="D2784" s="2" t="s">
        <v>17</v>
      </c>
      <c r="E2784" s="5">
        <v>-31465</v>
      </c>
      <c r="F2784" s="3" t="s">
        <v>407</v>
      </c>
      <c r="G2784" s="3" t="s">
        <v>82</v>
      </c>
      <c r="H2784" s="2" t="s">
        <v>20</v>
      </c>
      <c r="I2784" s="2" t="s">
        <v>6091</v>
      </c>
      <c r="J2784" s="3" t="str">
        <f>HYPERLINK("https://www.boe.es/gazeta/dias/1813/11/06/pdfs/GMR-1813-70.pdf#page=5","Abrir facsímil")</f>
        <v>Abrir facsímil</v>
      </c>
      <c r="K2784" s="3" t="s">
        <v>22</v>
      </c>
    </row>
    <row r="2785" spans="1:11" ht="42" customHeight="1">
      <c r="A2785" s="2" t="s">
        <v>6085</v>
      </c>
      <c r="B2785" s="2" t="s">
        <v>6086</v>
      </c>
      <c r="C2785" s="2" t="s">
        <v>16</v>
      </c>
      <c r="D2785" s="2" t="s">
        <v>17</v>
      </c>
      <c r="E2785" s="5">
        <v>-31465</v>
      </c>
      <c r="F2785" s="3" t="s">
        <v>407</v>
      </c>
      <c r="G2785" s="3" t="s">
        <v>87</v>
      </c>
      <c r="H2785" s="2" t="s">
        <v>20</v>
      </c>
      <c r="I2785" s="2" t="s">
        <v>6092</v>
      </c>
      <c r="J2785" s="3" t="str">
        <f>HYPERLINK("https://www.boe.es/gazeta/dias/1813/11/06/pdfs/GMR-1813-70.pdf#page=7","Abrir facsímil")</f>
        <v>Abrir facsímil</v>
      </c>
      <c r="K2785" s="3" t="s">
        <v>22</v>
      </c>
    </row>
    <row r="2786" spans="1:11" ht="42" customHeight="1">
      <c r="A2786" s="2" t="s">
        <v>6093</v>
      </c>
      <c r="B2786" s="2" t="s">
        <v>6094</v>
      </c>
      <c r="C2786" s="2" t="s">
        <v>435</v>
      </c>
      <c r="D2786" s="2" t="s">
        <v>97</v>
      </c>
      <c r="E2786" s="5">
        <v>-31479</v>
      </c>
      <c r="F2786" s="3" t="s">
        <v>290</v>
      </c>
      <c r="G2786" s="3" t="s">
        <v>28</v>
      </c>
      <c r="H2786" s="2" t="s">
        <v>20</v>
      </c>
      <c r="I2786" s="2" t="s">
        <v>6095</v>
      </c>
      <c r="J2786" s="3" t="str">
        <f>HYPERLINK("https://www.boe.es/gazeta/dias/1813/10/23/pdfs/GRE-1813-139E.pdf#page=8","Abrir facsímil")</f>
        <v>Abrir facsímil</v>
      </c>
      <c r="K2786" s="3" t="s">
        <v>22</v>
      </c>
    </row>
    <row r="2787" spans="1:11" ht="42" customHeight="1">
      <c r="A2787" s="2" t="s">
        <v>6096</v>
      </c>
      <c r="B2787" s="2" t="s">
        <v>6097</v>
      </c>
      <c r="C2787" s="2" t="s">
        <v>16</v>
      </c>
      <c r="D2787" s="2" t="s">
        <v>17</v>
      </c>
      <c r="E2787" s="5">
        <v>-31451</v>
      </c>
      <c r="F2787" s="3" t="s">
        <v>127</v>
      </c>
      <c r="G2787" s="3" t="s">
        <v>28</v>
      </c>
      <c r="H2787" s="2" t="s">
        <v>20</v>
      </c>
      <c r="I2787" s="2" t="s">
        <v>6098</v>
      </c>
      <c r="J2787" s="3" t="str">
        <f>HYPERLINK("https://www.boe.es/gazeta/dias/1813/11/20/pdfs/GRE-1813-152.pdf#page=8","Abrir facsímil")</f>
        <v>Abrir facsímil</v>
      </c>
      <c r="K2787" s="3" t="s">
        <v>22</v>
      </c>
    </row>
    <row r="2788" spans="1:11" ht="42" customHeight="1">
      <c r="A2788" s="2" t="s">
        <v>6099</v>
      </c>
      <c r="B2788" s="2" t="s">
        <v>6100</v>
      </c>
      <c r="C2788" s="2" t="s">
        <v>16</v>
      </c>
      <c r="D2788" s="2" t="s">
        <v>17</v>
      </c>
      <c r="E2788" s="5">
        <v>-31683</v>
      </c>
      <c r="F2788" s="3" t="s">
        <v>1213</v>
      </c>
      <c r="G2788" s="3" t="s">
        <v>65</v>
      </c>
      <c r="H2788" s="2" t="s">
        <v>20</v>
      </c>
      <c r="I2788" s="2" t="s">
        <v>6101</v>
      </c>
      <c r="J2788" s="3" t="str">
        <f>HYPERLINK("https://www.boe.es/gazeta/dias/1813/04/02/pdfs/GMD-1813-92.pdf#page=1","Abrir facsímil")</f>
        <v>Abrir facsímil</v>
      </c>
      <c r="K2788" s="3" t="s">
        <v>22</v>
      </c>
    </row>
    <row r="2789" spans="1:11" ht="42" customHeight="1">
      <c r="A2789" s="2" t="s">
        <v>6102</v>
      </c>
      <c r="B2789" s="2" t="s">
        <v>6102</v>
      </c>
      <c r="C2789" s="2" t="s">
        <v>16</v>
      </c>
      <c r="D2789" s="2" t="s">
        <v>17</v>
      </c>
      <c r="E2789" s="5">
        <v>-31654</v>
      </c>
      <c r="F2789" s="3" t="s">
        <v>852</v>
      </c>
      <c r="G2789" s="3" t="s">
        <v>54</v>
      </c>
      <c r="H2789" s="2" t="s">
        <v>20</v>
      </c>
      <c r="I2789" s="2" t="s">
        <v>6103</v>
      </c>
      <c r="J2789" s="3" t="str">
        <f>HYPERLINK("https://www.boe.es/gazeta/dias/1813/05/01/pdfs/GMD-1813-121.pdf#page=3","Abrir facsímil")</f>
        <v>Abrir facsímil</v>
      </c>
      <c r="K2789" s="3" t="s">
        <v>22</v>
      </c>
    </row>
    <row r="2790" spans="1:11" ht="42" customHeight="1">
      <c r="A2790" s="2" t="s">
        <v>6104</v>
      </c>
      <c r="B2790" s="2" t="s">
        <v>6104</v>
      </c>
      <c r="C2790" s="2" t="s">
        <v>16</v>
      </c>
      <c r="D2790" s="2" t="s">
        <v>17</v>
      </c>
      <c r="E2790" s="5">
        <v>-31692</v>
      </c>
      <c r="F2790" s="3" t="s">
        <v>2171</v>
      </c>
      <c r="G2790" s="3" t="s">
        <v>58</v>
      </c>
      <c r="H2790" s="2" t="s">
        <v>20</v>
      </c>
      <c r="I2790" s="2" t="s">
        <v>6105</v>
      </c>
      <c r="J2790" s="3" t="str">
        <f>HYPERLINK("https://www.boe.es/gazeta/dias/1813/03/24/pdfs/GMD-1813-83.pdf#page=2","Abrir facsímil")</f>
        <v>Abrir facsímil</v>
      </c>
      <c r="K2790" s="3" t="s">
        <v>22</v>
      </c>
    </row>
    <row r="2791" spans="1:11" ht="42" customHeight="1">
      <c r="A2791" s="2" t="s">
        <v>6106</v>
      </c>
      <c r="B2791" s="2" t="s">
        <v>6107</v>
      </c>
      <c r="C2791" s="2" t="s">
        <v>25</v>
      </c>
      <c r="D2791" s="2" t="s">
        <v>26</v>
      </c>
      <c r="E2791" s="5">
        <v>-31546</v>
      </c>
      <c r="F2791" s="3" t="s">
        <v>2057</v>
      </c>
      <c r="G2791" s="3" t="s">
        <v>95</v>
      </c>
      <c r="H2791" s="2" t="s">
        <v>20</v>
      </c>
      <c r="I2791" s="2" t="s">
        <v>6108</v>
      </c>
      <c r="J2791" s="3" t="str">
        <f>HYPERLINK("https://www.boe.es/gazeta/dias/1813/08/17/pdfs/GRE-1813-105.pdf#page=6","Abrir facsímil")</f>
        <v>Abrir facsímil</v>
      </c>
      <c r="K2791" s="3" t="s">
        <v>22</v>
      </c>
    </row>
    <row r="2792" spans="1:11" ht="42" customHeight="1">
      <c r="A2792" s="2" t="s">
        <v>6109</v>
      </c>
      <c r="B2792" s="2" t="s">
        <v>6109</v>
      </c>
      <c r="C2792" s="2" t="s">
        <v>16</v>
      </c>
      <c r="D2792" s="2" t="s">
        <v>17</v>
      </c>
      <c r="E2792" s="5">
        <v>-31742</v>
      </c>
      <c r="F2792" s="3" t="s">
        <v>2667</v>
      </c>
      <c r="G2792" s="3" t="s">
        <v>58</v>
      </c>
      <c r="H2792" s="2" t="s">
        <v>20</v>
      </c>
      <c r="I2792" s="2" t="s">
        <v>6110</v>
      </c>
      <c r="J2792" s="3" t="str">
        <f>HYPERLINK("https://www.boe.es/gazeta/dias/1813/02/02/pdfs/GRE-1813-14.pdf#page=2","Abrir facsímil")</f>
        <v>Abrir facsímil</v>
      </c>
      <c r="K2792" s="3" t="s">
        <v>22</v>
      </c>
    </row>
    <row r="2793" spans="1:11" ht="42" customHeight="1">
      <c r="A2793" s="2" t="s">
        <v>6111</v>
      </c>
      <c r="B2793" s="2" t="s">
        <v>6112</v>
      </c>
      <c r="C2793" s="2" t="s">
        <v>16</v>
      </c>
      <c r="D2793" s="2" t="s">
        <v>17</v>
      </c>
      <c r="E2793" s="5">
        <v>-31479</v>
      </c>
      <c r="F2793" s="3" t="s">
        <v>2383</v>
      </c>
      <c r="G2793" s="3" t="s">
        <v>87</v>
      </c>
      <c r="H2793" s="2" t="s">
        <v>20</v>
      </c>
      <c r="I2793" s="2" t="s">
        <v>6113</v>
      </c>
      <c r="J2793" s="3" t="str">
        <f>HYPERLINK("https://www.boe.es/gazeta/dias/1813/10/23/pdfs/GRE-1813-138.pdf#page=7","Abrir facsímil")</f>
        <v>Abrir facsímil</v>
      </c>
      <c r="K2793" s="3" t="s">
        <v>22</v>
      </c>
    </row>
    <row r="2794" spans="1:11" ht="42" customHeight="1">
      <c r="A2794" s="2" t="s">
        <v>6114</v>
      </c>
      <c r="B2794" s="2" t="s">
        <v>6114</v>
      </c>
      <c r="C2794" s="2" t="s">
        <v>16</v>
      </c>
      <c r="D2794" s="2" t="s">
        <v>17</v>
      </c>
      <c r="E2794" s="5">
        <v>-31467</v>
      </c>
      <c r="F2794" s="3" t="s">
        <v>1464</v>
      </c>
      <c r="G2794" s="3" t="s">
        <v>28</v>
      </c>
      <c r="H2794" s="2" t="s">
        <v>20</v>
      </c>
      <c r="I2794" s="2" t="s">
        <v>6115</v>
      </c>
      <c r="J2794" s="3" t="str">
        <f>HYPERLINK("https://www.boe.es/gazeta/dias/1813/11/04/pdfs/GRE-1813-144.pdf#page=8","Abrir facsímil")</f>
        <v>Abrir facsímil</v>
      </c>
      <c r="K2794" s="3" t="s">
        <v>22</v>
      </c>
    </row>
    <row r="2795" spans="1:11" ht="42" customHeight="1">
      <c r="A2795" s="2" t="s">
        <v>6116</v>
      </c>
      <c r="B2795" s="2" t="s">
        <v>6116</v>
      </c>
      <c r="C2795" s="2" t="s">
        <v>16</v>
      </c>
      <c r="D2795" s="2" t="s">
        <v>17</v>
      </c>
      <c r="E2795" s="5">
        <v>-31642</v>
      </c>
      <c r="F2795" s="3" t="s">
        <v>582</v>
      </c>
      <c r="G2795" s="3" t="s">
        <v>65</v>
      </c>
      <c r="H2795" s="2" t="s">
        <v>20</v>
      </c>
      <c r="I2795" s="2" t="s">
        <v>6117</v>
      </c>
      <c r="J2795" s="3" t="str">
        <f>HYPERLINK("https://www.boe.es/gazeta/dias/1813/05/13/pdfs/GRE-1813-59.pdf#page=1","Abrir facsímil")</f>
        <v>Abrir facsímil</v>
      </c>
      <c r="K2795" s="3" t="s">
        <v>22</v>
      </c>
    </row>
    <row r="2796" spans="1:11" ht="42" customHeight="1">
      <c r="A2796" s="2" t="s">
        <v>6118</v>
      </c>
      <c r="B2796" s="2" t="s">
        <v>6119</v>
      </c>
      <c r="C2796" s="2" t="s">
        <v>34</v>
      </c>
      <c r="D2796" s="2" t="s">
        <v>35</v>
      </c>
      <c r="E2796" s="5">
        <v>-31761</v>
      </c>
      <c r="F2796" s="3" t="s">
        <v>376</v>
      </c>
      <c r="G2796" s="3" t="s">
        <v>6120</v>
      </c>
      <c r="H2796" s="2" t="s">
        <v>20</v>
      </c>
      <c r="I2796" s="2" t="s">
        <v>6121</v>
      </c>
      <c r="J2796" s="3" t="str">
        <f>HYPERLINK("https://www.boe.es/gazeta/dias/1813/01/14/pdfs/GRE-1813-6.pdf#page=7","Abrir facsímil")</f>
        <v>Abrir facsímil</v>
      </c>
      <c r="K2796" s="3" t="s">
        <v>22</v>
      </c>
    </row>
    <row r="2797" spans="1:11" ht="42" customHeight="1">
      <c r="A2797" s="2" t="s">
        <v>6122</v>
      </c>
      <c r="B2797" s="2" t="s">
        <v>6122</v>
      </c>
      <c r="C2797" s="2" t="s">
        <v>16</v>
      </c>
      <c r="D2797" s="2" t="s">
        <v>17</v>
      </c>
      <c r="E2797" s="5">
        <v>-31432</v>
      </c>
      <c r="F2797" s="3" t="s">
        <v>702</v>
      </c>
      <c r="G2797" s="3" t="s">
        <v>87</v>
      </c>
      <c r="H2797" s="2" t="s">
        <v>20</v>
      </c>
      <c r="I2797" s="2" t="s">
        <v>6123</v>
      </c>
      <c r="J2797" s="3" t="str">
        <f>HYPERLINK("https://www.boe.es/gazeta/dias/1813/12/09/pdfs/GMR-1813-85.pdf#page=7","Abrir facsímil")</f>
        <v>Abrir facsímil</v>
      </c>
      <c r="K2797" s="3" t="s">
        <v>22</v>
      </c>
    </row>
    <row r="2798" spans="1:11" ht="42" customHeight="1">
      <c r="A2798" s="2" t="s">
        <v>6124</v>
      </c>
      <c r="B2798" s="2" t="s">
        <v>6124</v>
      </c>
      <c r="C2798" s="2" t="s">
        <v>34</v>
      </c>
      <c r="D2798" s="2" t="s">
        <v>35</v>
      </c>
      <c r="E2798" s="5">
        <v>-31761</v>
      </c>
      <c r="F2798" s="3" t="s">
        <v>6125</v>
      </c>
      <c r="G2798" s="3" t="s">
        <v>58</v>
      </c>
      <c r="H2798" s="2" t="s">
        <v>20</v>
      </c>
      <c r="I2798" s="2" t="s">
        <v>6126</v>
      </c>
      <c r="J2798" s="3" t="str">
        <f>HYPERLINK("https://www.boe.es/gazeta/dias/1813/01/14/pdfs/GMD-1813-14.pdf#page=2","Abrir facsímil")</f>
        <v>Abrir facsímil</v>
      </c>
      <c r="K2798" s="3" t="s">
        <v>22</v>
      </c>
    </row>
    <row r="2799" spans="1:11" ht="42" customHeight="1">
      <c r="A2799" s="2" t="s">
        <v>6127</v>
      </c>
      <c r="B2799" s="2" t="s">
        <v>6127</v>
      </c>
      <c r="C2799" s="2" t="s">
        <v>16</v>
      </c>
      <c r="D2799" s="2" t="s">
        <v>17</v>
      </c>
      <c r="E2799" s="5">
        <v>-31453</v>
      </c>
      <c r="F2799" s="3" t="s">
        <v>695</v>
      </c>
      <c r="G2799" s="3" t="s">
        <v>82</v>
      </c>
      <c r="H2799" s="2" t="s">
        <v>20</v>
      </c>
      <c r="I2799" s="2" t="s">
        <v>6128</v>
      </c>
      <c r="J2799" s="3" t="str">
        <f>HYPERLINK("https://www.boe.es/gazeta/dias/1813/11/18/pdfs/GRE-1813-151.pdf#page=5","Abrir facsímil")</f>
        <v>Abrir facsímil</v>
      </c>
      <c r="K2799" s="3" t="s">
        <v>22</v>
      </c>
    </row>
    <row r="2800" spans="1:11" ht="42" customHeight="1">
      <c r="A2800" s="2" t="s">
        <v>6129</v>
      </c>
      <c r="B2800" s="2" t="s">
        <v>6129</v>
      </c>
      <c r="C2800" s="2" t="s">
        <v>16</v>
      </c>
      <c r="D2800" s="2" t="s">
        <v>17</v>
      </c>
      <c r="E2800" s="5">
        <v>-31532</v>
      </c>
      <c r="F2800" s="3" t="s">
        <v>215</v>
      </c>
      <c r="G2800" s="3" t="s">
        <v>58</v>
      </c>
      <c r="H2800" s="2" t="s">
        <v>20</v>
      </c>
      <c r="I2800" s="2" t="s">
        <v>6130</v>
      </c>
      <c r="J2800" s="3" t="str">
        <f>HYPERLINK("https://www.boe.es/gazeta/dias/1813/08/31/pdfs/GRE-1813-111.pdf#page=2","Abrir facsímil")</f>
        <v>Abrir facsímil</v>
      </c>
      <c r="K2800" s="3" t="s">
        <v>22</v>
      </c>
    </row>
    <row r="2801" spans="1:11" ht="42" customHeight="1">
      <c r="A2801" s="2" t="s">
        <v>6129</v>
      </c>
      <c r="B2801" s="2" t="s">
        <v>6129</v>
      </c>
      <c r="C2801" s="2" t="s">
        <v>16</v>
      </c>
      <c r="D2801" s="2" t="s">
        <v>17</v>
      </c>
      <c r="E2801" s="5">
        <v>-31532</v>
      </c>
      <c r="F2801" s="3" t="s">
        <v>215</v>
      </c>
      <c r="G2801" s="3" t="s">
        <v>54</v>
      </c>
      <c r="H2801" s="2" t="s">
        <v>20</v>
      </c>
      <c r="I2801" s="2" t="s">
        <v>6131</v>
      </c>
      <c r="J2801" s="3" t="str">
        <f>HYPERLINK("https://www.boe.es/gazeta/dias/1813/08/31/pdfs/GRE-1813-111.pdf#page=3","Abrir facsímil")</f>
        <v>Abrir facsímil</v>
      </c>
      <c r="K2801" s="3" t="s">
        <v>22</v>
      </c>
    </row>
    <row r="2802" spans="1:11" ht="42" customHeight="1">
      <c r="A2802" s="2" t="s">
        <v>6132</v>
      </c>
      <c r="B2802" s="2" t="s">
        <v>6132</v>
      </c>
      <c r="C2802" s="2" t="s">
        <v>16</v>
      </c>
      <c r="D2802" s="2" t="s">
        <v>17</v>
      </c>
      <c r="E2802" s="5">
        <v>-31453</v>
      </c>
      <c r="F2802" s="3" t="s">
        <v>695</v>
      </c>
      <c r="G2802" s="3" t="s">
        <v>82</v>
      </c>
      <c r="H2802" s="2" t="s">
        <v>20</v>
      </c>
      <c r="I2802" s="2" t="s">
        <v>6133</v>
      </c>
      <c r="J2802" s="3" t="str">
        <f>HYPERLINK("https://www.boe.es/gazeta/dias/1813/11/18/pdfs/GRE-1813-151.pdf#page=5","Abrir facsímil")</f>
        <v>Abrir facsímil</v>
      </c>
      <c r="K2802" s="3" t="s">
        <v>22</v>
      </c>
    </row>
    <row r="2803" spans="1:11" ht="42" customHeight="1">
      <c r="A2803" s="2" t="s">
        <v>6134</v>
      </c>
      <c r="B2803" s="2" t="s">
        <v>6134</v>
      </c>
      <c r="C2803" s="2" t="s">
        <v>25</v>
      </c>
      <c r="D2803" s="2" t="s">
        <v>26</v>
      </c>
      <c r="E2803" s="5">
        <v>-31453</v>
      </c>
      <c r="F2803" s="3" t="s">
        <v>695</v>
      </c>
      <c r="G2803" s="3" t="s">
        <v>82</v>
      </c>
      <c r="H2803" s="2" t="s">
        <v>20</v>
      </c>
      <c r="I2803" s="2" t="s">
        <v>6135</v>
      </c>
      <c r="J2803" s="3" t="str">
        <f>HYPERLINK("https://www.boe.es/gazeta/dias/1813/11/18/pdfs/GRE-1813-151.pdf#page=5","Abrir facsímil")</f>
        <v>Abrir facsímil</v>
      </c>
      <c r="K2803" s="3" t="s">
        <v>22</v>
      </c>
    </row>
    <row r="2804" spans="1:11" ht="42" customHeight="1">
      <c r="A2804" s="2" t="s">
        <v>6136</v>
      </c>
      <c r="B2804" s="2" t="s">
        <v>6137</v>
      </c>
      <c r="C2804" s="2" t="s">
        <v>16</v>
      </c>
      <c r="D2804" s="2" t="s">
        <v>97</v>
      </c>
      <c r="E2804" s="5">
        <v>-31519</v>
      </c>
      <c r="F2804" s="3" t="s">
        <v>312</v>
      </c>
      <c r="G2804" s="3" t="s">
        <v>65</v>
      </c>
      <c r="H2804" s="2" t="s">
        <v>20</v>
      </c>
      <c r="I2804" s="2" t="s">
        <v>6138</v>
      </c>
      <c r="J2804" s="3" t="str">
        <f>HYPERLINK("https://www.boe.es/gazeta/dias/1813/09/13/pdfs/GRE-1813-118E.pdf#page=1","Abrir facsímil")</f>
        <v>Abrir facsímil</v>
      </c>
      <c r="K2804" s="3" t="s">
        <v>22</v>
      </c>
    </row>
    <row r="2805" spans="1:11" ht="42" customHeight="1">
      <c r="A2805" s="2" t="s">
        <v>6139</v>
      </c>
      <c r="B2805" s="2" t="s">
        <v>6140</v>
      </c>
      <c r="C2805" s="2" t="s">
        <v>16</v>
      </c>
      <c r="D2805" s="2" t="s">
        <v>17</v>
      </c>
      <c r="E2805" s="5">
        <v>-31432</v>
      </c>
      <c r="F2805" s="3" t="s">
        <v>803</v>
      </c>
      <c r="G2805" s="3" t="s">
        <v>6141</v>
      </c>
      <c r="H2805" s="2" t="s">
        <v>20</v>
      </c>
      <c r="I2805" s="2" t="s">
        <v>6142</v>
      </c>
      <c r="J2805" s="3" t="str">
        <f>HYPERLINK("https://www.boe.es/gazeta/dias/1813/12/09/pdfs/GRE-1813-162.pdf#page=7","Abrir facsímil")</f>
        <v>Abrir facsímil</v>
      </c>
      <c r="K2805" s="3" t="s">
        <v>22</v>
      </c>
    </row>
    <row r="2806" spans="1:11" ht="42" customHeight="1">
      <c r="A2806" s="2" t="s">
        <v>6143</v>
      </c>
      <c r="B2806" s="2" t="s">
        <v>6143</v>
      </c>
      <c r="C2806" s="2" t="s">
        <v>16</v>
      </c>
      <c r="D2806" s="2" t="s">
        <v>17</v>
      </c>
      <c r="E2806" s="5">
        <v>-31668</v>
      </c>
      <c r="F2806" s="3" t="s">
        <v>574</v>
      </c>
      <c r="G2806" s="3" t="s">
        <v>6144</v>
      </c>
      <c r="H2806" s="2" t="s">
        <v>20</v>
      </c>
      <c r="I2806" s="2" t="s">
        <v>6145</v>
      </c>
      <c r="J2806" s="3" t="str">
        <f>HYPERLINK("https://www.boe.es/gazeta/dias/1813/04/17/pdfs/GRE-1813-48.pdf#page=7","Abrir facsímil")</f>
        <v>Abrir facsímil</v>
      </c>
      <c r="K2806" s="3" t="s">
        <v>22</v>
      </c>
    </row>
    <row r="2807" spans="1:11" ht="42" customHeight="1">
      <c r="A2807" s="2" t="s">
        <v>6146</v>
      </c>
      <c r="B2807" s="2" t="s">
        <v>6147</v>
      </c>
      <c r="C2807" s="2" t="s">
        <v>16</v>
      </c>
      <c r="D2807" s="2" t="s">
        <v>17</v>
      </c>
      <c r="E2807" s="5">
        <v>-31570</v>
      </c>
      <c r="F2807" s="3" t="s">
        <v>1803</v>
      </c>
      <c r="G2807" s="3" t="s">
        <v>54</v>
      </c>
      <c r="H2807" s="2" t="s">
        <v>20</v>
      </c>
      <c r="I2807" s="2" t="s">
        <v>6148</v>
      </c>
      <c r="J2807" s="3" t="str">
        <f>HYPERLINK("https://www.boe.es/gazeta/dias/1813/07/24/pdfs/GRE-1813-94.pdf#page=3","Abrir facsímil")</f>
        <v>Abrir facsímil</v>
      </c>
      <c r="K2807" s="3" t="s">
        <v>22</v>
      </c>
    </row>
    <row r="2808" spans="1:11" ht="42" customHeight="1">
      <c r="A2808" s="2" t="s">
        <v>6149</v>
      </c>
      <c r="B2808" s="2" t="s">
        <v>6150</v>
      </c>
      <c r="C2808" s="2" t="s">
        <v>16</v>
      </c>
      <c r="D2808" s="2" t="s">
        <v>17</v>
      </c>
      <c r="E2808" s="5">
        <v>-31630</v>
      </c>
      <c r="F2808" s="3" t="s">
        <v>1324</v>
      </c>
      <c r="G2808" s="3" t="s">
        <v>3731</v>
      </c>
      <c r="H2808" s="2" t="s">
        <v>20</v>
      </c>
      <c r="I2808" s="2" t="s">
        <v>6151</v>
      </c>
      <c r="J2808" s="3" t="str">
        <f>HYPERLINK("https://www.boe.es/gazeta/dias/1813/05/25/pdfs/GRE-1813-64.pdf#page=7","Abrir facsímil")</f>
        <v>Abrir facsímil</v>
      </c>
      <c r="K2808" s="3" t="s">
        <v>22</v>
      </c>
    </row>
    <row r="2809" spans="1:11" ht="42" customHeight="1">
      <c r="A2809" s="2" t="s">
        <v>6152</v>
      </c>
      <c r="B2809" s="2" t="s">
        <v>6153</v>
      </c>
      <c r="C2809" s="2" t="s">
        <v>16</v>
      </c>
      <c r="D2809" s="2" t="s">
        <v>17</v>
      </c>
      <c r="E2809" s="5">
        <v>-31772</v>
      </c>
      <c r="F2809" s="3" t="s">
        <v>709</v>
      </c>
      <c r="G2809" s="3" t="s">
        <v>19</v>
      </c>
      <c r="H2809" s="2" t="s">
        <v>20</v>
      </c>
      <c r="I2809" s="2" t="s">
        <v>6154</v>
      </c>
      <c r="J2809" s="3" t="str">
        <f>HYPERLINK("https://www.boe.es/gazeta/dias/1813/01/03/pdfs/GRE-1813-69.pdf#page=4","Abrir facsímil")</f>
        <v>Abrir facsímil</v>
      </c>
      <c r="K2809" s="3" t="s">
        <v>22</v>
      </c>
    </row>
    <row r="2810" spans="1:11" ht="42" customHeight="1">
      <c r="A2810" s="2" t="s">
        <v>6152</v>
      </c>
      <c r="B2810" s="2" t="s">
        <v>6153</v>
      </c>
      <c r="C2810" s="2" t="s">
        <v>16</v>
      </c>
      <c r="D2810" s="2" t="s">
        <v>17</v>
      </c>
      <c r="E2810" s="5">
        <v>-31621</v>
      </c>
      <c r="F2810" s="3" t="s">
        <v>709</v>
      </c>
      <c r="G2810" s="3" t="s">
        <v>19</v>
      </c>
      <c r="H2810" s="2" t="s">
        <v>20</v>
      </c>
      <c r="I2810" s="2" t="s">
        <v>6154</v>
      </c>
      <c r="J2810" s="3" t="str">
        <f>HYPERLINK("https://www.boe.es/gazeta/dias/1813/06/03/pdfs/GRE-1813-69.pdf#page=4","Abrir facsímil")</f>
        <v>Abrir facsímil</v>
      </c>
      <c r="K2810" s="3" t="s">
        <v>22</v>
      </c>
    </row>
    <row r="2811" spans="1:11" ht="42" customHeight="1">
      <c r="A2811" s="2" t="s">
        <v>6155</v>
      </c>
      <c r="B2811" s="2" t="s">
        <v>6156</v>
      </c>
      <c r="C2811" s="2" t="s">
        <v>277</v>
      </c>
      <c r="D2811" s="2" t="s">
        <v>26</v>
      </c>
      <c r="E2811" s="5">
        <v>-31772</v>
      </c>
      <c r="F2811" s="3" t="s">
        <v>709</v>
      </c>
      <c r="G2811" s="3" t="s">
        <v>54</v>
      </c>
      <c r="H2811" s="2" t="s">
        <v>20</v>
      </c>
      <c r="I2811" s="2" t="s">
        <v>6157</v>
      </c>
      <c r="J2811" s="3" t="str">
        <f>HYPERLINK("https://www.boe.es/gazeta/dias/1813/01/03/pdfs/GRE-1813-69.pdf#page=3","Abrir facsímil")</f>
        <v>Abrir facsímil</v>
      </c>
      <c r="K2811" s="3" t="s">
        <v>22</v>
      </c>
    </row>
    <row r="2812" spans="1:11" ht="42" customHeight="1">
      <c r="A2812" s="2" t="s">
        <v>6155</v>
      </c>
      <c r="B2812" s="2" t="s">
        <v>6156</v>
      </c>
      <c r="C2812" s="2" t="s">
        <v>34</v>
      </c>
      <c r="D2812" s="2" t="s">
        <v>35</v>
      </c>
      <c r="E2812" s="5">
        <v>-31709</v>
      </c>
      <c r="F2812" s="3" t="s">
        <v>36</v>
      </c>
      <c r="G2812" s="3" t="s">
        <v>303</v>
      </c>
      <c r="H2812" s="2" t="s">
        <v>20</v>
      </c>
      <c r="I2812" s="2" t="s">
        <v>6158</v>
      </c>
      <c r="J2812" s="3" t="str">
        <f>HYPERLINK("https://www.boe.es/gazeta/dias/1813/03/07/pdfs/GMD-1813-66.pdf#page=3","Abrir facsímil")</f>
        <v>Abrir facsímil</v>
      </c>
      <c r="K2812" s="3" t="s">
        <v>22</v>
      </c>
    </row>
    <row r="2813" spans="1:11" ht="42" customHeight="1">
      <c r="A2813" s="2" t="s">
        <v>6155</v>
      </c>
      <c r="B2813" s="2" t="s">
        <v>6156</v>
      </c>
      <c r="C2813" s="2" t="s">
        <v>277</v>
      </c>
      <c r="D2813" s="2" t="s">
        <v>26</v>
      </c>
      <c r="E2813" s="5">
        <v>-31621</v>
      </c>
      <c r="F2813" s="3" t="s">
        <v>709</v>
      </c>
      <c r="G2813" s="3" t="s">
        <v>54</v>
      </c>
      <c r="H2813" s="2" t="s">
        <v>20</v>
      </c>
      <c r="I2813" s="2" t="s">
        <v>6157</v>
      </c>
      <c r="J2813" s="3" t="str">
        <f>HYPERLINK("https://www.boe.es/gazeta/dias/1813/06/03/pdfs/GRE-1813-69.pdf#page=3","Abrir facsímil")</f>
        <v>Abrir facsímil</v>
      </c>
      <c r="K2813" s="3" t="s">
        <v>22</v>
      </c>
    </row>
    <row r="2814" spans="1:11" ht="42" customHeight="1">
      <c r="A2814" s="2" t="s">
        <v>6155</v>
      </c>
      <c r="B2814" s="2" t="s">
        <v>6156</v>
      </c>
      <c r="C2814" s="2" t="s">
        <v>25</v>
      </c>
      <c r="D2814" s="2" t="s">
        <v>26</v>
      </c>
      <c r="E2814" s="5">
        <v>-31619</v>
      </c>
      <c r="F2814" s="3" t="s">
        <v>749</v>
      </c>
      <c r="G2814" s="3" t="s">
        <v>58</v>
      </c>
      <c r="H2814" s="2" t="s">
        <v>20</v>
      </c>
      <c r="I2814" s="2" t="s">
        <v>6159</v>
      </c>
      <c r="J2814" s="3" t="str">
        <f>HYPERLINK("https://www.boe.es/gazeta/dias/1813/06/05/pdfs/GRE-1813-70.pdf#page=2","Abrir facsímil")</f>
        <v>Abrir facsímil</v>
      </c>
      <c r="K2814" s="3" t="s">
        <v>22</v>
      </c>
    </row>
    <row r="2815" spans="1:11" ht="42" customHeight="1">
      <c r="A2815" s="2" t="s">
        <v>6155</v>
      </c>
      <c r="B2815" s="2" t="s">
        <v>6156</v>
      </c>
      <c r="C2815" s="2" t="s">
        <v>16</v>
      </c>
      <c r="D2815" s="2" t="s">
        <v>17</v>
      </c>
      <c r="E2815" s="5">
        <v>-31556</v>
      </c>
      <c r="F2815" s="3" t="s">
        <v>976</v>
      </c>
      <c r="G2815" s="3" t="s">
        <v>19</v>
      </c>
      <c r="H2815" s="2" t="s">
        <v>20</v>
      </c>
      <c r="I2815" s="2" t="s">
        <v>6160</v>
      </c>
      <c r="J2815" s="3" t="str">
        <f>HYPERLINK("https://www.boe.es/gazeta/dias/1813/08/07/pdfs/GRE-1813-100.pdf#page=4","Abrir facsímil")</f>
        <v>Abrir facsímil</v>
      </c>
      <c r="K2815" s="3" t="s">
        <v>22</v>
      </c>
    </row>
    <row r="2816" spans="1:11" ht="42" customHeight="1">
      <c r="A2816" s="2" t="s">
        <v>6161</v>
      </c>
      <c r="B2816" s="2" t="s">
        <v>6161</v>
      </c>
      <c r="C2816" s="2" t="s">
        <v>16</v>
      </c>
      <c r="D2816" s="2" t="s">
        <v>17</v>
      </c>
      <c r="E2816" s="5">
        <v>-31745</v>
      </c>
      <c r="F2816" s="3" t="s">
        <v>1856</v>
      </c>
      <c r="G2816" s="3" t="s">
        <v>19</v>
      </c>
      <c r="H2816" s="2" t="s">
        <v>20</v>
      </c>
      <c r="I2816" s="2" t="s">
        <v>6162</v>
      </c>
      <c r="J2816" s="3" t="str">
        <f>HYPERLINK("https://www.boe.es/gazeta/dias/1813/01/30/pdfs/GMD-1813-30.pdf#page=4","Abrir facsímil")</f>
        <v>Abrir facsímil</v>
      </c>
      <c r="K2816" s="3" t="s">
        <v>22</v>
      </c>
    </row>
    <row r="2817" spans="1:11" ht="42" customHeight="1">
      <c r="A2817" s="2" t="s">
        <v>6161</v>
      </c>
      <c r="B2817" s="2" t="s">
        <v>6161</v>
      </c>
      <c r="C2817" s="2" t="s">
        <v>16</v>
      </c>
      <c r="D2817" s="2" t="s">
        <v>17</v>
      </c>
      <c r="E2817" s="5">
        <v>-31740</v>
      </c>
      <c r="F2817" s="3" t="s">
        <v>5259</v>
      </c>
      <c r="G2817" s="3" t="s">
        <v>19</v>
      </c>
      <c r="H2817" s="2" t="s">
        <v>20</v>
      </c>
      <c r="I2817" s="2" t="s">
        <v>6163</v>
      </c>
      <c r="J2817" s="3" t="str">
        <f>HYPERLINK("https://www.boe.es/gazeta/dias/1813/02/04/pdfs/GMD-1813-35.pdf#page=4","Abrir facsímil")</f>
        <v>Abrir facsímil</v>
      </c>
      <c r="K2817" s="3" t="s">
        <v>22</v>
      </c>
    </row>
    <row r="2818" spans="1:11" ht="42" customHeight="1">
      <c r="A2818" s="2" t="s">
        <v>6164</v>
      </c>
      <c r="B2818" s="2" t="s">
        <v>6165</v>
      </c>
      <c r="C2818" s="2" t="s">
        <v>16</v>
      </c>
      <c r="D2818" s="2" t="s">
        <v>17</v>
      </c>
      <c r="E2818" s="5">
        <v>-31714</v>
      </c>
      <c r="F2818" s="3" t="s">
        <v>3912</v>
      </c>
      <c r="G2818" s="3" t="s">
        <v>54</v>
      </c>
      <c r="H2818" s="2" t="s">
        <v>20</v>
      </c>
      <c r="I2818" s="2" t="s">
        <v>6166</v>
      </c>
      <c r="J2818" s="3" t="str">
        <f>HYPERLINK("https://www.boe.es/gazeta/dias/1813/03/02/pdfs/GMD-1813-61.pdf#page=3","Abrir facsímil")</f>
        <v>Abrir facsímil</v>
      </c>
      <c r="K2818" s="3" t="s">
        <v>22</v>
      </c>
    </row>
    <row r="2819" spans="1:11" ht="42" customHeight="1">
      <c r="A2819" s="2" t="s">
        <v>6167</v>
      </c>
      <c r="B2819" s="2" t="s">
        <v>6167</v>
      </c>
      <c r="C2819" s="2" t="s">
        <v>16</v>
      </c>
      <c r="D2819" s="2" t="s">
        <v>17</v>
      </c>
      <c r="E2819" s="5">
        <v>-31756</v>
      </c>
      <c r="F2819" s="3" t="s">
        <v>2620</v>
      </c>
      <c r="G2819" s="3" t="s">
        <v>58</v>
      </c>
      <c r="H2819" s="2" t="s">
        <v>20</v>
      </c>
      <c r="I2819" s="2" t="s">
        <v>6168</v>
      </c>
      <c r="J2819" s="3" t="str">
        <f>HYPERLINK("https://www.boe.es/gazeta/dias/1813/01/19/pdfs/GMD-1813-19.pdf#page=2","Abrir facsímil")</f>
        <v>Abrir facsímil</v>
      </c>
      <c r="K2819" s="3" t="s">
        <v>22</v>
      </c>
    </row>
    <row r="2820" spans="1:11" ht="42" customHeight="1">
      <c r="A2820" s="2" t="s">
        <v>6169</v>
      </c>
      <c r="B2820" s="2" t="s">
        <v>6169</v>
      </c>
      <c r="C2820" s="2" t="s">
        <v>16</v>
      </c>
      <c r="D2820" s="2" t="s">
        <v>17</v>
      </c>
      <c r="E2820" s="5">
        <v>-31592</v>
      </c>
      <c r="F2820" s="3" t="s">
        <v>175</v>
      </c>
      <c r="G2820" s="3" t="s">
        <v>19</v>
      </c>
      <c r="H2820" s="2" t="s">
        <v>20</v>
      </c>
      <c r="I2820" s="2" t="s">
        <v>6170</v>
      </c>
      <c r="J2820" s="3" t="str">
        <f>HYPERLINK("https://www.boe.es/gazeta/dias/1813/07/02/pdfs/GRE-1813-82.pdf#page=4","Abrir facsímil")</f>
        <v>Abrir facsímil</v>
      </c>
      <c r="K2820" s="3" t="s">
        <v>22</v>
      </c>
    </row>
    <row r="2821" spans="1:11" ht="42" customHeight="1">
      <c r="A2821" s="2" t="s">
        <v>6169</v>
      </c>
      <c r="B2821" s="2" t="s">
        <v>6169</v>
      </c>
      <c r="C2821" s="2" t="s">
        <v>16</v>
      </c>
      <c r="D2821" s="2" t="s">
        <v>17</v>
      </c>
      <c r="E2821" s="5">
        <v>-31585</v>
      </c>
      <c r="F2821" s="3" t="s">
        <v>177</v>
      </c>
      <c r="G2821" s="3" t="s">
        <v>313</v>
      </c>
      <c r="H2821" s="2" t="s">
        <v>20</v>
      </c>
      <c r="I2821" s="2" t="s">
        <v>6171</v>
      </c>
      <c r="J2821" s="3" t="str">
        <f>HYPERLINK("https://www.boe.es/gazeta/dias/1813/07/09/pdfs/GMR-1813-16.pdf#page=9","Abrir facsímil")</f>
        <v>Abrir facsímil</v>
      </c>
      <c r="K2821" s="3" t="s">
        <v>22</v>
      </c>
    </row>
    <row r="2822" spans="1:11" ht="42" customHeight="1">
      <c r="A2822" s="2" t="s">
        <v>6169</v>
      </c>
      <c r="B2822" s="2" t="s">
        <v>6169</v>
      </c>
      <c r="C2822" s="2" t="s">
        <v>16</v>
      </c>
      <c r="D2822" s="2" t="s">
        <v>17</v>
      </c>
      <c r="E2822" s="5">
        <v>-31574</v>
      </c>
      <c r="F2822" s="3" t="s">
        <v>1343</v>
      </c>
      <c r="G2822" s="3" t="s">
        <v>54</v>
      </c>
      <c r="H2822" s="2" t="s">
        <v>20</v>
      </c>
      <c r="I2822" s="2" t="s">
        <v>6172</v>
      </c>
      <c r="J2822" s="3" t="str">
        <f>HYPERLINK("https://www.boe.es/gazeta/dias/1813/07/20/pdfs/GMR-1813-19.pdf#page=3","Abrir facsímil")</f>
        <v>Abrir facsímil</v>
      </c>
      <c r="K2822" s="3" t="s">
        <v>22</v>
      </c>
    </row>
    <row r="2823" spans="1:11" ht="42" customHeight="1">
      <c r="A2823" s="2" t="s">
        <v>6169</v>
      </c>
      <c r="B2823" s="2" t="s">
        <v>6169</v>
      </c>
      <c r="C2823" s="2" t="s">
        <v>16</v>
      </c>
      <c r="D2823" s="2" t="s">
        <v>97</v>
      </c>
      <c r="E2823" s="5">
        <v>-31445</v>
      </c>
      <c r="F2823" s="3" t="s">
        <v>299</v>
      </c>
      <c r="G2823" s="3" t="s">
        <v>65</v>
      </c>
      <c r="H2823" s="2" t="s">
        <v>20</v>
      </c>
      <c r="I2823" s="2" t="s">
        <v>6173</v>
      </c>
      <c r="J2823" s="3" t="str">
        <f>HYPERLINK("https://www.boe.es/gazeta/dias/1813/11/26/pdfs/GRE-1813-156E.pdf#page=1","Abrir facsímil")</f>
        <v>Abrir facsímil</v>
      </c>
      <c r="K2823" s="3" t="s">
        <v>22</v>
      </c>
    </row>
    <row r="2824" spans="1:11" ht="42" customHeight="1">
      <c r="A2824" s="2" t="s">
        <v>6169</v>
      </c>
      <c r="B2824" s="2" t="s">
        <v>6169</v>
      </c>
      <c r="C2824" s="2" t="s">
        <v>16</v>
      </c>
      <c r="D2824" s="2" t="s">
        <v>17</v>
      </c>
      <c r="E2824" s="5">
        <v>-31432</v>
      </c>
      <c r="F2824" s="3" t="s">
        <v>702</v>
      </c>
      <c r="G2824" s="3" t="s">
        <v>54</v>
      </c>
      <c r="H2824" s="2" t="s">
        <v>20</v>
      </c>
      <c r="I2824" s="2" t="s">
        <v>6174</v>
      </c>
      <c r="J2824" s="3" t="str">
        <f>HYPERLINK("https://www.boe.es/gazeta/dias/1813/12/09/pdfs/GMR-1813-85.pdf#page=3","Abrir facsímil")</f>
        <v>Abrir facsímil</v>
      </c>
      <c r="K2824" s="3" t="s">
        <v>22</v>
      </c>
    </row>
    <row r="2825" spans="1:11" ht="42" customHeight="1">
      <c r="A2825" s="2" t="s">
        <v>6175</v>
      </c>
      <c r="B2825" s="2" t="s">
        <v>6175</v>
      </c>
      <c r="C2825" s="2" t="s">
        <v>16</v>
      </c>
      <c r="D2825" s="2" t="s">
        <v>17</v>
      </c>
      <c r="E2825" s="5">
        <v>-31432</v>
      </c>
      <c r="F2825" s="3" t="s">
        <v>702</v>
      </c>
      <c r="G2825" s="3" t="s">
        <v>54</v>
      </c>
      <c r="H2825" s="2" t="s">
        <v>20</v>
      </c>
      <c r="I2825" s="2" t="s">
        <v>6176</v>
      </c>
      <c r="J2825" s="3" t="str">
        <f>HYPERLINK("https://www.boe.es/gazeta/dias/1813/12/09/pdfs/GMR-1813-85.pdf#page=3","Abrir facsímil")</f>
        <v>Abrir facsímil</v>
      </c>
      <c r="K2825" s="3" t="s">
        <v>22</v>
      </c>
    </row>
    <row r="2826" spans="1:11" ht="42" customHeight="1">
      <c r="A2826" s="2" t="s">
        <v>6177</v>
      </c>
      <c r="B2826" s="2" t="s">
        <v>6177</v>
      </c>
      <c r="C2826" s="2" t="s">
        <v>16</v>
      </c>
      <c r="D2826" s="2" t="s">
        <v>17</v>
      </c>
      <c r="E2826" s="5">
        <v>-31427</v>
      </c>
      <c r="F2826" s="3" t="s">
        <v>1822</v>
      </c>
      <c r="G2826" s="3" t="s">
        <v>82</v>
      </c>
      <c r="H2826" s="2" t="s">
        <v>20</v>
      </c>
      <c r="I2826" s="2" t="s">
        <v>6178</v>
      </c>
      <c r="J2826" s="3" t="str">
        <f>HYPERLINK("https://www.boe.es/gazeta/dias/1813/12/14/pdfs/GRE-1813-164.pdf#page=5","Abrir facsímil")</f>
        <v>Abrir facsímil</v>
      </c>
      <c r="K2826" s="3" t="s">
        <v>22</v>
      </c>
    </row>
    <row r="2827" spans="1:11" ht="42" customHeight="1">
      <c r="A2827" s="2" t="s">
        <v>6179</v>
      </c>
      <c r="B2827" s="2" t="s">
        <v>6180</v>
      </c>
      <c r="C2827" s="2" t="s">
        <v>187</v>
      </c>
      <c r="D2827" s="2" t="s">
        <v>26</v>
      </c>
      <c r="E2827" s="5">
        <v>-31469</v>
      </c>
      <c r="F2827" s="3" t="s">
        <v>1452</v>
      </c>
      <c r="G2827" s="3" t="s">
        <v>2893</v>
      </c>
      <c r="H2827" s="2" t="s">
        <v>20</v>
      </c>
      <c r="I2827" s="2" t="s">
        <v>6181</v>
      </c>
      <c r="J2827" s="3" t="str">
        <f>HYPERLINK("https://www.boe.es/gazeta/dias/1813/11/02/pdfs/GRE-1813-143.pdf#page=8","Abrir facsímil")</f>
        <v>Abrir facsímil</v>
      </c>
      <c r="K2827" s="3" t="s">
        <v>22</v>
      </c>
    </row>
    <row r="2828" spans="1:11" ht="42" customHeight="1">
      <c r="A2828" s="2" t="s">
        <v>6182</v>
      </c>
      <c r="B2828" s="2" t="s">
        <v>6183</v>
      </c>
      <c r="C2828" s="2" t="s">
        <v>34</v>
      </c>
      <c r="D2828" s="2" t="s">
        <v>35</v>
      </c>
      <c r="E2828" s="5">
        <v>-31455</v>
      </c>
      <c r="F2828" s="3" t="s">
        <v>6184</v>
      </c>
      <c r="G2828" s="3" t="s">
        <v>87</v>
      </c>
      <c r="H2828" s="2" t="s">
        <v>29</v>
      </c>
      <c r="I2828" s="2" t="s">
        <v>6185</v>
      </c>
      <c r="J2828" s="3" t="str">
        <f>HYPERLINK("https://www.boe.es/gazeta/dias/1813/11/16/pdfs/GMR-1813-74.pdf#page=7","Abrir facsímil")</f>
        <v>Abrir facsímil</v>
      </c>
      <c r="K2828" s="3" t="s">
        <v>31</v>
      </c>
    </row>
    <row r="2829" spans="1:11" ht="42" customHeight="1">
      <c r="A2829" s="2" t="s">
        <v>6186</v>
      </c>
      <c r="B2829" s="2" t="s">
        <v>6187</v>
      </c>
      <c r="C2829" s="2" t="s">
        <v>25</v>
      </c>
      <c r="D2829" s="2" t="s">
        <v>26</v>
      </c>
      <c r="E2829" s="5">
        <v>-31745</v>
      </c>
      <c r="F2829" s="3" t="s">
        <v>445</v>
      </c>
      <c r="G2829" s="3" t="s">
        <v>28</v>
      </c>
      <c r="H2829" s="2" t="s">
        <v>20</v>
      </c>
      <c r="I2829" s="2" t="s">
        <v>6188</v>
      </c>
      <c r="J2829" s="3" t="str">
        <f>HYPERLINK("https://www.boe.es/gazeta/dias/1813/01/30/pdfs/GRE-1813-13.pdf#page=8","Abrir facsímil")</f>
        <v>Abrir facsímil</v>
      </c>
      <c r="K2829" s="3" t="s">
        <v>22</v>
      </c>
    </row>
    <row r="2830" spans="1:11" ht="42" customHeight="1">
      <c r="A2830" s="2" t="s">
        <v>6189</v>
      </c>
      <c r="B2830" s="2" t="s">
        <v>6189</v>
      </c>
      <c r="C2830" s="2" t="s">
        <v>16</v>
      </c>
      <c r="D2830" s="2" t="s">
        <v>17</v>
      </c>
      <c r="E2830" s="5">
        <v>-31691</v>
      </c>
      <c r="F2830" s="3" t="s">
        <v>1621</v>
      </c>
      <c r="G2830" s="3" t="s">
        <v>58</v>
      </c>
      <c r="H2830" s="2" t="s">
        <v>20</v>
      </c>
      <c r="I2830" s="2" t="s">
        <v>6190</v>
      </c>
      <c r="J2830" s="3" t="str">
        <f>HYPERLINK("https://www.boe.es/gazeta/dias/1813/03/25/pdfs/GMD-1813-84.pdf#page=2","Abrir facsímil")</f>
        <v>Abrir facsímil</v>
      </c>
      <c r="K2830" s="3" t="s">
        <v>22</v>
      </c>
    </row>
    <row r="2831" spans="1:11" ht="42" customHeight="1">
      <c r="A2831" s="2" t="s">
        <v>6191</v>
      </c>
      <c r="B2831" s="2" t="s">
        <v>6192</v>
      </c>
      <c r="C2831" s="2" t="s">
        <v>16</v>
      </c>
      <c r="D2831" s="2" t="s">
        <v>17</v>
      </c>
      <c r="E2831" s="5">
        <v>-31432</v>
      </c>
      <c r="F2831" s="3" t="s">
        <v>803</v>
      </c>
      <c r="G2831" s="3" t="s">
        <v>6141</v>
      </c>
      <c r="H2831" s="2" t="s">
        <v>20</v>
      </c>
      <c r="I2831" s="2" t="s">
        <v>6193</v>
      </c>
      <c r="J2831" s="3" t="str">
        <f>HYPERLINK("https://www.boe.es/gazeta/dias/1813/12/09/pdfs/GRE-1813-162.pdf#page=7","Abrir facsímil")</f>
        <v>Abrir facsímil</v>
      </c>
      <c r="K2831" s="3" t="s">
        <v>22</v>
      </c>
    </row>
    <row r="2832" spans="1:11" ht="42" customHeight="1">
      <c r="A2832" s="2" t="s">
        <v>6194</v>
      </c>
      <c r="B2832" s="2" t="s">
        <v>6195</v>
      </c>
      <c r="C2832" s="2" t="s">
        <v>109</v>
      </c>
      <c r="D2832" s="2" t="s">
        <v>26</v>
      </c>
      <c r="E2832" s="5">
        <v>-31689</v>
      </c>
      <c r="F2832" s="3" t="s">
        <v>48</v>
      </c>
      <c r="G2832" s="3" t="s">
        <v>162</v>
      </c>
      <c r="H2832" s="2" t="s">
        <v>20</v>
      </c>
      <c r="I2832" s="2" t="s">
        <v>6196</v>
      </c>
      <c r="J2832" s="3" t="str">
        <f>HYPERLINK("https://www.boe.es/gazeta/dias/1813/03/27/pdfs/GRE-1813-38.pdf#page=8","Abrir facsímil")</f>
        <v>Abrir facsímil</v>
      </c>
      <c r="K2832" s="3" t="s">
        <v>22</v>
      </c>
    </row>
    <row r="2833" spans="1:11" ht="42" customHeight="1">
      <c r="A2833" s="2" t="s">
        <v>6197</v>
      </c>
      <c r="B2833" s="2" t="s">
        <v>6198</v>
      </c>
      <c r="C2833" s="2" t="s">
        <v>16</v>
      </c>
      <c r="D2833" s="2" t="s">
        <v>17</v>
      </c>
      <c r="E2833" s="5">
        <v>-31574</v>
      </c>
      <c r="F2833" s="3" t="s">
        <v>1343</v>
      </c>
      <c r="G2833" s="3" t="s">
        <v>54</v>
      </c>
      <c r="H2833" s="2" t="s">
        <v>20</v>
      </c>
      <c r="I2833" s="2" t="s">
        <v>6199</v>
      </c>
      <c r="J2833" s="3" t="str">
        <f>HYPERLINK("https://www.boe.es/gazeta/dias/1813/07/20/pdfs/GMR-1813-19.pdf#page=3","Abrir facsímil")</f>
        <v>Abrir facsímil</v>
      </c>
      <c r="K2833" s="3" t="s">
        <v>22</v>
      </c>
    </row>
    <row r="2834" spans="1:11" ht="42" customHeight="1">
      <c r="A2834" s="2" t="s">
        <v>6200</v>
      </c>
      <c r="B2834" s="2" t="s">
        <v>6201</v>
      </c>
      <c r="C2834" s="2" t="s">
        <v>16</v>
      </c>
      <c r="D2834" s="2" t="s">
        <v>17</v>
      </c>
      <c r="E2834" s="5">
        <v>-31640</v>
      </c>
      <c r="F2834" s="3" t="s">
        <v>2392</v>
      </c>
      <c r="G2834" s="3" t="s">
        <v>58</v>
      </c>
      <c r="H2834" s="2" t="s">
        <v>20</v>
      </c>
      <c r="I2834" s="2" t="s">
        <v>6202</v>
      </c>
      <c r="J2834" s="3" t="str">
        <f>HYPERLINK("https://www.boe.es/gazeta/dias/1813/05/15/pdfs/GRE-1813-60.pdf#page=2","Abrir facsímil")</f>
        <v>Abrir facsímil</v>
      </c>
      <c r="K2834" s="3" t="s">
        <v>22</v>
      </c>
    </row>
    <row r="2835" spans="1:11" ht="42" customHeight="1">
      <c r="A2835" s="2" t="s">
        <v>6200</v>
      </c>
      <c r="B2835" s="2" t="s">
        <v>6201</v>
      </c>
      <c r="C2835" s="2" t="s">
        <v>16</v>
      </c>
      <c r="D2835" s="2" t="s">
        <v>17</v>
      </c>
      <c r="E2835" s="5">
        <v>-31542</v>
      </c>
      <c r="F2835" s="3" t="s">
        <v>347</v>
      </c>
      <c r="G2835" s="3" t="s">
        <v>373</v>
      </c>
      <c r="H2835" s="2" t="s">
        <v>20</v>
      </c>
      <c r="I2835" s="2" t="s">
        <v>6203</v>
      </c>
      <c r="J2835" s="3" t="str">
        <f>HYPERLINK("https://www.boe.es/gazeta/dias/1813/08/21/pdfs/GMR-1813-31.pdf#page=2","Abrir facsímil")</f>
        <v>Abrir facsímil</v>
      </c>
      <c r="K2835" s="3" t="s">
        <v>22</v>
      </c>
    </row>
    <row r="2836" spans="1:11" ht="42" customHeight="1">
      <c r="A2836" s="2" t="s">
        <v>6204</v>
      </c>
      <c r="B2836" s="2" t="s">
        <v>6205</v>
      </c>
      <c r="C2836" s="2" t="s">
        <v>16</v>
      </c>
      <c r="D2836" s="2" t="s">
        <v>17</v>
      </c>
      <c r="E2836" s="5">
        <v>-31724</v>
      </c>
      <c r="F2836" s="3" t="s">
        <v>626</v>
      </c>
      <c r="G2836" s="3" t="s">
        <v>6206</v>
      </c>
      <c r="H2836" s="2" t="s">
        <v>20</v>
      </c>
      <c r="I2836" s="2" t="s">
        <v>6207</v>
      </c>
      <c r="J2836" s="3" t="str">
        <f>HYPERLINK("https://www.boe.es/gazeta/dias/1813/02/20/pdfs/GRE-1813-22.pdf#page=6","Abrir facsímil")</f>
        <v>Abrir facsímil</v>
      </c>
      <c r="K2836" s="3" t="s">
        <v>22</v>
      </c>
    </row>
    <row r="2837" spans="1:11" ht="42" customHeight="1">
      <c r="A2837" s="2" t="s">
        <v>6208</v>
      </c>
      <c r="B2837" s="2" t="s">
        <v>6209</v>
      </c>
      <c r="C2837" s="2" t="s">
        <v>16</v>
      </c>
      <c r="D2837" s="2" t="s">
        <v>17</v>
      </c>
      <c r="E2837" s="5">
        <v>-31518</v>
      </c>
      <c r="F2837" s="3" t="s">
        <v>155</v>
      </c>
      <c r="G2837" s="3" t="s">
        <v>58</v>
      </c>
      <c r="H2837" s="2" t="s">
        <v>20</v>
      </c>
      <c r="I2837" s="2" t="s">
        <v>6210</v>
      </c>
      <c r="J2837" s="3" t="str">
        <f>HYPERLINK("https://www.boe.es/gazeta/dias/1813/09/14/pdfs/GRE-1813-119.pdf#page=2","Abrir facsímil")</f>
        <v>Abrir facsímil</v>
      </c>
      <c r="K2837" s="3" t="s">
        <v>22</v>
      </c>
    </row>
    <row r="2838" spans="1:11" ht="42" customHeight="1">
      <c r="A2838" s="2" t="s">
        <v>6211</v>
      </c>
      <c r="B2838" s="2" t="s">
        <v>6212</v>
      </c>
      <c r="C2838" s="2" t="s">
        <v>16</v>
      </c>
      <c r="D2838" s="2" t="s">
        <v>17</v>
      </c>
      <c r="E2838" s="5">
        <v>-31567</v>
      </c>
      <c r="F2838" s="3" t="s">
        <v>1471</v>
      </c>
      <c r="G2838" s="3" t="s">
        <v>19</v>
      </c>
      <c r="H2838" s="2" t="s">
        <v>20</v>
      </c>
      <c r="I2838" s="2" t="s">
        <v>6213</v>
      </c>
      <c r="J2838" s="3" t="str">
        <f>HYPERLINK("https://www.boe.es/gazeta/dias/1813/07/27/pdfs/GRE-1813-95.pdf#page=4","Abrir facsímil")</f>
        <v>Abrir facsímil</v>
      </c>
      <c r="K2838" s="3" t="s">
        <v>22</v>
      </c>
    </row>
    <row r="2839" spans="1:11" ht="42" customHeight="1">
      <c r="A2839" s="2" t="s">
        <v>6214</v>
      </c>
      <c r="B2839" s="2" t="s">
        <v>6215</v>
      </c>
      <c r="C2839" s="2" t="s">
        <v>16</v>
      </c>
      <c r="D2839" s="2" t="s">
        <v>17</v>
      </c>
      <c r="E2839" s="5">
        <v>-31558</v>
      </c>
      <c r="F2839" s="3" t="s">
        <v>1288</v>
      </c>
      <c r="G2839" s="3" t="s">
        <v>6216</v>
      </c>
      <c r="H2839" s="2" t="s">
        <v>20</v>
      </c>
      <c r="I2839" s="2" t="s">
        <v>6217</v>
      </c>
      <c r="J2839" s="3" t="str">
        <f>HYPERLINK("https://www.boe.es/gazeta/dias/1813/08/05/pdfs/GMR-1813-24.pdf#page=4","Abrir facsímil")</f>
        <v>Abrir facsímil</v>
      </c>
      <c r="K2839" s="3" t="s">
        <v>22</v>
      </c>
    </row>
    <row r="2840" spans="1:11" ht="42" customHeight="1">
      <c r="A2840" s="2" t="s">
        <v>6218</v>
      </c>
      <c r="B2840" s="2" t="s">
        <v>6219</v>
      </c>
      <c r="C2840" s="2" t="s">
        <v>16</v>
      </c>
      <c r="D2840" s="2" t="s">
        <v>17</v>
      </c>
      <c r="E2840" s="5">
        <v>-31682</v>
      </c>
      <c r="F2840" s="3" t="s">
        <v>5159</v>
      </c>
      <c r="G2840" s="3" t="s">
        <v>6220</v>
      </c>
      <c r="H2840" s="2" t="s">
        <v>20</v>
      </c>
      <c r="I2840" s="2" t="s">
        <v>6221</v>
      </c>
      <c r="J2840" s="3" t="str">
        <f>HYPERLINK("https://www.boe.es/gazeta/dias/1813/04/03/pdfs/GRE-1813-41.pdf#page=5","Abrir facsímil")</f>
        <v>Abrir facsímil</v>
      </c>
      <c r="K2840" s="3" t="s">
        <v>22</v>
      </c>
    </row>
    <row r="2841" spans="1:11" ht="42" customHeight="1">
      <c r="A2841" s="2" t="s">
        <v>6222</v>
      </c>
      <c r="B2841" s="2" t="s">
        <v>6222</v>
      </c>
      <c r="C2841" s="2" t="s">
        <v>16</v>
      </c>
      <c r="D2841" s="2" t="s">
        <v>17</v>
      </c>
      <c r="E2841" s="5">
        <v>-31694</v>
      </c>
      <c r="F2841" s="3" t="s">
        <v>2756</v>
      </c>
      <c r="G2841" s="3" t="s">
        <v>19</v>
      </c>
      <c r="H2841" s="2" t="s">
        <v>20</v>
      </c>
      <c r="I2841" s="2" t="s">
        <v>6223</v>
      </c>
      <c r="J2841" s="3" t="str">
        <f>HYPERLINK("https://www.boe.es/gazeta/dias/1813/03/22/pdfs/GMD-1813-81.pdf#page=4","Abrir facsímil")</f>
        <v>Abrir facsímil</v>
      </c>
      <c r="K2841" s="3" t="s">
        <v>22</v>
      </c>
    </row>
    <row r="2842" spans="1:11" ht="42" customHeight="1">
      <c r="A2842" s="2" t="s">
        <v>6224</v>
      </c>
      <c r="B2842" s="2" t="s">
        <v>6224</v>
      </c>
      <c r="C2842" s="2" t="s">
        <v>16</v>
      </c>
      <c r="D2842" s="2" t="s">
        <v>17</v>
      </c>
      <c r="E2842" s="5">
        <v>-31748</v>
      </c>
      <c r="F2842" s="3" t="s">
        <v>5041</v>
      </c>
      <c r="G2842" s="3" t="s">
        <v>19</v>
      </c>
      <c r="H2842" s="2" t="s">
        <v>20</v>
      </c>
      <c r="I2842" s="2" t="s">
        <v>6225</v>
      </c>
      <c r="J2842" s="3" t="str">
        <f>HYPERLINK("https://www.boe.es/gazeta/dias/1813/01/27/pdfs/GMD-1813-27.pdf#page=4","Abrir facsímil")</f>
        <v>Abrir facsímil</v>
      </c>
      <c r="K2842" s="3" t="s">
        <v>22</v>
      </c>
    </row>
    <row r="2843" spans="1:11" ht="42" customHeight="1">
      <c r="A2843" s="2" t="s">
        <v>6226</v>
      </c>
      <c r="B2843" s="2" t="s">
        <v>6226</v>
      </c>
      <c r="C2843" s="2" t="s">
        <v>16</v>
      </c>
      <c r="D2843" s="2" t="s">
        <v>17</v>
      </c>
      <c r="E2843" s="5">
        <v>-31588</v>
      </c>
      <c r="F2843" s="3" t="s">
        <v>1535</v>
      </c>
      <c r="G2843" s="3" t="s">
        <v>313</v>
      </c>
      <c r="H2843" s="2" t="s">
        <v>20</v>
      </c>
      <c r="I2843" s="2" t="s">
        <v>6227</v>
      </c>
      <c r="J2843" s="3" t="str">
        <f>HYPERLINK("https://www.boe.es/gazeta/dias/1813/07/06/pdfs/GMR-1813-15.pdf#page=9","Abrir facsímil")</f>
        <v>Abrir facsímil</v>
      </c>
      <c r="K2843" s="3" t="s">
        <v>22</v>
      </c>
    </row>
    <row r="2844" spans="1:11" ht="42" customHeight="1">
      <c r="A2844" s="2" t="s">
        <v>6226</v>
      </c>
      <c r="B2844" s="2" t="s">
        <v>6226</v>
      </c>
      <c r="C2844" s="2" t="s">
        <v>16</v>
      </c>
      <c r="D2844" s="2" t="s">
        <v>17</v>
      </c>
      <c r="E2844" s="5">
        <v>-31582</v>
      </c>
      <c r="F2844" s="3" t="s">
        <v>907</v>
      </c>
      <c r="G2844" s="3" t="s">
        <v>58</v>
      </c>
      <c r="H2844" s="2" t="s">
        <v>20</v>
      </c>
      <c r="I2844" s="2" t="s">
        <v>6228</v>
      </c>
      <c r="J2844" s="3" t="str">
        <f>HYPERLINK("https://www.boe.es/gazeta/dias/1813/07/12/pdfs/GRE-1813-87.pdf#page=2","Abrir facsímil")</f>
        <v>Abrir facsímil</v>
      </c>
      <c r="K2844" s="3" t="s">
        <v>22</v>
      </c>
    </row>
    <row r="2845" spans="1:11" ht="42" customHeight="1">
      <c r="A2845" s="2" t="s">
        <v>6226</v>
      </c>
      <c r="B2845" s="2" t="s">
        <v>6226</v>
      </c>
      <c r="C2845" s="2" t="s">
        <v>16</v>
      </c>
      <c r="D2845" s="2" t="s">
        <v>17</v>
      </c>
      <c r="E2845" s="5">
        <v>-31579</v>
      </c>
      <c r="F2845" s="3" t="s">
        <v>609</v>
      </c>
      <c r="G2845" s="3" t="s">
        <v>3601</v>
      </c>
      <c r="H2845" s="2" t="s">
        <v>20</v>
      </c>
      <c r="I2845" s="2" t="s">
        <v>6229</v>
      </c>
      <c r="J2845" s="3" t="str">
        <f>HYPERLINK("https://www.boe.es/gazeta/dias/1813/07/15/pdfs/GRE-1813-89.pdf#page=5","Abrir facsímil")</f>
        <v>Abrir facsímil</v>
      </c>
      <c r="K2845" s="3" t="s">
        <v>22</v>
      </c>
    </row>
    <row r="2846" spans="1:11" ht="42" customHeight="1">
      <c r="A2846" s="2" t="s">
        <v>6226</v>
      </c>
      <c r="B2846" s="2" t="s">
        <v>6226</v>
      </c>
      <c r="C2846" s="2" t="s">
        <v>16</v>
      </c>
      <c r="D2846" s="2" t="s">
        <v>17</v>
      </c>
      <c r="E2846" s="5">
        <v>-31574</v>
      </c>
      <c r="F2846" s="3" t="s">
        <v>1343</v>
      </c>
      <c r="G2846" s="3" t="s">
        <v>313</v>
      </c>
      <c r="H2846" s="2" t="s">
        <v>20</v>
      </c>
      <c r="I2846" s="2" t="s">
        <v>6230</v>
      </c>
      <c r="J2846" s="3" t="str">
        <f>HYPERLINK("https://www.boe.es/gazeta/dias/1813/07/20/pdfs/GMR-1813-19.pdf#page=9","Abrir facsímil")</f>
        <v>Abrir facsímil</v>
      </c>
      <c r="K2846" s="3" t="s">
        <v>22</v>
      </c>
    </row>
    <row r="2847" spans="1:11" ht="42" customHeight="1">
      <c r="A2847" s="2" t="s">
        <v>6226</v>
      </c>
      <c r="B2847" s="2" t="s">
        <v>6226</v>
      </c>
      <c r="C2847" s="2" t="s">
        <v>16</v>
      </c>
      <c r="D2847" s="2" t="s">
        <v>17</v>
      </c>
      <c r="E2847" s="5">
        <v>-31574</v>
      </c>
      <c r="F2847" s="3" t="s">
        <v>509</v>
      </c>
      <c r="G2847" s="3" t="s">
        <v>54</v>
      </c>
      <c r="H2847" s="2" t="s">
        <v>20</v>
      </c>
      <c r="I2847" s="2" t="s">
        <v>6231</v>
      </c>
      <c r="J2847" s="3" t="str">
        <f>HYPERLINK("https://www.boe.es/gazeta/dias/1813/07/20/pdfs/GRE-1813-92.pdf#page=3","Abrir facsímil")</f>
        <v>Abrir facsímil</v>
      </c>
      <c r="K2847" s="3" t="s">
        <v>22</v>
      </c>
    </row>
    <row r="2848" spans="1:11" ht="42" customHeight="1">
      <c r="A2848" s="2" t="s">
        <v>6226</v>
      </c>
      <c r="B2848" s="2" t="s">
        <v>6226</v>
      </c>
      <c r="C2848" s="2" t="s">
        <v>16</v>
      </c>
      <c r="D2848" s="2" t="s">
        <v>17</v>
      </c>
      <c r="E2848" s="5">
        <v>-31546</v>
      </c>
      <c r="F2848" s="3" t="s">
        <v>2057</v>
      </c>
      <c r="G2848" s="3" t="s">
        <v>58</v>
      </c>
      <c r="H2848" s="2" t="s">
        <v>20</v>
      </c>
      <c r="I2848" s="2" t="s">
        <v>6232</v>
      </c>
      <c r="J2848" s="3" t="str">
        <f>HYPERLINK("https://www.boe.es/gazeta/dias/1813/08/17/pdfs/GRE-1813-105.pdf#page=2","Abrir facsímil")</f>
        <v>Abrir facsímil</v>
      </c>
      <c r="K2848" s="3" t="s">
        <v>22</v>
      </c>
    </row>
    <row r="2849" spans="1:11" ht="42" customHeight="1">
      <c r="A2849" s="2" t="s">
        <v>6233</v>
      </c>
      <c r="B2849" s="2" t="s">
        <v>6233</v>
      </c>
      <c r="C2849" s="2" t="s">
        <v>34</v>
      </c>
      <c r="D2849" s="2" t="s">
        <v>35</v>
      </c>
      <c r="E2849" s="5">
        <v>-31709</v>
      </c>
      <c r="F2849" s="3" t="s">
        <v>36</v>
      </c>
      <c r="G2849" s="3" t="s">
        <v>303</v>
      </c>
      <c r="H2849" s="2" t="s">
        <v>20</v>
      </c>
      <c r="I2849" s="2" t="s">
        <v>6234</v>
      </c>
      <c r="J2849" s="3" t="str">
        <f>HYPERLINK("https://www.boe.es/gazeta/dias/1813/03/07/pdfs/GMD-1813-66.pdf#page=3","Abrir facsímil")</f>
        <v>Abrir facsímil</v>
      </c>
      <c r="K2849" s="3" t="s">
        <v>22</v>
      </c>
    </row>
    <row r="2850" spans="1:11" ht="42" customHeight="1">
      <c r="A2850" s="2" t="s">
        <v>6233</v>
      </c>
      <c r="B2850" s="2" t="s">
        <v>6233</v>
      </c>
      <c r="C2850" s="2" t="s">
        <v>25</v>
      </c>
      <c r="D2850" s="2" t="s">
        <v>26</v>
      </c>
      <c r="E2850" s="5">
        <v>-31707</v>
      </c>
      <c r="F2850" s="3" t="s">
        <v>1557</v>
      </c>
      <c r="G2850" s="3" t="s">
        <v>6235</v>
      </c>
      <c r="H2850" s="2" t="s">
        <v>20</v>
      </c>
      <c r="I2850" s="2" t="s">
        <v>6236</v>
      </c>
      <c r="J2850" s="3" t="str">
        <f>HYPERLINK("https://www.boe.es/gazeta/dias/1813/03/09/pdfs/GRE-1813-30.pdf#page=5","Abrir facsímil")</f>
        <v>Abrir facsímil</v>
      </c>
      <c r="K2850" s="3" t="s">
        <v>22</v>
      </c>
    </row>
    <row r="2851" spans="1:11" ht="42" customHeight="1">
      <c r="A2851" s="2" t="s">
        <v>6233</v>
      </c>
      <c r="B2851" s="2" t="s">
        <v>6233</v>
      </c>
      <c r="C2851" s="2" t="s">
        <v>16</v>
      </c>
      <c r="D2851" s="2" t="s">
        <v>17</v>
      </c>
      <c r="E2851" s="5">
        <v>-31684</v>
      </c>
      <c r="F2851" s="3" t="s">
        <v>427</v>
      </c>
      <c r="G2851" s="3" t="s">
        <v>6237</v>
      </c>
      <c r="H2851" s="2" t="s">
        <v>20</v>
      </c>
      <c r="I2851" s="2" t="s">
        <v>6238</v>
      </c>
      <c r="J2851" s="3" t="str">
        <f>HYPERLINK("https://www.boe.es/gazeta/dias/1813/04/01/pdfs/GRE-1813-40.pdf#page=6","Abrir facsímil")</f>
        <v>Abrir facsímil</v>
      </c>
      <c r="K2851" s="3" t="s">
        <v>22</v>
      </c>
    </row>
    <row r="2852" spans="1:11" ht="42" customHeight="1">
      <c r="A2852" s="2" t="s">
        <v>6233</v>
      </c>
      <c r="B2852" s="2" t="s">
        <v>6233</v>
      </c>
      <c r="C2852" s="2" t="s">
        <v>25</v>
      </c>
      <c r="D2852" s="2" t="s">
        <v>26</v>
      </c>
      <c r="E2852" s="5">
        <v>-31599</v>
      </c>
      <c r="F2852" s="3" t="s">
        <v>2470</v>
      </c>
      <c r="G2852" s="3" t="s">
        <v>6239</v>
      </c>
      <c r="H2852" s="2" t="s">
        <v>20</v>
      </c>
      <c r="I2852" s="2" t="s">
        <v>6240</v>
      </c>
      <c r="J2852" s="3" t="str">
        <f>HYPERLINK("https://www.boe.es/gazeta/dias/1813/06/25/pdfs/GMR-1813-11.pdf#page=9","Abrir facsímil")</f>
        <v>Abrir facsímil</v>
      </c>
      <c r="K2852" s="3" t="s">
        <v>22</v>
      </c>
    </row>
    <row r="2853" spans="1:11" ht="42" customHeight="1">
      <c r="A2853" s="2" t="s">
        <v>6241</v>
      </c>
      <c r="B2853" s="2" t="s">
        <v>6241</v>
      </c>
      <c r="C2853" s="2" t="s">
        <v>16</v>
      </c>
      <c r="D2853" s="2" t="s">
        <v>17</v>
      </c>
      <c r="E2853" s="5">
        <v>-31672</v>
      </c>
      <c r="F2853" s="3" t="s">
        <v>238</v>
      </c>
      <c r="G2853" s="3" t="s">
        <v>95</v>
      </c>
      <c r="H2853" s="2" t="s">
        <v>20</v>
      </c>
      <c r="I2853" s="2" t="s">
        <v>6242</v>
      </c>
      <c r="J2853" s="3" t="str">
        <f>HYPERLINK("https://www.boe.es/gazeta/dias/1813/04/13/pdfs/GRE-1813-45.pdf#page=6","Abrir facsímil")</f>
        <v>Abrir facsímil</v>
      </c>
      <c r="K2853" s="3" t="s">
        <v>22</v>
      </c>
    </row>
    <row r="2854" spans="1:11" ht="42" customHeight="1">
      <c r="A2854" s="2" t="s">
        <v>6243</v>
      </c>
      <c r="B2854" s="2" t="s">
        <v>6243</v>
      </c>
      <c r="C2854" s="2" t="s">
        <v>16</v>
      </c>
      <c r="D2854" s="2" t="s">
        <v>17</v>
      </c>
      <c r="E2854" s="5">
        <v>-31770</v>
      </c>
      <c r="F2854" s="3" t="s">
        <v>1738</v>
      </c>
      <c r="G2854" s="3" t="s">
        <v>5882</v>
      </c>
      <c r="H2854" s="2" t="s">
        <v>20</v>
      </c>
      <c r="I2854" s="2" t="s">
        <v>6244</v>
      </c>
      <c r="J2854" s="3" t="str">
        <f>HYPERLINK("https://www.boe.es/gazeta/dias/1813/01/05/pdfs/GRE-1813-2.pdf#page=7","Abrir facsímil")</f>
        <v>Abrir facsímil</v>
      </c>
      <c r="K2854" s="3" t="s">
        <v>22</v>
      </c>
    </row>
    <row r="2855" spans="1:11" ht="42" customHeight="1">
      <c r="A2855" s="2" t="s">
        <v>6243</v>
      </c>
      <c r="B2855" s="2" t="s">
        <v>6243</v>
      </c>
      <c r="C2855" s="2" t="s">
        <v>34</v>
      </c>
      <c r="D2855" s="2" t="s">
        <v>35</v>
      </c>
      <c r="E2855" s="5">
        <v>-31767</v>
      </c>
      <c r="F2855" s="3" t="s">
        <v>1915</v>
      </c>
      <c r="G2855" s="3" t="s">
        <v>19</v>
      </c>
      <c r="H2855" s="2" t="s">
        <v>20</v>
      </c>
      <c r="I2855" s="2" t="s">
        <v>6245</v>
      </c>
      <c r="J2855" s="3" t="str">
        <f>HYPERLINK("https://www.boe.es/gazeta/dias/1813/01/08/pdfs/GMD-1813-8.pdf#page=4","Abrir facsímil")</f>
        <v>Abrir facsímil</v>
      </c>
      <c r="K2855" s="3" t="s">
        <v>22</v>
      </c>
    </row>
    <row r="2856" spans="1:11" ht="42" customHeight="1">
      <c r="A2856" s="2" t="s">
        <v>6243</v>
      </c>
      <c r="B2856" s="2" t="s">
        <v>6243</v>
      </c>
      <c r="C2856" s="2" t="s">
        <v>16</v>
      </c>
      <c r="D2856" s="2" t="s">
        <v>17</v>
      </c>
      <c r="E2856" s="5">
        <v>-31754</v>
      </c>
      <c r="F2856" s="3" t="s">
        <v>899</v>
      </c>
      <c r="G2856" s="3" t="s">
        <v>900</v>
      </c>
      <c r="H2856" s="2" t="s">
        <v>20</v>
      </c>
      <c r="I2856" s="2" t="s">
        <v>6246</v>
      </c>
      <c r="J2856" s="3" t="str">
        <f>HYPERLINK("https://www.boe.es/gazeta/dias/1813/01/21/pdfs/GRE-1813-9.pdf#page=8","Abrir facsímil")</f>
        <v>Abrir facsímil</v>
      </c>
      <c r="K2856" s="3" t="s">
        <v>22</v>
      </c>
    </row>
    <row r="2857" spans="1:11" ht="42" customHeight="1">
      <c r="A2857" s="2" t="s">
        <v>6243</v>
      </c>
      <c r="B2857" s="2" t="s">
        <v>6243</v>
      </c>
      <c r="C2857" s="2" t="s">
        <v>25</v>
      </c>
      <c r="D2857" s="2" t="s">
        <v>26</v>
      </c>
      <c r="E2857" s="5">
        <v>-31752</v>
      </c>
      <c r="F2857" s="3" t="s">
        <v>182</v>
      </c>
      <c r="G2857" s="3" t="s">
        <v>183</v>
      </c>
      <c r="H2857" s="2" t="s">
        <v>20</v>
      </c>
      <c r="I2857" s="2" t="s">
        <v>6247</v>
      </c>
      <c r="J2857" s="3" t="str">
        <f>HYPERLINK("https://www.boe.es/gazeta/dias/1813/01/23/pdfs/GRE-1813-10.pdf#page=8","Abrir facsímil")</f>
        <v>Abrir facsímil</v>
      </c>
      <c r="K2857" s="3" t="s">
        <v>22</v>
      </c>
    </row>
    <row r="2858" spans="1:11" ht="42" customHeight="1">
      <c r="A2858" s="2" t="s">
        <v>6243</v>
      </c>
      <c r="B2858" s="2" t="s">
        <v>6243</v>
      </c>
      <c r="C2858" s="2" t="s">
        <v>25</v>
      </c>
      <c r="D2858" s="2" t="s">
        <v>26</v>
      </c>
      <c r="E2858" s="5">
        <v>-31745</v>
      </c>
      <c r="F2858" s="3" t="s">
        <v>445</v>
      </c>
      <c r="G2858" s="3" t="s">
        <v>28</v>
      </c>
      <c r="H2858" s="2" t="s">
        <v>20</v>
      </c>
      <c r="I2858" s="2" t="s">
        <v>6248</v>
      </c>
      <c r="J2858" s="3" t="str">
        <f>HYPERLINK("https://www.boe.es/gazeta/dias/1813/01/30/pdfs/GRE-1813-13.pdf#page=8","Abrir facsímil")</f>
        <v>Abrir facsímil</v>
      </c>
      <c r="K2858" s="3" t="s">
        <v>22</v>
      </c>
    </row>
    <row r="2859" spans="1:11" ht="42" customHeight="1">
      <c r="A2859" s="2" t="s">
        <v>6243</v>
      </c>
      <c r="B2859" s="2" t="s">
        <v>6243</v>
      </c>
      <c r="C2859" s="2" t="s">
        <v>16</v>
      </c>
      <c r="D2859" s="2" t="s">
        <v>17</v>
      </c>
      <c r="E2859" s="5">
        <v>-31728</v>
      </c>
      <c r="F2859" s="3" t="s">
        <v>1434</v>
      </c>
      <c r="G2859" s="3" t="s">
        <v>87</v>
      </c>
      <c r="H2859" s="2" t="s">
        <v>20</v>
      </c>
      <c r="I2859" s="2" t="s">
        <v>6249</v>
      </c>
      <c r="J2859" s="3" t="str">
        <f>HYPERLINK("https://www.boe.es/gazeta/dias/1813/02/16/pdfs/GRE-1813-20.pdf#page=7","Abrir facsímil")</f>
        <v>Abrir facsímil</v>
      </c>
      <c r="K2859" s="3" t="s">
        <v>22</v>
      </c>
    </row>
    <row r="2860" spans="1:11" ht="42" customHeight="1">
      <c r="A2860" s="2" t="s">
        <v>6243</v>
      </c>
      <c r="B2860" s="2" t="s">
        <v>6243</v>
      </c>
      <c r="C2860" s="2" t="s">
        <v>34</v>
      </c>
      <c r="D2860" s="2" t="s">
        <v>35</v>
      </c>
      <c r="E2860" s="5">
        <v>-31715</v>
      </c>
      <c r="F2860" s="3" t="s">
        <v>3358</v>
      </c>
      <c r="G2860" s="3" t="s">
        <v>58</v>
      </c>
      <c r="H2860" s="2" t="s">
        <v>20</v>
      </c>
      <c r="I2860" s="2" t="s">
        <v>6250</v>
      </c>
      <c r="J2860" s="3" t="str">
        <f>HYPERLINK("https://www.boe.es/gazeta/dias/1813/03/01/pdfs/GMD-1813-60.pdf#page=2","Abrir facsímil")</f>
        <v>Abrir facsímil</v>
      </c>
      <c r="K2860" s="3" t="s">
        <v>22</v>
      </c>
    </row>
    <row r="2861" spans="1:11" ht="42" customHeight="1">
      <c r="A2861" s="2" t="s">
        <v>6243</v>
      </c>
      <c r="B2861" s="2" t="s">
        <v>6243</v>
      </c>
      <c r="C2861" s="2" t="s">
        <v>34</v>
      </c>
      <c r="D2861" s="2" t="s">
        <v>35</v>
      </c>
      <c r="E2861" s="5">
        <v>-31689</v>
      </c>
      <c r="F2861" s="3" t="s">
        <v>48</v>
      </c>
      <c r="G2861" s="3" t="s">
        <v>49</v>
      </c>
      <c r="H2861" s="2" t="s">
        <v>20</v>
      </c>
      <c r="I2861" s="2" t="s">
        <v>6251</v>
      </c>
      <c r="J2861" s="3" t="str">
        <f>HYPERLINK("https://www.boe.es/gazeta/dias/1813/03/27/pdfs/GRE-1813-38.pdf#page=7","Abrir facsímil")</f>
        <v>Abrir facsímil</v>
      </c>
      <c r="K2861" s="3" t="s">
        <v>22</v>
      </c>
    </row>
    <row r="2862" spans="1:11" ht="42" customHeight="1">
      <c r="A2862" s="2" t="s">
        <v>6243</v>
      </c>
      <c r="B2862" s="2" t="s">
        <v>6243</v>
      </c>
      <c r="C2862" s="2" t="s">
        <v>25</v>
      </c>
      <c r="D2862" s="2" t="s">
        <v>26</v>
      </c>
      <c r="E2862" s="5">
        <v>-31689</v>
      </c>
      <c r="F2862" s="3" t="s">
        <v>48</v>
      </c>
      <c r="G2862" s="3" t="s">
        <v>162</v>
      </c>
      <c r="H2862" s="2" t="s">
        <v>20</v>
      </c>
      <c r="I2862" s="2" t="s">
        <v>6252</v>
      </c>
      <c r="J2862" s="3" t="str">
        <f>HYPERLINK("https://www.boe.es/gazeta/dias/1813/03/27/pdfs/GRE-1813-38.pdf#page=8","Abrir facsímil")</f>
        <v>Abrir facsímil</v>
      </c>
      <c r="K2862" s="3" t="s">
        <v>22</v>
      </c>
    </row>
    <row r="2863" spans="1:11" ht="42" customHeight="1">
      <c r="A2863" s="2" t="s">
        <v>6243</v>
      </c>
      <c r="B2863" s="2" t="s">
        <v>6243</v>
      </c>
      <c r="C2863" s="2" t="s">
        <v>25</v>
      </c>
      <c r="D2863" s="2" t="s">
        <v>26</v>
      </c>
      <c r="E2863" s="5">
        <v>-31677</v>
      </c>
      <c r="F2863" s="3" t="s">
        <v>76</v>
      </c>
      <c r="G2863" s="3" t="s">
        <v>28</v>
      </c>
      <c r="H2863" s="2" t="s">
        <v>20</v>
      </c>
      <c r="I2863" s="2" t="s">
        <v>6253</v>
      </c>
      <c r="J2863" s="3" t="str">
        <f>HYPERLINK("https://www.boe.es/gazeta/dias/1813/04/08/pdfs/GRE-1813-43.pdf#page=8","Abrir facsímil")</f>
        <v>Abrir facsímil</v>
      </c>
      <c r="K2863" s="3" t="s">
        <v>22</v>
      </c>
    </row>
    <row r="2864" spans="1:11" ht="42" customHeight="1">
      <c r="A2864" s="2" t="s">
        <v>6243</v>
      </c>
      <c r="B2864" s="2" t="s">
        <v>6243</v>
      </c>
      <c r="C2864" s="2" t="s">
        <v>69</v>
      </c>
      <c r="D2864" s="2" t="s">
        <v>26</v>
      </c>
      <c r="E2864" s="5">
        <v>-31655</v>
      </c>
      <c r="F2864" s="3" t="s">
        <v>858</v>
      </c>
      <c r="G2864" s="3" t="s">
        <v>983</v>
      </c>
      <c r="H2864" s="2" t="s">
        <v>20</v>
      </c>
      <c r="I2864" s="2" t="s">
        <v>6254</v>
      </c>
      <c r="J2864" s="3" t="str">
        <f>HYPERLINK("https://www.boe.es/gazeta/dias/1813/04/30/pdfs/GMD-1813-120.pdf#page=3","Abrir facsímil")</f>
        <v>Abrir facsímil</v>
      </c>
      <c r="K2864" s="3" t="s">
        <v>22</v>
      </c>
    </row>
    <row r="2865" spans="1:11" ht="42" customHeight="1">
      <c r="A2865" s="2" t="s">
        <v>6243</v>
      </c>
      <c r="B2865" s="2" t="s">
        <v>6243</v>
      </c>
      <c r="C2865" s="2" t="s">
        <v>16</v>
      </c>
      <c r="D2865" s="2" t="s">
        <v>17</v>
      </c>
      <c r="E2865" s="5">
        <v>-31584</v>
      </c>
      <c r="F2865" s="3" t="s">
        <v>114</v>
      </c>
      <c r="G2865" s="3" t="s">
        <v>82</v>
      </c>
      <c r="H2865" s="2" t="s">
        <v>20</v>
      </c>
      <c r="I2865" s="2" t="s">
        <v>6255</v>
      </c>
      <c r="J2865" s="3" t="str">
        <f>HYPERLINK("https://www.boe.es/gazeta/dias/1813/07/10/pdfs/GRE-1813-86.pdf#page=5","Abrir facsímil")</f>
        <v>Abrir facsímil</v>
      </c>
      <c r="K2865" s="3" t="s">
        <v>22</v>
      </c>
    </row>
    <row r="2866" spans="1:11" ht="42" customHeight="1">
      <c r="A2866" s="2" t="s">
        <v>6243</v>
      </c>
      <c r="B2866" s="2" t="s">
        <v>6243</v>
      </c>
      <c r="C2866" s="2" t="s">
        <v>16</v>
      </c>
      <c r="D2866" s="2" t="s">
        <v>17</v>
      </c>
      <c r="E2866" s="5">
        <v>-31584</v>
      </c>
      <c r="F2866" s="3" t="s">
        <v>114</v>
      </c>
      <c r="G2866" s="3" t="s">
        <v>95</v>
      </c>
      <c r="H2866" s="2" t="s">
        <v>20</v>
      </c>
      <c r="I2866" s="2" t="s">
        <v>6256</v>
      </c>
      <c r="J2866" s="3" t="str">
        <f>HYPERLINK("https://www.boe.es/gazeta/dias/1813/07/10/pdfs/GRE-1813-86.pdf#page=6","Abrir facsímil")</f>
        <v>Abrir facsímil</v>
      </c>
      <c r="K2866" s="3" t="s">
        <v>22</v>
      </c>
    </row>
    <row r="2867" spans="1:11" ht="42" customHeight="1">
      <c r="A2867" s="2" t="s">
        <v>6243</v>
      </c>
      <c r="B2867" s="2" t="s">
        <v>6243</v>
      </c>
      <c r="C2867" s="2" t="s">
        <v>16</v>
      </c>
      <c r="D2867" s="2" t="s">
        <v>17</v>
      </c>
      <c r="E2867" s="5">
        <v>-31558</v>
      </c>
      <c r="F2867" s="3" t="s">
        <v>1288</v>
      </c>
      <c r="G2867" s="3" t="s">
        <v>87</v>
      </c>
      <c r="H2867" s="2" t="s">
        <v>20</v>
      </c>
      <c r="I2867" s="2" t="s">
        <v>6257</v>
      </c>
      <c r="J2867" s="3" t="str">
        <f>HYPERLINK("https://www.boe.es/gazeta/dias/1813/08/05/pdfs/GMR-1813-24.pdf#page=7","Abrir facsímil")</f>
        <v>Abrir facsímil</v>
      </c>
      <c r="K2867" s="3" t="s">
        <v>22</v>
      </c>
    </row>
    <row r="2868" spans="1:11" ht="42" customHeight="1">
      <c r="A2868" s="2" t="s">
        <v>6243</v>
      </c>
      <c r="B2868" s="2" t="s">
        <v>6243</v>
      </c>
      <c r="C2868" s="2" t="s">
        <v>16</v>
      </c>
      <c r="D2868" s="2" t="s">
        <v>17</v>
      </c>
      <c r="E2868" s="5">
        <v>-31546</v>
      </c>
      <c r="F2868" s="3" t="s">
        <v>2057</v>
      </c>
      <c r="G2868" s="3" t="s">
        <v>87</v>
      </c>
      <c r="H2868" s="2" t="s">
        <v>20</v>
      </c>
      <c r="I2868" s="2" t="s">
        <v>6258</v>
      </c>
      <c r="J2868" s="3" t="str">
        <f>HYPERLINK("https://www.boe.es/gazeta/dias/1813/08/17/pdfs/GRE-1813-105.pdf#page=7","Abrir facsímil")</f>
        <v>Abrir facsímil</v>
      </c>
      <c r="K2868" s="3" t="s">
        <v>22</v>
      </c>
    </row>
    <row r="2869" spans="1:11" ht="42" customHeight="1">
      <c r="A2869" s="2" t="s">
        <v>6243</v>
      </c>
      <c r="B2869" s="2" t="s">
        <v>6243</v>
      </c>
      <c r="C2869" s="2" t="s">
        <v>16</v>
      </c>
      <c r="D2869" s="2" t="s">
        <v>17</v>
      </c>
      <c r="E2869" s="5">
        <v>-31532</v>
      </c>
      <c r="F2869" s="3" t="s">
        <v>215</v>
      </c>
      <c r="G2869" s="3" t="s">
        <v>28</v>
      </c>
      <c r="H2869" s="2" t="s">
        <v>20</v>
      </c>
      <c r="I2869" s="2" t="s">
        <v>6259</v>
      </c>
      <c r="J2869" s="3" t="str">
        <f>HYPERLINK("https://www.boe.es/gazeta/dias/1813/08/31/pdfs/GRE-1813-111.pdf#page=8","Abrir facsímil")</f>
        <v>Abrir facsímil</v>
      </c>
      <c r="K2869" s="3" t="s">
        <v>22</v>
      </c>
    </row>
    <row r="2870" spans="1:11" ht="42" customHeight="1">
      <c r="A2870" s="2" t="s">
        <v>6243</v>
      </c>
      <c r="B2870" s="2" t="s">
        <v>6243</v>
      </c>
      <c r="C2870" s="2" t="s">
        <v>16</v>
      </c>
      <c r="D2870" s="2" t="s">
        <v>17</v>
      </c>
      <c r="E2870" s="5">
        <v>-31507</v>
      </c>
      <c r="F2870" s="3" t="s">
        <v>61</v>
      </c>
      <c r="G2870" s="3" t="s">
        <v>28</v>
      </c>
      <c r="H2870" s="2" t="s">
        <v>20</v>
      </c>
      <c r="I2870" s="2" t="s">
        <v>6260</v>
      </c>
      <c r="J2870" s="3" t="str">
        <f>HYPERLINK("https://www.boe.es/gazeta/dias/1813/09/25/pdfs/GMR-1813-48.pdf#page=8","Abrir facsímil")</f>
        <v>Abrir facsímil</v>
      </c>
      <c r="K2870" s="3" t="s">
        <v>22</v>
      </c>
    </row>
    <row r="2871" spans="1:11" ht="42" customHeight="1">
      <c r="A2871" s="2" t="s">
        <v>6243</v>
      </c>
      <c r="B2871" s="2" t="s">
        <v>6243</v>
      </c>
      <c r="C2871" s="2" t="s">
        <v>16</v>
      </c>
      <c r="D2871" s="2" t="s">
        <v>17</v>
      </c>
      <c r="E2871" s="5">
        <v>-31486</v>
      </c>
      <c r="F2871" s="3" t="s">
        <v>597</v>
      </c>
      <c r="G2871" s="3" t="s">
        <v>82</v>
      </c>
      <c r="H2871" s="2" t="s">
        <v>20</v>
      </c>
      <c r="I2871" s="2" t="s">
        <v>6261</v>
      </c>
      <c r="J2871" s="3" t="str">
        <f>HYPERLINK("https://www.boe.es/gazeta/dias/1813/10/16/pdfs/GRE-1813-135.pdf#page=5","Abrir facsímil")</f>
        <v>Abrir facsímil</v>
      </c>
      <c r="K2871" s="3" t="s">
        <v>22</v>
      </c>
    </row>
    <row r="2872" spans="1:11" ht="42" customHeight="1">
      <c r="A2872" s="2" t="s">
        <v>6243</v>
      </c>
      <c r="B2872" s="2" t="s">
        <v>6243</v>
      </c>
      <c r="C2872" s="2" t="s">
        <v>16</v>
      </c>
      <c r="D2872" s="2" t="s">
        <v>17</v>
      </c>
      <c r="E2872" s="5">
        <v>-31481</v>
      </c>
      <c r="F2872" s="3" t="s">
        <v>40</v>
      </c>
      <c r="G2872" s="3" t="s">
        <v>87</v>
      </c>
      <c r="H2872" s="2" t="s">
        <v>20</v>
      </c>
      <c r="I2872" s="2" t="s">
        <v>6262</v>
      </c>
      <c r="J2872" s="3" t="str">
        <f>HYPERLINK("https://www.boe.es/gazeta/dias/1813/10/21/pdfs/GMR-1813-62.pdf#page=7","Abrir facsímil")</f>
        <v>Abrir facsímil</v>
      </c>
      <c r="K2872" s="3" t="s">
        <v>22</v>
      </c>
    </row>
    <row r="2873" spans="1:11" ht="42" customHeight="1">
      <c r="A2873" s="2" t="s">
        <v>6243</v>
      </c>
      <c r="B2873" s="2" t="s">
        <v>6243</v>
      </c>
      <c r="C2873" s="2" t="s">
        <v>25</v>
      </c>
      <c r="D2873" s="2" t="s">
        <v>26</v>
      </c>
      <c r="E2873" s="5">
        <v>-31479</v>
      </c>
      <c r="F2873" s="3" t="s">
        <v>2383</v>
      </c>
      <c r="G2873" s="3" t="s">
        <v>87</v>
      </c>
      <c r="H2873" s="2" t="s">
        <v>20</v>
      </c>
      <c r="I2873" s="2" t="s">
        <v>6263</v>
      </c>
      <c r="J2873" s="3" t="str">
        <f>HYPERLINK("https://www.boe.es/gazeta/dias/1813/10/23/pdfs/GRE-1813-138.pdf#page=7","Abrir facsímil")</f>
        <v>Abrir facsímil</v>
      </c>
      <c r="K2873" s="3" t="s">
        <v>22</v>
      </c>
    </row>
    <row r="2874" spans="1:11" ht="42" customHeight="1">
      <c r="A2874" s="2" t="s">
        <v>6243</v>
      </c>
      <c r="B2874" s="2" t="s">
        <v>6243</v>
      </c>
      <c r="C2874" s="2" t="s">
        <v>16</v>
      </c>
      <c r="D2874" s="2" t="s">
        <v>17</v>
      </c>
      <c r="E2874" s="5">
        <v>-31451</v>
      </c>
      <c r="F2874" s="3" t="s">
        <v>127</v>
      </c>
      <c r="G2874" s="3" t="s">
        <v>28</v>
      </c>
      <c r="H2874" s="2" t="s">
        <v>20</v>
      </c>
      <c r="I2874" s="2" t="s">
        <v>6264</v>
      </c>
      <c r="J2874" s="3" t="str">
        <f>HYPERLINK("https://www.boe.es/gazeta/dias/1813/11/20/pdfs/GRE-1813-152.pdf#page=8","Abrir facsímil")</f>
        <v>Abrir facsímil</v>
      </c>
      <c r="K2874" s="3" t="s">
        <v>22</v>
      </c>
    </row>
    <row r="2875" spans="1:11" ht="42" customHeight="1">
      <c r="A2875" s="2" t="s">
        <v>6243</v>
      </c>
      <c r="B2875" s="2" t="s">
        <v>6243</v>
      </c>
      <c r="C2875" s="2" t="s">
        <v>16</v>
      </c>
      <c r="D2875" s="2" t="s">
        <v>17</v>
      </c>
      <c r="E2875" s="5">
        <v>-31448</v>
      </c>
      <c r="F2875" s="3" t="s">
        <v>57</v>
      </c>
      <c r="G2875" s="3" t="s">
        <v>87</v>
      </c>
      <c r="H2875" s="2" t="s">
        <v>20</v>
      </c>
      <c r="I2875" s="2" t="s">
        <v>6265</v>
      </c>
      <c r="J2875" s="3" t="str">
        <f>HYPERLINK("https://www.boe.es/gazeta/dias/1813/11/23/pdfs/GRE-1813-153.pdf#page=7","Abrir facsímil")</f>
        <v>Abrir facsímil</v>
      </c>
      <c r="K2875" s="3" t="s">
        <v>22</v>
      </c>
    </row>
    <row r="2876" spans="1:11" ht="42" customHeight="1">
      <c r="A2876" s="2" t="s">
        <v>6243</v>
      </c>
      <c r="B2876" s="2" t="s">
        <v>6243</v>
      </c>
      <c r="C2876" s="2" t="s">
        <v>435</v>
      </c>
      <c r="D2876" s="2" t="s">
        <v>26</v>
      </c>
      <c r="E2876" s="5">
        <v>-31434</v>
      </c>
      <c r="F2876" s="3" t="s">
        <v>18</v>
      </c>
      <c r="G2876" s="3" t="s">
        <v>82</v>
      </c>
      <c r="H2876" s="2" t="s">
        <v>20</v>
      </c>
      <c r="I2876" s="2" t="s">
        <v>6266</v>
      </c>
      <c r="J2876" s="3" t="str">
        <f>HYPERLINK("https://www.boe.es/gazeta/dias/1813/12/07/pdfs/GRE-1813-161.pdf#page=5","Abrir facsímil")</f>
        <v>Abrir facsímil</v>
      </c>
      <c r="K2876" s="3" t="s">
        <v>22</v>
      </c>
    </row>
    <row r="2877" spans="1:11" ht="42" customHeight="1">
      <c r="A2877" s="2" t="s">
        <v>6243</v>
      </c>
      <c r="B2877" s="2" t="s">
        <v>6243</v>
      </c>
      <c r="C2877" s="2" t="s">
        <v>25</v>
      </c>
      <c r="D2877" s="2" t="s">
        <v>26</v>
      </c>
      <c r="E2877" s="5">
        <v>-31432</v>
      </c>
      <c r="F2877" s="3" t="s">
        <v>702</v>
      </c>
      <c r="G2877" s="3" t="s">
        <v>54</v>
      </c>
      <c r="H2877" s="2" t="s">
        <v>20</v>
      </c>
      <c r="I2877" s="2" t="s">
        <v>6267</v>
      </c>
      <c r="J2877" s="3" t="str">
        <f>HYPERLINK("https://www.boe.es/gazeta/dias/1813/12/09/pdfs/GMR-1813-85.pdf#page=3","Abrir facsímil")</f>
        <v>Abrir facsímil</v>
      </c>
      <c r="K2877" s="3" t="s">
        <v>22</v>
      </c>
    </row>
    <row r="2878" spans="1:11" ht="42" customHeight="1">
      <c r="A2878" s="2" t="s">
        <v>6268</v>
      </c>
      <c r="B2878" s="2" t="s">
        <v>6269</v>
      </c>
      <c r="C2878" s="2" t="s">
        <v>16</v>
      </c>
      <c r="D2878" s="2" t="s">
        <v>17</v>
      </c>
      <c r="E2878" s="5">
        <v>-31591</v>
      </c>
      <c r="F2878" s="3" t="s">
        <v>2123</v>
      </c>
      <c r="G2878" s="3" t="s">
        <v>82</v>
      </c>
      <c r="H2878" s="2" t="s">
        <v>20</v>
      </c>
      <c r="I2878" s="2" t="s">
        <v>6270</v>
      </c>
      <c r="J2878" s="3" t="str">
        <f>HYPERLINK("https://www.boe.es/gazeta/dias/1813/07/03/pdfs/GRE-1813-83.pdf#page=5","Abrir facsímil")</f>
        <v>Abrir facsímil</v>
      </c>
      <c r="K2878" s="3" t="s">
        <v>22</v>
      </c>
    </row>
    <row r="2879" spans="1:11" ht="42" customHeight="1">
      <c r="A2879" s="2" t="s">
        <v>6271</v>
      </c>
      <c r="B2879" s="2" t="s">
        <v>6272</v>
      </c>
      <c r="C2879" s="2" t="s">
        <v>187</v>
      </c>
      <c r="D2879" s="2" t="s">
        <v>26</v>
      </c>
      <c r="E2879" s="5">
        <v>-31745</v>
      </c>
      <c r="F2879" s="3" t="s">
        <v>445</v>
      </c>
      <c r="G2879" s="3" t="s">
        <v>28</v>
      </c>
      <c r="H2879" s="2" t="s">
        <v>20</v>
      </c>
      <c r="I2879" s="2" t="s">
        <v>6273</v>
      </c>
      <c r="J2879" s="3" t="str">
        <f>HYPERLINK("https://www.boe.es/gazeta/dias/1813/01/30/pdfs/GRE-1813-13.pdf#page=8","Abrir facsímil")</f>
        <v>Abrir facsímil</v>
      </c>
      <c r="K2879" s="3" t="s">
        <v>22</v>
      </c>
    </row>
    <row r="2880" spans="1:11" ht="42" customHeight="1">
      <c r="A2880" s="2" t="s">
        <v>6274</v>
      </c>
      <c r="B2880" s="2" t="s">
        <v>6275</v>
      </c>
      <c r="C2880" s="2" t="s">
        <v>25</v>
      </c>
      <c r="D2880" s="2" t="s">
        <v>26</v>
      </c>
      <c r="E2880" s="5">
        <v>-31633</v>
      </c>
      <c r="F2880" s="3" t="s">
        <v>6276</v>
      </c>
      <c r="G2880" s="3" t="s">
        <v>58</v>
      </c>
      <c r="H2880" s="2" t="s">
        <v>20</v>
      </c>
      <c r="I2880" s="2" t="s">
        <v>6277</v>
      </c>
      <c r="J2880" s="3" t="str">
        <f>HYPERLINK("https://www.boe.es/gazeta/dias/1813/05/22/pdfs/GMD-1813-142.pdf#page=2","Abrir facsímil")</f>
        <v>Abrir facsímil</v>
      </c>
      <c r="K2880" s="3" t="s">
        <v>22</v>
      </c>
    </row>
    <row r="2881" spans="1:11" ht="42" customHeight="1">
      <c r="A2881" s="2" t="s">
        <v>6278</v>
      </c>
      <c r="B2881" s="2" t="s">
        <v>6279</v>
      </c>
      <c r="C2881" s="2" t="s">
        <v>25</v>
      </c>
      <c r="D2881" s="2" t="s">
        <v>26</v>
      </c>
      <c r="E2881" s="5">
        <v>-31745</v>
      </c>
      <c r="F2881" s="3" t="s">
        <v>445</v>
      </c>
      <c r="G2881" s="3" t="s">
        <v>28</v>
      </c>
      <c r="H2881" s="2" t="s">
        <v>20</v>
      </c>
      <c r="I2881" s="2" t="s">
        <v>6280</v>
      </c>
      <c r="J2881" s="3" t="str">
        <f>HYPERLINK("https://www.boe.es/gazeta/dias/1813/01/30/pdfs/GRE-1813-13.pdf#page=8","Abrir facsímil")</f>
        <v>Abrir facsímil</v>
      </c>
      <c r="K2881" s="3" t="s">
        <v>22</v>
      </c>
    </row>
    <row r="2882" spans="1:11" ht="42" customHeight="1">
      <c r="A2882" s="2" t="s">
        <v>6281</v>
      </c>
      <c r="B2882" s="2" t="s">
        <v>6281</v>
      </c>
      <c r="C2882" s="2" t="s">
        <v>16</v>
      </c>
      <c r="D2882" s="2" t="s">
        <v>17</v>
      </c>
      <c r="E2882" s="5">
        <v>-31631</v>
      </c>
      <c r="F2882" s="3" t="s">
        <v>2792</v>
      </c>
      <c r="G2882" s="3" t="s">
        <v>54</v>
      </c>
      <c r="H2882" s="2" t="s">
        <v>20</v>
      </c>
      <c r="I2882" s="2" t="s">
        <v>6282</v>
      </c>
      <c r="J2882" s="3" t="str">
        <f>HYPERLINK("https://www.boe.es/gazeta/dias/1813/05/24/pdfs/GMD-1813-144.pdf#page=3","Abrir facsímil")</f>
        <v>Abrir facsímil</v>
      </c>
      <c r="K2882" s="3" t="s">
        <v>22</v>
      </c>
    </row>
    <row r="2883" spans="1:11" ht="42" customHeight="1">
      <c r="A2883" s="2" t="s">
        <v>6283</v>
      </c>
      <c r="B2883" s="2" t="s">
        <v>6284</v>
      </c>
      <c r="C2883" s="2" t="s">
        <v>16</v>
      </c>
      <c r="D2883" s="2" t="s">
        <v>17</v>
      </c>
      <c r="E2883" s="5">
        <v>-31654</v>
      </c>
      <c r="F2883" s="3" t="s">
        <v>1519</v>
      </c>
      <c r="G2883" s="3" t="s">
        <v>1638</v>
      </c>
      <c r="H2883" s="2" t="s">
        <v>20</v>
      </c>
      <c r="I2883" s="2" t="s">
        <v>6285</v>
      </c>
      <c r="J2883" s="3" t="str">
        <f>HYPERLINK("https://www.boe.es/gazeta/dias/1813/05/01/pdfs/GRE-1813-54.pdf#page=6","Abrir facsímil")</f>
        <v>Abrir facsímil</v>
      </c>
      <c r="K2883" s="3" t="s">
        <v>22</v>
      </c>
    </row>
    <row r="2884" spans="1:11" ht="42" customHeight="1">
      <c r="A2884" s="2" t="s">
        <v>6286</v>
      </c>
      <c r="B2884" s="2" t="s">
        <v>6286</v>
      </c>
      <c r="C2884" s="2" t="s">
        <v>25</v>
      </c>
      <c r="D2884" s="2" t="s">
        <v>26</v>
      </c>
      <c r="E2884" s="5">
        <v>-31677</v>
      </c>
      <c r="F2884" s="3" t="s">
        <v>76</v>
      </c>
      <c r="G2884" s="3" t="s">
        <v>28</v>
      </c>
      <c r="H2884" s="2" t="s">
        <v>20</v>
      </c>
      <c r="I2884" s="2" t="s">
        <v>6287</v>
      </c>
      <c r="J2884" s="3" t="str">
        <f>HYPERLINK("https://www.boe.es/gazeta/dias/1813/04/08/pdfs/GRE-1813-43.pdf#page=8","Abrir facsímil")</f>
        <v>Abrir facsímil</v>
      </c>
      <c r="K2884" s="3" t="s">
        <v>22</v>
      </c>
    </row>
    <row r="2885" spans="1:11" ht="42" customHeight="1">
      <c r="A2885" s="2" t="s">
        <v>6286</v>
      </c>
      <c r="B2885" s="2" t="s">
        <v>6286</v>
      </c>
      <c r="C2885" s="2" t="s">
        <v>187</v>
      </c>
      <c r="D2885" s="2" t="s">
        <v>26</v>
      </c>
      <c r="E2885" s="5">
        <v>-31675</v>
      </c>
      <c r="F2885" s="3" t="s">
        <v>27</v>
      </c>
      <c r="G2885" s="3" t="s">
        <v>28</v>
      </c>
      <c r="H2885" s="2" t="s">
        <v>20</v>
      </c>
      <c r="I2885" s="2" t="s">
        <v>6288</v>
      </c>
      <c r="J2885" s="3" t="str">
        <f>HYPERLINK("https://www.boe.es/gazeta/dias/1813/04/10/pdfs/GRE-1813-44.pdf#page=8","Abrir facsímil")</f>
        <v>Abrir facsímil</v>
      </c>
      <c r="K2885" s="3" t="s">
        <v>22</v>
      </c>
    </row>
    <row r="2886" spans="1:11" ht="42" customHeight="1">
      <c r="A2886" s="2" t="s">
        <v>6286</v>
      </c>
      <c r="B2886" s="2" t="s">
        <v>6286</v>
      </c>
      <c r="C2886" s="2" t="s">
        <v>16</v>
      </c>
      <c r="D2886" s="2" t="s">
        <v>17</v>
      </c>
      <c r="E2886" s="5">
        <v>-31581</v>
      </c>
      <c r="F2886" s="3" t="s">
        <v>3599</v>
      </c>
      <c r="G2886" s="3" t="s">
        <v>82</v>
      </c>
      <c r="H2886" s="2" t="s">
        <v>20</v>
      </c>
      <c r="I2886" s="2" t="s">
        <v>6289</v>
      </c>
      <c r="J2886" s="3" t="str">
        <f>HYPERLINK("https://www.boe.es/gazeta/dias/1813/07/13/pdfs/GRE-1813-88.pdf#page=5","Abrir facsímil")</f>
        <v>Abrir facsímil</v>
      </c>
      <c r="K2886" s="3" t="s">
        <v>22</v>
      </c>
    </row>
    <row r="2887" spans="1:11" ht="42" customHeight="1">
      <c r="A2887" s="2" t="s">
        <v>6286</v>
      </c>
      <c r="B2887" s="2" t="s">
        <v>6286</v>
      </c>
      <c r="C2887" s="2" t="s">
        <v>16</v>
      </c>
      <c r="D2887" s="2" t="s">
        <v>17</v>
      </c>
      <c r="E2887" s="5">
        <v>-31556</v>
      </c>
      <c r="F2887" s="3" t="s">
        <v>118</v>
      </c>
      <c r="G2887" s="3" t="s">
        <v>5250</v>
      </c>
      <c r="H2887" s="2" t="s">
        <v>20</v>
      </c>
      <c r="I2887" s="2" t="s">
        <v>6290</v>
      </c>
      <c r="J2887" s="3" t="str">
        <f>HYPERLINK("https://www.boe.es/gazeta/dias/1813/08/07/pdfs/GMR-1813-25.pdf#page=4","Abrir facsímil")</f>
        <v>Abrir facsímil</v>
      </c>
      <c r="K2887" s="3" t="s">
        <v>22</v>
      </c>
    </row>
    <row r="2888" spans="1:11" ht="42" customHeight="1">
      <c r="A2888" s="2" t="s">
        <v>6286</v>
      </c>
      <c r="B2888" s="2" t="s">
        <v>6286</v>
      </c>
      <c r="C2888" s="2" t="s">
        <v>187</v>
      </c>
      <c r="D2888" s="2" t="s">
        <v>26</v>
      </c>
      <c r="E2888" s="5">
        <v>-31551</v>
      </c>
      <c r="F2888" s="3" t="s">
        <v>954</v>
      </c>
      <c r="G2888" s="3" t="s">
        <v>28</v>
      </c>
      <c r="H2888" s="2" t="s">
        <v>20</v>
      </c>
      <c r="I2888" s="2" t="s">
        <v>6291</v>
      </c>
      <c r="J2888" s="3" t="str">
        <f>HYPERLINK("https://www.boe.es/gazeta/dias/1813/08/12/pdfs/GMR-1813-27.pdf#page=8","Abrir facsímil")</f>
        <v>Abrir facsímil</v>
      </c>
      <c r="K2888" s="3" t="s">
        <v>22</v>
      </c>
    </row>
    <row r="2889" spans="1:11" ht="42" customHeight="1">
      <c r="A2889" s="2" t="s">
        <v>6286</v>
      </c>
      <c r="B2889" s="2" t="s">
        <v>6286</v>
      </c>
      <c r="C2889" s="2" t="s">
        <v>16</v>
      </c>
      <c r="D2889" s="2" t="s">
        <v>17</v>
      </c>
      <c r="E2889" s="5">
        <v>-31481</v>
      </c>
      <c r="F2889" s="3" t="s">
        <v>40</v>
      </c>
      <c r="G2889" s="3" t="s">
        <v>95</v>
      </c>
      <c r="H2889" s="2" t="s">
        <v>20</v>
      </c>
      <c r="I2889" s="2" t="s">
        <v>6292</v>
      </c>
      <c r="J2889" s="3" t="str">
        <f>HYPERLINK("https://www.boe.es/gazeta/dias/1813/10/21/pdfs/GMR-1813-62.pdf#page=6","Abrir facsímil")</f>
        <v>Abrir facsímil</v>
      </c>
      <c r="K2889" s="3" t="s">
        <v>22</v>
      </c>
    </row>
    <row r="2890" spans="1:11" ht="42" customHeight="1">
      <c r="A2890" s="2" t="s">
        <v>6293</v>
      </c>
      <c r="B2890" s="2" t="s">
        <v>6293</v>
      </c>
      <c r="C2890" s="2" t="s">
        <v>16</v>
      </c>
      <c r="D2890" s="2" t="s">
        <v>17</v>
      </c>
      <c r="E2890" s="5">
        <v>-31763</v>
      </c>
      <c r="F2890" s="3" t="s">
        <v>668</v>
      </c>
      <c r="G2890" s="3" t="s">
        <v>19</v>
      </c>
      <c r="H2890" s="2" t="s">
        <v>20</v>
      </c>
      <c r="I2890" s="2" t="s">
        <v>6294</v>
      </c>
      <c r="J2890" s="3" t="str">
        <f>HYPERLINK("https://www.boe.es/gazeta/dias/1813/01/12/pdfs/GRE-1813-5.pdf#page=4","Abrir facsímil")</f>
        <v>Abrir facsímil</v>
      </c>
      <c r="K2890" s="3" t="s">
        <v>22</v>
      </c>
    </row>
    <row r="2891" spans="1:11" ht="42" customHeight="1">
      <c r="A2891" s="2" t="s">
        <v>6293</v>
      </c>
      <c r="B2891" s="2" t="s">
        <v>6293</v>
      </c>
      <c r="C2891" s="2" t="s">
        <v>16</v>
      </c>
      <c r="D2891" s="2" t="s">
        <v>17</v>
      </c>
      <c r="E2891" s="5">
        <v>-31745</v>
      </c>
      <c r="F2891" s="3" t="s">
        <v>1856</v>
      </c>
      <c r="G2891" s="3" t="s">
        <v>19</v>
      </c>
      <c r="H2891" s="2" t="s">
        <v>20</v>
      </c>
      <c r="I2891" s="2" t="s">
        <v>6295</v>
      </c>
      <c r="J2891" s="3" t="str">
        <f>HYPERLINK("https://www.boe.es/gazeta/dias/1813/01/30/pdfs/GMD-1813-30.pdf#page=4","Abrir facsímil")</f>
        <v>Abrir facsímil</v>
      </c>
      <c r="K2891" s="3" t="s">
        <v>22</v>
      </c>
    </row>
    <row r="2892" spans="1:11" ht="42" customHeight="1">
      <c r="A2892" s="2" t="s">
        <v>6293</v>
      </c>
      <c r="B2892" s="2" t="s">
        <v>6293</v>
      </c>
      <c r="C2892" s="2" t="s">
        <v>16</v>
      </c>
      <c r="D2892" s="2" t="s">
        <v>17</v>
      </c>
      <c r="E2892" s="5">
        <v>-31735</v>
      </c>
      <c r="F2892" s="3" t="s">
        <v>558</v>
      </c>
      <c r="G2892" s="3" t="s">
        <v>6296</v>
      </c>
      <c r="H2892" s="2" t="s">
        <v>20</v>
      </c>
      <c r="I2892" s="2" t="s">
        <v>6297</v>
      </c>
      <c r="J2892" s="3" t="str">
        <f>HYPERLINK("https://www.boe.es/gazeta/dias/1813/02/09/pdfs/GRE-1813-17.pdf#page=7","Abrir facsímil")</f>
        <v>Abrir facsímil</v>
      </c>
      <c r="K2892" s="3" t="s">
        <v>22</v>
      </c>
    </row>
    <row r="2893" spans="1:11" ht="42" customHeight="1">
      <c r="A2893" s="2" t="s">
        <v>6293</v>
      </c>
      <c r="B2893" s="2" t="s">
        <v>6293</v>
      </c>
      <c r="C2893" s="2" t="s">
        <v>16</v>
      </c>
      <c r="D2893" s="2" t="s">
        <v>17</v>
      </c>
      <c r="E2893" s="5">
        <v>-31731</v>
      </c>
      <c r="F2893" s="3" t="s">
        <v>866</v>
      </c>
      <c r="G2893" s="3" t="s">
        <v>87</v>
      </c>
      <c r="H2893" s="2" t="s">
        <v>20</v>
      </c>
      <c r="I2893" s="2" t="s">
        <v>6298</v>
      </c>
      <c r="J2893" s="3" t="str">
        <f>HYPERLINK("https://www.boe.es/gazeta/dias/1813/02/13/pdfs/GRE-1813-19.pdf#page=7","Abrir facsímil")</f>
        <v>Abrir facsímil</v>
      </c>
      <c r="K2893" s="3" t="s">
        <v>22</v>
      </c>
    </row>
    <row r="2894" spans="1:11" ht="42" customHeight="1">
      <c r="A2894" s="2" t="s">
        <v>6293</v>
      </c>
      <c r="B2894" s="2" t="s">
        <v>6293</v>
      </c>
      <c r="C2894" s="2" t="s">
        <v>16</v>
      </c>
      <c r="D2894" s="2" t="s">
        <v>17</v>
      </c>
      <c r="E2894" s="5">
        <v>-31709</v>
      </c>
      <c r="F2894" s="3" t="s">
        <v>36</v>
      </c>
      <c r="G2894" s="3" t="s">
        <v>58</v>
      </c>
      <c r="H2894" s="2" t="s">
        <v>20</v>
      </c>
      <c r="I2894" s="2" t="s">
        <v>6299</v>
      </c>
      <c r="J2894" s="3" t="str">
        <f>HYPERLINK("https://www.boe.es/gazeta/dias/1813/03/07/pdfs/GMD-1813-66.pdf#page=2","Abrir facsímil")</f>
        <v>Abrir facsímil</v>
      </c>
      <c r="K2894" s="3" t="s">
        <v>22</v>
      </c>
    </row>
    <row r="2895" spans="1:11" ht="42" customHeight="1">
      <c r="A2895" s="2" t="s">
        <v>6293</v>
      </c>
      <c r="B2895" s="2" t="s">
        <v>6293</v>
      </c>
      <c r="C2895" s="2" t="s">
        <v>34</v>
      </c>
      <c r="D2895" s="2" t="s">
        <v>35</v>
      </c>
      <c r="E2895" s="5">
        <v>-31704</v>
      </c>
      <c r="F2895" s="3" t="s">
        <v>6300</v>
      </c>
      <c r="G2895" s="3" t="s">
        <v>19</v>
      </c>
      <c r="H2895" s="2" t="s">
        <v>20</v>
      </c>
      <c r="I2895" s="2" t="s">
        <v>6301</v>
      </c>
      <c r="J2895" s="3" t="str">
        <f>HYPERLINK("https://www.boe.es/gazeta/dias/1813/03/12/pdfs/GMD-1813-71.pdf#page=4","Abrir facsímil")</f>
        <v>Abrir facsímil</v>
      </c>
      <c r="K2895" s="3" t="s">
        <v>22</v>
      </c>
    </row>
    <row r="2896" spans="1:11" ht="42" customHeight="1">
      <c r="A2896" s="2" t="s">
        <v>6293</v>
      </c>
      <c r="B2896" s="2" t="s">
        <v>6293</v>
      </c>
      <c r="C2896" s="2" t="s">
        <v>16</v>
      </c>
      <c r="D2896" s="2" t="s">
        <v>17</v>
      </c>
      <c r="E2896" s="5">
        <v>-31633</v>
      </c>
      <c r="F2896" s="3" t="s">
        <v>875</v>
      </c>
      <c r="G2896" s="3" t="s">
        <v>65</v>
      </c>
      <c r="H2896" s="2" t="s">
        <v>20</v>
      </c>
      <c r="I2896" s="2" t="s">
        <v>6302</v>
      </c>
      <c r="J2896" s="3" t="str">
        <f>HYPERLINK("https://www.boe.es/gazeta/dias/1813/05/22/pdfs/GRE-1813-63.pdf#page=1","Abrir facsímil")</f>
        <v>Abrir facsímil</v>
      </c>
      <c r="K2896" s="3" t="s">
        <v>22</v>
      </c>
    </row>
    <row r="2897" spans="1:11" ht="42" customHeight="1">
      <c r="A2897" s="2" t="s">
        <v>6293</v>
      </c>
      <c r="B2897" s="2" t="s">
        <v>6293</v>
      </c>
      <c r="C2897" s="2" t="s">
        <v>16</v>
      </c>
      <c r="D2897" s="2" t="s">
        <v>17</v>
      </c>
      <c r="E2897" s="5">
        <v>-31621</v>
      </c>
      <c r="F2897" s="3" t="s">
        <v>1825</v>
      </c>
      <c r="G2897" s="3" t="s">
        <v>82</v>
      </c>
      <c r="H2897" s="2" t="s">
        <v>20</v>
      </c>
      <c r="I2897" s="2" t="s">
        <v>6303</v>
      </c>
      <c r="J2897" s="3" t="str">
        <f>HYPERLINK("https://www.boe.es/gazeta/dias/1813/06/03/pdfs/GMR-1813-1.pdf#page=5","Abrir facsímil")</f>
        <v>Abrir facsímil</v>
      </c>
      <c r="K2897" s="3" t="s">
        <v>22</v>
      </c>
    </row>
    <row r="2898" spans="1:11" ht="42" customHeight="1">
      <c r="A2898" s="2" t="s">
        <v>6293</v>
      </c>
      <c r="B2898" s="2" t="s">
        <v>6293</v>
      </c>
      <c r="C2898" s="2" t="s">
        <v>16</v>
      </c>
      <c r="D2898" s="2" t="s">
        <v>17</v>
      </c>
      <c r="E2898" s="5">
        <v>-31579</v>
      </c>
      <c r="F2898" s="3" t="s">
        <v>609</v>
      </c>
      <c r="G2898" s="3" t="s">
        <v>3601</v>
      </c>
      <c r="H2898" s="2" t="s">
        <v>20</v>
      </c>
      <c r="I2898" s="2" t="s">
        <v>6304</v>
      </c>
      <c r="J2898" s="3" t="str">
        <f>HYPERLINK("https://www.boe.es/gazeta/dias/1813/07/15/pdfs/GRE-1813-89.pdf#page=5","Abrir facsímil")</f>
        <v>Abrir facsímil</v>
      </c>
      <c r="K2898" s="3" t="s">
        <v>22</v>
      </c>
    </row>
    <row r="2899" spans="1:11" ht="42" customHeight="1">
      <c r="A2899" s="2" t="s">
        <v>6305</v>
      </c>
      <c r="B2899" s="2" t="s">
        <v>6305</v>
      </c>
      <c r="C2899" s="2" t="s">
        <v>187</v>
      </c>
      <c r="D2899" s="2" t="s">
        <v>26</v>
      </c>
      <c r="E2899" s="5">
        <v>-31574</v>
      </c>
      <c r="F2899" s="3" t="s">
        <v>1343</v>
      </c>
      <c r="G2899" s="3" t="s">
        <v>71</v>
      </c>
      <c r="H2899" s="2" t="s">
        <v>20</v>
      </c>
      <c r="I2899" s="2" t="s">
        <v>6306</v>
      </c>
      <c r="J2899" s="3" t="str">
        <f>HYPERLINK("https://www.boe.es/gazeta/dias/1813/07/20/pdfs/GMR-1813-19.pdf#page=16","Abrir facsímil")</f>
        <v>Abrir facsímil</v>
      </c>
      <c r="K2899" s="3" t="s">
        <v>22</v>
      </c>
    </row>
    <row r="2900" spans="1:11" ht="42" customHeight="1">
      <c r="A2900" s="2" t="s">
        <v>6293</v>
      </c>
      <c r="B2900" s="2" t="s">
        <v>6293</v>
      </c>
      <c r="C2900" s="2" t="s">
        <v>16</v>
      </c>
      <c r="D2900" s="2" t="s">
        <v>17</v>
      </c>
      <c r="E2900" s="5">
        <v>-31567</v>
      </c>
      <c r="F2900" s="3" t="s">
        <v>1471</v>
      </c>
      <c r="G2900" s="3" t="s">
        <v>95</v>
      </c>
      <c r="H2900" s="2" t="s">
        <v>20</v>
      </c>
      <c r="I2900" s="2" t="s">
        <v>6307</v>
      </c>
      <c r="J2900" s="3" t="str">
        <f>HYPERLINK("https://www.boe.es/gazeta/dias/1813/07/27/pdfs/GRE-1813-95.pdf#page=6","Abrir facsímil")</f>
        <v>Abrir facsímil</v>
      </c>
      <c r="K2900" s="3" t="s">
        <v>22</v>
      </c>
    </row>
    <row r="2901" spans="1:11" ht="42" customHeight="1">
      <c r="A2901" s="2" t="s">
        <v>6293</v>
      </c>
      <c r="B2901" s="2" t="s">
        <v>6293</v>
      </c>
      <c r="C2901" s="2" t="s">
        <v>16</v>
      </c>
      <c r="D2901" s="2" t="s">
        <v>17</v>
      </c>
      <c r="E2901" s="5">
        <v>-31559</v>
      </c>
      <c r="F2901" s="3" t="s">
        <v>1485</v>
      </c>
      <c r="G2901" s="3" t="s">
        <v>6308</v>
      </c>
      <c r="H2901" s="2" t="s">
        <v>20</v>
      </c>
      <c r="I2901" s="2" t="s">
        <v>6309</v>
      </c>
      <c r="J2901" s="3" t="str">
        <f>HYPERLINK("https://www.boe.es/gazeta/dias/1813/08/04/pdfs/GRE-1813-113.pdf#page=6","Abrir facsímil")</f>
        <v>Abrir facsímil</v>
      </c>
      <c r="K2901" s="3" t="s">
        <v>22</v>
      </c>
    </row>
    <row r="2902" spans="1:11" ht="42" customHeight="1">
      <c r="A2902" s="2" t="s">
        <v>6293</v>
      </c>
      <c r="B2902" s="2" t="s">
        <v>6293</v>
      </c>
      <c r="C2902" s="2" t="s">
        <v>16</v>
      </c>
      <c r="D2902" s="2" t="s">
        <v>17</v>
      </c>
      <c r="E2902" s="5">
        <v>-31549</v>
      </c>
      <c r="F2902" s="3" t="s">
        <v>294</v>
      </c>
      <c r="G2902" s="3" t="s">
        <v>2863</v>
      </c>
      <c r="H2902" s="2" t="s">
        <v>20</v>
      </c>
      <c r="I2902" s="2" t="s">
        <v>6310</v>
      </c>
      <c r="J2902" s="3" t="str">
        <f>HYPERLINK("https://www.boe.es/gazeta/dias/1813/08/14/pdfs/GRE-1813-103.pdf#page=6","Abrir facsímil")</f>
        <v>Abrir facsímil</v>
      </c>
      <c r="K2902" s="3" t="s">
        <v>22</v>
      </c>
    </row>
    <row r="2903" spans="1:11" ht="42" customHeight="1">
      <c r="A2903" s="2" t="s">
        <v>6293</v>
      </c>
      <c r="B2903" s="2" t="s">
        <v>6293</v>
      </c>
      <c r="C2903" s="2" t="s">
        <v>16</v>
      </c>
      <c r="D2903" s="2" t="s">
        <v>17</v>
      </c>
      <c r="E2903" s="5">
        <v>-31542</v>
      </c>
      <c r="F2903" s="3" t="s">
        <v>337</v>
      </c>
      <c r="G2903" s="3" t="s">
        <v>58</v>
      </c>
      <c r="H2903" s="2" t="s">
        <v>20</v>
      </c>
      <c r="I2903" s="2" t="s">
        <v>6311</v>
      </c>
      <c r="J2903" s="3" t="str">
        <f>HYPERLINK("https://www.boe.es/gazeta/dias/1813/08/21/pdfs/GRE-1813-107.pdf#page=2","Abrir facsímil")</f>
        <v>Abrir facsímil</v>
      </c>
      <c r="K2903" s="3" t="s">
        <v>22</v>
      </c>
    </row>
    <row r="2904" spans="1:11" ht="42" customHeight="1">
      <c r="A2904" s="2" t="s">
        <v>6293</v>
      </c>
      <c r="B2904" s="2" t="s">
        <v>6293</v>
      </c>
      <c r="C2904" s="2" t="s">
        <v>16</v>
      </c>
      <c r="D2904" s="2" t="s">
        <v>17</v>
      </c>
      <c r="E2904" s="5">
        <v>-31532</v>
      </c>
      <c r="F2904" s="3" t="s">
        <v>215</v>
      </c>
      <c r="G2904" s="3" t="s">
        <v>82</v>
      </c>
      <c r="H2904" s="2" t="s">
        <v>20</v>
      </c>
      <c r="I2904" s="2" t="s">
        <v>6312</v>
      </c>
      <c r="J2904" s="3" t="str">
        <f>HYPERLINK("https://www.boe.es/gazeta/dias/1813/08/31/pdfs/GRE-1813-111.pdf#page=5","Abrir facsímil")</f>
        <v>Abrir facsímil</v>
      </c>
      <c r="K2904" s="3" t="s">
        <v>22</v>
      </c>
    </row>
    <row r="2905" spans="1:11" ht="42" customHeight="1">
      <c r="A2905" s="2" t="s">
        <v>6293</v>
      </c>
      <c r="B2905" s="2" t="s">
        <v>6293</v>
      </c>
      <c r="C2905" s="2" t="s">
        <v>16</v>
      </c>
      <c r="D2905" s="2" t="s">
        <v>17</v>
      </c>
      <c r="E2905" s="5">
        <v>-31528</v>
      </c>
      <c r="F2905" s="3" t="s">
        <v>1485</v>
      </c>
      <c r="G2905" s="3" t="s">
        <v>6308</v>
      </c>
      <c r="H2905" s="2" t="s">
        <v>20</v>
      </c>
      <c r="I2905" s="2" t="s">
        <v>6309</v>
      </c>
      <c r="J2905" s="3" t="str">
        <f>HYPERLINK("https://www.boe.es/gazeta/dias/1813/09/04/pdfs/GRE-1813-113.pdf#page=6","Abrir facsímil")</f>
        <v>Abrir facsímil</v>
      </c>
      <c r="K2905" s="3" t="s">
        <v>22</v>
      </c>
    </row>
    <row r="2906" spans="1:11" ht="42" customHeight="1">
      <c r="A2906" s="2" t="s">
        <v>6293</v>
      </c>
      <c r="B2906" s="2" t="s">
        <v>6293</v>
      </c>
      <c r="C2906" s="2" t="s">
        <v>25</v>
      </c>
      <c r="D2906" s="2" t="s">
        <v>26</v>
      </c>
      <c r="E2906" s="5">
        <v>-31511</v>
      </c>
      <c r="F2906" s="3" t="s">
        <v>2149</v>
      </c>
      <c r="G2906" s="3" t="s">
        <v>54</v>
      </c>
      <c r="H2906" s="2" t="s">
        <v>20</v>
      </c>
      <c r="I2906" s="2" t="s">
        <v>6313</v>
      </c>
      <c r="J2906" s="3" t="str">
        <f>HYPERLINK("https://www.boe.es/gazeta/dias/1813/09/21/pdfs/GRE-1813-122.pdf#page=3","Abrir facsímil")</f>
        <v>Abrir facsímil</v>
      </c>
      <c r="K2906" s="3" t="s">
        <v>22</v>
      </c>
    </row>
    <row r="2907" spans="1:11" ht="42" customHeight="1">
      <c r="A2907" s="2" t="s">
        <v>6293</v>
      </c>
      <c r="B2907" s="2" t="s">
        <v>6293</v>
      </c>
      <c r="C2907" s="2" t="s">
        <v>16</v>
      </c>
      <c r="D2907" s="2" t="s">
        <v>97</v>
      </c>
      <c r="E2907" s="5">
        <v>-31511</v>
      </c>
      <c r="F2907" s="3" t="s">
        <v>3791</v>
      </c>
      <c r="G2907" s="3" t="s">
        <v>54</v>
      </c>
      <c r="H2907" s="2" t="s">
        <v>20</v>
      </c>
      <c r="I2907" s="2" t="s">
        <v>6314</v>
      </c>
      <c r="J2907" s="3" t="str">
        <f>HYPERLINK("https://www.boe.es/gazeta/dias/1813/09/21/pdfs/GRE-1813-124E.pdf#page=3","Abrir facsímil")</f>
        <v>Abrir facsímil</v>
      </c>
      <c r="K2907" s="3" t="s">
        <v>22</v>
      </c>
    </row>
    <row r="2908" spans="1:11" ht="42" customHeight="1">
      <c r="A2908" s="2" t="s">
        <v>6293</v>
      </c>
      <c r="B2908" s="2" t="s">
        <v>6293</v>
      </c>
      <c r="C2908" s="2" t="s">
        <v>16</v>
      </c>
      <c r="D2908" s="2" t="s">
        <v>17</v>
      </c>
      <c r="E2908" s="5">
        <v>-31500</v>
      </c>
      <c r="F2908" s="3" t="s">
        <v>5349</v>
      </c>
      <c r="G2908" s="3" t="s">
        <v>65</v>
      </c>
      <c r="H2908" s="2" t="s">
        <v>20</v>
      </c>
      <c r="I2908" s="2" t="s">
        <v>6315</v>
      </c>
      <c r="J2908" s="3" t="str">
        <f>HYPERLINK("https://www.boe.es/gazeta/dias/1813/10/02/pdfs/GRE-1813-129.pdf#page=1","Abrir facsímil")</f>
        <v>Abrir facsímil</v>
      </c>
      <c r="K2908" s="3" t="s">
        <v>22</v>
      </c>
    </row>
    <row r="2909" spans="1:11" ht="42" customHeight="1">
      <c r="A2909" s="2" t="s">
        <v>6293</v>
      </c>
      <c r="B2909" s="2" t="s">
        <v>6293</v>
      </c>
      <c r="C2909" s="2" t="s">
        <v>16</v>
      </c>
      <c r="D2909" s="2" t="s">
        <v>17</v>
      </c>
      <c r="E2909" s="5">
        <v>-31486</v>
      </c>
      <c r="F2909" s="3" t="s">
        <v>1284</v>
      </c>
      <c r="G2909" s="3" t="s">
        <v>87</v>
      </c>
      <c r="H2909" s="2" t="s">
        <v>20</v>
      </c>
      <c r="I2909" s="2" t="s">
        <v>6316</v>
      </c>
      <c r="J2909" s="3" t="str">
        <f>HYPERLINK("https://www.boe.es/gazeta/dias/1813/10/16/pdfs/GMR-1813-60.pdf#page=7","Abrir facsímil")</f>
        <v>Abrir facsímil</v>
      </c>
      <c r="K2909" s="3" t="s">
        <v>22</v>
      </c>
    </row>
    <row r="2910" spans="1:11" ht="42" customHeight="1">
      <c r="A2910" s="2" t="s">
        <v>6293</v>
      </c>
      <c r="B2910" s="2" t="s">
        <v>6293</v>
      </c>
      <c r="C2910" s="2" t="s">
        <v>16</v>
      </c>
      <c r="D2910" s="2" t="s">
        <v>97</v>
      </c>
      <c r="E2910" s="5">
        <v>-31479</v>
      </c>
      <c r="F2910" s="3" t="s">
        <v>290</v>
      </c>
      <c r="G2910" s="3" t="s">
        <v>821</v>
      </c>
      <c r="H2910" s="2" t="s">
        <v>20</v>
      </c>
      <c r="I2910" s="2" t="s">
        <v>6317</v>
      </c>
      <c r="J2910" s="3" t="str">
        <f>HYPERLINK("https://www.boe.es/gazeta/dias/1813/10/23/pdfs/GRE-1813-139E.pdf#page=13","Abrir facsímil")</f>
        <v>Abrir facsímil</v>
      </c>
      <c r="K2910" s="3" t="s">
        <v>22</v>
      </c>
    </row>
    <row r="2911" spans="1:11" ht="42" customHeight="1">
      <c r="A2911" s="2" t="s">
        <v>6293</v>
      </c>
      <c r="B2911" s="2" t="s">
        <v>6293</v>
      </c>
      <c r="C2911" s="2" t="s">
        <v>16</v>
      </c>
      <c r="D2911" s="2" t="s">
        <v>17</v>
      </c>
      <c r="E2911" s="5">
        <v>-31467</v>
      </c>
      <c r="F2911" s="3" t="s">
        <v>1464</v>
      </c>
      <c r="G2911" s="3" t="s">
        <v>6318</v>
      </c>
      <c r="H2911" s="2" t="s">
        <v>20</v>
      </c>
      <c r="I2911" s="2" t="s">
        <v>6319</v>
      </c>
      <c r="J2911" s="3" t="str">
        <f>HYPERLINK("https://www.boe.es/gazeta/dias/1813/11/04/pdfs/GRE-1813-144.pdf#page=3","Abrir facsímil")</f>
        <v>Abrir facsímil</v>
      </c>
      <c r="K2911" s="3" t="s">
        <v>22</v>
      </c>
    </row>
    <row r="2912" spans="1:11" ht="42" customHeight="1">
      <c r="A2912" s="2" t="s">
        <v>6293</v>
      </c>
      <c r="B2912" s="2" t="s">
        <v>6293</v>
      </c>
      <c r="C2912" s="2" t="s">
        <v>16</v>
      </c>
      <c r="D2912" s="2" t="s">
        <v>17</v>
      </c>
      <c r="E2912" s="5">
        <v>-31453</v>
      </c>
      <c r="F2912" s="3" t="s">
        <v>695</v>
      </c>
      <c r="G2912" s="3" t="s">
        <v>87</v>
      </c>
      <c r="H2912" s="2" t="s">
        <v>20</v>
      </c>
      <c r="I2912" s="2" t="s">
        <v>6320</v>
      </c>
      <c r="J2912" s="3" t="str">
        <f>HYPERLINK("https://www.boe.es/gazeta/dias/1813/11/18/pdfs/GRE-1813-151.pdf#page=7","Abrir facsímil")</f>
        <v>Abrir facsímil</v>
      </c>
      <c r="K2912" s="3" t="s">
        <v>22</v>
      </c>
    </row>
    <row r="2913" spans="1:11" ht="42" customHeight="1">
      <c r="A2913" s="2" t="s">
        <v>6293</v>
      </c>
      <c r="B2913" s="2" t="s">
        <v>6293</v>
      </c>
      <c r="C2913" s="2" t="s">
        <v>16</v>
      </c>
      <c r="D2913" s="2" t="s">
        <v>17</v>
      </c>
      <c r="E2913" s="5">
        <v>-31437</v>
      </c>
      <c r="F2913" s="3" t="s">
        <v>680</v>
      </c>
      <c r="G2913" s="3" t="s">
        <v>28</v>
      </c>
      <c r="H2913" s="2" t="s">
        <v>20</v>
      </c>
      <c r="I2913" s="2" t="s">
        <v>6321</v>
      </c>
      <c r="J2913" s="3" t="str">
        <f>HYPERLINK("https://www.boe.es/gazeta/dias/1813/12/04/pdfs/GMR-1813-83.pdf#page=8","Abrir facsímil")</f>
        <v>Abrir facsímil</v>
      </c>
      <c r="K2913" s="3" t="s">
        <v>22</v>
      </c>
    </row>
    <row r="2914" spans="1:11" ht="42" customHeight="1">
      <c r="A2914" s="2" t="s">
        <v>6293</v>
      </c>
      <c r="B2914" s="2" t="s">
        <v>6293</v>
      </c>
      <c r="C2914" s="2" t="s">
        <v>16</v>
      </c>
      <c r="D2914" s="2" t="s">
        <v>17</v>
      </c>
      <c r="E2914" s="5">
        <v>-31418</v>
      </c>
      <c r="F2914" s="3" t="s">
        <v>147</v>
      </c>
      <c r="G2914" s="3" t="s">
        <v>65</v>
      </c>
      <c r="H2914" s="2" t="s">
        <v>20</v>
      </c>
      <c r="I2914" s="2" t="s">
        <v>6322</v>
      </c>
      <c r="J2914" s="3" t="str">
        <f>HYPERLINK("https://www.boe.es/gazeta/dias/1813/12/23/pdfs/GRE-1813-168.pdf#page=1","Abrir facsímil")</f>
        <v>Abrir facsímil</v>
      </c>
      <c r="K2914" s="3" t="s">
        <v>22</v>
      </c>
    </row>
    <row r="2915" spans="1:11" ht="42" customHeight="1">
      <c r="A2915" s="2" t="s">
        <v>6323</v>
      </c>
      <c r="B2915" s="2" t="s">
        <v>6324</v>
      </c>
      <c r="C2915" s="2" t="s">
        <v>277</v>
      </c>
      <c r="D2915" s="2" t="s">
        <v>26</v>
      </c>
      <c r="E2915" s="5">
        <v>-31558</v>
      </c>
      <c r="F2915" s="3" t="s">
        <v>1288</v>
      </c>
      <c r="G2915" s="3" t="s">
        <v>28</v>
      </c>
      <c r="H2915" s="2" t="s">
        <v>20</v>
      </c>
      <c r="I2915" s="2" t="s">
        <v>6325</v>
      </c>
      <c r="J2915" s="3" t="str">
        <f>HYPERLINK("https://www.boe.es/gazeta/dias/1813/08/05/pdfs/GMR-1813-24.pdf#page=8","Abrir facsímil")</f>
        <v>Abrir facsímil</v>
      </c>
      <c r="K2915" s="3" t="s">
        <v>22</v>
      </c>
    </row>
    <row r="2916" spans="1:11" ht="42" customHeight="1">
      <c r="A2916" s="2" t="s">
        <v>6326</v>
      </c>
      <c r="B2916" s="2" t="s">
        <v>6326</v>
      </c>
      <c r="C2916" s="2" t="s">
        <v>16</v>
      </c>
      <c r="D2916" s="2" t="s">
        <v>17</v>
      </c>
      <c r="E2916" s="5">
        <v>-31413</v>
      </c>
      <c r="F2916" s="3" t="s">
        <v>152</v>
      </c>
      <c r="G2916" s="3" t="s">
        <v>82</v>
      </c>
      <c r="H2916" s="2" t="s">
        <v>20</v>
      </c>
      <c r="I2916" s="2" t="s">
        <v>6327</v>
      </c>
      <c r="J2916" s="3" t="str">
        <f>HYPERLINK("https://www.boe.es/gazeta/dias/1813/12/28/pdfs/GRE-1813-170.pdf#page=5","Abrir facsímil")</f>
        <v>Abrir facsímil</v>
      </c>
      <c r="K2916" s="3" t="s">
        <v>22</v>
      </c>
    </row>
    <row r="2917" spans="1:11" ht="42" customHeight="1">
      <c r="A2917" s="2" t="s">
        <v>6328</v>
      </c>
      <c r="B2917" s="2" t="s">
        <v>6328</v>
      </c>
      <c r="C2917" s="2" t="s">
        <v>187</v>
      </c>
      <c r="D2917" s="2" t="s">
        <v>26</v>
      </c>
      <c r="E2917" s="5">
        <v>-31507</v>
      </c>
      <c r="F2917" s="3" t="s">
        <v>61</v>
      </c>
      <c r="G2917" s="3" t="s">
        <v>3122</v>
      </c>
      <c r="H2917" s="2" t="s">
        <v>20</v>
      </c>
      <c r="I2917" s="2" t="s">
        <v>6329</v>
      </c>
      <c r="J2917" s="3" t="str">
        <f>HYPERLINK("https://www.boe.es/gazeta/dias/1813/09/25/pdfs/GMR-1813-48.pdf#page=12","Abrir facsímil")</f>
        <v>Abrir facsímil</v>
      </c>
      <c r="K2917" s="3" t="s">
        <v>22</v>
      </c>
    </row>
    <row r="2918" spans="1:11" ht="42" customHeight="1">
      <c r="A2918" s="2" t="s">
        <v>6330</v>
      </c>
      <c r="B2918" s="2" t="s">
        <v>6331</v>
      </c>
      <c r="C2918" s="2" t="s">
        <v>277</v>
      </c>
      <c r="D2918" s="2" t="s">
        <v>26</v>
      </c>
      <c r="E2918" s="5">
        <v>-31719</v>
      </c>
      <c r="F2918" s="3" t="s">
        <v>251</v>
      </c>
      <c r="G2918" s="3" t="s">
        <v>19</v>
      </c>
      <c r="H2918" s="2" t="s">
        <v>20</v>
      </c>
      <c r="I2918" s="2" t="s">
        <v>6332</v>
      </c>
      <c r="J2918" s="3" t="str">
        <f>HYPERLINK("https://www.boe.es/gazeta/dias/1813/02/25/pdfs/GMD-1813-56.pdf#page=4","Abrir facsímil")</f>
        <v>Abrir facsímil</v>
      </c>
      <c r="K2918" s="3" t="s">
        <v>22</v>
      </c>
    </row>
    <row r="2919" spans="1:11" ht="42" customHeight="1">
      <c r="A2919" s="2" t="s">
        <v>6333</v>
      </c>
      <c r="B2919" s="2" t="s">
        <v>6333</v>
      </c>
      <c r="C2919" s="2" t="s">
        <v>16</v>
      </c>
      <c r="D2919" s="2" t="s">
        <v>17</v>
      </c>
      <c r="E2919" s="5">
        <v>-31679</v>
      </c>
      <c r="F2919" s="3" t="s">
        <v>6334</v>
      </c>
      <c r="G2919" s="3" t="s">
        <v>58</v>
      </c>
      <c r="H2919" s="2" t="s">
        <v>20</v>
      </c>
      <c r="I2919" s="2" t="s">
        <v>6335</v>
      </c>
      <c r="J2919" s="3" t="str">
        <f>HYPERLINK("https://www.boe.es/gazeta/dias/1813/04/06/pdfs/GMD-1813-96.pdf#page=2","Abrir facsímil")</f>
        <v>Abrir facsímil</v>
      </c>
      <c r="K2919" s="3" t="s">
        <v>22</v>
      </c>
    </row>
    <row r="2920" spans="1:11" ht="42" customHeight="1">
      <c r="A2920" s="2" t="s">
        <v>6336</v>
      </c>
      <c r="B2920" s="2" t="s">
        <v>6336</v>
      </c>
      <c r="C2920" s="2" t="s">
        <v>16</v>
      </c>
      <c r="D2920" s="2" t="s">
        <v>17</v>
      </c>
      <c r="E2920" s="5">
        <v>-31705</v>
      </c>
      <c r="F2920" s="3" t="s">
        <v>4455</v>
      </c>
      <c r="G2920" s="3" t="s">
        <v>65</v>
      </c>
      <c r="H2920" s="2" t="s">
        <v>20</v>
      </c>
      <c r="I2920" s="2" t="s">
        <v>6337</v>
      </c>
      <c r="J2920" s="3" t="str">
        <f>HYPERLINK("https://www.boe.es/gazeta/dias/1813/03/11/pdfs/GMD-1813-70.pdf#page=1","Abrir facsímil")</f>
        <v>Abrir facsímil</v>
      </c>
      <c r="K2920" s="3" t="s">
        <v>22</v>
      </c>
    </row>
    <row r="2921" spans="1:11" ht="42" customHeight="1">
      <c r="A2921" s="2" t="s">
        <v>6338</v>
      </c>
      <c r="B2921" s="2" t="s">
        <v>6339</v>
      </c>
      <c r="C2921" s="2" t="s">
        <v>16</v>
      </c>
      <c r="D2921" s="2" t="s">
        <v>17</v>
      </c>
      <c r="E2921" s="5">
        <v>-31453</v>
      </c>
      <c r="F2921" s="3" t="s">
        <v>695</v>
      </c>
      <c r="G2921" s="3" t="s">
        <v>19</v>
      </c>
      <c r="H2921" s="2" t="s">
        <v>29</v>
      </c>
      <c r="I2921" s="2" t="s">
        <v>6340</v>
      </c>
      <c r="J2921" s="3" t="str">
        <f>HYPERLINK("https://www.boe.es/gazeta/dias/1813/11/18/pdfs/GRE-1813-151.pdf#page=4","Abrir facsímil")</f>
        <v>Abrir facsímil</v>
      </c>
      <c r="K2921" s="3" t="s">
        <v>31</v>
      </c>
    </row>
    <row r="2922" spans="1:11" ht="42" customHeight="1">
      <c r="A2922" s="2" t="s">
        <v>6341</v>
      </c>
      <c r="B2922" s="2" t="s">
        <v>6341</v>
      </c>
      <c r="C2922" s="2" t="s">
        <v>16</v>
      </c>
      <c r="D2922" s="2" t="s">
        <v>17</v>
      </c>
      <c r="E2922" s="5">
        <v>-31578</v>
      </c>
      <c r="F2922" s="3" t="s">
        <v>974</v>
      </c>
      <c r="G2922" s="3" t="s">
        <v>54</v>
      </c>
      <c r="H2922" s="2" t="s">
        <v>20</v>
      </c>
      <c r="I2922" s="2" t="s">
        <v>6342</v>
      </c>
      <c r="J2922" s="3" t="str">
        <f>HYPERLINK("https://www.boe.es/gazeta/dias/1813/07/16/pdfs/GMR-1813-18.pdf#page=3","Abrir facsímil")</f>
        <v>Abrir facsímil</v>
      </c>
      <c r="K2922" s="3" t="s">
        <v>22</v>
      </c>
    </row>
    <row r="2923" spans="1:11" ht="42" customHeight="1">
      <c r="A2923" s="2" t="s">
        <v>6343</v>
      </c>
      <c r="B2923" s="2" t="s">
        <v>6343</v>
      </c>
      <c r="C2923" s="2" t="s">
        <v>16</v>
      </c>
      <c r="D2923" s="2" t="s">
        <v>17</v>
      </c>
      <c r="E2923" s="5">
        <v>-31544</v>
      </c>
      <c r="F2923" s="3" t="s">
        <v>200</v>
      </c>
      <c r="G2923" s="3" t="s">
        <v>3017</v>
      </c>
      <c r="H2923" s="2" t="s">
        <v>20</v>
      </c>
      <c r="I2923" s="2" t="s">
        <v>6344</v>
      </c>
      <c r="J2923" s="3" t="str">
        <f>HYPERLINK("https://www.boe.es/gazeta/dias/1813/08/19/pdfs/GRE-1813-106.pdf#page=4","Abrir facsímil")</f>
        <v>Abrir facsímil</v>
      </c>
      <c r="K2923" s="3" t="s">
        <v>22</v>
      </c>
    </row>
    <row r="2924" spans="1:11" ht="42" customHeight="1">
      <c r="A2924" s="2" t="s">
        <v>6343</v>
      </c>
      <c r="B2924" s="2" t="s">
        <v>6343</v>
      </c>
      <c r="C2924" s="2" t="s">
        <v>16</v>
      </c>
      <c r="D2924" s="2" t="s">
        <v>17</v>
      </c>
      <c r="E2924" s="5">
        <v>-31544</v>
      </c>
      <c r="F2924" s="3" t="s">
        <v>200</v>
      </c>
      <c r="G2924" s="3" t="s">
        <v>82</v>
      </c>
      <c r="H2924" s="2" t="s">
        <v>20</v>
      </c>
      <c r="I2924" s="2" t="s">
        <v>6345</v>
      </c>
      <c r="J2924" s="3" t="str">
        <f>HYPERLINK("https://www.boe.es/gazeta/dias/1813/08/19/pdfs/GRE-1813-106.pdf#page=5","Abrir facsímil")</f>
        <v>Abrir facsímil</v>
      </c>
      <c r="K2924" s="3" t="s">
        <v>22</v>
      </c>
    </row>
    <row r="2925" spans="1:11" ht="42" customHeight="1">
      <c r="A2925" s="2" t="s">
        <v>6346</v>
      </c>
      <c r="B2925" s="2" t="s">
        <v>6346</v>
      </c>
      <c r="C2925" s="2" t="s">
        <v>16</v>
      </c>
      <c r="D2925" s="2" t="s">
        <v>17</v>
      </c>
      <c r="E2925" s="5">
        <v>-31495</v>
      </c>
      <c r="F2925" s="3" t="s">
        <v>194</v>
      </c>
      <c r="G2925" s="3" t="s">
        <v>54</v>
      </c>
      <c r="H2925" s="2" t="s">
        <v>20</v>
      </c>
      <c r="I2925" s="2" t="s">
        <v>6347</v>
      </c>
      <c r="J2925" s="3" t="str">
        <f>HYPERLINK("https://www.boe.es/gazeta/dias/1813/10/07/pdfs/GMR-1813-55.pdf#page=3","Abrir facsímil")</f>
        <v>Abrir facsímil</v>
      </c>
      <c r="K2925" s="3" t="s">
        <v>22</v>
      </c>
    </row>
    <row r="2926" spans="1:11" ht="42" customHeight="1">
      <c r="A2926" s="2" t="s">
        <v>6348</v>
      </c>
      <c r="B2926" s="2" t="s">
        <v>6348</v>
      </c>
      <c r="C2926" s="2" t="s">
        <v>25</v>
      </c>
      <c r="D2926" s="2" t="s">
        <v>26</v>
      </c>
      <c r="E2926" s="5">
        <v>-31766</v>
      </c>
      <c r="F2926" s="3" t="s">
        <v>6349</v>
      </c>
      <c r="G2926" s="3" t="s">
        <v>58</v>
      </c>
      <c r="H2926" s="2" t="s">
        <v>20</v>
      </c>
      <c r="I2926" s="2" t="s">
        <v>6350</v>
      </c>
      <c r="J2926" s="3" t="str">
        <f>HYPERLINK("https://www.boe.es/gazeta/dias/1813/01/09/pdfs/GMD-1813-9.pdf#page=2","Abrir facsímil")</f>
        <v>Abrir facsímil</v>
      </c>
      <c r="K2926" s="3" t="s">
        <v>22</v>
      </c>
    </row>
    <row r="2927" spans="1:11" ht="42" customHeight="1">
      <c r="A2927" s="2" t="s">
        <v>6351</v>
      </c>
      <c r="B2927" s="2" t="s">
        <v>6351</v>
      </c>
      <c r="C2927" s="2" t="s">
        <v>16</v>
      </c>
      <c r="D2927" s="2" t="s">
        <v>17</v>
      </c>
      <c r="E2927" s="5">
        <v>-31546</v>
      </c>
      <c r="F2927" s="3" t="s">
        <v>461</v>
      </c>
      <c r="G2927" s="3" t="s">
        <v>95</v>
      </c>
      <c r="H2927" s="2" t="s">
        <v>20</v>
      </c>
      <c r="I2927" s="2" t="s">
        <v>6352</v>
      </c>
      <c r="J2927" s="3" t="str">
        <f>HYPERLINK("https://www.boe.es/gazeta/dias/1813/08/17/pdfs/GMR-1813-29.pdf#page=6","Abrir facsímil")</f>
        <v>Abrir facsímil</v>
      </c>
      <c r="K2927" s="3" t="s">
        <v>22</v>
      </c>
    </row>
    <row r="2928" spans="1:11" ht="42" customHeight="1">
      <c r="A2928" s="2" t="s">
        <v>6353</v>
      </c>
      <c r="B2928" s="2" t="s">
        <v>6353</v>
      </c>
      <c r="C2928" s="2" t="s">
        <v>16</v>
      </c>
      <c r="D2928" s="2" t="s">
        <v>17</v>
      </c>
      <c r="E2928" s="5">
        <v>-31525</v>
      </c>
      <c r="F2928" s="3" t="s">
        <v>135</v>
      </c>
      <c r="G2928" s="3" t="s">
        <v>95</v>
      </c>
      <c r="H2928" s="2" t="s">
        <v>20</v>
      </c>
      <c r="I2928" s="2" t="s">
        <v>6354</v>
      </c>
      <c r="J2928" s="3" t="str">
        <f>HYPERLINK("https://www.boe.es/gazeta/dias/1813/09/07/pdfs/GMR-1813-38.pdf#page=6","Abrir facsímil")</f>
        <v>Abrir facsímil</v>
      </c>
      <c r="K2928" s="3" t="s">
        <v>22</v>
      </c>
    </row>
    <row r="2929" spans="1:11" ht="42" customHeight="1">
      <c r="A2929" s="2" t="s">
        <v>6351</v>
      </c>
      <c r="B2929" s="2" t="s">
        <v>6351</v>
      </c>
      <c r="C2929" s="2" t="s">
        <v>16</v>
      </c>
      <c r="D2929" s="2" t="s">
        <v>97</v>
      </c>
      <c r="E2929" s="5">
        <v>-31525</v>
      </c>
      <c r="F2929" s="3" t="s">
        <v>6355</v>
      </c>
      <c r="G2929" s="3" t="s">
        <v>65</v>
      </c>
      <c r="H2929" s="2" t="s">
        <v>20</v>
      </c>
      <c r="I2929" s="2" t="s">
        <v>6356</v>
      </c>
      <c r="J2929" s="3" t="str">
        <f>HYPERLINK("https://www.boe.es/gazeta/dias/1813/09/07/pdfs/GMR-1813-39E.pdf#page=1","Abrir facsímil")</f>
        <v>Abrir facsímil</v>
      </c>
      <c r="K2929" s="3" t="s">
        <v>22</v>
      </c>
    </row>
    <row r="2930" spans="1:11" ht="42" customHeight="1">
      <c r="A2930" s="2" t="s">
        <v>6357</v>
      </c>
      <c r="B2930" s="2" t="s">
        <v>6357</v>
      </c>
      <c r="C2930" s="2" t="s">
        <v>16</v>
      </c>
      <c r="D2930" s="2" t="s">
        <v>17</v>
      </c>
      <c r="E2930" s="5">
        <v>-31507</v>
      </c>
      <c r="F2930" s="3" t="s">
        <v>61</v>
      </c>
      <c r="G2930" s="3" t="s">
        <v>82</v>
      </c>
      <c r="H2930" s="2" t="s">
        <v>20</v>
      </c>
      <c r="I2930" s="2" t="s">
        <v>6358</v>
      </c>
      <c r="J2930" s="3" t="str">
        <f>HYPERLINK("https://www.boe.es/gazeta/dias/1813/09/25/pdfs/GMR-1813-48.pdf#page=5","Abrir facsímil")</f>
        <v>Abrir facsímil</v>
      </c>
      <c r="K2930" s="3" t="s">
        <v>22</v>
      </c>
    </row>
    <row r="2931" spans="1:11" ht="42" customHeight="1">
      <c r="A2931" s="2" t="s">
        <v>6353</v>
      </c>
      <c r="B2931" s="2" t="s">
        <v>6353</v>
      </c>
      <c r="C2931" s="2" t="s">
        <v>16</v>
      </c>
      <c r="D2931" s="2" t="s">
        <v>17</v>
      </c>
      <c r="E2931" s="5">
        <v>-31500</v>
      </c>
      <c r="F2931" s="3" t="s">
        <v>938</v>
      </c>
      <c r="G2931" s="3" t="s">
        <v>19</v>
      </c>
      <c r="H2931" s="2" t="s">
        <v>20</v>
      </c>
      <c r="I2931" s="2" t="s">
        <v>6359</v>
      </c>
      <c r="J2931" s="3" t="str">
        <f>HYPERLINK("https://www.boe.es/gazeta/dias/1813/10/02/pdfs/GMR-1813-52.pdf#page=4","Abrir facsímil")</f>
        <v>Abrir facsímil</v>
      </c>
      <c r="K2931" s="3" t="s">
        <v>22</v>
      </c>
    </row>
    <row r="2932" spans="1:11" ht="42" customHeight="1">
      <c r="A2932" s="2" t="s">
        <v>6353</v>
      </c>
      <c r="B2932" s="2" t="s">
        <v>6353</v>
      </c>
      <c r="C2932" s="2" t="s">
        <v>16</v>
      </c>
      <c r="D2932" s="2" t="s">
        <v>17</v>
      </c>
      <c r="E2932" s="5">
        <v>-31467</v>
      </c>
      <c r="F2932" s="3" t="s">
        <v>120</v>
      </c>
      <c r="G2932" s="3" t="s">
        <v>19</v>
      </c>
      <c r="H2932" s="2" t="s">
        <v>20</v>
      </c>
      <c r="I2932" s="2" t="s">
        <v>6360</v>
      </c>
      <c r="J2932" s="3" t="str">
        <f>HYPERLINK("https://www.boe.es/gazeta/dias/1813/11/04/pdfs/GMR-1813-68.pdf#page=4","Abrir facsímil")</f>
        <v>Abrir facsímil</v>
      </c>
      <c r="K2932" s="3" t="s">
        <v>22</v>
      </c>
    </row>
    <row r="2933" spans="1:11" ht="42" customHeight="1">
      <c r="A2933" s="2" t="s">
        <v>6361</v>
      </c>
      <c r="B2933" s="2" t="s">
        <v>6362</v>
      </c>
      <c r="C2933" s="2" t="s">
        <v>16</v>
      </c>
      <c r="D2933" s="2" t="s">
        <v>17</v>
      </c>
      <c r="E2933" s="5">
        <v>-31511</v>
      </c>
      <c r="F2933" s="3" t="s">
        <v>935</v>
      </c>
      <c r="G2933" s="3" t="s">
        <v>178</v>
      </c>
      <c r="H2933" s="2" t="s">
        <v>20</v>
      </c>
      <c r="I2933" s="2" t="s">
        <v>6363</v>
      </c>
      <c r="J2933" s="3" t="str">
        <f>HYPERLINK("https://www.boe.es/gazeta/dias/1813/09/21/pdfs/GMR-1813-46.pdf#page=11","Abrir facsímil")</f>
        <v>Abrir facsímil</v>
      </c>
      <c r="K2933" s="3" t="s">
        <v>22</v>
      </c>
    </row>
    <row r="2934" spans="1:11" ht="42" customHeight="1">
      <c r="A2934" s="2" t="s">
        <v>6364</v>
      </c>
      <c r="B2934" s="2" t="s">
        <v>6365</v>
      </c>
      <c r="C2934" s="2" t="s">
        <v>16</v>
      </c>
      <c r="D2934" s="2" t="s">
        <v>17</v>
      </c>
      <c r="E2934" s="5">
        <v>-31511</v>
      </c>
      <c r="F2934" s="3" t="s">
        <v>935</v>
      </c>
      <c r="G2934" s="3" t="s">
        <v>54</v>
      </c>
      <c r="H2934" s="2" t="s">
        <v>20</v>
      </c>
      <c r="I2934" s="2" t="s">
        <v>6366</v>
      </c>
      <c r="J2934" s="3" t="str">
        <f>HYPERLINK("https://www.boe.es/gazeta/dias/1813/09/21/pdfs/GMR-1813-46.pdf#page=3","Abrir facsímil")</f>
        <v>Abrir facsímil</v>
      </c>
      <c r="K2934" s="3" t="s">
        <v>22</v>
      </c>
    </row>
    <row r="2935" spans="1:11" ht="42" customHeight="1">
      <c r="A2935" s="2" t="s">
        <v>6367</v>
      </c>
      <c r="B2935" s="2" t="s">
        <v>6368</v>
      </c>
      <c r="C2935" s="2" t="s">
        <v>16</v>
      </c>
      <c r="D2935" s="2" t="s">
        <v>17</v>
      </c>
      <c r="E2935" s="5">
        <v>-31467</v>
      </c>
      <c r="F2935" s="3" t="s">
        <v>120</v>
      </c>
      <c r="G2935" s="3" t="s">
        <v>82</v>
      </c>
      <c r="H2935" s="2" t="s">
        <v>20</v>
      </c>
      <c r="I2935" s="2" t="s">
        <v>6369</v>
      </c>
      <c r="J2935" s="3" t="str">
        <f>HYPERLINK("https://www.boe.es/gazeta/dias/1813/11/04/pdfs/GMR-1813-68.pdf#page=5","Abrir facsímil")</f>
        <v>Abrir facsímil</v>
      </c>
      <c r="K2935" s="3" t="s">
        <v>22</v>
      </c>
    </row>
    <row r="2936" spans="1:11" ht="42" customHeight="1">
      <c r="A2936" s="2" t="s">
        <v>6370</v>
      </c>
      <c r="B2936" s="2" t="s">
        <v>6370</v>
      </c>
      <c r="C2936" s="2" t="s">
        <v>16</v>
      </c>
      <c r="D2936" s="2" t="s">
        <v>17</v>
      </c>
      <c r="E2936" s="5">
        <v>-31705</v>
      </c>
      <c r="F2936" s="3" t="s">
        <v>4455</v>
      </c>
      <c r="G2936" s="3" t="s">
        <v>65</v>
      </c>
      <c r="H2936" s="2" t="s">
        <v>20</v>
      </c>
      <c r="I2936" s="2" t="s">
        <v>6371</v>
      </c>
      <c r="J2936" s="3" t="str">
        <f>HYPERLINK("https://www.boe.es/gazeta/dias/1813/03/11/pdfs/GMD-1813-70.pdf#page=1","Abrir facsímil")</f>
        <v>Abrir facsímil</v>
      </c>
      <c r="K2936" s="3" t="s">
        <v>22</v>
      </c>
    </row>
    <row r="2937" spans="1:11" ht="42" customHeight="1">
      <c r="A2937" s="2" t="s">
        <v>6372</v>
      </c>
      <c r="B2937" s="2" t="s">
        <v>6372</v>
      </c>
      <c r="C2937" s="2" t="s">
        <v>16</v>
      </c>
      <c r="D2937" s="2" t="s">
        <v>17</v>
      </c>
      <c r="E2937" s="5">
        <v>-31759</v>
      </c>
      <c r="F2937" s="3" t="s">
        <v>419</v>
      </c>
      <c r="G2937" s="3" t="s">
        <v>19</v>
      </c>
      <c r="H2937" s="2" t="s">
        <v>20</v>
      </c>
      <c r="I2937" s="2" t="s">
        <v>6373</v>
      </c>
      <c r="J2937" s="3" t="str">
        <f>HYPERLINK("https://www.boe.es/gazeta/dias/1813/01/16/pdfs/GRE-1813-7.pdf#page=4","Abrir facsímil")</f>
        <v>Abrir facsímil</v>
      </c>
      <c r="K2937" s="3" t="s">
        <v>22</v>
      </c>
    </row>
    <row r="2938" spans="1:11" ht="42" customHeight="1">
      <c r="A2938" s="2" t="s">
        <v>6374</v>
      </c>
      <c r="B2938" s="2" t="s">
        <v>6374</v>
      </c>
      <c r="C2938" s="2" t="s">
        <v>34</v>
      </c>
      <c r="D2938" s="2" t="s">
        <v>35</v>
      </c>
      <c r="E2938" s="5">
        <v>-31518</v>
      </c>
      <c r="F2938" s="3" t="s">
        <v>1090</v>
      </c>
      <c r="G2938" s="3" t="s">
        <v>207</v>
      </c>
      <c r="H2938" s="2" t="s">
        <v>20</v>
      </c>
      <c r="I2938" s="2" t="s">
        <v>6375</v>
      </c>
      <c r="J2938" s="3" t="str">
        <f>HYPERLINK("https://www.boe.es/gazeta/dias/1813/09/14/pdfs/GMR-1813-42.pdf#page=10","Abrir facsímil")</f>
        <v>Abrir facsímil</v>
      </c>
      <c r="K2938" s="3" t="s">
        <v>22</v>
      </c>
    </row>
    <row r="2939" spans="1:11" ht="42" customHeight="1">
      <c r="A2939" s="2" t="s">
        <v>6376</v>
      </c>
      <c r="B2939" s="2" t="s">
        <v>6376</v>
      </c>
      <c r="C2939" s="2" t="s">
        <v>16</v>
      </c>
      <c r="D2939" s="2" t="s">
        <v>17</v>
      </c>
      <c r="E2939" s="5">
        <v>-31420</v>
      </c>
      <c r="F2939" s="3" t="s">
        <v>145</v>
      </c>
      <c r="G2939" s="3" t="s">
        <v>54</v>
      </c>
      <c r="H2939" s="2" t="s">
        <v>20</v>
      </c>
      <c r="I2939" s="2" t="s">
        <v>6377</v>
      </c>
      <c r="J2939" s="3" t="str">
        <f>HYPERLINK("https://www.boe.es/gazeta/dias/1813/12/21/pdfs/GMR-1813-90.pdf#page=3","Abrir facsímil")</f>
        <v>Abrir facsímil</v>
      </c>
      <c r="K2939" s="3" t="s">
        <v>22</v>
      </c>
    </row>
    <row r="2940" spans="1:11" ht="42" customHeight="1">
      <c r="A2940" s="2" t="s">
        <v>6378</v>
      </c>
      <c r="B2940" s="2" t="s">
        <v>6379</v>
      </c>
      <c r="C2940" s="2" t="s">
        <v>16</v>
      </c>
      <c r="D2940" s="2" t="s">
        <v>97</v>
      </c>
      <c r="E2940" s="5">
        <v>-31519</v>
      </c>
      <c r="F2940" s="3" t="s">
        <v>312</v>
      </c>
      <c r="G2940" s="3" t="s">
        <v>313</v>
      </c>
      <c r="H2940" s="2" t="s">
        <v>20</v>
      </c>
      <c r="I2940" s="2" t="s">
        <v>6380</v>
      </c>
      <c r="J2940" s="3" t="str">
        <f>HYPERLINK("https://www.boe.es/gazeta/dias/1813/09/13/pdfs/GRE-1813-118E.pdf#page=9","Abrir facsímil")</f>
        <v>Abrir facsímil</v>
      </c>
      <c r="K2940" s="3" t="s">
        <v>22</v>
      </c>
    </row>
    <row r="2941" spans="1:11" ht="42" customHeight="1">
      <c r="A2941" s="2" t="s">
        <v>6381</v>
      </c>
      <c r="B2941" s="2" t="s">
        <v>6381</v>
      </c>
      <c r="C2941" s="2" t="s">
        <v>16</v>
      </c>
      <c r="D2941" s="2" t="s">
        <v>17</v>
      </c>
      <c r="E2941" s="5">
        <v>-31715</v>
      </c>
      <c r="F2941" s="3" t="s">
        <v>3358</v>
      </c>
      <c r="G2941" s="3" t="s">
        <v>65</v>
      </c>
      <c r="H2941" s="2" t="s">
        <v>20</v>
      </c>
      <c r="I2941" s="2" t="s">
        <v>6382</v>
      </c>
      <c r="J2941" s="3" t="str">
        <f>HYPERLINK("https://www.boe.es/gazeta/dias/1813/03/01/pdfs/GMD-1813-60.pdf#page=1","Abrir facsímil")</f>
        <v>Abrir facsímil</v>
      </c>
      <c r="K2941" s="3" t="s">
        <v>22</v>
      </c>
    </row>
    <row r="2942" spans="1:11" ht="42" customHeight="1">
      <c r="A2942" s="2" t="s">
        <v>6383</v>
      </c>
      <c r="B2942" s="2" t="s">
        <v>6383</v>
      </c>
      <c r="C2942" s="2" t="s">
        <v>16</v>
      </c>
      <c r="D2942" s="2" t="s">
        <v>17</v>
      </c>
      <c r="E2942" s="5">
        <v>-31539</v>
      </c>
      <c r="F2942" s="3" t="s">
        <v>1220</v>
      </c>
      <c r="G2942" s="3" t="s">
        <v>19</v>
      </c>
      <c r="H2942" s="2" t="s">
        <v>20</v>
      </c>
      <c r="I2942" s="2" t="s">
        <v>6384</v>
      </c>
      <c r="J2942" s="3" t="str">
        <f>HYPERLINK("https://www.boe.es/gazeta/dias/1813/08/24/pdfs/GRE-1813-108.pdf#page=4","Abrir facsímil")</f>
        <v>Abrir facsímil</v>
      </c>
      <c r="K2942" s="3" t="s">
        <v>22</v>
      </c>
    </row>
    <row r="2943" spans="1:11" ht="42" customHeight="1">
      <c r="A2943" s="2" t="s">
        <v>6383</v>
      </c>
      <c r="B2943" s="2" t="s">
        <v>6383</v>
      </c>
      <c r="C2943" s="2" t="s">
        <v>16</v>
      </c>
      <c r="D2943" s="2" t="s">
        <v>97</v>
      </c>
      <c r="E2943" s="5">
        <v>-31519</v>
      </c>
      <c r="F2943" s="3" t="s">
        <v>312</v>
      </c>
      <c r="G2943" s="3" t="s">
        <v>82</v>
      </c>
      <c r="H2943" s="2" t="s">
        <v>20</v>
      </c>
      <c r="I2943" s="2" t="s">
        <v>6385</v>
      </c>
      <c r="J2943" s="3" t="str">
        <f>HYPERLINK("https://www.boe.es/gazeta/dias/1813/09/13/pdfs/GRE-1813-118E.pdf#page=5","Abrir facsímil")</f>
        <v>Abrir facsímil</v>
      </c>
      <c r="K2943" s="3" t="s">
        <v>22</v>
      </c>
    </row>
    <row r="2944" spans="1:11" ht="42" customHeight="1">
      <c r="A2944" s="2" t="s">
        <v>6383</v>
      </c>
      <c r="B2944" s="2" t="s">
        <v>6383</v>
      </c>
      <c r="C2944" s="2" t="s">
        <v>16</v>
      </c>
      <c r="D2944" s="2" t="s">
        <v>17</v>
      </c>
      <c r="E2944" s="5">
        <v>-31518</v>
      </c>
      <c r="F2944" s="3" t="s">
        <v>155</v>
      </c>
      <c r="G2944" s="3" t="s">
        <v>19</v>
      </c>
      <c r="H2944" s="2" t="s">
        <v>20</v>
      </c>
      <c r="I2944" s="2" t="s">
        <v>6386</v>
      </c>
      <c r="J2944" s="3" t="str">
        <f>HYPERLINK("https://www.boe.es/gazeta/dias/1813/09/14/pdfs/GRE-1813-119.pdf#page=4","Abrir facsímil")</f>
        <v>Abrir facsímil</v>
      </c>
      <c r="K2944" s="3" t="s">
        <v>22</v>
      </c>
    </row>
    <row r="2945" spans="1:11" ht="42" customHeight="1">
      <c r="A2945" s="2" t="s">
        <v>6387</v>
      </c>
      <c r="B2945" s="2" t="s">
        <v>6388</v>
      </c>
      <c r="C2945" s="2" t="s">
        <v>16</v>
      </c>
      <c r="D2945" s="2" t="s">
        <v>17</v>
      </c>
      <c r="E2945" s="5">
        <v>-31523</v>
      </c>
      <c r="F2945" s="3" t="s">
        <v>81</v>
      </c>
      <c r="G2945" s="3" t="s">
        <v>82</v>
      </c>
      <c r="H2945" s="2" t="s">
        <v>20</v>
      </c>
      <c r="I2945" s="2" t="s">
        <v>6389</v>
      </c>
      <c r="J2945" s="3" t="str">
        <f>HYPERLINK("https://www.boe.es/gazeta/dias/1813/09/09/pdfs/GRE-1813-115.pdf#page=5","Abrir facsímil")</f>
        <v>Abrir facsímil</v>
      </c>
      <c r="K2945" s="3" t="s">
        <v>22</v>
      </c>
    </row>
    <row r="2946" spans="1:11" ht="42" customHeight="1">
      <c r="A2946" s="2" t="s">
        <v>6390</v>
      </c>
      <c r="B2946" s="2" t="s">
        <v>6391</v>
      </c>
      <c r="C2946" s="2" t="s">
        <v>16</v>
      </c>
      <c r="D2946" s="2" t="s">
        <v>97</v>
      </c>
      <c r="E2946" s="5">
        <v>-31445</v>
      </c>
      <c r="F2946" s="3" t="s">
        <v>299</v>
      </c>
      <c r="G2946" s="3" t="s">
        <v>300</v>
      </c>
      <c r="H2946" s="2" t="s">
        <v>20</v>
      </c>
      <c r="I2946" s="2" t="s">
        <v>6392</v>
      </c>
      <c r="J2946" s="3" t="str">
        <f>HYPERLINK("https://www.boe.es/gazeta/dias/1813/11/26/pdfs/GRE-1813-156E.pdf#page=3","Abrir facsímil")</f>
        <v>Abrir facsímil</v>
      </c>
      <c r="K2946" s="3" t="s">
        <v>22</v>
      </c>
    </row>
    <row r="2947" spans="1:11" ht="42" customHeight="1">
      <c r="A2947" s="2" t="s">
        <v>6393</v>
      </c>
      <c r="B2947" s="2" t="s">
        <v>6394</v>
      </c>
      <c r="C2947" s="2" t="s">
        <v>16</v>
      </c>
      <c r="D2947" s="2" t="s">
        <v>97</v>
      </c>
      <c r="E2947" s="5">
        <v>-31521</v>
      </c>
      <c r="F2947" s="3" t="s">
        <v>6395</v>
      </c>
      <c r="G2947" s="3" t="s">
        <v>6396</v>
      </c>
      <c r="H2947" s="2" t="s">
        <v>20</v>
      </c>
      <c r="I2947" s="2" t="s">
        <v>6397</v>
      </c>
      <c r="J2947" s="3" t="str">
        <f>HYPERLINK("https://www.boe.es/gazeta/dias/1813/09/11/pdfs/GRE-1813-117E.pdf#page=1","Abrir facsímil")</f>
        <v>Abrir facsímil</v>
      </c>
      <c r="K2947" s="3" t="s">
        <v>22</v>
      </c>
    </row>
    <row r="2948" spans="1:11" ht="42" customHeight="1">
      <c r="A2948" s="2" t="s">
        <v>6393</v>
      </c>
      <c r="B2948" s="2" t="s">
        <v>6394</v>
      </c>
      <c r="C2948" s="2" t="s">
        <v>16</v>
      </c>
      <c r="D2948" s="2" t="s">
        <v>97</v>
      </c>
      <c r="E2948" s="5">
        <v>-31519</v>
      </c>
      <c r="F2948" s="3" t="s">
        <v>312</v>
      </c>
      <c r="G2948" s="3" t="s">
        <v>65</v>
      </c>
      <c r="H2948" s="2" t="s">
        <v>20</v>
      </c>
      <c r="I2948" s="2" t="s">
        <v>6398</v>
      </c>
      <c r="J2948" s="3" t="str">
        <f>HYPERLINK("https://www.boe.es/gazeta/dias/1813/09/13/pdfs/GRE-1813-118E.pdf#page=1","Abrir facsímil")</f>
        <v>Abrir facsímil</v>
      </c>
      <c r="K2948" s="3" t="s">
        <v>22</v>
      </c>
    </row>
    <row r="2949" spans="1:11" ht="42" customHeight="1">
      <c r="A2949" s="2" t="s">
        <v>6393</v>
      </c>
      <c r="B2949" s="2" t="s">
        <v>6394</v>
      </c>
      <c r="C2949" s="2" t="s">
        <v>16</v>
      </c>
      <c r="D2949" s="2" t="s">
        <v>97</v>
      </c>
      <c r="E2949" s="5">
        <v>-31519</v>
      </c>
      <c r="F2949" s="3" t="s">
        <v>312</v>
      </c>
      <c r="G2949" s="3" t="s">
        <v>58</v>
      </c>
      <c r="H2949" s="2" t="s">
        <v>20</v>
      </c>
      <c r="I2949" s="2" t="s">
        <v>6399</v>
      </c>
      <c r="J2949" s="3" t="str">
        <f>HYPERLINK("https://www.boe.es/gazeta/dias/1813/09/13/pdfs/GRE-1813-118E.pdf#page=2","Abrir facsímil")</f>
        <v>Abrir facsímil</v>
      </c>
      <c r="K2949" s="3" t="s">
        <v>22</v>
      </c>
    </row>
    <row r="2950" spans="1:11" ht="42" customHeight="1">
      <c r="A2950" s="2" t="s">
        <v>6393</v>
      </c>
      <c r="B2950" s="2" t="s">
        <v>6394</v>
      </c>
      <c r="C2950" s="2" t="s">
        <v>16</v>
      </c>
      <c r="D2950" s="2" t="s">
        <v>97</v>
      </c>
      <c r="E2950" s="5">
        <v>-31519</v>
      </c>
      <c r="F2950" s="3" t="s">
        <v>312</v>
      </c>
      <c r="G2950" s="3" t="s">
        <v>19</v>
      </c>
      <c r="H2950" s="2" t="s">
        <v>20</v>
      </c>
      <c r="I2950" s="2" t="s">
        <v>6400</v>
      </c>
      <c r="J2950" s="3" t="str">
        <f>HYPERLINK("https://www.boe.es/gazeta/dias/1813/09/13/pdfs/GRE-1813-118E.pdf#page=4","Abrir facsímil")</f>
        <v>Abrir facsímil</v>
      </c>
      <c r="K2950" s="3" t="s">
        <v>22</v>
      </c>
    </row>
    <row r="2951" spans="1:11" ht="42" customHeight="1">
      <c r="A2951" s="2" t="s">
        <v>6393</v>
      </c>
      <c r="B2951" s="2" t="s">
        <v>6394</v>
      </c>
      <c r="C2951" s="2" t="s">
        <v>16</v>
      </c>
      <c r="D2951" s="2" t="s">
        <v>97</v>
      </c>
      <c r="E2951" s="5">
        <v>-31519</v>
      </c>
      <c r="F2951" s="3" t="s">
        <v>312</v>
      </c>
      <c r="G2951" s="3" t="s">
        <v>82</v>
      </c>
      <c r="H2951" s="2" t="s">
        <v>20</v>
      </c>
      <c r="I2951" s="2" t="s">
        <v>6401</v>
      </c>
      <c r="J2951" s="3" t="str">
        <f>HYPERLINK("https://www.boe.es/gazeta/dias/1813/09/13/pdfs/GRE-1813-118E.pdf#page=5","Abrir facsímil")</f>
        <v>Abrir facsímil</v>
      </c>
      <c r="K2951" s="3" t="s">
        <v>22</v>
      </c>
    </row>
    <row r="2952" spans="1:11" ht="42" customHeight="1">
      <c r="A2952" s="2" t="s">
        <v>6393</v>
      </c>
      <c r="B2952" s="2" t="s">
        <v>6394</v>
      </c>
      <c r="C2952" s="2" t="s">
        <v>16</v>
      </c>
      <c r="D2952" s="2" t="s">
        <v>97</v>
      </c>
      <c r="E2952" s="5">
        <v>-31479</v>
      </c>
      <c r="F2952" s="3" t="s">
        <v>290</v>
      </c>
      <c r="G2952" s="3" t="s">
        <v>65</v>
      </c>
      <c r="H2952" s="2" t="s">
        <v>20</v>
      </c>
      <c r="I2952" s="2" t="s">
        <v>6402</v>
      </c>
      <c r="J2952" s="3" t="str">
        <f>HYPERLINK("https://www.boe.es/gazeta/dias/1813/10/23/pdfs/GRE-1813-139E.pdf#page=1","Abrir facsímil")</f>
        <v>Abrir facsímil</v>
      </c>
      <c r="K2952" s="3" t="s">
        <v>22</v>
      </c>
    </row>
    <row r="2953" spans="1:11" ht="42" customHeight="1">
      <c r="A2953" s="2" t="s">
        <v>6393</v>
      </c>
      <c r="B2953" s="2" t="s">
        <v>6394</v>
      </c>
      <c r="C2953" s="2" t="s">
        <v>16</v>
      </c>
      <c r="D2953" s="2" t="s">
        <v>97</v>
      </c>
      <c r="E2953" s="5">
        <v>-31479</v>
      </c>
      <c r="F2953" s="3" t="s">
        <v>290</v>
      </c>
      <c r="G2953" s="3" t="s">
        <v>58</v>
      </c>
      <c r="H2953" s="2" t="s">
        <v>20</v>
      </c>
      <c r="I2953" s="2" t="s">
        <v>6403</v>
      </c>
      <c r="J2953" s="3" t="str">
        <f>HYPERLINK("https://www.boe.es/gazeta/dias/1813/10/23/pdfs/GRE-1813-139E.pdf#page=2","Abrir facsímil")</f>
        <v>Abrir facsímil</v>
      </c>
      <c r="K2953" s="3" t="s">
        <v>22</v>
      </c>
    </row>
    <row r="2954" spans="1:11" ht="42" customHeight="1">
      <c r="A2954" s="2" t="s">
        <v>6393</v>
      </c>
      <c r="B2954" s="2" t="s">
        <v>6394</v>
      </c>
      <c r="C2954" s="2" t="s">
        <v>16</v>
      </c>
      <c r="D2954" s="2" t="s">
        <v>97</v>
      </c>
      <c r="E2954" s="5">
        <v>-31445</v>
      </c>
      <c r="F2954" s="3" t="s">
        <v>299</v>
      </c>
      <c r="G2954" s="3" t="s">
        <v>6404</v>
      </c>
      <c r="H2954" s="2" t="s">
        <v>20</v>
      </c>
      <c r="I2954" s="2" t="s">
        <v>6405</v>
      </c>
      <c r="J2954" s="3" t="str">
        <f>HYPERLINK("https://www.boe.es/gazeta/dias/1813/11/26/pdfs/GRE-1813-156E.pdf#page=6","Abrir facsímil")</f>
        <v>Abrir facsímil</v>
      </c>
      <c r="K2954" s="3" t="s">
        <v>22</v>
      </c>
    </row>
    <row r="2955" spans="1:11" ht="42" customHeight="1">
      <c r="A2955" s="2" t="s">
        <v>6393</v>
      </c>
      <c r="B2955" s="2" t="s">
        <v>6394</v>
      </c>
      <c r="C2955" s="2" t="s">
        <v>16</v>
      </c>
      <c r="D2955" s="2" t="s">
        <v>97</v>
      </c>
      <c r="E2955" s="5">
        <v>-31445</v>
      </c>
      <c r="F2955" s="3" t="s">
        <v>299</v>
      </c>
      <c r="G2955" s="3" t="s">
        <v>82</v>
      </c>
      <c r="H2955" s="2" t="s">
        <v>20</v>
      </c>
      <c r="I2955" s="2" t="s">
        <v>6406</v>
      </c>
      <c r="J2955" s="3" t="str">
        <f>HYPERLINK("https://www.boe.es/gazeta/dias/1813/11/26/pdfs/GRE-1813-156E.pdf#page=5","Abrir facsímil")</f>
        <v>Abrir facsímil</v>
      </c>
      <c r="K2955" s="3" t="s">
        <v>22</v>
      </c>
    </row>
    <row r="2956" spans="1:11" ht="42" customHeight="1">
      <c r="A2956" s="2" t="s">
        <v>6393</v>
      </c>
      <c r="B2956" s="2" t="s">
        <v>6394</v>
      </c>
      <c r="C2956" s="2" t="s">
        <v>16</v>
      </c>
      <c r="D2956" s="2" t="s">
        <v>17</v>
      </c>
      <c r="E2956" s="5">
        <v>-31432</v>
      </c>
      <c r="F2956" s="3" t="s">
        <v>702</v>
      </c>
      <c r="G2956" s="3" t="s">
        <v>19</v>
      </c>
      <c r="H2956" s="2" t="s">
        <v>20</v>
      </c>
      <c r="I2956" s="2" t="s">
        <v>6407</v>
      </c>
      <c r="J2956" s="3" t="str">
        <f>HYPERLINK("https://www.boe.es/gazeta/dias/1813/12/09/pdfs/GMR-1813-85.pdf#page=4","Abrir facsímil")</f>
        <v>Abrir facsímil</v>
      </c>
      <c r="K2956" s="3" t="s">
        <v>22</v>
      </c>
    </row>
    <row r="2957" spans="1:11" ht="42" customHeight="1">
      <c r="A2957" s="2" t="s">
        <v>6393</v>
      </c>
      <c r="B2957" s="2" t="s">
        <v>6394</v>
      </c>
      <c r="C2957" s="2" t="s">
        <v>16</v>
      </c>
      <c r="D2957" s="2" t="s">
        <v>17</v>
      </c>
      <c r="E2957" s="5">
        <v>-31432</v>
      </c>
      <c r="F2957" s="3" t="s">
        <v>702</v>
      </c>
      <c r="G2957" s="3" t="s">
        <v>95</v>
      </c>
      <c r="H2957" s="2" t="s">
        <v>20</v>
      </c>
      <c r="I2957" s="2" t="s">
        <v>6408</v>
      </c>
      <c r="J2957" s="3" t="str">
        <f>HYPERLINK("https://www.boe.es/gazeta/dias/1813/12/09/pdfs/GMR-1813-85.pdf#page=6","Abrir facsímil")</f>
        <v>Abrir facsímil</v>
      </c>
      <c r="K2957" s="3" t="s">
        <v>22</v>
      </c>
    </row>
    <row r="2958" spans="1:11" ht="42" customHeight="1">
      <c r="A2958" s="2" t="s">
        <v>6393</v>
      </c>
      <c r="B2958" s="2" t="s">
        <v>6394</v>
      </c>
      <c r="C2958" s="2" t="s">
        <v>16</v>
      </c>
      <c r="D2958" s="2" t="s">
        <v>17</v>
      </c>
      <c r="E2958" s="5">
        <v>-31432</v>
      </c>
      <c r="F2958" s="3" t="s">
        <v>702</v>
      </c>
      <c r="G2958" s="3" t="s">
        <v>87</v>
      </c>
      <c r="H2958" s="2" t="s">
        <v>20</v>
      </c>
      <c r="I2958" s="2" t="s">
        <v>6409</v>
      </c>
      <c r="J2958" s="3" t="str">
        <f>HYPERLINK("https://www.boe.es/gazeta/dias/1813/12/09/pdfs/GMR-1813-85.pdf#page=7","Abrir facsímil")</f>
        <v>Abrir facsímil</v>
      </c>
      <c r="K2958" s="3" t="s">
        <v>22</v>
      </c>
    </row>
    <row r="2959" spans="1:11" ht="42" customHeight="1">
      <c r="A2959" s="2" t="s">
        <v>6410</v>
      </c>
      <c r="B2959" s="2" t="s">
        <v>6410</v>
      </c>
      <c r="C2959" s="2" t="s">
        <v>16</v>
      </c>
      <c r="D2959" s="2" t="s">
        <v>17</v>
      </c>
      <c r="E2959" s="5">
        <v>-31665</v>
      </c>
      <c r="F2959" s="3" t="s">
        <v>396</v>
      </c>
      <c r="G2959" s="3" t="s">
        <v>58</v>
      </c>
      <c r="H2959" s="2" t="s">
        <v>20</v>
      </c>
      <c r="I2959" s="2" t="s">
        <v>6411</v>
      </c>
      <c r="J2959" s="3" t="str">
        <f>HYPERLINK("https://www.boe.es/gazeta/dias/1813/04/20/pdfs/GRE-1813-49.pdf#page=2","Abrir facsímil")</f>
        <v>Abrir facsímil</v>
      </c>
      <c r="K2959" s="3" t="s">
        <v>22</v>
      </c>
    </row>
    <row r="2960" spans="1:11" ht="42" customHeight="1">
      <c r="A2960" s="2" t="s">
        <v>6410</v>
      </c>
      <c r="B2960" s="2" t="s">
        <v>6410</v>
      </c>
      <c r="C2960" s="2" t="s">
        <v>16</v>
      </c>
      <c r="D2960" s="2" t="s">
        <v>17</v>
      </c>
      <c r="E2960" s="5">
        <v>-31663</v>
      </c>
      <c r="F2960" s="3" t="s">
        <v>871</v>
      </c>
      <c r="G2960" s="3" t="s">
        <v>65</v>
      </c>
      <c r="H2960" s="2" t="s">
        <v>20</v>
      </c>
      <c r="I2960" s="2" t="s">
        <v>6412</v>
      </c>
      <c r="J2960" s="3" t="str">
        <f>HYPERLINK("https://www.boe.es/gazeta/dias/1813/04/22/pdfs/GMD-1813-112.pdf#page=1","Abrir facsímil")</f>
        <v>Abrir facsímil</v>
      </c>
      <c r="K2960" s="3" t="s">
        <v>22</v>
      </c>
    </row>
    <row r="2961" spans="1:11" ht="42" customHeight="1">
      <c r="A2961" s="2" t="s">
        <v>6410</v>
      </c>
      <c r="B2961" s="2" t="s">
        <v>6410</v>
      </c>
      <c r="C2961" s="2" t="s">
        <v>16</v>
      </c>
      <c r="D2961" s="2" t="s">
        <v>17</v>
      </c>
      <c r="E2961" s="5">
        <v>-31502</v>
      </c>
      <c r="F2961" s="3" t="s">
        <v>1363</v>
      </c>
      <c r="G2961" s="3" t="s">
        <v>82</v>
      </c>
      <c r="H2961" s="2" t="s">
        <v>20</v>
      </c>
      <c r="I2961" s="2" t="s">
        <v>6413</v>
      </c>
      <c r="J2961" s="3" t="str">
        <f>HYPERLINK("https://www.boe.es/gazeta/dias/1813/09/30/pdfs/GRE-1813-128.pdf#page=5","Abrir facsímil")</f>
        <v>Abrir facsímil</v>
      </c>
      <c r="K2961" s="3" t="s">
        <v>22</v>
      </c>
    </row>
    <row r="2962" spans="1:11" ht="42" customHeight="1">
      <c r="A2962" s="2" t="s">
        <v>6410</v>
      </c>
      <c r="B2962" s="2" t="s">
        <v>6410</v>
      </c>
      <c r="C2962" s="2" t="s">
        <v>16</v>
      </c>
      <c r="D2962" s="2" t="s">
        <v>17</v>
      </c>
      <c r="E2962" s="5">
        <v>-31430</v>
      </c>
      <c r="F2962" s="3" t="s">
        <v>1161</v>
      </c>
      <c r="G2962" s="3" t="s">
        <v>65</v>
      </c>
      <c r="H2962" s="2" t="s">
        <v>20</v>
      </c>
      <c r="I2962" s="2" t="s">
        <v>6414</v>
      </c>
      <c r="J2962" s="3" t="str">
        <f>HYPERLINK("https://www.boe.es/gazeta/dias/1813/12/11/pdfs/GMR-1813-86.pdf#page=1","Abrir facsímil")</f>
        <v>Abrir facsímil</v>
      </c>
      <c r="K2962" s="3" t="s">
        <v>22</v>
      </c>
    </row>
    <row r="2963" spans="1:11" ht="42" customHeight="1">
      <c r="A2963" s="2" t="s">
        <v>6410</v>
      </c>
      <c r="B2963" s="2" t="s">
        <v>6410</v>
      </c>
      <c r="C2963" s="2" t="s">
        <v>16</v>
      </c>
      <c r="D2963" s="2" t="s">
        <v>17</v>
      </c>
      <c r="E2963" s="5">
        <v>-31430</v>
      </c>
      <c r="F2963" s="3" t="s">
        <v>1161</v>
      </c>
      <c r="G2963" s="3" t="s">
        <v>58</v>
      </c>
      <c r="H2963" s="2" t="s">
        <v>20</v>
      </c>
      <c r="I2963" s="2" t="s">
        <v>6415</v>
      </c>
      <c r="J2963" s="3" t="str">
        <f>HYPERLINK("https://www.boe.es/gazeta/dias/1813/12/11/pdfs/GMR-1813-86.pdf#page=2","Abrir facsímil")</f>
        <v>Abrir facsímil</v>
      </c>
      <c r="K2963" s="3" t="s">
        <v>22</v>
      </c>
    </row>
    <row r="2964" spans="1:11" ht="42" customHeight="1">
      <c r="A2964" s="2" t="s">
        <v>6416</v>
      </c>
      <c r="B2964" s="2" t="s">
        <v>6417</v>
      </c>
      <c r="C2964" s="2" t="s">
        <v>109</v>
      </c>
      <c r="D2964" s="2" t="s">
        <v>26</v>
      </c>
      <c r="E2964" s="5">
        <v>-31544</v>
      </c>
      <c r="F2964" s="3" t="s">
        <v>44</v>
      </c>
      <c r="G2964" s="3" t="s">
        <v>49</v>
      </c>
      <c r="H2964" s="2" t="s">
        <v>20</v>
      </c>
      <c r="I2964" s="2" t="s">
        <v>6418</v>
      </c>
      <c r="J2964" s="3" t="str">
        <f>HYPERLINK("https://www.boe.es/gazeta/dias/1813/08/19/pdfs/GMR-1813-30.pdf#page=5","Abrir facsímil")</f>
        <v>Abrir facsímil</v>
      </c>
      <c r="K2964" s="3" t="s">
        <v>22</v>
      </c>
    </row>
    <row r="2965" spans="1:11" ht="42" customHeight="1">
      <c r="A2965" s="2" t="s">
        <v>6419</v>
      </c>
      <c r="B2965" s="2" t="s">
        <v>6420</v>
      </c>
      <c r="C2965" s="2" t="s">
        <v>16</v>
      </c>
      <c r="D2965" s="2" t="s">
        <v>17</v>
      </c>
      <c r="E2965" s="5">
        <v>-31756</v>
      </c>
      <c r="F2965" s="3" t="s">
        <v>951</v>
      </c>
      <c r="G2965" s="3" t="s">
        <v>6421</v>
      </c>
      <c r="H2965" s="2" t="s">
        <v>29</v>
      </c>
      <c r="I2965" s="2" t="s">
        <v>6422</v>
      </c>
      <c r="J2965" s="3" t="str">
        <f>HYPERLINK("https://www.boe.es/gazeta/dias/1813/01/19/pdfs/GRE-1813-8.pdf#page=3","Abrir facsímil")</f>
        <v>Abrir facsímil</v>
      </c>
      <c r="K2965" s="3" t="s">
        <v>31</v>
      </c>
    </row>
    <row r="2966" spans="1:11" ht="42" customHeight="1">
      <c r="A2966" s="2" t="s">
        <v>6423</v>
      </c>
      <c r="B2966" s="2" t="s">
        <v>6423</v>
      </c>
      <c r="C2966" s="2" t="s">
        <v>16</v>
      </c>
      <c r="D2966" s="2" t="s">
        <v>17</v>
      </c>
      <c r="E2966" s="5">
        <v>-31637</v>
      </c>
      <c r="F2966" s="3" t="s">
        <v>855</v>
      </c>
      <c r="G2966" s="3" t="s">
        <v>65</v>
      </c>
      <c r="H2966" s="2" t="s">
        <v>20</v>
      </c>
      <c r="I2966" s="2" t="s">
        <v>6424</v>
      </c>
      <c r="J2966" s="3" t="str">
        <f>HYPERLINK("https://www.boe.es/gazeta/dias/1813/05/18/pdfs/GMD-1813-138.pdf#page=1","Abrir facsímil")</f>
        <v>Abrir facsímil</v>
      </c>
      <c r="K2966" s="3" t="s">
        <v>22</v>
      </c>
    </row>
    <row r="2967" spans="1:11" ht="42" customHeight="1">
      <c r="A2967" s="2" t="s">
        <v>6423</v>
      </c>
      <c r="B2967" s="2" t="s">
        <v>6423</v>
      </c>
      <c r="C2967" s="2" t="s">
        <v>16</v>
      </c>
      <c r="D2967" s="2" t="s">
        <v>17</v>
      </c>
      <c r="E2967" s="5">
        <v>-31472</v>
      </c>
      <c r="F2967" s="3" t="s">
        <v>1942</v>
      </c>
      <c r="G2967" s="3" t="s">
        <v>58</v>
      </c>
      <c r="H2967" s="2" t="s">
        <v>20</v>
      </c>
      <c r="I2967" s="2" t="s">
        <v>6425</v>
      </c>
      <c r="J2967" s="3" t="str">
        <f>HYPERLINK("https://www.boe.es/gazeta/dias/1813/10/30/pdfs/GRE-1813-142.pdf#page=2","Abrir facsímil")</f>
        <v>Abrir facsímil</v>
      </c>
      <c r="K2967" s="3" t="s">
        <v>22</v>
      </c>
    </row>
    <row r="2968" spans="1:11" ht="42" customHeight="1">
      <c r="A2968" s="2" t="s">
        <v>6426</v>
      </c>
      <c r="B2968" s="2" t="s">
        <v>6426</v>
      </c>
      <c r="C2968" s="2" t="s">
        <v>34</v>
      </c>
      <c r="D2968" s="2" t="s">
        <v>35</v>
      </c>
      <c r="E2968" s="5">
        <v>-31744</v>
      </c>
      <c r="F2968" s="3" t="s">
        <v>5679</v>
      </c>
      <c r="G2968" s="3" t="s">
        <v>6427</v>
      </c>
      <c r="H2968" s="2" t="s">
        <v>20</v>
      </c>
      <c r="I2968" s="2" t="s">
        <v>6428</v>
      </c>
      <c r="J2968" s="3" t="str">
        <f>HYPERLINK("https://www.boe.es/gazeta/dias/1813/01/31/pdfs/GMD-1813-31.pdf#page=3","Abrir facsímil")</f>
        <v>Abrir facsímil</v>
      </c>
      <c r="K2968" s="3" t="s">
        <v>22</v>
      </c>
    </row>
    <row r="2969" spans="1:11" ht="42" customHeight="1">
      <c r="A2969" s="2" t="s">
        <v>6426</v>
      </c>
      <c r="B2969" s="2" t="s">
        <v>6426</v>
      </c>
      <c r="C2969" s="2" t="s">
        <v>16</v>
      </c>
      <c r="D2969" s="2" t="s">
        <v>17</v>
      </c>
      <c r="E2969" s="5">
        <v>-31742</v>
      </c>
      <c r="F2969" s="3" t="s">
        <v>2051</v>
      </c>
      <c r="G2969" s="3" t="s">
        <v>19</v>
      </c>
      <c r="H2969" s="2" t="s">
        <v>20</v>
      </c>
      <c r="I2969" s="2" t="s">
        <v>6429</v>
      </c>
      <c r="J2969" s="3" t="str">
        <f>HYPERLINK("https://www.boe.es/gazeta/dias/1813/02/02/pdfs/GMD-1813-33.pdf#page=4","Abrir facsímil")</f>
        <v>Abrir facsímil</v>
      </c>
      <c r="K2969" s="3" t="s">
        <v>22</v>
      </c>
    </row>
    <row r="2970" spans="1:11" ht="42" customHeight="1">
      <c r="A2970" s="2" t="s">
        <v>6426</v>
      </c>
      <c r="B2970" s="2" t="s">
        <v>6426</v>
      </c>
      <c r="C2970" s="2" t="s">
        <v>109</v>
      </c>
      <c r="D2970" s="2" t="s">
        <v>26</v>
      </c>
      <c r="E2970" s="5">
        <v>-31741</v>
      </c>
      <c r="F2970" s="3" t="s">
        <v>1359</v>
      </c>
      <c r="G2970" s="3" t="s">
        <v>58</v>
      </c>
      <c r="H2970" s="2" t="s">
        <v>20</v>
      </c>
      <c r="I2970" s="2" t="s">
        <v>6430</v>
      </c>
      <c r="J2970" s="3" t="str">
        <f>HYPERLINK("https://www.boe.es/gazeta/dias/1813/02/03/pdfs/GMD-1813-34.pdf#page=2","Abrir facsímil")</f>
        <v>Abrir facsímil</v>
      </c>
      <c r="K2970" s="3" t="s">
        <v>22</v>
      </c>
    </row>
    <row r="2971" spans="1:11" ht="42" customHeight="1">
      <c r="A2971" s="2" t="s">
        <v>6426</v>
      </c>
      <c r="B2971" s="2" t="s">
        <v>6426</v>
      </c>
      <c r="C2971" s="2" t="s">
        <v>16</v>
      </c>
      <c r="D2971" s="2" t="s">
        <v>17</v>
      </c>
      <c r="E2971" s="5">
        <v>-31741</v>
      </c>
      <c r="F2971" s="3" t="s">
        <v>1359</v>
      </c>
      <c r="G2971" s="3" t="s">
        <v>54</v>
      </c>
      <c r="H2971" s="2" t="s">
        <v>20</v>
      </c>
      <c r="I2971" s="2" t="s">
        <v>6431</v>
      </c>
      <c r="J2971" s="3" t="str">
        <f>HYPERLINK("https://www.boe.es/gazeta/dias/1813/02/03/pdfs/GMD-1813-34.pdf#page=3","Abrir facsímil")</f>
        <v>Abrir facsímil</v>
      </c>
      <c r="K2971" s="3" t="s">
        <v>22</v>
      </c>
    </row>
    <row r="2972" spans="1:11" ht="42" customHeight="1">
      <c r="A2972" s="2" t="s">
        <v>6426</v>
      </c>
      <c r="B2972" s="2" t="s">
        <v>6426</v>
      </c>
      <c r="C2972" s="2" t="s">
        <v>25</v>
      </c>
      <c r="D2972" s="2" t="s">
        <v>26</v>
      </c>
      <c r="E2972" s="5">
        <v>-31741</v>
      </c>
      <c r="F2972" s="3" t="s">
        <v>1359</v>
      </c>
      <c r="G2972" s="3" t="s">
        <v>19</v>
      </c>
      <c r="H2972" s="2" t="s">
        <v>20</v>
      </c>
      <c r="I2972" s="2" t="s">
        <v>6432</v>
      </c>
      <c r="J2972" s="3" t="str">
        <f>HYPERLINK("https://www.boe.es/gazeta/dias/1813/02/03/pdfs/GMD-1813-34.pdf#page=4","Abrir facsímil")</f>
        <v>Abrir facsímil</v>
      </c>
      <c r="K2972" s="3" t="s">
        <v>22</v>
      </c>
    </row>
    <row r="2973" spans="1:11" ht="42" customHeight="1">
      <c r="A2973" s="2" t="s">
        <v>6426</v>
      </c>
      <c r="B2973" s="2" t="s">
        <v>6426</v>
      </c>
      <c r="C2973" s="2" t="s">
        <v>16</v>
      </c>
      <c r="D2973" s="2" t="s">
        <v>17</v>
      </c>
      <c r="E2973" s="5">
        <v>-31740</v>
      </c>
      <c r="F2973" s="3" t="s">
        <v>5259</v>
      </c>
      <c r="G2973" s="3" t="s">
        <v>58</v>
      </c>
      <c r="H2973" s="2" t="s">
        <v>20</v>
      </c>
      <c r="I2973" s="2" t="s">
        <v>6433</v>
      </c>
      <c r="J2973" s="3" t="str">
        <f>HYPERLINK("https://www.boe.es/gazeta/dias/1813/02/04/pdfs/GMD-1813-35.pdf#page=2","Abrir facsímil")</f>
        <v>Abrir facsímil</v>
      </c>
      <c r="K2973" s="3" t="s">
        <v>22</v>
      </c>
    </row>
    <row r="2974" spans="1:11" ht="42" customHeight="1">
      <c r="A2974" s="2" t="s">
        <v>6426</v>
      </c>
      <c r="B2974" s="2" t="s">
        <v>6426</v>
      </c>
      <c r="C2974" s="2" t="s">
        <v>34</v>
      </c>
      <c r="D2974" s="2" t="s">
        <v>35</v>
      </c>
      <c r="E2974" s="5">
        <v>-31738</v>
      </c>
      <c r="F2974" s="3" t="s">
        <v>2045</v>
      </c>
      <c r="G2974" s="3" t="s">
        <v>65</v>
      </c>
      <c r="H2974" s="2" t="s">
        <v>20</v>
      </c>
      <c r="I2974" s="2" t="s">
        <v>6434</v>
      </c>
      <c r="J2974" s="3" t="str">
        <f>HYPERLINK("https://www.boe.es/gazeta/dias/1813/02/06/pdfs/GMD-1813-37.pdf#page=1","Abrir facsímil")</f>
        <v>Abrir facsímil</v>
      </c>
      <c r="K2974" s="3" t="s">
        <v>22</v>
      </c>
    </row>
    <row r="2975" spans="1:11" ht="42" customHeight="1">
      <c r="A2975" s="2" t="s">
        <v>6426</v>
      </c>
      <c r="B2975" s="2" t="s">
        <v>6426</v>
      </c>
      <c r="C2975" s="2" t="s">
        <v>16</v>
      </c>
      <c r="D2975" s="2" t="s">
        <v>17</v>
      </c>
      <c r="E2975" s="5">
        <v>-31738</v>
      </c>
      <c r="F2975" s="3" t="s">
        <v>2045</v>
      </c>
      <c r="G2975" s="3" t="s">
        <v>58</v>
      </c>
      <c r="H2975" s="2" t="s">
        <v>20</v>
      </c>
      <c r="I2975" s="2" t="s">
        <v>6435</v>
      </c>
      <c r="J2975" s="3" t="str">
        <f>HYPERLINK("https://www.boe.es/gazeta/dias/1813/02/06/pdfs/GMD-1813-37.pdf#page=2","Abrir facsímil")</f>
        <v>Abrir facsímil</v>
      </c>
      <c r="K2975" s="3" t="s">
        <v>22</v>
      </c>
    </row>
    <row r="2976" spans="1:11" ht="42" customHeight="1">
      <c r="A2976" s="2" t="s">
        <v>6426</v>
      </c>
      <c r="B2976" s="2" t="s">
        <v>6426</v>
      </c>
      <c r="C2976" s="2" t="s">
        <v>16</v>
      </c>
      <c r="D2976" s="2" t="s">
        <v>17</v>
      </c>
      <c r="E2976" s="5">
        <v>-31737</v>
      </c>
      <c r="F2976" s="3" t="s">
        <v>5824</v>
      </c>
      <c r="G2976" s="3" t="s">
        <v>54</v>
      </c>
      <c r="H2976" s="2" t="s">
        <v>20</v>
      </c>
      <c r="I2976" s="2" t="s">
        <v>6436</v>
      </c>
      <c r="J2976" s="3" t="str">
        <f>HYPERLINK("https://www.boe.es/gazeta/dias/1813/02/07/pdfs/GMD-1813-38.pdf#page=3","Abrir facsímil")</f>
        <v>Abrir facsímil</v>
      </c>
      <c r="K2976" s="3" t="s">
        <v>22</v>
      </c>
    </row>
    <row r="2977" spans="1:11" ht="42" customHeight="1">
      <c r="A2977" s="2" t="s">
        <v>6426</v>
      </c>
      <c r="B2977" s="2" t="s">
        <v>6426</v>
      </c>
      <c r="C2977" s="2" t="s">
        <v>16</v>
      </c>
      <c r="D2977" s="2" t="s">
        <v>17</v>
      </c>
      <c r="E2977" s="5">
        <v>-31737</v>
      </c>
      <c r="F2977" s="3" t="s">
        <v>5824</v>
      </c>
      <c r="G2977" s="3" t="s">
        <v>19</v>
      </c>
      <c r="H2977" s="2" t="s">
        <v>20</v>
      </c>
      <c r="I2977" s="2" t="s">
        <v>6437</v>
      </c>
      <c r="J2977" s="3" t="str">
        <f>HYPERLINK("https://www.boe.es/gazeta/dias/1813/02/07/pdfs/GMD-1813-38.pdf#page=4","Abrir facsímil")</f>
        <v>Abrir facsímil</v>
      </c>
      <c r="K2977" s="3" t="s">
        <v>22</v>
      </c>
    </row>
    <row r="2978" spans="1:11" ht="42" customHeight="1">
      <c r="A2978" s="2" t="s">
        <v>6438</v>
      </c>
      <c r="B2978" s="2" t="s">
        <v>6438</v>
      </c>
      <c r="C2978" s="2" t="s">
        <v>34</v>
      </c>
      <c r="D2978" s="2" t="s">
        <v>35</v>
      </c>
      <c r="E2978" s="5">
        <v>-31709</v>
      </c>
      <c r="F2978" s="3" t="s">
        <v>36</v>
      </c>
      <c r="G2978" s="3" t="s">
        <v>303</v>
      </c>
      <c r="H2978" s="2" t="s">
        <v>20</v>
      </c>
      <c r="I2978" s="2" t="s">
        <v>6439</v>
      </c>
      <c r="J2978" s="3" t="str">
        <f>HYPERLINK("https://www.boe.es/gazeta/dias/1813/03/07/pdfs/GMD-1813-66.pdf#page=3","Abrir facsímil")</f>
        <v>Abrir facsímil</v>
      </c>
      <c r="K2978" s="3" t="s">
        <v>22</v>
      </c>
    </row>
    <row r="2979" spans="1:11" ht="42" customHeight="1">
      <c r="A2979" s="2" t="s">
        <v>6440</v>
      </c>
      <c r="B2979" s="2" t="s">
        <v>6441</v>
      </c>
      <c r="C2979" s="2" t="s">
        <v>16</v>
      </c>
      <c r="D2979" s="2" t="s">
        <v>17</v>
      </c>
      <c r="E2979" s="5">
        <v>-31556</v>
      </c>
      <c r="F2979" s="3" t="s">
        <v>976</v>
      </c>
      <c r="G2979" s="3" t="s">
        <v>6442</v>
      </c>
      <c r="H2979" s="2" t="s">
        <v>20</v>
      </c>
      <c r="I2979" s="2" t="s">
        <v>6443</v>
      </c>
      <c r="J2979" s="3" t="str">
        <f>HYPERLINK("https://www.boe.es/gazeta/dias/1813/08/07/pdfs/GRE-1813-100.pdf#page=7","Abrir facsímil")</f>
        <v>Abrir facsímil</v>
      </c>
      <c r="K2979" s="3" t="s">
        <v>22</v>
      </c>
    </row>
    <row r="2980" spans="1:11" ht="42" customHeight="1">
      <c r="A2980" s="2" t="s">
        <v>6444</v>
      </c>
      <c r="B2980" s="2" t="s">
        <v>6444</v>
      </c>
      <c r="C2980" s="2" t="s">
        <v>16</v>
      </c>
      <c r="D2980" s="2" t="s">
        <v>17</v>
      </c>
      <c r="E2980" s="5">
        <v>-31446</v>
      </c>
      <c r="F2980" s="3" t="s">
        <v>1078</v>
      </c>
      <c r="G2980" s="3" t="s">
        <v>28</v>
      </c>
      <c r="H2980" s="2" t="s">
        <v>20</v>
      </c>
      <c r="I2980" s="2" t="s">
        <v>6445</v>
      </c>
      <c r="J2980" s="3" t="str">
        <f>HYPERLINK("https://www.boe.es/gazeta/dias/1813/11/25/pdfs/GRE-1813-154.pdf#page=8","Abrir facsímil")</f>
        <v>Abrir facsímil</v>
      </c>
      <c r="K2980" s="3" t="s">
        <v>22</v>
      </c>
    </row>
    <row r="2981" spans="1:11" ht="42" customHeight="1">
      <c r="A2981" s="2" t="s">
        <v>6446</v>
      </c>
      <c r="B2981" s="2" t="s">
        <v>6446</v>
      </c>
      <c r="C2981" s="2" t="s">
        <v>16</v>
      </c>
      <c r="D2981" s="2" t="s">
        <v>17</v>
      </c>
      <c r="E2981" s="5">
        <v>-31458</v>
      </c>
      <c r="F2981" s="3" t="s">
        <v>1171</v>
      </c>
      <c r="G2981" s="3" t="s">
        <v>3273</v>
      </c>
      <c r="H2981" s="2" t="s">
        <v>20</v>
      </c>
      <c r="I2981" s="2" t="s">
        <v>6447</v>
      </c>
      <c r="J2981" s="3" t="str">
        <f>HYPERLINK("https://www.boe.es/gazeta/dias/1813/11/13/pdfs/GRE-1813-149.pdf#page=7","Abrir facsímil")</f>
        <v>Abrir facsímil</v>
      </c>
      <c r="K2981" s="3" t="s">
        <v>22</v>
      </c>
    </row>
    <row r="2982" spans="1:11" ht="42" customHeight="1">
      <c r="A2982" s="2" t="s">
        <v>6448</v>
      </c>
      <c r="B2982" s="2" t="s">
        <v>6448</v>
      </c>
      <c r="C2982" s="2" t="s">
        <v>16</v>
      </c>
      <c r="D2982" s="2" t="s">
        <v>17</v>
      </c>
      <c r="E2982" s="5">
        <v>-31602</v>
      </c>
      <c r="F2982" s="3" t="s">
        <v>2117</v>
      </c>
      <c r="G2982" s="3" t="s">
        <v>3006</v>
      </c>
      <c r="H2982" s="2" t="s">
        <v>20</v>
      </c>
      <c r="I2982" s="2" t="s">
        <v>6449</v>
      </c>
      <c r="J2982" s="3" t="str">
        <f>HYPERLINK("https://www.boe.es/gazeta/dias/1813/06/22/pdfs/GMR-1813-9.pdf#page=15","Abrir facsímil")</f>
        <v>Abrir facsímil</v>
      </c>
      <c r="K2982" s="3" t="s">
        <v>22</v>
      </c>
    </row>
    <row r="2983" spans="1:11" ht="42" customHeight="1">
      <c r="A2983" s="2" t="s">
        <v>6450</v>
      </c>
      <c r="B2983" s="2" t="s">
        <v>6451</v>
      </c>
      <c r="C2983" s="2" t="s">
        <v>16</v>
      </c>
      <c r="D2983" s="2" t="s">
        <v>17</v>
      </c>
      <c r="E2983" s="5">
        <v>-31467</v>
      </c>
      <c r="F2983" s="3" t="s">
        <v>1464</v>
      </c>
      <c r="G2983" s="3" t="s">
        <v>82</v>
      </c>
      <c r="H2983" s="2" t="s">
        <v>20</v>
      </c>
      <c r="I2983" s="2" t="s">
        <v>6452</v>
      </c>
      <c r="J2983" s="3" t="str">
        <f>HYPERLINK("https://www.boe.es/gazeta/dias/1813/11/04/pdfs/GRE-1813-144.pdf#page=5","Abrir facsímil")</f>
        <v>Abrir facsímil</v>
      </c>
      <c r="K2983" s="3" t="s">
        <v>22</v>
      </c>
    </row>
    <row r="2984" spans="1:11" ht="42" customHeight="1">
      <c r="A2984" s="2" t="s">
        <v>6453</v>
      </c>
      <c r="B2984" s="2" t="s">
        <v>6454</v>
      </c>
      <c r="C2984" s="2" t="s">
        <v>435</v>
      </c>
      <c r="D2984" s="2" t="s">
        <v>26</v>
      </c>
      <c r="E2984" s="5">
        <v>-31476</v>
      </c>
      <c r="F2984" s="3" t="s">
        <v>158</v>
      </c>
      <c r="G2984" s="3" t="s">
        <v>82</v>
      </c>
      <c r="H2984" s="2" t="s">
        <v>20</v>
      </c>
      <c r="I2984" s="2" t="s">
        <v>6455</v>
      </c>
      <c r="J2984" s="3" t="str">
        <f>HYPERLINK("https://www.boe.es/gazeta/dias/1813/10/26/pdfs/GMR-1813-64.pdf#page=5","Abrir facsímil")</f>
        <v>Abrir facsímil</v>
      </c>
      <c r="K2984" s="3" t="s">
        <v>22</v>
      </c>
    </row>
    <row r="2985" spans="1:11" ht="42" customHeight="1">
      <c r="A2985" s="2" t="s">
        <v>6456</v>
      </c>
      <c r="B2985" s="2" t="s">
        <v>6456</v>
      </c>
      <c r="C2985" s="2" t="s">
        <v>34</v>
      </c>
      <c r="D2985" s="2" t="s">
        <v>35</v>
      </c>
      <c r="E2985" s="5">
        <v>-31703</v>
      </c>
      <c r="F2985" s="3" t="s">
        <v>4331</v>
      </c>
      <c r="G2985" s="3" t="s">
        <v>87</v>
      </c>
      <c r="H2985" s="2" t="s">
        <v>20</v>
      </c>
      <c r="I2985" s="2" t="s">
        <v>6457</v>
      </c>
      <c r="J2985" s="3" t="str">
        <f>HYPERLINK("https://www.boe.es/gazeta/dias/1813/03/13/pdfs/GRE-1813-32.pdf#page=7","Abrir facsímil")</f>
        <v>Abrir facsímil</v>
      </c>
      <c r="K2985" s="3" t="s">
        <v>22</v>
      </c>
    </row>
    <row r="2986" spans="1:11" ht="42" customHeight="1">
      <c r="A2986" s="2" t="s">
        <v>6458</v>
      </c>
      <c r="B2986" s="2" t="s">
        <v>6458</v>
      </c>
      <c r="C2986" s="2" t="s">
        <v>25</v>
      </c>
      <c r="D2986" s="2" t="s">
        <v>26</v>
      </c>
      <c r="E2986" s="5">
        <v>-31689</v>
      </c>
      <c r="F2986" s="3" t="s">
        <v>48</v>
      </c>
      <c r="G2986" s="3" t="s">
        <v>162</v>
      </c>
      <c r="H2986" s="2" t="s">
        <v>20</v>
      </c>
      <c r="I2986" s="2" t="s">
        <v>6459</v>
      </c>
      <c r="J2986" s="3" t="str">
        <f>HYPERLINK("https://www.boe.es/gazeta/dias/1813/03/27/pdfs/GRE-1813-38.pdf#page=8","Abrir facsímil")</f>
        <v>Abrir facsímil</v>
      </c>
      <c r="K2986" s="3" t="s">
        <v>22</v>
      </c>
    </row>
    <row r="2987" spans="1:11" ht="42" customHeight="1">
      <c r="A2987" s="2" t="s">
        <v>6460</v>
      </c>
      <c r="B2987" s="2" t="s">
        <v>6460</v>
      </c>
      <c r="C2987" s="2" t="s">
        <v>16</v>
      </c>
      <c r="D2987" s="2" t="s">
        <v>17</v>
      </c>
      <c r="E2987" s="5">
        <v>-31770</v>
      </c>
      <c r="F2987" s="3" t="s">
        <v>1738</v>
      </c>
      <c r="G2987" s="3" t="s">
        <v>58</v>
      </c>
      <c r="H2987" s="2" t="s">
        <v>20</v>
      </c>
      <c r="I2987" s="2" t="s">
        <v>6461</v>
      </c>
      <c r="J2987" s="3" t="str">
        <f>HYPERLINK("https://www.boe.es/gazeta/dias/1813/01/05/pdfs/GRE-1813-2.pdf#page=2","Abrir facsímil")</f>
        <v>Abrir facsímil</v>
      </c>
      <c r="K2987" s="3" t="s">
        <v>22</v>
      </c>
    </row>
    <row r="2988" spans="1:11" ht="42" customHeight="1">
      <c r="A2988" s="2" t="s">
        <v>6462</v>
      </c>
      <c r="B2988" s="2" t="s">
        <v>6463</v>
      </c>
      <c r="C2988" s="2" t="s">
        <v>16</v>
      </c>
      <c r="D2988" s="2" t="s">
        <v>17</v>
      </c>
      <c r="E2988" s="5">
        <v>-31628</v>
      </c>
      <c r="F2988" s="3" t="s">
        <v>358</v>
      </c>
      <c r="G2988" s="3" t="s">
        <v>54</v>
      </c>
      <c r="H2988" s="2" t="s">
        <v>29</v>
      </c>
      <c r="I2988" s="2" t="s">
        <v>6464</v>
      </c>
      <c r="J2988" s="3" t="str">
        <f>HYPERLINK("https://www.boe.es/gazeta/dias/1813/05/27/pdfs/GRE-1813-65.pdf#page=3","Abrir facsímil")</f>
        <v>Abrir facsímil</v>
      </c>
      <c r="K2988" s="3" t="s">
        <v>31</v>
      </c>
    </row>
    <row r="2989" spans="1:11" ht="42" customHeight="1">
      <c r="A2989" s="2" t="s">
        <v>6465</v>
      </c>
      <c r="B2989" s="2" t="s">
        <v>6466</v>
      </c>
      <c r="C2989" s="2" t="s">
        <v>25</v>
      </c>
      <c r="D2989" s="2" t="s">
        <v>26</v>
      </c>
      <c r="E2989" s="5">
        <v>-31752</v>
      </c>
      <c r="F2989" s="3" t="s">
        <v>182</v>
      </c>
      <c r="G2989" s="3" t="s">
        <v>183</v>
      </c>
      <c r="H2989" s="2" t="s">
        <v>29</v>
      </c>
      <c r="I2989" s="2" t="s">
        <v>6467</v>
      </c>
      <c r="J2989" s="3" t="str">
        <f>HYPERLINK("https://www.boe.es/gazeta/dias/1813/01/23/pdfs/GRE-1813-10.pdf#page=8","Abrir facsímil")</f>
        <v>Abrir facsímil</v>
      </c>
      <c r="K2989" s="3" t="s">
        <v>31</v>
      </c>
    </row>
    <row r="2990" spans="1:11" ht="42" customHeight="1">
      <c r="A2990" s="2" t="s">
        <v>6468</v>
      </c>
      <c r="B2990" s="2" t="s">
        <v>6469</v>
      </c>
      <c r="C2990" s="2" t="s">
        <v>25</v>
      </c>
      <c r="D2990" s="2" t="s">
        <v>26</v>
      </c>
      <c r="E2990" s="5">
        <v>-31675</v>
      </c>
      <c r="F2990" s="3" t="s">
        <v>27</v>
      </c>
      <c r="G2990" s="3" t="s">
        <v>28</v>
      </c>
      <c r="H2990" s="2" t="s">
        <v>29</v>
      </c>
      <c r="I2990" s="2" t="s">
        <v>6470</v>
      </c>
      <c r="J2990" s="3" t="str">
        <f>HYPERLINK("https://www.boe.es/gazeta/dias/1813/04/10/pdfs/GRE-1813-44.pdf#page=8","Abrir facsímil")</f>
        <v>Abrir facsímil</v>
      </c>
      <c r="K2990" s="3" t="s">
        <v>31</v>
      </c>
    </row>
    <row r="2991" spans="1:11" ht="42" customHeight="1">
      <c r="A2991" s="2" t="s">
        <v>6471</v>
      </c>
      <c r="B2991" s="2" t="s">
        <v>6472</v>
      </c>
      <c r="C2991" s="2" t="s">
        <v>25</v>
      </c>
      <c r="D2991" s="2" t="s">
        <v>26</v>
      </c>
      <c r="E2991" s="5">
        <v>-31689</v>
      </c>
      <c r="F2991" s="3" t="s">
        <v>48</v>
      </c>
      <c r="G2991" s="3" t="s">
        <v>162</v>
      </c>
      <c r="H2991" s="2" t="s">
        <v>29</v>
      </c>
      <c r="I2991" s="2" t="s">
        <v>6473</v>
      </c>
      <c r="J2991" s="3" t="str">
        <f>HYPERLINK("https://www.boe.es/gazeta/dias/1813/03/27/pdfs/GRE-1813-38.pdf#page=8","Abrir facsímil")</f>
        <v>Abrir facsímil</v>
      </c>
      <c r="K2991" s="3" t="s">
        <v>31</v>
      </c>
    </row>
    <row r="2992" spans="1:11" ht="42" customHeight="1">
      <c r="A2992" s="2" t="s">
        <v>6474</v>
      </c>
      <c r="B2992" s="2" t="s">
        <v>6475</v>
      </c>
      <c r="C2992" s="2" t="s">
        <v>25</v>
      </c>
      <c r="D2992" s="2" t="s">
        <v>26</v>
      </c>
      <c r="E2992" s="5">
        <v>-31675</v>
      </c>
      <c r="F2992" s="3" t="s">
        <v>27</v>
      </c>
      <c r="G2992" s="3" t="s">
        <v>28</v>
      </c>
      <c r="H2992" s="2" t="s">
        <v>20</v>
      </c>
      <c r="I2992" s="2" t="s">
        <v>6476</v>
      </c>
      <c r="J2992" s="3" t="str">
        <f>HYPERLINK("https://www.boe.es/gazeta/dias/1813/04/10/pdfs/GRE-1813-44.pdf#page=8","Abrir facsímil")</f>
        <v>Abrir facsímil</v>
      </c>
      <c r="K2992" s="3" t="s">
        <v>22</v>
      </c>
    </row>
    <row r="2993" spans="1:11" ht="42" customHeight="1">
      <c r="A2993" s="2" t="s">
        <v>6477</v>
      </c>
      <c r="B2993" s="2" t="s">
        <v>6478</v>
      </c>
      <c r="C2993" s="2" t="s">
        <v>16</v>
      </c>
      <c r="D2993" s="2" t="s">
        <v>17</v>
      </c>
      <c r="E2993" s="5">
        <v>-31567</v>
      </c>
      <c r="F2993" s="3" t="s">
        <v>1471</v>
      </c>
      <c r="G2993" s="3" t="s">
        <v>28</v>
      </c>
      <c r="H2993" s="2" t="s">
        <v>20</v>
      </c>
      <c r="I2993" s="2" t="s">
        <v>6479</v>
      </c>
      <c r="J2993" s="3" t="str">
        <f>HYPERLINK("https://www.boe.es/gazeta/dias/1813/07/27/pdfs/GRE-1813-95.pdf#page=8","Abrir facsímil")</f>
        <v>Abrir facsímil</v>
      </c>
      <c r="K2993" s="3" t="s">
        <v>22</v>
      </c>
    </row>
    <row r="2994" spans="1:11" ht="42" customHeight="1">
      <c r="A2994" s="2" t="s">
        <v>6480</v>
      </c>
      <c r="B2994" s="2" t="s">
        <v>6481</v>
      </c>
      <c r="C2994" s="2" t="s">
        <v>187</v>
      </c>
      <c r="D2994" s="2" t="s">
        <v>26</v>
      </c>
      <c r="E2994" s="5">
        <v>-31598</v>
      </c>
      <c r="F2994" s="3" t="s">
        <v>286</v>
      </c>
      <c r="G2994" s="3" t="s">
        <v>28</v>
      </c>
      <c r="H2994" s="2" t="s">
        <v>20</v>
      </c>
      <c r="I2994" s="2" t="s">
        <v>6482</v>
      </c>
      <c r="J2994" s="3" t="str">
        <f>HYPERLINK("https://www.boe.es/gazeta/dias/1813/06/26/pdfs/GRE-1813-79.pdf#page=8","Abrir facsímil")</f>
        <v>Abrir facsímil</v>
      </c>
      <c r="K2994" s="3" t="s">
        <v>22</v>
      </c>
    </row>
    <row r="2995" spans="1:11" ht="42" customHeight="1">
      <c r="A2995" s="2" t="s">
        <v>6483</v>
      </c>
      <c r="B2995" s="2" t="s">
        <v>6484</v>
      </c>
      <c r="C2995" s="2" t="s">
        <v>16</v>
      </c>
      <c r="D2995" s="2" t="s">
        <v>17</v>
      </c>
      <c r="E2995" s="5">
        <v>-31592</v>
      </c>
      <c r="F2995" s="3" t="s">
        <v>175</v>
      </c>
      <c r="G2995" s="3" t="s">
        <v>82</v>
      </c>
      <c r="H2995" s="2" t="s">
        <v>20</v>
      </c>
      <c r="I2995" s="2" t="s">
        <v>6485</v>
      </c>
      <c r="J2995" s="3" t="str">
        <f>HYPERLINK("https://www.boe.es/gazeta/dias/1813/07/02/pdfs/GRE-1813-82.pdf#page=5","Abrir facsímil")</f>
        <v>Abrir facsímil</v>
      </c>
      <c r="K2995" s="3" t="s">
        <v>22</v>
      </c>
    </row>
    <row r="2996" spans="1:11" ht="42" customHeight="1">
      <c r="A2996" s="2" t="s">
        <v>6486</v>
      </c>
      <c r="B2996" s="2" t="s">
        <v>6486</v>
      </c>
      <c r="C2996" s="2" t="s">
        <v>25</v>
      </c>
      <c r="D2996" s="2" t="s">
        <v>26</v>
      </c>
      <c r="E2996" s="5">
        <v>-31735</v>
      </c>
      <c r="F2996" s="3" t="s">
        <v>558</v>
      </c>
      <c r="G2996" s="3" t="s">
        <v>6296</v>
      </c>
      <c r="H2996" s="2" t="s">
        <v>20</v>
      </c>
      <c r="I2996" s="2" t="s">
        <v>6487</v>
      </c>
      <c r="J2996" s="3" t="str">
        <f>HYPERLINK("https://www.boe.es/gazeta/dias/1813/02/09/pdfs/GRE-1813-17.pdf#page=7","Abrir facsímil")</f>
        <v>Abrir facsímil</v>
      </c>
      <c r="K2996" s="3" t="s">
        <v>22</v>
      </c>
    </row>
    <row r="2997" spans="1:11" ht="42" customHeight="1">
      <c r="A2997" s="2" t="s">
        <v>6486</v>
      </c>
      <c r="B2997" s="2" t="s">
        <v>6486</v>
      </c>
      <c r="C2997" s="2" t="s">
        <v>16</v>
      </c>
      <c r="D2997" s="2" t="s">
        <v>17</v>
      </c>
      <c r="E2997" s="5">
        <v>-31448</v>
      </c>
      <c r="F2997" s="3" t="s">
        <v>57</v>
      </c>
      <c r="G2997" s="3" t="s">
        <v>87</v>
      </c>
      <c r="H2997" s="2" t="s">
        <v>20</v>
      </c>
      <c r="I2997" s="2" t="s">
        <v>6488</v>
      </c>
      <c r="J2997" s="3" t="str">
        <f>HYPERLINK("https://www.boe.es/gazeta/dias/1813/11/23/pdfs/GRE-1813-153.pdf#page=7","Abrir facsímil")</f>
        <v>Abrir facsímil</v>
      </c>
      <c r="K2997" s="3" t="s">
        <v>22</v>
      </c>
    </row>
    <row r="2998" spans="1:11" ht="42" customHeight="1">
      <c r="A2998" s="2" t="s">
        <v>6489</v>
      </c>
      <c r="B2998" s="2" t="s">
        <v>6490</v>
      </c>
      <c r="C2998" s="2" t="s">
        <v>25</v>
      </c>
      <c r="D2998" s="2" t="s">
        <v>26</v>
      </c>
      <c r="E2998" s="5">
        <v>-31411</v>
      </c>
      <c r="F2998" s="3" t="s">
        <v>3702</v>
      </c>
      <c r="G2998" s="3" t="s">
        <v>87</v>
      </c>
      <c r="H2998" s="2" t="s">
        <v>20</v>
      </c>
      <c r="I2998" s="2" t="s">
        <v>6491</v>
      </c>
      <c r="J2998" s="3" t="str">
        <f>HYPERLINK("https://www.boe.es/gazeta/dias/1813/12/30/pdfs/GRE-1813-171.pdf#page=7","Abrir facsímil")</f>
        <v>Abrir facsímil</v>
      </c>
      <c r="K2998" s="3" t="s">
        <v>22</v>
      </c>
    </row>
    <row r="2999" spans="1:11" ht="42" customHeight="1">
      <c r="A2999" s="2" t="s">
        <v>6492</v>
      </c>
      <c r="B2999" s="2" t="s">
        <v>6493</v>
      </c>
      <c r="C2999" s="2" t="s">
        <v>16</v>
      </c>
      <c r="D2999" s="2" t="s">
        <v>17</v>
      </c>
      <c r="E2999" s="5">
        <v>-31574</v>
      </c>
      <c r="F2999" s="3" t="s">
        <v>509</v>
      </c>
      <c r="G2999" s="3" t="s">
        <v>5516</v>
      </c>
      <c r="H2999" s="2" t="s">
        <v>29</v>
      </c>
      <c r="I2999" s="2" t="s">
        <v>6494</v>
      </c>
      <c r="J2999" s="3" t="str">
        <f>HYPERLINK("https://www.boe.es/gazeta/dias/1813/07/20/pdfs/GRE-1813-92.pdf#page=5","Abrir facsímil")</f>
        <v>Abrir facsímil</v>
      </c>
      <c r="K2999" s="3" t="s">
        <v>31</v>
      </c>
    </row>
    <row r="3000" spans="1:11" ht="42" customHeight="1">
      <c r="A3000" s="2" t="s">
        <v>6495</v>
      </c>
      <c r="B3000" s="2" t="s">
        <v>6496</v>
      </c>
      <c r="C3000" s="2" t="s">
        <v>34</v>
      </c>
      <c r="D3000" s="2" t="s">
        <v>35</v>
      </c>
      <c r="E3000" s="5">
        <v>-31655</v>
      </c>
      <c r="F3000" s="3" t="s">
        <v>858</v>
      </c>
      <c r="G3000" s="3" t="s">
        <v>983</v>
      </c>
      <c r="H3000" s="2" t="s">
        <v>20</v>
      </c>
      <c r="I3000" s="2" t="s">
        <v>6497</v>
      </c>
      <c r="J3000" s="3" t="str">
        <f>HYPERLINK("https://www.boe.es/gazeta/dias/1813/04/30/pdfs/GMD-1813-120.pdf#page=3","Abrir facsímil")</f>
        <v>Abrir facsímil</v>
      </c>
      <c r="K3000" s="3" t="s">
        <v>22</v>
      </c>
    </row>
    <row r="3001" spans="1:11" ht="42" customHeight="1">
      <c r="A3001" s="2" t="s">
        <v>6498</v>
      </c>
      <c r="B3001" s="2" t="s">
        <v>6498</v>
      </c>
      <c r="C3001" s="2" t="s">
        <v>16</v>
      </c>
      <c r="D3001" s="2" t="s">
        <v>17</v>
      </c>
      <c r="E3001" s="5">
        <v>-31734</v>
      </c>
      <c r="F3001" s="3" t="s">
        <v>362</v>
      </c>
      <c r="G3001" s="3" t="s">
        <v>65</v>
      </c>
      <c r="H3001" s="2" t="s">
        <v>20</v>
      </c>
      <c r="I3001" s="2" t="s">
        <v>6499</v>
      </c>
      <c r="J3001" s="3" t="str">
        <f>HYPERLINK("https://www.boe.es/gazeta/dias/1813/02/10/pdfs/GMD-1813-41.pdf#page=1","Abrir facsímil")</f>
        <v>Abrir facsímil</v>
      </c>
      <c r="K3001" s="3" t="s">
        <v>22</v>
      </c>
    </row>
    <row r="3002" spans="1:11" ht="42" customHeight="1">
      <c r="A3002" s="2" t="s">
        <v>6500</v>
      </c>
      <c r="B3002" s="2" t="s">
        <v>6500</v>
      </c>
      <c r="C3002" s="2" t="s">
        <v>16</v>
      </c>
      <c r="D3002" s="2" t="s">
        <v>17</v>
      </c>
      <c r="E3002" s="5">
        <v>-31532</v>
      </c>
      <c r="F3002" s="3" t="s">
        <v>1728</v>
      </c>
      <c r="G3002" s="3" t="s">
        <v>4748</v>
      </c>
      <c r="H3002" s="2" t="s">
        <v>20</v>
      </c>
      <c r="I3002" s="2" t="s">
        <v>6501</v>
      </c>
      <c r="J3002" s="3" t="str">
        <f>HYPERLINK("https://www.boe.es/gazeta/dias/1813/08/31/pdfs/GMR-1813-35.pdf#page=7","Abrir facsímil")</f>
        <v>Abrir facsímil</v>
      </c>
      <c r="K3002" s="3" t="s">
        <v>22</v>
      </c>
    </row>
    <row r="3003" spans="1:11" ht="42" customHeight="1">
      <c r="A3003" s="2" t="s">
        <v>6502</v>
      </c>
      <c r="B3003" s="2" t="s">
        <v>6502</v>
      </c>
      <c r="C3003" s="2" t="s">
        <v>16</v>
      </c>
      <c r="D3003" s="2" t="s">
        <v>17</v>
      </c>
      <c r="E3003" s="5">
        <v>-31734</v>
      </c>
      <c r="F3003" s="3" t="s">
        <v>362</v>
      </c>
      <c r="G3003" s="3" t="s">
        <v>65</v>
      </c>
      <c r="H3003" s="2" t="s">
        <v>20</v>
      </c>
      <c r="I3003" s="2" t="s">
        <v>6503</v>
      </c>
      <c r="J3003" s="3" t="str">
        <f>HYPERLINK("https://www.boe.es/gazeta/dias/1813/02/10/pdfs/GMD-1813-41.pdf#page=1","Abrir facsímil")</f>
        <v>Abrir facsímil</v>
      </c>
      <c r="K3003" s="3" t="s">
        <v>22</v>
      </c>
    </row>
    <row r="3004" spans="1:11" ht="42" customHeight="1">
      <c r="A3004" s="2" t="s">
        <v>6502</v>
      </c>
      <c r="B3004" s="2" t="s">
        <v>6502</v>
      </c>
      <c r="C3004" s="2" t="s">
        <v>16</v>
      </c>
      <c r="D3004" s="2" t="s">
        <v>17</v>
      </c>
      <c r="E3004" s="5">
        <v>-31702</v>
      </c>
      <c r="F3004" s="3" t="s">
        <v>6504</v>
      </c>
      <c r="G3004" s="3" t="s">
        <v>65</v>
      </c>
      <c r="H3004" s="2" t="s">
        <v>20</v>
      </c>
      <c r="I3004" s="2" t="s">
        <v>6505</v>
      </c>
      <c r="J3004" s="3" t="str">
        <f>HYPERLINK("https://www.boe.es/gazeta/dias/1813/03/14/pdfs/GMD-1813-73.pdf#page=1","Abrir facsímil")</f>
        <v>Abrir facsímil</v>
      </c>
      <c r="K3004" s="3" t="s">
        <v>22</v>
      </c>
    </row>
    <row r="3005" spans="1:11" ht="42" customHeight="1">
      <c r="A3005" s="2" t="s">
        <v>6506</v>
      </c>
      <c r="B3005" s="2" t="s">
        <v>6506</v>
      </c>
      <c r="C3005" s="2" t="s">
        <v>16</v>
      </c>
      <c r="D3005" s="2" t="s">
        <v>17</v>
      </c>
      <c r="E3005" s="5">
        <v>-31693</v>
      </c>
      <c r="F3005" s="3" t="s">
        <v>3950</v>
      </c>
      <c r="G3005" s="3" t="s">
        <v>6507</v>
      </c>
      <c r="H3005" s="2" t="s">
        <v>20</v>
      </c>
      <c r="I3005" s="2" t="s">
        <v>6508</v>
      </c>
      <c r="J3005" s="3" t="str">
        <f>HYPERLINK("https://www.boe.es/gazeta/dias/1813/03/23/pdfs/GRE-1813-36.pdf#page=5","Abrir facsímil")</f>
        <v>Abrir facsímil</v>
      </c>
      <c r="K3005" s="3" t="s">
        <v>22</v>
      </c>
    </row>
    <row r="3006" spans="1:11" ht="42" customHeight="1">
      <c r="A3006" s="2" t="s">
        <v>6509</v>
      </c>
      <c r="B3006" s="2" t="s">
        <v>6510</v>
      </c>
      <c r="C3006" s="2" t="s">
        <v>277</v>
      </c>
      <c r="D3006" s="2" t="s">
        <v>26</v>
      </c>
      <c r="E3006" s="5">
        <v>-31719</v>
      </c>
      <c r="F3006" s="3" t="s">
        <v>251</v>
      </c>
      <c r="G3006" s="3" t="s">
        <v>19</v>
      </c>
      <c r="H3006" s="2" t="s">
        <v>20</v>
      </c>
      <c r="I3006" s="2" t="s">
        <v>6511</v>
      </c>
      <c r="J3006" s="3" t="str">
        <f>HYPERLINK("https://www.boe.es/gazeta/dias/1813/02/25/pdfs/GMD-1813-56.pdf#page=4","Abrir facsímil")</f>
        <v>Abrir facsímil</v>
      </c>
      <c r="K3006" s="3" t="s">
        <v>22</v>
      </c>
    </row>
    <row r="3007" spans="1:11" ht="42" customHeight="1">
      <c r="A3007" s="2" t="s">
        <v>6512</v>
      </c>
      <c r="B3007" s="2" t="s">
        <v>6513</v>
      </c>
      <c r="C3007" s="2" t="s">
        <v>16</v>
      </c>
      <c r="D3007" s="2" t="s">
        <v>17</v>
      </c>
      <c r="E3007" s="5">
        <v>-31537</v>
      </c>
      <c r="F3007" s="3" t="s">
        <v>138</v>
      </c>
      <c r="G3007" s="3" t="s">
        <v>71</v>
      </c>
      <c r="H3007" s="2" t="s">
        <v>20</v>
      </c>
      <c r="I3007" s="2" t="s">
        <v>6514</v>
      </c>
      <c r="J3007" s="3" t="str">
        <f>HYPERLINK("https://www.boe.es/gazeta/dias/1813/08/26/pdfs/GMR-1813-33.pdf#page=16","Abrir facsímil")</f>
        <v>Abrir facsímil</v>
      </c>
      <c r="K3007" s="3" t="s">
        <v>22</v>
      </c>
    </row>
    <row r="3008" spans="1:11" ht="42" customHeight="1">
      <c r="A3008" s="2" t="s">
        <v>6515</v>
      </c>
      <c r="B3008" s="2" t="s">
        <v>6516</v>
      </c>
      <c r="C3008" s="2" t="s">
        <v>25</v>
      </c>
      <c r="D3008" s="2" t="s">
        <v>26</v>
      </c>
      <c r="E3008" s="5">
        <v>-31521</v>
      </c>
      <c r="F3008" s="3" t="s">
        <v>1256</v>
      </c>
      <c r="G3008" s="3" t="s">
        <v>3407</v>
      </c>
      <c r="H3008" s="2" t="s">
        <v>20</v>
      </c>
      <c r="I3008" s="2" t="s">
        <v>6517</v>
      </c>
      <c r="J3008" s="3" t="str">
        <f>HYPERLINK("https://www.boe.es/gazeta/dias/1813/09/11/pdfs/GRE-1813-116.pdf#page=6","Abrir facsímil")</f>
        <v>Abrir facsímil</v>
      </c>
      <c r="K3008" s="3" t="s">
        <v>22</v>
      </c>
    </row>
    <row r="3009" spans="1:11" ht="42" customHeight="1">
      <c r="A3009" s="2" t="s">
        <v>6518</v>
      </c>
      <c r="B3009" s="2" t="s">
        <v>6519</v>
      </c>
      <c r="C3009" s="2" t="s">
        <v>16</v>
      </c>
      <c r="D3009" s="2" t="s">
        <v>17</v>
      </c>
      <c r="E3009" s="5">
        <v>-31711</v>
      </c>
      <c r="F3009" s="3" t="s">
        <v>385</v>
      </c>
      <c r="G3009" s="3" t="s">
        <v>747</v>
      </c>
      <c r="H3009" s="2" t="s">
        <v>20</v>
      </c>
      <c r="I3009" s="2" t="s">
        <v>6520</v>
      </c>
      <c r="J3009" s="3" t="str">
        <f>HYPERLINK("https://www.boe.es/gazeta/dias/1813/03/05/pdfs/GRE-1813-99.pdf#page=2","Abrir facsímil")</f>
        <v>Abrir facsímil</v>
      </c>
      <c r="K3009" s="3" t="s">
        <v>22</v>
      </c>
    </row>
    <row r="3010" spans="1:11" ht="42" customHeight="1">
      <c r="A3010" s="2" t="s">
        <v>6518</v>
      </c>
      <c r="B3010" s="2" t="s">
        <v>6519</v>
      </c>
      <c r="C3010" s="2" t="s">
        <v>16</v>
      </c>
      <c r="D3010" s="2" t="s">
        <v>17</v>
      </c>
      <c r="E3010" s="5">
        <v>-31558</v>
      </c>
      <c r="F3010" s="3" t="s">
        <v>385</v>
      </c>
      <c r="G3010" s="3" t="s">
        <v>747</v>
      </c>
      <c r="H3010" s="2" t="s">
        <v>20</v>
      </c>
      <c r="I3010" s="2" t="s">
        <v>6520</v>
      </c>
      <c r="J3010" s="3" t="str">
        <f>HYPERLINK("https://www.boe.es/gazeta/dias/1813/08/05/pdfs/GRE-1813-99.pdf#page=2","Abrir facsímil")</f>
        <v>Abrir facsímil</v>
      </c>
      <c r="K3010" s="3" t="s">
        <v>22</v>
      </c>
    </row>
    <row r="3011" spans="1:11" ht="42" customHeight="1">
      <c r="A3011" s="2" t="s">
        <v>6521</v>
      </c>
      <c r="B3011" s="2" t="s">
        <v>6521</v>
      </c>
      <c r="C3011" s="2" t="s">
        <v>25</v>
      </c>
      <c r="D3011" s="2" t="s">
        <v>26</v>
      </c>
      <c r="E3011" s="5">
        <v>-31641</v>
      </c>
      <c r="F3011" s="3" t="s">
        <v>6522</v>
      </c>
      <c r="G3011" s="3" t="s">
        <v>58</v>
      </c>
      <c r="H3011" s="2" t="s">
        <v>20</v>
      </c>
      <c r="I3011" s="2" t="s">
        <v>6523</v>
      </c>
      <c r="J3011" s="3" t="str">
        <f>HYPERLINK("https://www.boe.es/gazeta/dias/1813/05/14/pdfs/GMD-1813-134.pdf#page=2","Abrir facsímil")</f>
        <v>Abrir facsímil</v>
      </c>
      <c r="K3011" s="3" t="s">
        <v>22</v>
      </c>
    </row>
    <row r="3012" spans="1:11" ht="42" customHeight="1">
      <c r="A3012" s="2" t="s">
        <v>6524</v>
      </c>
      <c r="B3012" s="2" t="s">
        <v>6525</v>
      </c>
      <c r="C3012" s="2" t="s">
        <v>187</v>
      </c>
      <c r="D3012" s="2" t="s">
        <v>26</v>
      </c>
      <c r="E3012" s="5">
        <v>-31745</v>
      </c>
      <c r="F3012" s="3" t="s">
        <v>445</v>
      </c>
      <c r="G3012" s="3" t="s">
        <v>28</v>
      </c>
      <c r="H3012" s="2" t="s">
        <v>20</v>
      </c>
      <c r="I3012" s="2" t="s">
        <v>6526</v>
      </c>
      <c r="J3012" s="3" t="str">
        <f>HYPERLINK("https://www.boe.es/gazeta/dias/1813/01/30/pdfs/GRE-1813-13.pdf#page=8","Abrir facsímil")</f>
        <v>Abrir facsímil</v>
      </c>
      <c r="K3012" s="3" t="s">
        <v>22</v>
      </c>
    </row>
    <row r="3013" spans="1:11" ht="42" customHeight="1">
      <c r="A3013" s="2" t="s">
        <v>6527</v>
      </c>
      <c r="B3013" s="2" t="s">
        <v>6527</v>
      </c>
      <c r="C3013" s="2" t="s">
        <v>34</v>
      </c>
      <c r="D3013" s="2" t="s">
        <v>35</v>
      </c>
      <c r="E3013" s="5">
        <v>-31642</v>
      </c>
      <c r="F3013" s="3" t="s">
        <v>582</v>
      </c>
      <c r="G3013" s="3" t="s">
        <v>1229</v>
      </c>
      <c r="H3013" s="2" t="s">
        <v>20</v>
      </c>
      <c r="I3013" s="2" t="s">
        <v>6528</v>
      </c>
      <c r="J3013" s="3" t="str">
        <f>HYPERLINK("https://www.boe.es/gazeta/dias/1813/05/13/pdfs/GRE-1813-59.pdf#page=5","Abrir facsímil")</f>
        <v>Abrir facsímil</v>
      </c>
      <c r="K3013" s="3" t="s">
        <v>22</v>
      </c>
    </row>
    <row r="3014" spans="1:11" ht="42" customHeight="1">
      <c r="A3014" s="2" t="s">
        <v>6529</v>
      </c>
      <c r="B3014" s="2" t="s">
        <v>6529</v>
      </c>
      <c r="C3014" s="2" t="s">
        <v>16</v>
      </c>
      <c r="D3014" s="2" t="s">
        <v>17</v>
      </c>
      <c r="E3014" s="5">
        <v>-31565</v>
      </c>
      <c r="F3014" s="3" t="s">
        <v>306</v>
      </c>
      <c r="G3014" s="3" t="s">
        <v>87</v>
      </c>
      <c r="H3014" s="2" t="s">
        <v>20</v>
      </c>
      <c r="I3014" s="2" t="s">
        <v>6530</v>
      </c>
      <c r="J3014" s="3" t="str">
        <f>HYPERLINK("https://www.boe.es/gazeta/dias/1813/07/29/pdfs/GRE-1813-96.pdf#page=7","Abrir facsímil")</f>
        <v>Abrir facsímil</v>
      </c>
      <c r="K3014" s="3" t="s">
        <v>22</v>
      </c>
    </row>
    <row r="3015" spans="1:11" ht="42" customHeight="1">
      <c r="A3015" s="2" t="s">
        <v>6531</v>
      </c>
      <c r="B3015" s="2" t="s">
        <v>6532</v>
      </c>
      <c r="C3015" s="2" t="s">
        <v>16</v>
      </c>
      <c r="D3015" s="2" t="s">
        <v>17</v>
      </c>
      <c r="E3015" s="5">
        <v>-31605</v>
      </c>
      <c r="F3015" s="3" t="s">
        <v>884</v>
      </c>
      <c r="G3015" s="3" t="s">
        <v>95</v>
      </c>
      <c r="H3015" s="2" t="s">
        <v>20</v>
      </c>
      <c r="I3015" s="2" t="s">
        <v>6533</v>
      </c>
      <c r="J3015" s="3" t="str">
        <f>HYPERLINK("https://www.boe.es/gazeta/dias/1813/06/19/pdfs/GRE-1813-76.pdf#page=6","Abrir facsímil")</f>
        <v>Abrir facsímil</v>
      </c>
      <c r="K3015" s="3" t="s">
        <v>22</v>
      </c>
    </row>
    <row r="3016" spans="1:11" ht="42" customHeight="1">
      <c r="A3016" s="2" t="s">
        <v>6534</v>
      </c>
      <c r="B3016" s="2" t="s">
        <v>6534</v>
      </c>
      <c r="C3016" s="2" t="s">
        <v>16</v>
      </c>
      <c r="D3016" s="2" t="s">
        <v>17</v>
      </c>
      <c r="E3016" s="5">
        <v>-31476</v>
      </c>
      <c r="F3016" s="3" t="s">
        <v>229</v>
      </c>
      <c r="G3016" s="3" t="s">
        <v>19</v>
      </c>
      <c r="H3016" s="2" t="s">
        <v>20</v>
      </c>
      <c r="I3016" s="2" t="s">
        <v>6535</v>
      </c>
      <c r="J3016" s="3" t="str">
        <f>HYPERLINK("https://www.boe.es/gazeta/dias/1813/10/26/pdfs/GRE-1813-140.pdf#page=4","Abrir facsímil")</f>
        <v>Abrir facsímil</v>
      </c>
      <c r="K3016" s="3" t="s">
        <v>22</v>
      </c>
    </row>
    <row r="3017" spans="1:11" ht="42" customHeight="1">
      <c r="A3017" s="2" t="s">
        <v>6536</v>
      </c>
      <c r="B3017" s="2" t="s">
        <v>6536</v>
      </c>
      <c r="C3017" s="2" t="s">
        <v>16</v>
      </c>
      <c r="D3017" s="2" t="s">
        <v>17</v>
      </c>
      <c r="E3017" s="5">
        <v>-31766</v>
      </c>
      <c r="F3017" s="3" t="s">
        <v>1356</v>
      </c>
      <c r="G3017" s="3" t="s">
        <v>4703</v>
      </c>
      <c r="H3017" s="2" t="s">
        <v>20</v>
      </c>
      <c r="I3017" s="2" t="s">
        <v>6537</v>
      </c>
      <c r="J3017" s="3" t="str">
        <f>HYPERLINK("https://www.boe.es/gazeta/dias/1813/01/09/pdfs/GRE-1813-4.pdf#page=5","Abrir facsímil")</f>
        <v>Abrir facsímil</v>
      </c>
      <c r="K3017" s="3" t="s">
        <v>22</v>
      </c>
    </row>
    <row r="3018" spans="1:11" ht="42" customHeight="1">
      <c r="A3018" s="2" t="s">
        <v>6536</v>
      </c>
      <c r="B3018" s="2" t="s">
        <v>6536</v>
      </c>
      <c r="C3018" s="2" t="s">
        <v>25</v>
      </c>
      <c r="D3018" s="2" t="s">
        <v>26</v>
      </c>
      <c r="E3018" s="5">
        <v>-31571</v>
      </c>
      <c r="F3018" s="3" t="s">
        <v>788</v>
      </c>
      <c r="G3018" s="3" t="s">
        <v>82</v>
      </c>
      <c r="H3018" s="2" t="s">
        <v>20</v>
      </c>
      <c r="I3018" s="2" t="s">
        <v>6538</v>
      </c>
      <c r="J3018" s="3" t="str">
        <f>HYPERLINK("https://www.boe.es/gazeta/dias/1813/07/23/pdfs/GMR-1813-20.pdf#page=5","Abrir facsímil")</f>
        <v>Abrir facsímil</v>
      </c>
      <c r="K3018" s="3" t="s">
        <v>22</v>
      </c>
    </row>
    <row r="3019" spans="1:11" ht="42" customHeight="1">
      <c r="A3019" s="2" t="s">
        <v>6539</v>
      </c>
      <c r="B3019" s="2" t="s">
        <v>6540</v>
      </c>
      <c r="C3019" s="2" t="s">
        <v>16</v>
      </c>
      <c r="D3019" s="2" t="s">
        <v>17</v>
      </c>
      <c r="E3019" s="5">
        <v>-31740</v>
      </c>
      <c r="F3019" s="3" t="s">
        <v>354</v>
      </c>
      <c r="G3019" s="3" t="s">
        <v>95</v>
      </c>
      <c r="H3019" s="2" t="s">
        <v>20</v>
      </c>
      <c r="I3019" s="2" t="s">
        <v>6541</v>
      </c>
      <c r="J3019" s="3" t="str">
        <f>HYPERLINK("https://www.boe.es/gazeta/dias/1813/02/04/pdfs/GRE-1813-15.pdf#page=6","Abrir facsímil")</f>
        <v>Abrir facsímil</v>
      </c>
      <c r="K3019" s="3" t="s">
        <v>22</v>
      </c>
    </row>
    <row r="3020" spans="1:11" ht="42" customHeight="1">
      <c r="A3020" s="2" t="s">
        <v>6542</v>
      </c>
      <c r="B3020" s="2" t="s">
        <v>6543</v>
      </c>
      <c r="C3020" s="2" t="s">
        <v>25</v>
      </c>
      <c r="D3020" s="2" t="s">
        <v>26</v>
      </c>
      <c r="E3020" s="5">
        <v>-31677</v>
      </c>
      <c r="F3020" s="3" t="s">
        <v>76</v>
      </c>
      <c r="G3020" s="3" t="s">
        <v>28</v>
      </c>
      <c r="H3020" s="2" t="s">
        <v>20</v>
      </c>
      <c r="I3020" s="2" t="s">
        <v>6544</v>
      </c>
      <c r="J3020" s="3" t="str">
        <f>HYPERLINK("https://www.boe.es/gazeta/dias/1813/04/08/pdfs/GRE-1813-43.pdf#page=8","Abrir facsímil")</f>
        <v>Abrir facsímil</v>
      </c>
      <c r="K3020" s="3" t="s">
        <v>22</v>
      </c>
    </row>
    <row r="3021" spans="1:11" ht="42" customHeight="1">
      <c r="A3021" s="2" t="s">
        <v>6545</v>
      </c>
      <c r="B3021" s="2" t="s">
        <v>6546</v>
      </c>
      <c r="C3021" s="2" t="s">
        <v>435</v>
      </c>
      <c r="D3021" s="2" t="s">
        <v>26</v>
      </c>
      <c r="E3021" s="5">
        <v>-31560</v>
      </c>
      <c r="F3021" s="3" t="s">
        <v>590</v>
      </c>
      <c r="G3021" s="3" t="s">
        <v>87</v>
      </c>
      <c r="H3021" s="2" t="s">
        <v>20</v>
      </c>
      <c r="I3021" s="2" t="s">
        <v>6547</v>
      </c>
      <c r="J3021" s="3" t="str">
        <f>HYPERLINK("https://www.boe.es/gazeta/dias/1813/08/03/pdfs/GRE-1813-98.pdf#page=7","Abrir facsímil")</f>
        <v>Abrir facsímil</v>
      </c>
      <c r="K3021" s="3" t="s">
        <v>22</v>
      </c>
    </row>
    <row r="3022" spans="1:11" ht="42" customHeight="1">
      <c r="A3022" s="2" t="s">
        <v>6548</v>
      </c>
      <c r="B3022" s="2" t="s">
        <v>6549</v>
      </c>
      <c r="C3022" s="2" t="s">
        <v>34</v>
      </c>
      <c r="D3022" s="2" t="s">
        <v>35</v>
      </c>
      <c r="E3022" s="5">
        <v>-31574</v>
      </c>
      <c r="F3022" s="3" t="s">
        <v>1343</v>
      </c>
      <c r="G3022" s="3" t="s">
        <v>71</v>
      </c>
      <c r="H3022" s="2" t="s">
        <v>20</v>
      </c>
      <c r="I3022" s="2" t="s">
        <v>6550</v>
      </c>
      <c r="J3022" s="3" t="str">
        <f>HYPERLINK("https://www.boe.es/gazeta/dias/1813/07/20/pdfs/GMR-1813-19.pdf#page=16","Abrir facsímil")</f>
        <v>Abrir facsímil</v>
      </c>
      <c r="K3022" s="3" t="s">
        <v>22</v>
      </c>
    </row>
    <row r="3023" spans="1:11" ht="42" customHeight="1">
      <c r="A3023" s="2" t="s">
        <v>6551</v>
      </c>
      <c r="B3023" s="2" t="s">
        <v>6552</v>
      </c>
      <c r="C3023" s="2" t="s">
        <v>34</v>
      </c>
      <c r="D3023" s="2" t="s">
        <v>35</v>
      </c>
      <c r="E3023" s="5">
        <v>-31500</v>
      </c>
      <c r="F3023" s="3" t="s">
        <v>938</v>
      </c>
      <c r="G3023" s="3" t="s">
        <v>28</v>
      </c>
      <c r="H3023" s="2" t="s">
        <v>20</v>
      </c>
      <c r="I3023" s="2" t="s">
        <v>6553</v>
      </c>
      <c r="J3023" s="3" t="str">
        <f>HYPERLINK("https://www.boe.es/gazeta/dias/1813/10/02/pdfs/GMR-1813-52.pdf#page=8","Abrir facsímil")</f>
        <v>Abrir facsímil</v>
      </c>
      <c r="K3023" s="3" t="s">
        <v>22</v>
      </c>
    </row>
    <row r="3024" spans="1:11" ht="42" customHeight="1">
      <c r="A3024" s="2" t="s">
        <v>6554</v>
      </c>
      <c r="B3024" s="2" t="s">
        <v>6555</v>
      </c>
      <c r="C3024" s="2" t="s">
        <v>16</v>
      </c>
      <c r="D3024" s="2" t="s">
        <v>17</v>
      </c>
      <c r="E3024" s="5">
        <v>-31516</v>
      </c>
      <c r="F3024" s="3" t="s">
        <v>246</v>
      </c>
      <c r="G3024" s="3" t="s">
        <v>247</v>
      </c>
      <c r="H3024" s="2" t="s">
        <v>20</v>
      </c>
      <c r="I3024" s="2" t="s">
        <v>6556</v>
      </c>
      <c r="J3024" s="3" t="str">
        <f>HYPERLINK("https://www.boe.es/gazeta/dias/1813/09/16/pdfs/GMR-1813-43.pdf#page=8","Abrir facsímil")</f>
        <v>Abrir facsímil</v>
      </c>
      <c r="K3024" s="3" t="s">
        <v>22</v>
      </c>
    </row>
    <row r="3025" spans="1:11" ht="42" customHeight="1">
      <c r="A3025" s="2" t="s">
        <v>6554</v>
      </c>
      <c r="B3025" s="2" t="s">
        <v>6555</v>
      </c>
      <c r="C3025" s="2" t="s">
        <v>34</v>
      </c>
      <c r="D3025" s="2" t="s">
        <v>35</v>
      </c>
      <c r="E3025" s="5">
        <v>-31502</v>
      </c>
      <c r="F3025" s="3" t="s">
        <v>257</v>
      </c>
      <c r="G3025" s="3" t="s">
        <v>258</v>
      </c>
      <c r="H3025" s="2" t="s">
        <v>20</v>
      </c>
      <c r="I3025" s="2" t="s">
        <v>6557</v>
      </c>
      <c r="J3025" s="3" t="str">
        <f>HYPERLINK("https://www.boe.es/gazeta/dias/1813/09/30/pdfs/GMR-1813-51.pdf#page=12","Abrir facsímil")</f>
        <v>Abrir facsímil</v>
      </c>
      <c r="K3025" s="3" t="s">
        <v>22</v>
      </c>
    </row>
    <row r="3026" spans="1:11" ht="42" customHeight="1">
      <c r="A3026" s="2" t="s">
        <v>6554</v>
      </c>
      <c r="B3026" s="2" t="s">
        <v>6555</v>
      </c>
      <c r="C3026" s="2" t="s">
        <v>34</v>
      </c>
      <c r="D3026" s="2" t="s">
        <v>35</v>
      </c>
      <c r="E3026" s="5">
        <v>-31467</v>
      </c>
      <c r="F3026" s="3" t="s">
        <v>120</v>
      </c>
      <c r="G3026" s="3" t="s">
        <v>28</v>
      </c>
      <c r="H3026" s="2" t="s">
        <v>20</v>
      </c>
      <c r="I3026" s="2" t="s">
        <v>6558</v>
      </c>
      <c r="J3026" s="3" t="str">
        <f>HYPERLINK("https://www.boe.es/gazeta/dias/1813/11/04/pdfs/GMR-1813-68.pdf#page=8","Abrir facsímil")</f>
        <v>Abrir facsímil</v>
      </c>
      <c r="K3026" s="3" t="s">
        <v>22</v>
      </c>
    </row>
    <row r="3027" spans="1:11" ht="42" customHeight="1">
      <c r="A3027" s="2" t="s">
        <v>6559</v>
      </c>
      <c r="B3027" s="2" t="s">
        <v>6560</v>
      </c>
      <c r="C3027" s="2" t="s">
        <v>16</v>
      </c>
      <c r="D3027" s="2" t="s">
        <v>17</v>
      </c>
      <c r="E3027" s="5">
        <v>-31564</v>
      </c>
      <c r="F3027" s="3" t="s">
        <v>206</v>
      </c>
      <c r="G3027" s="3" t="s">
        <v>207</v>
      </c>
      <c r="H3027" s="2" t="s">
        <v>20</v>
      </c>
      <c r="I3027" s="2" t="s">
        <v>6561</v>
      </c>
      <c r="J3027" s="3" t="str">
        <f>HYPERLINK("https://www.boe.es/gazeta/dias/1813/07/30/pdfs/GMR-1813-22.pdf#page=10","Abrir facsímil")</f>
        <v>Abrir facsímil</v>
      </c>
      <c r="K3027" s="3" t="s">
        <v>22</v>
      </c>
    </row>
    <row r="3028" spans="1:11" ht="42" customHeight="1">
      <c r="A3028" s="2" t="s">
        <v>6562</v>
      </c>
      <c r="B3028" s="2" t="s">
        <v>6563</v>
      </c>
      <c r="C3028" s="2" t="s">
        <v>25</v>
      </c>
      <c r="D3028" s="2" t="s">
        <v>26</v>
      </c>
      <c r="E3028" s="5">
        <v>-31752</v>
      </c>
      <c r="F3028" s="3" t="s">
        <v>182</v>
      </c>
      <c r="G3028" s="3" t="s">
        <v>183</v>
      </c>
      <c r="H3028" s="2" t="s">
        <v>20</v>
      </c>
      <c r="I3028" s="2" t="s">
        <v>6564</v>
      </c>
      <c r="J3028" s="3" t="str">
        <f>HYPERLINK("https://www.boe.es/gazeta/dias/1813/01/23/pdfs/GRE-1813-10.pdf#page=8","Abrir facsímil")</f>
        <v>Abrir facsímil</v>
      </c>
      <c r="K3028" s="3" t="s">
        <v>22</v>
      </c>
    </row>
    <row r="3029" spans="1:11" ht="42" customHeight="1">
      <c r="A3029" s="2" t="s">
        <v>6565</v>
      </c>
      <c r="B3029" s="2" t="s">
        <v>6566</v>
      </c>
      <c r="C3029" s="2" t="s">
        <v>109</v>
      </c>
      <c r="D3029" s="2" t="s">
        <v>26</v>
      </c>
      <c r="E3029" s="5">
        <v>-31689</v>
      </c>
      <c r="F3029" s="3" t="s">
        <v>48</v>
      </c>
      <c r="G3029" s="3" t="s">
        <v>162</v>
      </c>
      <c r="H3029" s="2" t="s">
        <v>20</v>
      </c>
      <c r="I3029" s="2" t="s">
        <v>6567</v>
      </c>
      <c r="J3029" s="3" t="str">
        <f>HYPERLINK("https://www.boe.es/gazeta/dias/1813/03/27/pdfs/GRE-1813-38.pdf#page=8","Abrir facsímil")</f>
        <v>Abrir facsímil</v>
      </c>
      <c r="K3029" s="3" t="s">
        <v>22</v>
      </c>
    </row>
    <row r="3030" spans="1:11" ht="42" customHeight="1">
      <c r="A3030" s="2" t="s">
        <v>6565</v>
      </c>
      <c r="B3030" s="2" t="s">
        <v>6566</v>
      </c>
      <c r="C3030" s="2" t="s">
        <v>25</v>
      </c>
      <c r="D3030" s="2" t="s">
        <v>26</v>
      </c>
      <c r="E3030" s="5">
        <v>-31677</v>
      </c>
      <c r="F3030" s="3" t="s">
        <v>76</v>
      </c>
      <c r="G3030" s="3" t="s">
        <v>28</v>
      </c>
      <c r="H3030" s="2" t="s">
        <v>20</v>
      </c>
      <c r="I3030" s="2" t="s">
        <v>6568</v>
      </c>
      <c r="J3030" s="3" t="str">
        <f>HYPERLINK("https://www.boe.es/gazeta/dias/1813/04/08/pdfs/GRE-1813-43.pdf#page=8","Abrir facsímil")</f>
        <v>Abrir facsímil</v>
      </c>
      <c r="K3030" s="3" t="s">
        <v>22</v>
      </c>
    </row>
    <row r="3031" spans="1:11" ht="42" customHeight="1">
      <c r="A3031" s="2" t="s">
        <v>6569</v>
      </c>
      <c r="B3031" s="2" t="s">
        <v>6570</v>
      </c>
      <c r="C3031" s="2" t="s">
        <v>25</v>
      </c>
      <c r="D3031" s="2" t="s">
        <v>26</v>
      </c>
      <c r="E3031" s="5">
        <v>-31472</v>
      </c>
      <c r="F3031" s="3" t="s">
        <v>143</v>
      </c>
      <c r="G3031" s="3" t="s">
        <v>940</v>
      </c>
      <c r="H3031" s="2" t="s">
        <v>20</v>
      </c>
      <c r="I3031" s="2" t="s">
        <v>6571</v>
      </c>
      <c r="J3031" s="3" t="str">
        <f>HYPERLINK("https://www.boe.es/gazeta/dias/1813/10/30/pdfs/GMR-1813-66.pdf#page=8","Abrir facsímil")</f>
        <v>Abrir facsímil</v>
      </c>
      <c r="K3031" s="3" t="s">
        <v>22</v>
      </c>
    </row>
    <row r="3032" spans="1:11" ht="42" customHeight="1">
      <c r="A3032" s="2" t="s">
        <v>6572</v>
      </c>
      <c r="B3032" s="2" t="s">
        <v>6573</v>
      </c>
      <c r="C3032" s="2" t="s">
        <v>34</v>
      </c>
      <c r="D3032" s="2" t="s">
        <v>35</v>
      </c>
      <c r="E3032" s="5">
        <v>-31490</v>
      </c>
      <c r="F3032" s="3" t="s">
        <v>3271</v>
      </c>
      <c r="G3032" s="3" t="s">
        <v>87</v>
      </c>
      <c r="H3032" s="2" t="s">
        <v>20</v>
      </c>
      <c r="I3032" s="2" t="s">
        <v>6574</v>
      </c>
      <c r="J3032" s="3" t="str">
        <f>HYPERLINK("https://www.boe.es/gazeta/dias/1813/10/12/pdfs/GRE-1813-133.pdf#page=7","Abrir facsímil")</f>
        <v>Abrir facsímil</v>
      </c>
      <c r="K3032" s="3" t="s">
        <v>22</v>
      </c>
    </row>
    <row r="3033" spans="1:11" ht="42" customHeight="1">
      <c r="A3033" s="2" t="s">
        <v>6575</v>
      </c>
      <c r="B3033" s="2" t="s">
        <v>6576</v>
      </c>
      <c r="C3033" s="2" t="s">
        <v>25</v>
      </c>
      <c r="D3033" s="2" t="s">
        <v>26</v>
      </c>
      <c r="E3033" s="5">
        <v>-31655</v>
      </c>
      <c r="F3033" s="3" t="s">
        <v>858</v>
      </c>
      <c r="G3033" s="3" t="s">
        <v>983</v>
      </c>
      <c r="H3033" s="2" t="s">
        <v>20</v>
      </c>
      <c r="I3033" s="2" t="s">
        <v>6577</v>
      </c>
      <c r="J3033" s="3" t="str">
        <f>HYPERLINK("https://www.boe.es/gazeta/dias/1813/04/30/pdfs/GMD-1813-120.pdf#page=3","Abrir facsímil")</f>
        <v>Abrir facsímil</v>
      </c>
      <c r="K3033" s="3" t="s">
        <v>22</v>
      </c>
    </row>
    <row r="3034" spans="1:11" ht="42" customHeight="1">
      <c r="A3034" s="2" t="s">
        <v>6578</v>
      </c>
      <c r="B3034" s="2" t="s">
        <v>6578</v>
      </c>
      <c r="C3034" s="2" t="s">
        <v>25</v>
      </c>
      <c r="D3034" s="2" t="s">
        <v>26</v>
      </c>
      <c r="E3034" s="5">
        <v>-31740</v>
      </c>
      <c r="F3034" s="3" t="s">
        <v>354</v>
      </c>
      <c r="G3034" s="3" t="s">
        <v>6579</v>
      </c>
      <c r="H3034" s="2" t="s">
        <v>20</v>
      </c>
      <c r="I3034" s="2" t="s">
        <v>6580</v>
      </c>
      <c r="J3034" s="3" t="str">
        <f>HYPERLINK("https://www.boe.es/gazeta/dias/1813/02/04/pdfs/GRE-1813-15.pdf#page=2","Abrir facsímil")</f>
        <v>Abrir facsímil</v>
      </c>
      <c r="K3034" s="3" t="s">
        <v>22</v>
      </c>
    </row>
    <row r="3035" spans="1:11" ht="42" customHeight="1">
      <c r="A3035" s="2" t="s">
        <v>6581</v>
      </c>
      <c r="B3035" s="2" t="s">
        <v>6581</v>
      </c>
      <c r="C3035" s="2" t="s">
        <v>16</v>
      </c>
      <c r="D3035" s="2" t="s">
        <v>17</v>
      </c>
      <c r="E3035" s="5">
        <v>-31425</v>
      </c>
      <c r="F3035" s="3" t="s">
        <v>1669</v>
      </c>
      <c r="G3035" s="3" t="s">
        <v>1670</v>
      </c>
      <c r="H3035" s="2" t="s">
        <v>20</v>
      </c>
      <c r="I3035" s="2" t="s">
        <v>6582</v>
      </c>
      <c r="J3035" s="3" t="str">
        <f>HYPERLINK("https://www.boe.es/gazeta/dias/1813/12/16/pdfs/GRE-1813-165.pdf#page=7","Abrir facsímil")</f>
        <v>Abrir facsímil</v>
      </c>
      <c r="K3035" s="3" t="s">
        <v>22</v>
      </c>
    </row>
    <row r="3036" spans="1:11" ht="42" customHeight="1">
      <c r="A3036" s="2" t="s">
        <v>6583</v>
      </c>
      <c r="B3036" s="2" t="s">
        <v>6584</v>
      </c>
      <c r="C3036" s="2" t="s">
        <v>25</v>
      </c>
      <c r="D3036" s="2" t="s">
        <v>26</v>
      </c>
      <c r="E3036" s="5">
        <v>-31675</v>
      </c>
      <c r="F3036" s="3" t="s">
        <v>27</v>
      </c>
      <c r="G3036" s="3" t="s">
        <v>28</v>
      </c>
      <c r="H3036" s="2" t="s">
        <v>20</v>
      </c>
      <c r="I3036" s="2" t="s">
        <v>6585</v>
      </c>
      <c r="J3036" s="3" t="str">
        <f>HYPERLINK("https://www.boe.es/gazeta/dias/1813/04/10/pdfs/GRE-1813-44.pdf#page=8","Abrir facsímil")</f>
        <v>Abrir facsímil</v>
      </c>
      <c r="K3036" s="3" t="s">
        <v>22</v>
      </c>
    </row>
    <row r="3037" spans="1:11" ht="42" customHeight="1">
      <c r="A3037" s="2" t="s">
        <v>6586</v>
      </c>
      <c r="B3037" s="2" t="s">
        <v>6587</v>
      </c>
      <c r="C3037" s="2" t="s">
        <v>34</v>
      </c>
      <c r="D3037" s="2" t="s">
        <v>35</v>
      </c>
      <c r="E3037" s="5">
        <v>-31537</v>
      </c>
      <c r="F3037" s="3" t="s">
        <v>5241</v>
      </c>
      <c r="G3037" s="3" t="s">
        <v>28</v>
      </c>
      <c r="H3037" s="2" t="s">
        <v>20</v>
      </c>
      <c r="I3037" s="2" t="s">
        <v>6588</v>
      </c>
      <c r="J3037" s="3" t="str">
        <f>HYPERLINK("https://www.boe.es/gazeta/dias/1813/08/26/pdfs/GRE-1813-109.pdf#page=8","Abrir facsímil")</f>
        <v>Abrir facsímil</v>
      </c>
      <c r="K3037" s="3" t="s">
        <v>22</v>
      </c>
    </row>
    <row r="3038" spans="1:11" ht="42" customHeight="1">
      <c r="A3038" s="2" t="s">
        <v>6589</v>
      </c>
      <c r="B3038" s="2" t="s">
        <v>6590</v>
      </c>
      <c r="C3038" s="2" t="s">
        <v>25</v>
      </c>
      <c r="D3038" s="2" t="s">
        <v>26</v>
      </c>
      <c r="E3038" s="5">
        <v>-31619</v>
      </c>
      <c r="F3038" s="3" t="s">
        <v>749</v>
      </c>
      <c r="G3038" s="3" t="s">
        <v>65</v>
      </c>
      <c r="H3038" s="2" t="s">
        <v>20</v>
      </c>
      <c r="I3038" s="2" t="s">
        <v>6591</v>
      </c>
      <c r="J3038" s="3" t="str">
        <f>HYPERLINK("https://www.boe.es/gazeta/dias/1813/06/05/pdfs/GRE-1813-70.pdf#page=1","Abrir facsímil")</f>
        <v>Abrir facsímil</v>
      </c>
      <c r="K3038" s="3" t="s">
        <v>22</v>
      </c>
    </row>
    <row r="3039" spans="1:11" ht="42" customHeight="1">
      <c r="A3039" s="2" t="s">
        <v>6592</v>
      </c>
      <c r="B3039" s="2" t="s">
        <v>6593</v>
      </c>
      <c r="C3039" s="2" t="s">
        <v>16</v>
      </c>
      <c r="D3039" s="2" t="s">
        <v>17</v>
      </c>
      <c r="E3039" s="5">
        <v>-31658</v>
      </c>
      <c r="F3039" s="3" t="s">
        <v>1113</v>
      </c>
      <c r="G3039" s="3" t="s">
        <v>1091</v>
      </c>
      <c r="H3039" s="2" t="s">
        <v>20</v>
      </c>
      <c r="I3039" s="2" t="s">
        <v>6594</v>
      </c>
      <c r="J3039" s="3" t="str">
        <f>HYPERLINK("https://www.boe.es/gazeta/dias/1813/04/27/pdfs/GRE-1813-52.pdf#page=7","Abrir facsímil")</f>
        <v>Abrir facsímil</v>
      </c>
      <c r="K3039" s="3" t="s">
        <v>22</v>
      </c>
    </row>
    <row r="3040" spans="1:11" ht="42" customHeight="1">
      <c r="A3040" s="2" t="s">
        <v>6595</v>
      </c>
      <c r="B3040" s="2" t="s">
        <v>6595</v>
      </c>
      <c r="C3040" s="2" t="s">
        <v>16</v>
      </c>
      <c r="D3040" s="2" t="s">
        <v>17</v>
      </c>
      <c r="E3040" s="5">
        <v>-31581</v>
      </c>
      <c r="F3040" s="3" t="s">
        <v>1321</v>
      </c>
      <c r="G3040" s="3" t="s">
        <v>58</v>
      </c>
      <c r="H3040" s="2" t="s">
        <v>20</v>
      </c>
      <c r="I3040" s="2" t="s">
        <v>6596</v>
      </c>
      <c r="J3040" s="3" t="str">
        <f>HYPERLINK("https://www.boe.es/gazeta/dias/1813/07/13/pdfs/GMR-1813-17.pdf#page=2","Abrir facsímil")</f>
        <v>Abrir facsímil</v>
      </c>
      <c r="K3040" s="3" t="s">
        <v>22</v>
      </c>
    </row>
    <row r="3041" spans="1:11" ht="42" customHeight="1">
      <c r="A3041" s="2" t="s">
        <v>6597</v>
      </c>
      <c r="B3041" s="2" t="s">
        <v>6597</v>
      </c>
      <c r="C3041" s="2" t="s">
        <v>16</v>
      </c>
      <c r="D3041" s="2" t="s">
        <v>17</v>
      </c>
      <c r="E3041" s="5">
        <v>-31595</v>
      </c>
      <c r="F3041" s="3" t="s">
        <v>1319</v>
      </c>
      <c r="G3041" s="3" t="s">
        <v>58</v>
      </c>
      <c r="H3041" s="2" t="s">
        <v>20</v>
      </c>
      <c r="I3041" s="2" t="s">
        <v>6598</v>
      </c>
      <c r="J3041" s="3" t="str">
        <f>HYPERLINK("https://www.boe.es/gazeta/dias/1813/06/29/pdfs/GRE-1813-80.pdf#page=2","Abrir facsímil")</f>
        <v>Abrir facsímil</v>
      </c>
      <c r="K3041" s="3" t="s">
        <v>22</v>
      </c>
    </row>
    <row r="3042" spans="1:11" ht="42" customHeight="1">
      <c r="A3042" s="2" t="s">
        <v>6599</v>
      </c>
      <c r="B3042" s="2" t="s">
        <v>6599</v>
      </c>
      <c r="C3042" s="2" t="s">
        <v>16</v>
      </c>
      <c r="D3042" s="2" t="s">
        <v>17</v>
      </c>
      <c r="E3042" s="5">
        <v>-31711</v>
      </c>
      <c r="F3042" s="3" t="s">
        <v>385</v>
      </c>
      <c r="G3042" s="3" t="s">
        <v>54</v>
      </c>
      <c r="H3042" s="2" t="s">
        <v>20</v>
      </c>
      <c r="I3042" s="2" t="s">
        <v>6600</v>
      </c>
      <c r="J3042" s="3" t="str">
        <f>HYPERLINK("https://www.boe.es/gazeta/dias/1813/03/05/pdfs/GRE-1813-99.pdf#page=3","Abrir facsímil")</f>
        <v>Abrir facsímil</v>
      </c>
      <c r="K3042" s="3" t="s">
        <v>22</v>
      </c>
    </row>
    <row r="3043" spans="1:11" ht="42" customHeight="1">
      <c r="A3043" s="2" t="s">
        <v>6599</v>
      </c>
      <c r="B3043" s="2" t="s">
        <v>6599</v>
      </c>
      <c r="C3043" s="2" t="s">
        <v>16</v>
      </c>
      <c r="D3043" s="2" t="s">
        <v>17</v>
      </c>
      <c r="E3043" s="5">
        <v>-31565</v>
      </c>
      <c r="F3043" s="3" t="s">
        <v>306</v>
      </c>
      <c r="G3043" s="3" t="s">
        <v>95</v>
      </c>
      <c r="H3043" s="2" t="s">
        <v>20</v>
      </c>
      <c r="I3043" s="2" t="s">
        <v>6601</v>
      </c>
      <c r="J3043" s="3" t="str">
        <f>HYPERLINK("https://www.boe.es/gazeta/dias/1813/07/29/pdfs/GRE-1813-96.pdf#page=6","Abrir facsímil")</f>
        <v>Abrir facsímil</v>
      </c>
      <c r="K3043" s="3" t="s">
        <v>22</v>
      </c>
    </row>
    <row r="3044" spans="1:11" ht="42" customHeight="1">
      <c r="A3044" s="2" t="s">
        <v>6599</v>
      </c>
      <c r="B3044" s="2" t="s">
        <v>6599</v>
      </c>
      <c r="C3044" s="2" t="s">
        <v>16</v>
      </c>
      <c r="D3044" s="2" t="s">
        <v>17</v>
      </c>
      <c r="E3044" s="5">
        <v>-31558</v>
      </c>
      <c r="F3044" s="3" t="s">
        <v>385</v>
      </c>
      <c r="G3044" s="3" t="s">
        <v>54</v>
      </c>
      <c r="H3044" s="2" t="s">
        <v>20</v>
      </c>
      <c r="I3044" s="2" t="s">
        <v>6600</v>
      </c>
      <c r="J3044" s="3" t="str">
        <f>HYPERLINK("https://www.boe.es/gazeta/dias/1813/08/05/pdfs/GRE-1813-99.pdf#page=3","Abrir facsímil")</f>
        <v>Abrir facsímil</v>
      </c>
      <c r="K3044" s="3" t="s">
        <v>22</v>
      </c>
    </row>
    <row r="3045" spans="1:11" ht="42" customHeight="1">
      <c r="A3045" s="2" t="s">
        <v>6599</v>
      </c>
      <c r="B3045" s="2" t="s">
        <v>6599</v>
      </c>
      <c r="C3045" s="2" t="s">
        <v>187</v>
      </c>
      <c r="D3045" s="2" t="s">
        <v>26</v>
      </c>
      <c r="E3045" s="5">
        <v>-31472</v>
      </c>
      <c r="F3045" s="3" t="s">
        <v>143</v>
      </c>
      <c r="G3045" s="3" t="s">
        <v>998</v>
      </c>
      <c r="H3045" s="2" t="s">
        <v>20</v>
      </c>
      <c r="I3045" s="2" t="s">
        <v>6602</v>
      </c>
      <c r="J3045" s="3" t="str">
        <f>HYPERLINK("https://www.boe.es/gazeta/dias/1813/10/30/pdfs/GMR-1813-66.pdf#page=6","Abrir facsímil")</f>
        <v>Abrir facsímil</v>
      </c>
      <c r="K3045" s="3" t="s">
        <v>22</v>
      </c>
    </row>
    <row r="3046" spans="1:11" ht="42" customHeight="1">
      <c r="A3046" s="2" t="s">
        <v>6603</v>
      </c>
      <c r="B3046" s="2" t="s">
        <v>6604</v>
      </c>
      <c r="C3046" s="2" t="s">
        <v>16</v>
      </c>
      <c r="D3046" s="2" t="s">
        <v>17</v>
      </c>
      <c r="E3046" s="5">
        <v>-31711</v>
      </c>
      <c r="F3046" s="3" t="s">
        <v>385</v>
      </c>
      <c r="G3046" s="3" t="s">
        <v>28</v>
      </c>
      <c r="H3046" s="2" t="s">
        <v>20</v>
      </c>
      <c r="I3046" s="2" t="s">
        <v>6605</v>
      </c>
      <c r="J3046" s="3" t="str">
        <f>HYPERLINK("https://www.boe.es/gazeta/dias/1813/03/05/pdfs/GRE-1813-99.pdf#page=8","Abrir facsímil")</f>
        <v>Abrir facsímil</v>
      </c>
      <c r="K3046" s="3" t="s">
        <v>22</v>
      </c>
    </row>
    <row r="3047" spans="1:11" ht="42" customHeight="1">
      <c r="A3047" s="2" t="s">
        <v>6603</v>
      </c>
      <c r="B3047" s="2" t="s">
        <v>6604</v>
      </c>
      <c r="C3047" s="2" t="s">
        <v>16</v>
      </c>
      <c r="D3047" s="2" t="s">
        <v>17</v>
      </c>
      <c r="E3047" s="5">
        <v>-31558</v>
      </c>
      <c r="F3047" s="3" t="s">
        <v>385</v>
      </c>
      <c r="G3047" s="3" t="s">
        <v>28</v>
      </c>
      <c r="H3047" s="2" t="s">
        <v>20</v>
      </c>
      <c r="I3047" s="2" t="s">
        <v>6605</v>
      </c>
      <c r="J3047" s="3" t="str">
        <f>HYPERLINK("https://www.boe.es/gazeta/dias/1813/08/05/pdfs/GRE-1813-99.pdf#page=8","Abrir facsímil")</f>
        <v>Abrir facsímil</v>
      </c>
      <c r="K3047" s="3" t="s">
        <v>22</v>
      </c>
    </row>
    <row r="3048" spans="1:11" ht="42" customHeight="1">
      <c r="A3048" s="2" t="s">
        <v>6606</v>
      </c>
      <c r="B3048" s="2" t="s">
        <v>6607</v>
      </c>
      <c r="C3048" s="2" t="s">
        <v>16</v>
      </c>
      <c r="D3048" s="2" t="s">
        <v>17</v>
      </c>
      <c r="E3048" s="5">
        <v>-31726</v>
      </c>
      <c r="F3048" s="3" t="s">
        <v>533</v>
      </c>
      <c r="G3048" s="3" t="s">
        <v>87</v>
      </c>
      <c r="H3048" s="2" t="s">
        <v>20</v>
      </c>
      <c r="I3048" s="2" t="s">
        <v>6608</v>
      </c>
      <c r="J3048" s="3" t="str">
        <f>HYPERLINK("https://www.boe.es/gazeta/dias/1813/02/18/pdfs/GRE-1813-21.pdf#page=7","Abrir facsímil")</f>
        <v>Abrir facsímil</v>
      </c>
      <c r="K3048" s="3" t="s">
        <v>22</v>
      </c>
    </row>
    <row r="3049" spans="1:11" ht="42" customHeight="1">
      <c r="A3049" s="2" t="s">
        <v>6609</v>
      </c>
      <c r="B3049" s="2" t="s">
        <v>6610</v>
      </c>
      <c r="C3049" s="2" t="s">
        <v>34</v>
      </c>
      <c r="D3049" s="2" t="s">
        <v>35</v>
      </c>
      <c r="E3049" s="5">
        <v>-31544</v>
      </c>
      <c r="F3049" s="3" t="s">
        <v>44</v>
      </c>
      <c r="G3049" s="3" t="s">
        <v>49</v>
      </c>
      <c r="H3049" s="2" t="s">
        <v>20</v>
      </c>
      <c r="I3049" s="2" t="s">
        <v>6611</v>
      </c>
      <c r="J3049" s="3" t="str">
        <f>HYPERLINK("https://www.boe.es/gazeta/dias/1813/08/19/pdfs/GMR-1813-30.pdf#page=5","Abrir facsímil")</f>
        <v>Abrir facsímil</v>
      </c>
      <c r="K3049" s="3" t="s">
        <v>22</v>
      </c>
    </row>
    <row r="3050" spans="1:11" ht="42" customHeight="1">
      <c r="A3050" s="2" t="s">
        <v>6612</v>
      </c>
      <c r="B3050" s="2" t="s">
        <v>6613</v>
      </c>
      <c r="C3050" s="2" t="s">
        <v>25</v>
      </c>
      <c r="D3050" s="2" t="s">
        <v>26</v>
      </c>
      <c r="E3050" s="5">
        <v>-31767</v>
      </c>
      <c r="F3050" s="3" t="s">
        <v>1915</v>
      </c>
      <c r="G3050" s="3" t="s">
        <v>19</v>
      </c>
      <c r="H3050" s="2" t="s">
        <v>20</v>
      </c>
      <c r="I3050" s="2" t="s">
        <v>6614</v>
      </c>
      <c r="J3050" s="3" t="str">
        <f>HYPERLINK("https://www.boe.es/gazeta/dias/1813/01/08/pdfs/GMD-1813-8.pdf#page=4","Abrir facsímil")</f>
        <v>Abrir facsímil</v>
      </c>
      <c r="K3050" s="3" t="s">
        <v>22</v>
      </c>
    </row>
    <row r="3051" spans="1:11" ht="42" customHeight="1">
      <c r="A3051" s="2" t="s">
        <v>6615</v>
      </c>
      <c r="B3051" s="2" t="s">
        <v>6616</v>
      </c>
      <c r="C3051" s="2" t="s">
        <v>16</v>
      </c>
      <c r="D3051" s="2" t="s">
        <v>17</v>
      </c>
      <c r="E3051" s="5">
        <v>-31745</v>
      </c>
      <c r="F3051" s="3" t="s">
        <v>445</v>
      </c>
      <c r="G3051" s="3" t="s">
        <v>28</v>
      </c>
      <c r="H3051" s="2" t="s">
        <v>20</v>
      </c>
      <c r="I3051" s="2" t="s">
        <v>6617</v>
      </c>
      <c r="J3051" s="3" t="str">
        <f>HYPERLINK("https://www.boe.es/gazeta/dias/1813/01/30/pdfs/GRE-1813-13.pdf#page=8","Abrir facsímil")</f>
        <v>Abrir facsímil</v>
      </c>
      <c r="K3051" s="3" t="s">
        <v>22</v>
      </c>
    </row>
    <row r="3052" spans="1:11" ht="42" customHeight="1">
      <c r="A3052" s="2" t="s">
        <v>6618</v>
      </c>
      <c r="B3052" s="2" t="s">
        <v>6619</v>
      </c>
      <c r="C3052" s="2" t="s">
        <v>34</v>
      </c>
      <c r="D3052" s="2" t="s">
        <v>35</v>
      </c>
      <c r="E3052" s="5">
        <v>-31767</v>
      </c>
      <c r="F3052" s="3" t="s">
        <v>1915</v>
      </c>
      <c r="G3052" s="3" t="s">
        <v>19</v>
      </c>
      <c r="H3052" s="2" t="s">
        <v>20</v>
      </c>
      <c r="I3052" s="2" t="s">
        <v>6620</v>
      </c>
      <c r="J3052" s="3" t="str">
        <f>HYPERLINK("https://www.boe.es/gazeta/dias/1813/01/08/pdfs/GMD-1813-8.pdf#page=4","Abrir facsímil")</f>
        <v>Abrir facsímil</v>
      </c>
      <c r="K3052" s="3" t="s">
        <v>22</v>
      </c>
    </row>
    <row r="3053" spans="1:11" ht="42" customHeight="1">
      <c r="A3053" s="2" t="s">
        <v>6621</v>
      </c>
      <c r="B3053" s="2" t="s">
        <v>6622</v>
      </c>
      <c r="C3053" s="2" t="s">
        <v>25</v>
      </c>
      <c r="D3053" s="2" t="s">
        <v>26</v>
      </c>
      <c r="E3053" s="5">
        <v>-31530</v>
      </c>
      <c r="F3053" s="3" t="s">
        <v>133</v>
      </c>
      <c r="G3053" s="3" t="s">
        <v>95</v>
      </c>
      <c r="H3053" s="2" t="s">
        <v>20</v>
      </c>
      <c r="I3053" s="2" t="s">
        <v>6623</v>
      </c>
      <c r="J3053" s="3" t="str">
        <f>HYPERLINK("https://www.boe.es/gazeta/dias/1813/09/02/pdfs/GMR-1813-36.pdf#page=6","Abrir facsímil")</f>
        <v>Abrir facsímil</v>
      </c>
      <c r="K3053" s="3" t="s">
        <v>22</v>
      </c>
    </row>
    <row r="3054" spans="1:11" ht="42" customHeight="1">
      <c r="A3054" s="2" t="s">
        <v>6624</v>
      </c>
      <c r="B3054" s="2" t="s">
        <v>6625</v>
      </c>
      <c r="C3054" s="2" t="s">
        <v>16</v>
      </c>
      <c r="D3054" s="2" t="s">
        <v>17</v>
      </c>
      <c r="E3054" s="5">
        <v>-31651</v>
      </c>
      <c r="F3054" s="3" t="s">
        <v>579</v>
      </c>
      <c r="G3054" s="3" t="s">
        <v>759</v>
      </c>
      <c r="H3054" s="2" t="s">
        <v>20</v>
      </c>
      <c r="I3054" s="2" t="s">
        <v>6626</v>
      </c>
      <c r="J3054" s="3" t="str">
        <f>HYPERLINK("https://www.boe.es/gazeta/dias/1813/05/04/pdfs/GRE-1813-55.pdf#page=8","Abrir facsímil")</f>
        <v>Abrir facsímil</v>
      </c>
      <c r="K3054" s="3" t="s">
        <v>22</v>
      </c>
    </row>
    <row r="3055" spans="1:11" ht="42" customHeight="1">
      <c r="A3055" s="2" t="s">
        <v>6624</v>
      </c>
      <c r="B3055" s="2" t="s">
        <v>6625</v>
      </c>
      <c r="C3055" s="2" t="s">
        <v>25</v>
      </c>
      <c r="D3055" s="2" t="s">
        <v>26</v>
      </c>
      <c r="E3055" s="5">
        <v>-31427</v>
      </c>
      <c r="F3055" s="3" t="s">
        <v>1822</v>
      </c>
      <c r="G3055" s="3" t="s">
        <v>95</v>
      </c>
      <c r="H3055" s="2" t="s">
        <v>20</v>
      </c>
      <c r="I3055" s="2" t="s">
        <v>6627</v>
      </c>
      <c r="J3055" s="3" t="str">
        <f>HYPERLINK("https://www.boe.es/gazeta/dias/1813/12/14/pdfs/GRE-1813-164.pdf#page=6","Abrir facsímil")</f>
        <v>Abrir facsímil</v>
      </c>
      <c r="K3055" s="3" t="s">
        <v>22</v>
      </c>
    </row>
    <row r="3056" spans="1:11" ht="42" customHeight="1">
      <c r="A3056" s="2" t="s">
        <v>6628</v>
      </c>
      <c r="B3056" s="2" t="s">
        <v>6629</v>
      </c>
      <c r="C3056" s="2" t="s">
        <v>34</v>
      </c>
      <c r="D3056" s="2" t="s">
        <v>35</v>
      </c>
      <c r="E3056" s="5">
        <v>-31709</v>
      </c>
      <c r="F3056" s="3" t="s">
        <v>36</v>
      </c>
      <c r="G3056" s="3" t="s">
        <v>303</v>
      </c>
      <c r="H3056" s="2" t="s">
        <v>20</v>
      </c>
      <c r="I3056" s="2" t="s">
        <v>6630</v>
      </c>
      <c r="J3056" s="3" t="str">
        <f>HYPERLINK("https://www.boe.es/gazeta/dias/1813/03/07/pdfs/GMD-1813-66.pdf#page=3","Abrir facsímil")</f>
        <v>Abrir facsímil</v>
      </c>
      <c r="K3056" s="3" t="s">
        <v>22</v>
      </c>
    </row>
    <row r="3057" spans="1:11" ht="42" customHeight="1">
      <c r="A3057" s="2" t="s">
        <v>6631</v>
      </c>
      <c r="B3057" s="2" t="s">
        <v>6632</v>
      </c>
      <c r="C3057" s="2" t="s">
        <v>16</v>
      </c>
      <c r="D3057" s="2" t="s">
        <v>97</v>
      </c>
      <c r="E3057" s="5">
        <v>-31519</v>
      </c>
      <c r="F3057" s="3" t="s">
        <v>312</v>
      </c>
      <c r="G3057" s="3" t="s">
        <v>313</v>
      </c>
      <c r="H3057" s="2" t="s">
        <v>20</v>
      </c>
      <c r="I3057" s="2" t="s">
        <v>6633</v>
      </c>
      <c r="J3057" s="3" t="str">
        <f>HYPERLINK("https://www.boe.es/gazeta/dias/1813/09/13/pdfs/GRE-1813-118E.pdf#page=9","Abrir facsímil")</f>
        <v>Abrir facsímil</v>
      </c>
      <c r="K3057" s="3" t="s">
        <v>22</v>
      </c>
    </row>
    <row r="3058" spans="1:11" ht="42" customHeight="1">
      <c r="A3058" s="2" t="s">
        <v>6631</v>
      </c>
      <c r="B3058" s="2" t="s">
        <v>6632</v>
      </c>
      <c r="C3058" s="2" t="s">
        <v>16</v>
      </c>
      <c r="D3058" s="2" t="s">
        <v>17</v>
      </c>
      <c r="E3058" s="5">
        <v>-31507</v>
      </c>
      <c r="F3058" s="3" t="s">
        <v>61</v>
      </c>
      <c r="G3058" s="3" t="s">
        <v>28</v>
      </c>
      <c r="H3058" s="2" t="s">
        <v>20</v>
      </c>
      <c r="I3058" s="2" t="s">
        <v>6634</v>
      </c>
      <c r="J3058" s="3" t="str">
        <f>HYPERLINK("https://www.boe.es/gazeta/dias/1813/09/25/pdfs/GMR-1813-48.pdf#page=8","Abrir facsímil")</f>
        <v>Abrir facsímil</v>
      </c>
      <c r="K3058" s="3" t="s">
        <v>22</v>
      </c>
    </row>
    <row r="3059" spans="1:11" ht="42" customHeight="1">
      <c r="A3059" s="2" t="s">
        <v>6635</v>
      </c>
      <c r="B3059" s="2" t="s">
        <v>6636</v>
      </c>
      <c r="C3059" s="2" t="s">
        <v>187</v>
      </c>
      <c r="D3059" s="2" t="s">
        <v>26</v>
      </c>
      <c r="E3059" s="5">
        <v>-31516</v>
      </c>
      <c r="F3059" s="3" t="s">
        <v>246</v>
      </c>
      <c r="G3059" s="3" t="s">
        <v>247</v>
      </c>
      <c r="H3059" s="2" t="s">
        <v>20</v>
      </c>
      <c r="I3059" s="2" t="s">
        <v>6637</v>
      </c>
      <c r="J3059" s="3" t="str">
        <f>HYPERLINK("https://www.boe.es/gazeta/dias/1813/09/16/pdfs/GMR-1813-43.pdf#page=8","Abrir facsímil")</f>
        <v>Abrir facsímil</v>
      </c>
      <c r="K3059" s="3" t="s">
        <v>22</v>
      </c>
    </row>
    <row r="3060" spans="1:11" ht="42" customHeight="1">
      <c r="A3060" s="2" t="s">
        <v>6638</v>
      </c>
      <c r="B3060" s="2" t="s">
        <v>6639</v>
      </c>
      <c r="C3060" s="2" t="s">
        <v>187</v>
      </c>
      <c r="D3060" s="2" t="s">
        <v>26</v>
      </c>
      <c r="E3060" s="5">
        <v>-31467</v>
      </c>
      <c r="F3060" s="3" t="s">
        <v>120</v>
      </c>
      <c r="G3060" s="3" t="s">
        <v>28</v>
      </c>
      <c r="H3060" s="2" t="s">
        <v>20</v>
      </c>
      <c r="I3060" s="2" t="s">
        <v>6640</v>
      </c>
      <c r="J3060" s="3" t="str">
        <f>HYPERLINK("https://www.boe.es/gazeta/dias/1813/11/04/pdfs/GMR-1813-68.pdf#page=8","Abrir facsímil")</f>
        <v>Abrir facsímil</v>
      </c>
      <c r="K3060" s="3" t="s">
        <v>22</v>
      </c>
    </row>
    <row r="3061" spans="1:11" ht="42" customHeight="1">
      <c r="A3061" s="2" t="s">
        <v>6641</v>
      </c>
      <c r="B3061" s="2" t="s">
        <v>6642</v>
      </c>
      <c r="C3061" s="2" t="s">
        <v>16</v>
      </c>
      <c r="D3061" s="2" t="s">
        <v>17</v>
      </c>
      <c r="E3061" s="5">
        <v>-31661</v>
      </c>
      <c r="F3061" s="3" t="s">
        <v>6643</v>
      </c>
      <c r="G3061" s="3" t="s">
        <v>6644</v>
      </c>
      <c r="H3061" s="2" t="s">
        <v>20</v>
      </c>
      <c r="I3061" s="2" t="s">
        <v>6645</v>
      </c>
      <c r="J3061" s="3" t="str">
        <f>HYPERLINK("https://www.boe.es/gazeta/dias/1813/04/24/pdfs/GRE-1813-51.pdf#page=5","Abrir facsímil")</f>
        <v>Abrir facsímil</v>
      </c>
      <c r="K3061" s="3" t="s">
        <v>22</v>
      </c>
    </row>
    <row r="3062" spans="1:11" ht="42" customHeight="1">
      <c r="A3062" s="2" t="s">
        <v>6646</v>
      </c>
      <c r="B3062" s="2" t="s">
        <v>6646</v>
      </c>
      <c r="C3062" s="2" t="s">
        <v>435</v>
      </c>
      <c r="D3062" s="2" t="s">
        <v>26</v>
      </c>
      <c r="E3062" s="5">
        <v>-31472</v>
      </c>
      <c r="F3062" s="3" t="s">
        <v>143</v>
      </c>
      <c r="G3062" s="3" t="s">
        <v>998</v>
      </c>
      <c r="H3062" s="2" t="s">
        <v>20</v>
      </c>
      <c r="I3062" s="2" t="s">
        <v>6647</v>
      </c>
      <c r="J3062" s="3" t="str">
        <f>HYPERLINK("https://www.boe.es/gazeta/dias/1813/10/30/pdfs/GMR-1813-66.pdf#page=6","Abrir facsímil")</f>
        <v>Abrir facsímil</v>
      </c>
      <c r="K3062" s="3" t="s">
        <v>22</v>
      </c>
    </row>
    <row r="3063" spans="1:11" ht="42" customHeight="1">
      <c r="A3063" s="2" t="s">
        <v>6648</v>
      </c>
      <c r="B3063" s="2" t="s">
        <v>6649</v>
      </c>
      <c r="C3063" s="2" t="s">
        <v>16</v>
      </c>
      <c r="D3063" s="2" t="s">
        <v>17</v>
      </c>
      <c r="E3063" s="5">
        <v>-31514</v>
      </c>
      <c r="F3063" s="3" t="s">
        <v>2099</v>
      </c>
      <c r="G3063" s="3" t="s">
        <v>28</v>
      </c>
      <c r="H3063" s="2" t="s">
        <v>20</v>
      </c>
      <c r="I3063" s="2" t="s">
        <v>6650</v>
      </c>
      <c r="J3063" s="3" t="str">
        <f>HYPERLINK("https://www.boe.es/gazeta/dias/1813/09/18/pdfs/GMR-1813-45.pdf#page=8","Abrir facsímil")</f>
        <v>Abrir facsímil</v>
      </c>
      <c r="K3063" s="3" t="s">
        <v>22</v>
      </c>
    </row>
    <row r="3064" spans="1:11" ht="42" customHeight="1">
      <c r="A3064" s="2" t="s">
        <v>6651</v>
      </c>
      <c r="B3064" s="2" t="s">
        <v>6652</v>
      </c>
      <c r="C3064" s="2" t="s">
        <v>34</v>
      </c>
      <c r="D3064" s="2" t="s">
        <v>35</v>
      </c>
      <c r="E3064" s="5">
        <v>-31709</v>
      </c>
      <c r="F3064" s="3" t="s">
        <v>36</v>
      </c>
      <c r="G3064" s="3" t="s">
        <v>19</v>
      </c>
      <c r="H3064" s="2" t="s">
        <v>20</v>
      </c>
      <c r="I3064" s="2" t="s">
        <v>6653</v>
      </c>
      <c r="J3064" s="3" t="str">
        <f>HYPERLINK("https://www.boe.es/gazeta/dias/1813/03/07/pdfs/GMD-1813-66.pdf#page=4","Abrir facsímil")</f>
        <v>Abrir facsímil</v>
      </c>
      <c r="K3064" s="3" t="s">
        <v>22</v>
      </c>
    </row>
    <row r="3065" spans="1:11" ht="42" customHeight="1">
      <c r="A3065" s="2" t="s">
        <v>6654</v>
      </c>
      <c r="B3065" s="2" t="s">
        <v>6655</v>
      </c>
      <c r="C3065" s="2" t="s">
        <v>16</v>
      </c>
      <c r="D3065" s="2" t="s">
        <v>17</v>
      </c>
      <c r="E3065" s="5">
        <v>-31518</v>
      </c>
      <c r="F3065" s="3" t="s">
        <v>155</v>
      </c>
      <c r="G3065" s="3" t="s">
        <v>87</v>
      </c>
      <c r="H3065" s="2" t="s">
        <v>20</v>
      </c>
      <c r="I3065" s="2" t="s">
        <v>6656</v>
      </c>
      <c r="J3065" s="3" t="str">
        <f>HYPERLINK("https://www.boe.es/gazeta/dias/1813/09/14/pdfs/GRE-1813-119.pdf#page=7","Abrir facsímil")</f>
        <v>Abrir facsímil</v>
      </c>
      <c r="K3065" s="3" t="s">
        <v>22</v>
      </c>
    </row>
    <row r="3066" spans="1:11" ht="42" customHeight="1">
      <c r="A3066" s="2" t="s">
        <v>6657</v>
      </c>
      <c r="B3066" s="2" t="s">
        <v>6657</v>
      </c>
      <c r="C3066" s="2" t="s">
        <v>16</v>
      </c>
      <c r="D3066" s="2" t="s">
        <v>17</v>
      </c>
      <c r="E3066" s="5">
        <v>-31432</v>
      </c>
      <c r="F3066" s="3" t="s">
        <v>702</v>
      </c>
      <c r="G3066" s="3" t="s">
        <v>54</v>
      </c>
      <c r="H3066" s="2" t="s">
        <v>20</v>
      </c>
      <c r="I3066" s="2" t="s">
        <v>6658</v>
      </c>
      <c r="J3066" s="3" t="str">
        <f>HYPERLINK("https://www.boe.es/gazeta/dias/1813/12/09/pdfs/GMR-1813-85.pdf#page=3","Abrir facsímil")</f>
        <v>Abrir facsímil</v>
      </c>
      <c r="K3066" s="3" t="s">
        <v>22</v>
      </c>
    </row>
    <row r="3067" spans="1:11" ht="42" customHeight="1">
      <c r="A3067" s="2" t="s">
        <v>6659</v>
      </c>
      <c r="B3067" s="2" t="s">
        <v>6659</v>
      </c>
      <c r="C3067" s="2" t="s">
        <v>16</v>
      </c>
      <c r="D3067" s="2" t="s">
        <v>17</v>
      </c>
      <c r="E3067" s="5">
        <v>-31763</v>
      </c>
      <c r="F3067" s="3" t="s">
        <v>668</v>
      </c>
      <c r="G3067" s="3" t="s">
        <v>54</v>
      </c>
      <c r="H3067" s="2" t="s">
        <v>20</v>
      </c>
      <c r="I3067" s="2" t="s">
        <v>6660</v>
      </c>
      <c r="J3067" s="3" t="str">
        <f>HYPERLINK("https://www.boe.es/gazeta/dias/1813/01/12/pdfs/GRE-1813-5.pdf#page=3","Abrir facsímil")</f>
        <v>Abrir facsímil</v>
      </c>
      <c r="K3067" s="3" t="s">
        <v>22</v>
      </c>
    </row>
    <row r="3068" spans="1:11" ht="42" customHeight="1">
      <c r="A3068" s="2" t="s">
        <v>6661</v>
      </c>
      <c r="B3068" s="2" t="s">
        <v>6662</v>
      </c>
      <c r="C3068" s="2" t="s">
        <v>16</v>
      </c>
      <c r="D3068" s="2" t="s">
        <v>17</v>
      </c>
      <c r="E3068" s="5">
        <v>-31719</v>
      </c>
      <c r="F3068" s="3" t="s">
        <v>251</v>
      </c>
      <c r="G3068" s="3" t="s">
        <v>19</v>
      </c>
      <c r="H3068" s="2" t="s">
        <v>20</v>
      </c>
      <c r="I3068" s="2" t="s">
        <v>6663</v>
      </c>
      <c r="J3068" s="3" t="str">
        <f>HYPERLINK("https://www.boe.es/gazeta/dias/1813/02/25/pdfs/GMD-1813-56.pdf#page=4","Abrir facsímil")</f>
        <v>Abrir facsímil</v>
      </c>
      <c r="K3068" s="3" t="s">
        <v>22</v>
      </c>
    </row>
    <row r="3069" spans="1:11" ht="42" customHeight="1">
      <c r="A3069" s="2" t="s">
        <v>6664</v>
      </c>
      <c r="B3069" s="2" t="s">
        <v>6665</v>
      </c>
      <c r="C3069" s="2" t="s">
        <v>187</v>
      </c>
      <c r="D3069" s="2" t="s">
        <v>26</v>
      </c>
      <c r="E3069" s="5">
        <v>-31745</v>
      </c>
      <c r="F3069" s="3" t="s">
        <v>445</v>
      </c>
      <c r="G3069" s="3" t="s">
        <v>28</v>
      </c>
      <c r="H3069" s="2" t="s">
        <v>20</v>
      </c>
      <c r="I3069" s="2" t="s">
        <v>6666</v>
      </c>
      <c r="J3069" s="3" t="str">
        <f>HYPERLINK("https://www.boe.es/gazeta/dias/1813/01/30/pdfs/GRE-1813-13.pdf#page=8","Abrir facsímil")</f>
        <v>Abrir facsímil</v>
      </c>
      <c r="K3069" s="3" t="s">
        <v>22</v>
      </c>
    </row>
    <row r="3070" spans="1:11" ht="42" customHeight="1">
      <c r="A3070" s="2" t="s">
        <v>6667</v>
      </c>
      <c r="B3070" s="2" t="s">
        <v>6667</v>
      </c>
      <c r="C3070" s="2" t="s">
        <v>16</v>
      </c>
      <c r="D3070" s="2" t="s">
        <v>17</v>
      </c>
      <c r="E3070" s="5">
        <v>-31745</v>
      </c>
      <c r="F3070" s="3" t="s">
        <v>1856</v>
      </c>
      <c r="G3070" s="3" t="s">
        <v>19</v>
      </c>
      <c r="H3070" s="2" t="s">
        <v>20</v>
      </c>
      <c r="I3070" s="2" t="s">
        <v>6668</v>
      </c>
      <c r="J3070" s="3" t="str">
        <f>HYPERLINK("https://www.boe.es/gazeta/dias/1813/01/30/pdfs/GMD-1813-30.pdf#page=4","Abrir facsímil")</f>
        <v>Abrir facsímil</v>
      </c>
      <c r="K3070" s="3" t="s">
        <v>22</v>
      </c>
    </row>
    <row r="3071" spans="1:11" ht="42" customHeight="1">
      <c r="A3071" s="2" t="s">
        <v>6669</v>
      </c>
      <c r="B3071" s="2" t="s">
        <v>6670</v>
      </c>
      <c r="C3071" s="2" t="s">
        <v>16</v>
      </c>
      <c r="D3071" s="2" t="s">
        <v>17</v>
      </c>
      <c r="E3071" s="5">
        <v>-31740</v>
      </c>
      <c r="F3071" s="3" t="s">
        <v>5259</v>
      </c>
      <c r="G3071" s="3" t="s">
        <v>19</v>
      </c>
      <c r="H3071" s="2" t="s">
        <v>20</v>
      </c>
      <c r="I3071" s="2" t="s">
        <v>6671</v>
      </c>
      <c r="J3071" s="3" t="str">
        <f>HYPERLINK("https://www.boe.es/gazeta/dias/1813/02/04/pdfs/GMD-1813-35.pdf#page=4","Abrir facsímil")</f>
        <v>Abrir facsímil</v>
      </c>
      <c r="K3071" s="3" t="s">
        <v>22</v>
      </c>
    </row>
    <row r="3072" spans="1:11" ht="42" customHeight="1">
      <c r="A3072" s="2" t="s">
        <v>6672</v>
      </c>
      <c r="B3072" s="2" t="s">
        <v>6673</v>
      </c>
      <c r="C3072" s="2" t="s">
        <v>25</v>
      </c>
      <c r="D3072" s="2" t="s">
        <v>26</v>
      </c>
      <c r="E3072" s="5">
        <v>-31653</v>
      </c>
      <c r="F3072" s="3" t="s">
        <v>3121</v>
      </c>
      <c r="G3072" s="3" t="s">
        <v>6674</v>
      </c>
      <c r="H3072" s="2" t="s">
        <v>20</v>
      </c>
      <c r="I3072" s="2" t="s">
        <v>6675</v>
      </c>
      <c r="J3072" s="3" t="str">
        <f>HYPERLINK("https://www.boe.es/gazeta/dias/1813/05/02/pdfs/GMD-1813-122.pdf#page=4","Abrir facsímil")</f>
        <v>Abrir facsímil</v>
      </c>
      <c r="K3072" s="3" t="s">
        <v>22</v>
      </c>
    </row>
    <row r="3073" spans="1:11" ht="42" customHeight="1">
      <c r="A3073" s="2" t="s">
        <v>6672</v>
      </c>
      <c r="B3073" s="2" t="s">
        <v>6673</v>
      </c>
      <c r="C3073" s="2" t="s">
        <v>16</v>
      </c>
      <c r="D3073" s="2" t="s">
        <v>17</v>
      </c>
      <c r="E3073" s="5">
        <v>-31483</v>
      </c>
      <c r="F3073" s="3" t="s">
        <v>1292</v>
      </c>
      <c r="G3073" s="3" t="s">
        <v>1293</v>
      </c>
      <c r="H3073" s="2" t="s">
        <v>20</v>
      </c>
      <c r="I3073" s="2" t="s">
        <v>6676</v>
      </c>
      <c r="J3073" s="3" t="str">
        <f>HYPERLINK("https://www.boe.es/gazeta/dias/1813/10/19/pdfs/GMR-1813-61.pdf#page=12","Abrir facsímil")</f>
        <v>Abrir facsímil</v>
      </c>
      <c r="K3073" s="3" t="s">
        <v>22</v>
      </c>
    </row>
    <row r="3074" spans="1:11" ht="42" customHeight="1">
      <c r="A3074" s="2" t="s">
        <v>6677</v>
      </c>
      <c r="B3074" s="2" t="s">
        <v>6678</v>
      </c>
      <c r="C3074" s="2" t="s">
        <v>25</v>
      </c>
      <c r="D3074" s="2" t="s">
        <v>26</v>
      </c>
      <c r="E3074" s="5">
        <v>-31677</v>
      </c>
      <c r="F3074" s="3" t="s">
        <v>76</v>
      </c>
      <c r="G3074" s="3" t="s">
        <v>28</v>
      </c>
      <c r="H3074" s="2" t="s">
        <v>20</v>
      </c>
      <c r="I3074" s="2" t="s">
        <v>6679</v>
      </c>
      <c r="J3074" s="3" t="str">
        <f>HYPERLINK("https://www.boe.es/gazeta/dias/1813/04/08/pdfs/GRE-1813-43.pdf#page=8","Abrir facsímil")</f>
        <v>Abrir facsímil</v>
      </c>
      <c r="K3074" s="3" t="s">
        <v>22</v>
      </c>
    </row>
    <row r="3075" spans="1:11" ht="42" customHeight="1">
      <c r="A3075" s="2" t="s">
        <v>6680</v>
      </c>
      <c r="B3075" s="2" t="s">
        <v>6681</v>
      </c>
      <c r="C3075" s="2" t="s">
        <v>34</v>
      </c>
      <c r="D3075" s="2" t="s">
        <v>35</v>
      </c>
      <c r="E3075" s="5">
        <v>-31709</v>
      </c>
      <c r="F3075" s="3" t="s">
        <v>36</v>
      </c>
      <c r="G3075" s="3" t="s">
        <v>19</v>
      </c>
      <c r="H3075" s="2" t="s">
        <v>20</v>
      </c>
      <c r="I3075" s="2" t="s">
        <v>6682</v>
      </c>
      <c r="J3075" s="3" t="str">
        <f>HYPERLINK("https://www.boe.es/gazeta/dias/1813/03/07/pdfs/GMD-1813-66.pdf#page=4","Abrir facsímil")</f>
        <v>Abrir facsímil</v>
      </c>
      <c r="K3075" s="3" t="s">
        <v>22</v>
      </c>
    </row>
    <row r="3076" spans="1:11" ht="42" customHeight="1">
      <c r="A3076" s="2" t="s">
        <v>6680</v>
      </c>
      <c r="B3076" s="2" t="s">
        <v>6681</v>
      </c>
      <c r="C3076" s="2" t="s">
        <v>16</v>
      </c>
      <c r="D3076" s="2" t="s">
        <v>17</v>
      </c>
      <c r="E3076" s="5">
        <v>-31511</v>
      </c>
      <c r="F3076" s="3" t="s">
        <v>2149</v>
      </c>
      <c r="G3076" s="3" t="s">
        <v>54</v>
      </c>
      <c r="H3076" s="2" t="s">
        <v>20</v>
      </c>
      <c r="I3076" s="2" t="s">
        <v>6683</v>
      </c>
      <c r="J3076" s="3" t="str">
        <f>HYPERLINK("https://www.boe.es/gazeta/dias/1813/09/21/pdfs/GRE-1813-122.pdf#page=3","Abrir facsímil")</f>
        <v>Abrir facsímil</v>
      </c>
      <c r="K3076" s="3" t="s">
        <v>22</v>
      </c>
    </row>
    <row r="3077" spans="1:11" ht="42" customHeight="1">
      <c r="A3077" s="2" t="s">
        <v>6684</v>
      </c>
      <c r="B3077" s="2" t="s">
        <v>6685</v>
      </c>
      <c r="C3077" s="2" t="s">
        <v>34</v>
      </c>
      <c r="D3077" s="2" t="s">
        <v>35</v>
      </c>
      <c r="E3077" s="5">
        <v>-31416</v>
      </c>
      <c r="F3077" s="3" t="s">
        <v>278</v>
      </c>
      <c r="G3077" s="3" t="s">
        <v>207</v>
      </c>
      <c r="H3077" s="2" t="s">
        <v>20</v>
      </c>
      <c r="I3077" s="2" t="s">
        <v>6686</v>
      </c>
      <c r="J3077" s="3" t="str">
        <f>HYPERLINK("https://www.boe.es/gazeta/dias/1813/12/25/pdfs/GMR-1813-92.pdf#page=10","Abrir facsímil")</f>
        <v>Abrir facsímil</v>
      </c>
      <c r="K3077" s="3" t="s">
        <v>22</v>
      </c>
    </row>
    <row r="3078" spans="1:11" ht="42" customHeight="1">
      <c r="A3078" s="2" t="s">
        <v>6687</v>
      </c>
      <c r="B3078" s="2" t="s">
        <v>6688</v>
      </c>
      <c r="C3078" s="2" t="s">
        <v>16</v>
      </c>
      <c r="D3078" s="2" t="s">
        <v>17</v>
      </c>
      <c r="E3078" s="5">
        <v>-31567</v>
      </c>
      <c r="F3078" s="3" t="s">
        <v>820</v>
      </c>
      <c r="G3078" s="3" t="s">
        <v>821</v>
      </c>
      <c r="H3078" s="2" t="s">
        <v>20</v>
      </c>
      <c r="I3078" s="2" t="s">
        <v>6689</v>
      </c>
      <c r="J3078" s="3" t="str">
        <f>HYPERLINK("https://www.boe.es/gazeta/dias/1813/07/27/pdfs/GMR-1813-21.pdf#page=13","Abrir facsímil")</f>
        <v>Abrir facsímil</v>
      </c>
      <c r="K3078" s="3" t="s">
        <v>22</v>
      </c>
    </row>
    <row r="3079" spans="1:11" ht="42" customHeight="1">
      <c r="A3079" s="2" t="s">
        <v>6690</v>
      </c>
      <c r="B3079" s="2" t="s">
        <v>6690</v>
      </c>
      <c r="C3079" s="2" t="s">
        <v>16</v>
      </c>
      <c r="D3079" s="2" t="s">
        <v>17</v>
      </c>
      <c r="E3079" s="5">
        <v>-31537</v>
      </c>
      <c r="F3079" s="3" t="s">
        <v>138</v>
      </c>
      <c r="G3079" s="3" t="s">
        <v>821</v>
      </c>
      <c r="H3079" s="2" t="s">
        <v>20</v>
      </c>
      <c r="I3079" s="2" t="s">
        <v>6691</v>
      </c>
      <c r="J3079" s="3" t="str">
        <f>HYPERLINK("https://www.boe.es/gazeta/dias/1813/08/26/pdfs/GMR-1813-33.pdf#page=13","Abrir facsímil")</f>
        <v>Abrir facsímil</v>
      </c>
      <c r="K3079" s="3" t="s">
        <v>22</v>
      </c>
    </row>
    <row r="3080" spans="1:11" ht="42" customHeight="1">
      <c r="A3080" s="2" t="s">
        <v>6692</v>
      </c>
      <c r="B3080" s="2" t="s">
        <v>6692</v>
      </c>
      <c r="C3080" s="2" t="s">
        <v>34</v>
      </c>
      <c r="D3080" s="2" t="s">
        <v>35</v>
      </c>
      <c r="E3080" s="5">
        <v>-31638</v>
      </c>
      <c r="F3080" s="3" t="s">
        <v>1635</v>
      </c>
      <c r="G3080" s="3" t="s">
        <v>58</v>
      </c>
      <c r="H3080" s="2" t="s">
        <v>20</v>
      </c>
      <c r="I3080" s="2" t="s">
        <v>6693</v>
      </c>
      <c r="J3080" s="3" t="str">
        <f>HYPERLINK("https://www.boe.es/gazeta/dias/1813/05/17/pdfs/GMD-1813-137.pdf#page=2","Abrir facsímil")</f>
        <v>Abrir facsímil</v>
      </c>
      <c r="K3080" s="3" t="s">
        <v>22</v>
      </c>
    </row>
    <row r="3081" spans="1:11" ht="42" customHeight="1">
      <c r="A3081" s="2" t="s">
        <v>6694</v>
      </c>
      <c r="B3081" s="2" t="s">
        <v>6694</v>
      </c>
      <c r="C3081" s="2" t="s">
        <v>16</v>
      </c>
      <c r="D3081" s="2" t="s">
        <v>17</v>
      </c>
      <c r="E3081" s="5">
        <v>-31582</v>
      </c>
      <c r="F3081" s="3" t="s">
        <v>907</v>
      </c>
      <c r="G3081" s="3" t="s">
        <v>58</v>
      </c>
      <c r="H3081" s="2" t="s">
        <v>20</v>
      </c>
      <c r="I3081" s="2" t="s">
        <v>6695</v>
      </c>
      <c r="J3081" s="3" t="str">
        <f>HYPERLINK("https://www.boe.es/gazeta/dias/1813/07/12/pdfs/GRE-1813-87.pdf#page=2","Abrir facsímil")</f>
        <v>Abrir facsímil</v>
      </c>
      <c r="K3081" s="3" t="s">
        <v>22</v>
      </c>
    </row>
    <row r="3082" spans="1:11" ht="42" customHeight="1">
      <c r="A3082" s="2" t="s">
        <v>6696</v>
      </c>
      <c r="B3082" s="2" t="s">
        <v>6697</v>
      </c>
      <c r="C3082" s="2" t="s">
        <v>16</v>
      </c>
      <c r="D3082" s="2" t="s">
        <v>97</v>
      </c>
      <c r="E3082" s="5">
        <v>-31519</v>
      </c>
      <c r="F3082" s="3" t="s">
        <v>312</v>
      </c>
      <c r="G3082" s="3" t="s">
        <v>28</v>
      </c>
      <c r="H3082" s="2" t="s">
        <v>20</v>
      </c>
      <c r="I3082" s="2" t="s">
        <v>6698</v>
      </c>
      <c r="J3082" s="3" t="str">
        <f>HYPERLINK("https://www.boe.es/gazeta/dias/1813/09/13/pdfs/GRE-1813-118E.pdf#page=8","Abrir facsímil")</f>
        <v>Abrir facsímil</v>
      </c>
      <c r="K3082" s="3" t="s">
        <v>22</v>
      </c>
    </row>
    <row r="3083" spans="1:11" ht="42" customHeight="1">
      <c r="A3083" s="2" t="s">
        <v>6699</v>
      </c>
      <c r="B3083" s="2" t="s">
        <v>6700</v>
      </c>
      <c r="C3083" s="2" t="s">
        <v>25</v>
      </c>
      <c r="D3083" s="2" t="s">
        <v>26</v>
      </c>
      <c r="E3083" s="5">
        <v>-31745</v>
      </c>
      <c r="F3083" s="3" t="s">
        <v>445</v>
      </c>
      <c r="G3083" s="3" t="s">
        <v>475</v>
      </c>
      <c r="H3083" s="2" t="s">
        <v>20</v>
      </c>
      <c r="I3083" s="2" t="s">
        <v>6701</v>
      </c>
      <c r="J3083" s="3" t="str">
        <f>HYPERLINK("https://www.boe.es/gazeta/dias/1813/01/30/pdfs/GRE-1813-13.pdf#page=7","Abrir facsímil")</f>
        <v>Abrir facsímil</v>
      </c>
      <c r="K3083" s="3" t="s">
        <v>22</v>
      </c>
    </row>
    <row r="3084" spans="1:11" ht="42" customHeight="1">
      <c r="A3084" s="2" t="s">
        <v>6702</v>
      </c>
      <c r="B3084" s="2" t="s">
        <v>6703</v>
      </c>
      <c r="C3084" s="2" t="s">
        <v>25</v>
      </c>
      <c r="D3084" s="2" t="s">
        <v>26</v>
      </c>
      <c r="E3084" s="5">
        <v>-31752</v>
      </c>
      <c r="F3084" s="3" t="s">
        <v>182</v>
      </c>
      <c r="G3084" s="3" t="s">
        <v>183</v>
      </c>
      <c r="H3084" s="2" t="s">
        <v>20</v>
      </c>
      <c r="I3084" s="2" t="s">
        <v>6704</v>
      </c>
      <c r="J3084" s="3" t="str">
        <f>HYPERLINK("https://www.boe.es/gazeta/dias/1813/01/23/pdfs/GRE-1813-10.pdf#page=8","Abrir facsímil")</f>
        <v>Abrir facsímil</v>
      </c>
      <c r="K3084" s="3" t="s">
        <v>22</v>
      </c>
    </row>
    <row r="3085" spans="1:11" ht="42" customHeight="1">
      <c r="A3085" s="2" t="s">
        <v>6705</v>
      </c>
      <c r="B3085" s="2" t="s">
        <v>6705</v>
      </c>
      <c r="C3085" s="2" t="s">
        <v>16</v>
      </c>
      <c r="D3085" s="2" t="s">
        <v>17</v>
      </c>
      <c r="E3085" s="5">
        <v>-31544</v>
      </c>
      <c r="F3085" s="3" t="s">
        <v>200</v>
      </c>
      <c r="G3085" s="3" t="s">
        <v>82</v>
      </c>
      <c r="H3085" s="2" t="s">
        <v>20</v>
      </c>
      <c r="I3085" s="2" t="s">
        <v>6706</v>
      </c>
      <c r="J3085" s="3" t="str">
        <f>HYPERLINK("https://www.boe.es/gazeta/dias/1813/08/19/pdfs/GRE-1813-106.pdf#page=5","Abrir facsímil")</f>
        <v>Abrir facsímil</v>
      </c>
      <c r="K3085" s="3" t="s">
        <v>22</v>
      </c>
    </row>
    <row r="3086" spans="1:11" ht="42" customHeight="1">
      <c r="A3086" s="2" t="s">
        <v>6707</v>
      </c>
      <c r="B3086" s="2" t="s">
        <v>6707</v>
      </c>
      <c r="C3086" s="2" t="s">
        <v>25</v>
      </c>
      <c r="D3086" s="2" t="s">
        <v>26</v>
      </c>
      <c r="E3086" s="5">
        <v>-31483</v>
      </c>
      <c r="F3086" s="3" t="s">
        <v>1292</v>
      </c>
      <c r="G3086" s="3" t="s">
        <v>65</v>
      </c>
      <c r="H3086" s="2" t="s">
        <v>20</v>
      </c>
      <c r="I3086" s="2" t="s">
        <v>6708</v>
      </c>
      <c r="J3086" s="3" t="str">
        <f>HYPERLINK("https://www.boe.es/gazeta/dias/1813/10/19/pdfs/GMR-1813-61.pdf#page=1","Abrir facsímil")</f>
        <v>Abrir facsímil</v>
      </c>
      <c r="K3086" s="3" t="s">
        <v>22</v>
      </c>
    </row>
    <row r="3087" spans="1:11" ht="42" customHeight="1">
      <c r="A3087" s="2" t="s">
        <v>6709</v>
      </c>
      <c r="B3087" s="2" t="s">
        <v>6709</v>
      </c>
      <c r="C3087" s="2" t="s">
        <v>16</v>
      </c>
      <c r="D3087" s="2" t="s">
        <v>17</v>
      </c>
      <c r="E3087" s="5">
        <v>-31654</v>
      </c>
      <c r="F3087" s="3" t="s">
        <v>1519</v>
      </c>
      <c r="G3087" s="3" t="s">
        <v>2146</v>
      </c>
      <c r="H3087" s="2" t="s">
        <v>20</v>
      </c>
      <c r="I3087" s="2" t="s">
        <v>6710</v>
      </c>
      <c r="J3087" s="3" t="str">
        <f>HYPERLINK("https://www.boe.es/gazeta/dias/1813/05/01/pdfs/GRE-1813-54.pdf#page=7","Abrir facsímil")</f>
        <v>Abrir facsímil</v>
      </c>
      <c r="K3087" s="3" t="s">
        <v>22</v>
      </c>
    </row>
    <row r="3088" spans="1:11" ht="42" customHeight="1">
      <c r="A3088" s="2" t="s">
        <v>6709</v>
      </c>
      <c r="B3088" s="2" t="s">
        <v>6709</v>
      </c>
      <c r="C3088" s="2" t="s">
        <v>16</v>
      </c>
      <c r="D3088" s="2" t="s">
        <v>17</v>
      </c>
      <c r="E3088" s="5">
        <v>-31635</v>
      </c>
      <c r="F3088" s="3" t="s">
        <v>2173</v>
      </c>
      <c r="G3088" s="3" t="s">
        <v>6711</v>
      </c>
      <c r="H3088" s="2" t="s">
        <v>20</v>
      </c>
      <c r="I3088" s="2" t="s">
        <v>6712</v>
      </c>
      <c r="J3088" s="3" t="str">
        <f>HYPERLINK("https://www.boe.es/gazeta/dias/1813/05/20/pdfs/GRE-1813-62.pdf#page=3","Abrir facsímil")</f>
        <v>Abrir facsímil</v>
      </c>
      <c r="K3088" s="3" t="s">
        <v>22</v>
      </c>
    </row>
    <row r="3089" spans="1:11" ht="42" customHeight="1">
      <c r="A3089" s="2" t="s">
        <v>6709</v>
      </c>
      <c r="B3089" s="2" t="s">
        <v>6709</v>
      </c>
      <c r="C3089" s="2" t="s">
        <v>16</v>
      </c>
      <c r="D3089" s="2" t="s">
        <v>17</v>
      </c>
      <c r="E3089" s="5">
        <v>-31581</v>
      </c>
      <c r="F3089" s="3" t="s">
        <v>3599</v>
      </c>
      <c r="G3089" s="3" t="s">
        <v>95</v>
      </c>
      <c r="H3089" s="2" t="s">
        <v>20</v>
      </c>
      <c r="I3089" s="2" t="s">
        <v>6713</v>
      </c>
      <c r="J3089" s="3" t="str">
        <f>HYPERLINK("https://www.boe.es/gazeta/dias/1813/07/13/pdfs/GRE-1813-88.pdf#page=6","Abrir facsímil")</f>
        <v>Abrir facsímil</v>
      </c>
      <c r="K3089" s="3" t="s">
        <v>22</v>
      </c>
    </row>
    <row r="3090" spans="1:11" ht="42" customHeight="1">
      <c r="A3090" s="2" t="s">
        <v>6714</v>
      </c>
      <c r="B3090" s="2" t="s">
        <v>6714</v>
      </c>
      <c r="C3090" s="2" t="s">
        <v>16</v>
      </c>
      <c r="D3090" s="2" t="s">
        <v>17</v>
      </c>
      <c r="E3090" s="5">
        <v>-31523</v>
      </c>
      <c r="F3090" s="3" t="s">
        <v>2140</v>
      </c>
      <c r="G3090" s="3" t="s">
        <v>19</v>
      </c>
      <c r="H3090" s="2" t="s">
        <v>20</v>
      </c>
      <c r="I3090" s="2" t="s">
        <v>6715</v>
      </c>
      <c r="J3090" s="3" t="str">
        <f>HYPERLINK("https://www.boe.es/gazeta/dias/1813/09/09/pdfs/GMR-1813-40.pdf#page=4","Abrir facsímil")</f>
        <v>Abrir facsímil</v>
      </c>
      <c r="K3090" s="3" t="s">
        <v>22</v>
      </c>
    </row>
    <row r="3091" spans="1:11" ht="42" customHeight="1">
      <c r="A3091" s="2" t="s">
        <v>6716</v>
      </c>
      <c r="B3091" s="2" t="s">
        <v>6717</v>
      </c>
      <c r="C3091" s="2" t="s">
        <v>16</v>
      </c>
      <c r="D3091" s="2" t="s">
        <v>17</v>
      </c>
      <c r="E3091" s="5">
        <v>-31565</v>
      </c>
      <c r="F3091" s="3" t="s">
        <v>306</v>
      </c>
      <c r="G3091" s="3" t="s">
        <v>95</v>
      </c>
      <c r="H3091" s="2" t="s">
        <v>20</v>
      </c>
      <c r="I3091" s="2" t="s">
        <v>6718</v>
      </c>
      <c r="J3091" s="3" t="str">
        <f>HYPERLINK("https://www.boe.es/gazeta/dias/1813/07/29/pdfs/GRE-1813-96.pdf#page=6","Abrir facsímil")</f>
        <v>Abrir facsímil</v>
      </c>
      <c r="K3091" s="3" t="s">
        <v>22</v>
      </c>
    </row>
    <row r="3092" spans="1:11" ht="42" customHeight="1">
      <c r="A3092" s="2" t="s">
        <v>6719</v>
      </c>
      <c r="B3092" s="2" t="s">
        <v>6719</v>
      </c>
      <c r="C3092" s="2" t="s">
        <v>16</v>
      </c>
      <c r="D3092" s="2" t="s">
        <v>17</v>
      </c>
      <c r="E3092" s="5">
        <v>-31641</v>
      </c>
      <c r="F3092" s="3" t="s">
        <v>6522</v>
      </c>
      <c r="G3092" s="3" t="s">
        <v>19</v>
      </c>
      <c r="H3092" s="2" t="s">
        <v>20</v>
      </c>
      <c r="I3092" s="2" t="s">
        <v>6720</v>
      </c>
      <c r="J3092" s="3" t="str">
        <f>HYPERLINK("https://www.boe.es/gazeta/dias/1813/05/14/pdfs/GMD-1813-134.pdf#page=4","Abrir facsímil")</f>
        <v>Abrir facsímil</v>
      </c>
      <c r="K3092" s="3" t="s">
        <v>22</v>
      </c>
    </row>
    <row r="3093" spans="1:11" ht="42" customHeight="1">
      <c r="A3093" s="2" t="s">
        <v>6721</v>
      </c>
      <c r="B3093" s="2" t="s">
        <v>6722</v>
      </c>
      <c r="C3093" s="2" t="s">
        <v>25</v>
      </c>
      <c r="D3093" s="2" t="s">
        <v>26</v>
      </c>
      <c r="E3093" s="5">
        <v>-31675</v>
      </c>
      <c r="F3093" s="3" t="s">
        <v>27</v>
      </c>
      <c r="G3093" s="3" t="s">
        <v>648</v>
      </c>
      <c r="H3093" s="2" t="s">
        <v>20</v>
      </c>
      <c r="I3093" s="2" t="s">
        <v>6723</v>
      </c>
      <c r="J3093" s="3" t="str">
        <f>HYPERLINK("https://www.boe.es/gazeta/dias/1813/04/10/pdfs/GRE-1813-44.pdf#page=7","Abrir facsímil")</f>
        <v>Abrir facsímil</v>
      </c>
      <c r="K3093" s="3" t="s">
        <v>22</v>
      </c>
    </row>
    <row r="3094" spans="1:11" ht="42" customHeight="1">
      <c r="A3094" s="2" t="s">
        <v>6724</v>
      </c>
      <c r="B3094" s="2" t="s">
        <v>6725</v>
      </c>
      <c r="C3094" s="2" t="s">
        <v>16</v>
      </c>
      <c r="D3094" s="2" t="s">
        <v>17</v>
      </c>
      <c r="E3094" s="5">
        <v>-31635</v>
      </c>
      <c r="F3094" s="3" t="s">
        <v>2173</v>
      </c>
      <c r="G3094" s="3" t="s">
        <v>4157</v>
      </c>
      <c r="H3094" s="2" t="s">
        <v>20</v>
      </c>
      <c r="I3094" s="2" t="s">
        <v>6726</v>
      </c>
      <c r="J3094" s="3" t="str">
        <f>HYPERLINK("https://www.boe.es/gazeta/dias/1813/05/20/pdfs/GRE-1813-62.pdf#page=4","Abrir facsímil")</f>
        <v>Abrir facsímil</v>
      </c>
      <c r="K3094" s="3" t="s">
        <v>22</v>
      </c>
    </row>
    <row r="3095" spans="1:11" ht="42" customHeight="1">
      <c r="A3095" s="2" t="s">
        <v>6727</v>
      </c>
      <c r="B3095" s="2" t="s">
        <v>6728</v>
      </c>
      <c r="C3095" s="2" t="s">
        <v>16</v>
      </c>
      <c r="D3095" s="2" t="s">
        <v>17</v>
      </c>
      <c r="E3095" s="5">
        <v>-31592</v>
      </c>
      <c r="F3095" s="3" t="s">
        <v>1538</v>
      </c>
      <c r="G3095" s="3" t="s">
        <v>207</v>
      </c>
      <c r="H3095" s="2" t="s">
        <v>20</v>
      </c>
      <c r="I3095" s="2" t="s">
        <v>6729</v>
      </c>
      <c r="J3095" s="3" t="str">
        <f>HYPERLINK("https://www.boe.es/gazeta/dias/1813/07/02/pdfs/GMR-1813-14.pdf#page=10","Abrir facsímil")</f>
        <v>Abrir facsímil</v>
      </c>
      <c r="K3095" s="3" t="s">
        <v>22</v>
      </c>
    </row>
    <row r="3096" spans="1:11" ht="42" customHeight="1">
      <c r="A3096" s="2" t="s">
        <v>6730</v>
      </c>
      <c r="B3096" s="2" t="s">
        <v>6730</v>
      </c>
      <c r="C3096" s="2" t="s">
        <v>16</v>
      </c>
      <c r="D3096" s="2" t="s">
        <v>17</v>
      </c>
      <c r="E3096" s="5">
        <v>-31612</v>
      </c>
      <c r="F3096" s="3" t="s">
        <v>5784</v>
      </c>
      <c r="G3096" s="3" t="s">
        <v>95</v>
      </c>
      <c r="H3096" s="2" t="s">
        <v>20</v>
      </c>
      <c r="I3096" s="2" t="s">
        <v>6731</v>
      </c>
      <c r="J3096" s="3" t="str">
        <f>HYPERLINK("https://www.boe.es/gazeta/dias/1813/06/12/pdfs/GRE-1813-73.pdf#page=6","Abrir facsímil")</f>
        <v>Abrir facsímil</v>
      </c>
      <c r="K3096" s="3" t="s">
        <v>22</v>
      </c>
    </row>
    <row r="3097" spans="1:11" ht="42" customHeight="1">
      <c r="A3097" s="2" t="s">
        <v>6730</v>
      </c>
      <c r="B3097" s="2" t="s">
        <v>6730</v>
      </c>
      <c r="C3097" s="2" t="s">
        <v>16</v>
      </c>
      <c r="D3097" s="2" t="s">
        <v>17</v>
      </c>
      <c r="E3097" s="5">
        <v>-31542</v>
      </c>
      <c r="F3097" s="3" t="s">
        <v>337</v>
      </c>
      <c r="G3097" s="3" t="s">
        <v>95</v>
      </c>
      <c r="H3097" s="2" t="s">
        <v>20</v>
      </c>
      <c r="I3097" s="2" t="s">
        <v>6732</v>
      </c>
      <c r="J3097" s="3" t="str">
        <f>HYPERLINK("https://www.boe.es/gazeta/dias/1813/08/21/pdfs/GRE-1813-107.pdf#page=6","Abrir facsímil")</f>
        <v>Abrir facsímil</v>
      </c>
      <c r="K3097" s="3" t="s">
        <v>22</v>
      </c>
    </row>
    <row r="3098" spans="1:11" ht="42" customHeight="1">
      <c r="A3098" s="2" t="s">
        <v>6733</v>
      </c>
      <c r="B3098" s="2" t="s">
        <v>6734</v>
      </c>
      <c r="C3098" s="2" t="s">
        <v>16</v>
      </c>
      <c r="D3098" s="2" t="s">
        <v>17</v>
      </c>
      <c r="E3098" s="5">
        <v>-31612</v>
      </c>
      <c r="F3098" s="3" t="s">
        <v>5784</v>
      </c>
      <c r="G3098" s="3" t="s">
        <v>95</v>
      </c>
      <c r="H3098" s="2" t="s">
        <v>20</v>
      </c>
      <c r="I3098" s="2" t="s">
        <v>6735</v>
      </c>
      <c r="J3098" s="3" t="str">
        <f>HYPERLINK("https://www.boe.es/gazeta/dias/1813/06/12/pdfs/GRE-1813-73.pdf#page=6","Abrir facsímil")</f>
        <v>Abrir facsímil</v>
      </c>
      <c r="K3098" s="3" t="s">
        <v>22</v>
      </c>
    </row>
    <row r="3099" spans="1:11" ht="42" customHeight="1">
      <c r="A3099" s="2" t="s">
        <v>6733</v>
      </c>
      <c r="B3099" s="2" t="s">
        <v>6734</v>
      </c>
      <c r="C3099" s="2" t="s">
        <v>25</v>
      </c>
      <c r="D3099" s="2" t="s">
        <v>26</v>
      </c>
      <c r="E3099" s="5">
        <v>-31592</v>
      </c>
      <c r="F3099" s="3" t="s">
        <v>1538</v>
      </c>
      <c r="G3099" s="3" t="s">
        <v>313</v>
      </c>
      <c r="H3099" s="2" t="s">
        <v>20</v>
      </c>
      <c r="I3099" s="2" t="s">
        <v>6736</v>
      </c>
      <c r="J3099" s="3" t="str">
        <f>HYPERLINK("https://www.boe.es/gazeta/dias/1813/07/02/pdfs/GMR-1813-14.pdf#page=9","Abrir facsímil")</f>
        <v>Abrir facsímil</v>
      </c>
      <c r="K3099" s="3" t="s">
        <v>22</v>
      </c>
    </row>
    <row r="3100" spans="1:11" ht="42" customHeight="1">
      <c r="A3100" s="2" t="s">
        <v>6733</v>
      </c>
      <c r="B3100" s="2" t="s">
        <v>6734</v>
      </c>
      <c r="C3100" s="2" t="s">
        <v>16</v>
      </c>
      <c r="D3100" s="2" t="s">
        <v>17</v>
      </c>
      <c r="E3100" s="5">
        <v>-31586</v>
      </c>
      <c r="F3100" s="3" t="s">
        <v>2807</v>
      </c>
      <c r="G3100" s="3" t="s">
        <v>28</v>
      </c>
      <c r="H3100" s="2" t="s">
        <v>20</v>
      </c>
      <c r="I3100" s="2" t="s">
        <v>6737</v>
      </c>
      <c r="J3100" s="3" t="str">
        <f>HYPERLINK("https://www.boe.es/gazeta/dias/1813/07/08/pdfs/GRE-1813-85.pdf#page=8","Abrir facsímil")</f>
        <v>Abrir facsímil</v>
      </c>
      <c r="K3100" s="3" t="s">
        <v>22</v>
      </c>
    </row>
    <row r="3101" spans="1:11" ht="42" customHeight="1">
      <c r="A3101" s="2" t="s">
        <v>6738</v>
      </c>
      <c r="B3101" s="2" t="s">
        <v>6738</v>
      </c>
      <c r="C3101" s="2" t="s">
        <v>16</v>
      </c>
      <c r="D3101" s="2" t="s">
        <v>17</v>
      </c>
      <c r="E3101" s="5">
        <v>-31658</v>
      </c>
      <c r="F3101" s="3" t="s">
        <v>1113</v>
      </c>
      <c r="G3101" s="3" t="s">
        <v>4027</v>
      </c>
      <c r="H3101" s="2" t="s">
        <v>20</v>
      </c>
      <c r="I3101" s="2" t="s">
        <v>6739</v>
      </c>
      <c r="J3101" s="3" t="str">
        <f>HYPERLINK("https://www.boe.es/gazeta/dias/1813/04/27/pdfs/GRE-1813-52.pdf#page=6","Abrir facsímil")</f>
        <v>Abrir facsímil</v>
      </c>
      <c r="K3101" s="3" t="s">
        <v>22</v>
      </c>
    </row>
    <row r="3102" spans="1:11" ht="42" customHeight="1">
      <c r="A3102" s="2" t="s">
        <v>6738</v>
      </c>
      <c r="B3102" s="2" t="s">
        <v>6738</v>
      </c>
      <c r="C3102" s="2" t="s">
        <v>16</v>
      </c>
      <c r="D3102" s="2" t="s">
        <v>17</v>
      </c>
      <c r="E3102" s="5">
        <v>-31642</v>
      </c>
      <c r="F3102" s="3" t="s">
        <v>582</v>
      </c>
      <c r="G3102" s="3" t="s">
        <v>6740</v>
      </c>
      <c r="H3102" s="2" t="s">
        <v>20</v>
      </c>
      <c r="I3102" s="2" t="s">
        <v>6741</v>
      </c>
      <c r="J3102" s="3" t="str">
        <f>HYPERLINK("https://www.boe.es/gazeta/dias/1813/05/13/pdfs/GRE-1813-59.pdf#page=4","Abrir facsímil")</f>
        <v>Abrir facsímil</v>
      </c>
      <c r="K3102" s="3" t="s">
        <v>22</v>
      </c>
    </row>
    <row r="3103" spans="1:11" ht="42" customHeight="1">
      <c r="A3103" s="2" t="s">
        <v>6738</v>
      </c>
      <c r="B3103" s="2" t="s">
        <v>6738</v>
      </c>
      <c r="C3103" s="2" t="s">
        <v>16</v>
      </c>
      <c r="D3103" s="2" t="s">
        <v>17</v>
      </c>
      <c r="E3103" s="5">
        <v>-31560</v>
      </c>
      <c r="F3103" s="3" t="s">
        <v>1233</v>
      </c>
      <c r="G3103" s="3" t="s">
        <v>95</v>
      </c>
      <c r="H3103" s="2" t="s">
        <v>20</v>
      </c>
      <c r="I3103" s="2" t="s">
        <v>6742</v>
      </c>
      <c r="J3103" s="3" t="str">
        <f>HYPERLINK("https://www.boe.es/gazeta/dias/1813/08/03/pdfs/GMR-1813-23.pdf#page=6","Abrir facsímil")</f>
        <v>Abrir facsímil</v>
      </c>
      <c r="K3103" s="3" t="s">
        <v>22</v>
      </c>
    </row>
    <row r="3104" spans="1:11" ht="42" customHeight="1">
      <c r="A3104" s="2" t="s">
        <v>6743</v>
      </c>
      <c r="B3104" s="2" t="s">
        <v>6743</v>
      </c>
      <c r="C3104" s="2" t="s">
        <v>16</v>
      </c>
      <c r="D3104" s="2" t="s">
        <v>17</v>
      </c>
      <c r="E3104" s="5">
        <v>-31570</v>
      </c>
      <c r="F3104" s="3" t="s">
        <v>1803</v>
      </c>
      <c r="G3104" s="3" t="s">
        <v>28</v>
      </c>
      <c r="H3104" s="2" t="s">
        <v>20</v>
      </c>
      <c r="I3104" s="2" t="s">
        <v>6744</v>
      </c>
      <c r="J3104" s="3" t="str">
        <f>HYPERLINK("https://www.boe.es/gazeta/dias/1813/07/24/pdfs/GRE-1813-94.pdf#page=8","Abrir facsímil")</f>
        <v>Abrir facsímil</v>
      </c>
      <c r="K3104" s="3" t="s">
        <v>22</v>
      </c>
    </row>
    <row r="3105" spans="1:11" ht="42" customHeight="1">
      <c r="A3105" s="2" t="s">
        <v>6745</v>
      </c>
      <c r="B3105" s="2" t="s">
        <v>6745</v>
      </c>
      <c r="C3105" s="2" t="s">
        <v>16</v>
      </c>
      <c r="D3105" s="2" t="s">
        <v>17</v>
      </c>
      <c r="E3105" s="5">
        <v>-31586</v>
      </c>
      <c r="F3105" s="3" t="s">
        <v>2807</v>
      </c>
      <c r="G3105" s="3" t="s">
        <v>87</v>
      </c>
      <c r="H3105" s="2" t="s">
        <v>20</v>
      </c>
      <c r="I3105" s="2" t="s">
        <v>6746</v>
      </c>
      <c r="J3105" s="3" t="str">
        <f>HYPERLINK("https://www.boe.es/gazeta/dias/1813/07/08/pdfs/GRE-1813-85.pdf#page=7","Abrir facsímil")</f>
        <v>Abrir facsímil</v>
      </c>
      <c r="K3105" s="3" t="s">
        <v>22</v>
      </c>
    </row>
    <row r="3106" spans="1:11" ht="42" customHeight="1">
      <c r="A3106" s="2" t="s">
        <v>6747</v>
      </c>
      <c r="B3106" s="2" t="s">
        <v>6747</v>
      </c>
      <c r="C3106" s="2" t="s">
        <v>16</v>
      </c>
      <c r="D3106" s="2" t="s">
        <v>17</v>
      </c>
      <c r="E3106" s="5">
        <v>-31516</v>
      </c>
      <c r="F3106" s="3" t="s">
        <v>1685</v>
      </c>
      <c r="G3106" s="3" t="s">
        <v>2625</v>
      </c>
      <c r="H3106" s="2" t="s">
        <v>20</v>
      </c>
      <c r="I3106" s="2" t="s">
        <v>6748</v>
      </c>
      <c r="J3106" s="3" t="str">
        <f>HYPERLINK("https://www.boe.es/gazeta/dias/1813/09/16/pdfs/GRE-1813-120.pdf#page=8","Abrir facsímil")</f>
        <v>Abrir facsímil</v>
      </c>
      <c r="K3106" s="3" t="s">
        <v>22</v>
      </c>
    </row>
    <row r="3107" spans="1:11" ht="42" customHeight="1">
      <c r="A3107" s="2" t="s">
        <v>6749</v>
      </c>
      <c r="B3107" s="2" t="s">
        <v>6749</v>
      </c>
      <c r="C3107" s="2" t="s">
        <v>16</v>
      </c>
      <c r="D3107" s="2" t="s">
        <v>17</v>
      </c>
      <c r="E3107" s="5">
        <v>-31714</v>
      </c>
      <c r="F3107" s="3" t="s">
        <v>479</v>
      </c>
      <c r="G3107" s="3" t="s">
        <v>19</v>
      </c>
      <c r="H3107" s="2" t="s">
        <v>20</v>
      </c>
      <c r="I3107" s="2" t="s">
        <v>6750</v>
      </c>
      <c r="J3107" s="3" t="str">
        <f>HYPERLINK("https://www.boe.es/gazeta/dias/1813/03/02/pdfs/GRE-1813-27.pdf#page=4","Abrir facsímil")</f>
        <v>Abrir facsímil</v>
      </c>
      <c r="K3107" s="3" t="s">
        <v>22</v>
      </c>
    </row>
    <row r="3108" spans="1:11" ht="42" customHeight="1">
      <c r="A3108" s="2" t="s">
        <v>6751</v>
      </c>
      <c r="B3108" s="2" t="s">
        <v>6752</v>
      </c>
      <c r="C3108" s="2" t="s">
        <v>16</v>
      </c>
      <c r="D3108" s="2" t="s">
        <v>17</v>
      </c>
      <c r="E3108" s="5">
        <v>-31588</v>
      </c>
      <c r="F3108" s="3" t="s">
        <v>1535</v>
      </c>
      <c r="G3108" s="3" t="s">
        <v>71</v>
      </c>
      <c r="H3108" s="2" t="s">
        <v>20</v>
      </c>
      <c r="I3108" s="2" t="s">
        <v>6753</v>
      </c>
      <c r="J3108" s="3" t="str">
        <f>HYPERLINK("https://www.boe.es/gazeta/dias/1813/07/06/pdfs/GMR-1813-15.pdf#page=16","Abrir facsímil")</f>
        <v>Abrir facsímil</v>
      </c>
      <c r="K3108" s="3" t="s">
        <v>22</v>
      </c>
    </row>
    <row r="3109" spans="1:11" ht="42" customHeight="1">
      <c r="A3109" s="2" t="s">
        <v>6754</v>
      </c>
      <c r="B3109" s="2" t="s">
        <v>6755</v>
      </c>
      <c r="C3109" s="2" t="s">
        <v>16</v>
      </c>
      <c r="D3109" s="2" t="s">
        <v>97</v>
      </c>
      <c r="E3109" s="5">
        <v>-31716</v>
      </c>
      <c r="F3109" s="3" t="s">
        <v>6756</v>
      </c>
      <c r="G3109" s="3" t="s">
        <v>5250</v>
      </c>
      <c r="H3109" s="2" t="s">
        <v>20</v>
      </c>
      <c r="I3109" s="2" t="s">
        <v>6757</v>
      </c>
      <c r="J3109" s="3" t="str">
        <f>HYPERLINK("https://www.boe.es/gazeta/dias/1813/02/28/pdfs/GRE-1813-26E.pdf#page=2","Abrir facsímil")</f>
        <v>Abrir facsímil</v>
      </c>
      <c r="K3109" s="3" t="s">
        <v>22</v>
      </c>
    </row>
    <row r="3110" spans="1:11" ht="42" customHeight="1">
      <c r="A3110" s="2" t="s">
        <v>6758</v>
      </c>
      <c r="B3110" s="2" t="s">
        <v>6759</v>
      </c>
      <c r="C3110" s="2" t="s">
        <v>16</v>
      </c>
      <c r="D3110" s="2" t="s">
        <v>17</v>
      </c>
      <c r="E3110" s="5">
        <v>-31486</v>
      </c>
      <c r="F3110" s="3" t="s">
        <v>597</v>
      </c>
      <c r="G3110" s="3" t="s">
        <v>58</v>
      </c>
      <c r="H3110" s="2" t="s">
        <v>20</v>
      </c>
      <c r="I3110" s="2" t="s">
        <v>6760</v>
      </c>
      <c r="J3110" s="3" t="str">
        <f>HYPERLINK("https://www.boe.es/gazeta/dias/1813/10/16/pdfs/GRE-1813-135.pdf#page=2","Abrir facsímil")</f>
        <v>Abrir facsímil</v>
      </c>
      <c r="K3110" s="3" t="s">
        <v>22</v>
      </c>
    </row>
    <row r="3111" spans="1:11" ht="42" customHeight="1">
      <c r="A3111" s="2" t="s">
        <v>6761</v>
      </c>
      <c r="B3111" s="2" t="s">
        <v>6761</v>
      </c>
      <c r="C3111" s="2" t="s">
        <v>187</v>
      </c>
      <c r="D3111" s="2" t="s">
        <v>26</v>
      </c>
      <c r="E3111" s="5">
        <v>-31556</v>
      </c>
      <c r="F3111" s="3" t="s">
        <v>118</v>
      </c>
      <c r="G3111" s="3" t="s">
        <v>28</v>
      </c>
      <c r="H3111" s="2" t="s">
        <v>20</v>
      </c>
      <c r="I3111" s="2" t="s">
        <v>6762</v>
      </c>
      <c r="J3111" s="3" t="str">
        <f>HYPERLINK("https://www.boe.es/gazeta/dias/1813/08/07/pdfs/GMR-1813-25.pdf#page=8","Abrir facsímil")</f>
        <v>Abrir facsímil</v>
      </c>
      <c r="K3111" s="3" t="s">
        <v>22</v>
      </c>
    </row>
    <row r="3112" spans="1:11" ht="42" customHeight="1">
      <c r="A3112" s="2" t="s">
        <v>6761</v>
      </c>
      <c r="B3112" s="2" t="s">
        <v>6761</v>
      </c>
      <c r="C3112" s="2" t="s">
        <v>435</v>
      </c>
      <c r="D3112" s="2" t="s">
        <v>26</v>
      </c>
      <c r="E3112" s="5">
        <v>-31444</v>
      </c>
      <c r="F3112" s="3" t="s">
        <v>2451</v>
      </c>
      <c r="G3112" s="3" t="s">
        <v>5372</v>
      </c>
      <c r="H3112" s="2" t="s">
        <v>20</v>
      </c>
      <c r="I3112" s="2" t="s">
        <v>6763</v>
      </c>
      <c r="J3112" s="3" t="str">
        <f>HYPERLINK("https://www.boe.es/gazeta/dias/1813/11/27/pdfs/GRE-1813-157.pdf#page=5","Abrir facsímil")</f>
        <v>Abrir facsímil</v>
      </c>
      <c r="K3112" s="3" t="s">
        <v>22</v>
      </c>
    </row>
    <row r="3113" spans="1:11" ht="42" customHeight="1">
      <c r="A3113" s="2" t="s">
        <v>6761</v>
      </c>
      <c r="B3113" s="2" t="s">
        <v>6761</v>
      </c>
      <c r="C3113" s="2" t="s">
        <v>16</v>
      </c>
      <c r="D3113" s="2" t="s">
        <v>17</v>
      </c>
      <c r="E3113" s="5">
        <v>-31430</v>
      </c>
      <c r="F3113" s="3" t="s">
        <v>1161</v>
      </c>
      <c r="G3113" s="3" t="s">
        <v>28</v>
      </c>
      <c r="H3113" s="2" t="s">
        <v>20</v>
      </c>
      <c r="I3113" s="2" t="s">
        <v>6764</v>
      </c>
      <c r="J3113" s="3" t="str">
        <f>HYPERLINK("https://www.boe.es/gazeta/dias/1813/12/11/pdfs/GMR-1813-86.pdf#page=8","Abrir facsímil")</f>
        <v>Abrir facsímil</v>
      </c>
      <c r="K3113" s="3" t="s">
        <v>22</v>
      </c>
    </row>
    <row r="3114" spans="1:11" ht="42" customHeight="1">
      <c r="A3114" s="2" t="s">
        <v>6765</v>
      </c>
      <c r="B3114" s="2" t="s">
        <v>6766</v>
      </c>
      <c r="C3114" s="2" t="s">
        <v>16</v>
      </c>
      <c r="D3114" s="2" t="s">
        <v>17</v>
      </c>
      <c r="E3114" s="5">
        <v>-31684</v>
      </c>
      <c r="F3114" s="3" t="s">
        <v>427</v>
      </c>
      <c r="G3114" s="3" t="s">
        <v>1123</v>
      </c>
      <c r="H3114" s="2" t="s">
        <v>20</v>
      </c>
      <c r="I3114" s="2" t="s">
        <v>6767</v>
      </c>
      <c r="J3114" s="3" t="str">
        <f>HYPERLINK("https://www.boe.es/gazeta/dias/1813/04/01/pdfs/GRE-1813-40.pdf#page=8","Abrir facsímil")</f>
        <v>Abrir facsímil</v>
      </c>
      <c r="K3114" s="3" t="s">
        <v>22</v>
      </c>
    </row>
    <row r="3115" spans="1:11" ht="42" customHeight="1">
      <c r="A3115" s="2" t="s">
        <v>6768</v>
      </c>
      <c r="B3115" s="2" t="s">
        <v>6769</v>
      </c>
      <c r="C3115" s="2" t="s">
        <v>16</v>
      </c>
      <c r="D3115" s="2" t="s">
        <v>17</v>
      </c>
      <c r="E3115" s="5">
        <v>-31675</v>
      </c>
      <c r="F3115" s="3" t="s">
        <v>27</v>
      </c>
      <c r="G3115" s="3" t="s">
        <v>648</v>
      </c>
      <c r="H3115" s="2" t="s">
        <v>20</v>
      </c>
      <c r="I3115" s="2" t="s">
        <v>6770</v>
      </c>
      <c r="J3115" s="3" t="str">
        <f>HYPERLINK("https://www.boe.es/gazeta/dias/1813/04/10/pdfs/GRE-1813-44.pdf#page=7","Abrir facsímil")</f>
        <v>Abrir facsímil</v>
      </c>
      <c r="K3115" s="3" t="s">
        <v>22</v>
      </c>
    </row>
    <row r="3116" spans="1:11" ht="42" customHeight="1">
      <c r="A3116" s="2" t="s">
        <v>6771</v>
      </c>
      <c r="B3116" s="2" t="s">
        <v>6772</v>
      </c>
      <c r="C3116" s="2" t="s">
        <v>277</v>
      </c>
      <c r="D3116" s="2" t="s">
        <v>26</v>
      </c>
      <c r="E3116" s="5">
        <v>-31719</v>
      </c>
      <c r="F3116" s="3" t="s">
        <v>251</v>
      </c>
      <c r="G3116" s="3" t="s">
        <v>19</v>
      </c>
      <c r="H3116" s="2" t="s">
        <v>20</v>
      </c>
      <c r="I3116" s="2" t="s">
        <v>6773</v>
      </c>
      <c r="J3116" s="3" t="str">
        <f>HYPERLINK("https://www.boe.es/gazeta/dias/1813/02/25/pdfs/GMD-1813-56.pdf#page=4","Abrir facsímil")</f>
        <v>Abrir facsímil</v>
      </c>
      <c r="K3116" s="3" t="s">
        <v>22</v>
      </c>
    </row>
    <row r="3117" spans="1:11" ht="42" customHeight="1">
      <c r="A3117" s="2" t="s">
        <v>6774</v>
      </c>
      <c r="B3117" s="2" t="s">
        <v>6775</v>
      </c>
      <c r="C3117" s="2" t="s">
        <v>16</v>
      </c>
      <c r="D3117" s="2" t="s">
        <v>17</v>
      </c>
      <c r="E3117" s="5">
        <v>-31502</v>
      </c>
      <c r="F3117" s="3" t="s">
        <v>1363</v>
      </c>
      <c r="G3117" s="3" t="s">
        <v>82</v>
      </c>
      <c r="H3117" s="2" t="s">
        <v>29</v>
      </c>
      <c r="I3117" s="2" t="s">
        <v>6776</v>
      </c>
      <c r="J3117" s="3" t="str">
        <f>HYPERLINK("https://www.boe.es/gazeta/dias/1813/09/30/pdfs/GRE-1813-128.pdf#page=5","Abrir facsímil")</f>
        <v>Abrir facsímil</v>
      </c>
      <c r="K3117" s="3" t="s">
        <v>31</v>
      </c>
    </row>
    <row r="3118" spans="1:11" ht="42" customHeight="1">
      <c r="A3118" s="2" t="s">
        <v>6777</v>
      </c>
      <c r="B3118" s="2" t="s">
        <v>6777</v>
      </c>
      <c r="C3118" s="2" t="s">
        <v>16</v>
      </c>
      <c r="D3118" s="2" t="s">
        <v>17</v>
      </c>
      <c r="E3118" s="5">
        <v>-31613</v>
      </c>
      <c r="F3118" s="3" t="s">
        <v>1629</v>
      </c>
      <c r="G3118" s="3" t="s">
        <v>28</v>
      </c>
      <c r="H3118" s="2" t="s">
        <v>20</v>
      </c>
      <c r="I3118" s="2" t="s">
        <v>6778</v>
      </c>
      <c r="J3118" s="3" t="str">
        <f>HYPERLINK("https://www.boe.es/gazeta/dias/1813/06/11/pdfs/GMR-1813-4.pdf#page=8","Abrir facsímil")</f>
        <v>Abrir facsímil</v>
      </c>
      <c r="K3118" s="3" t="s">
        <v>22</v>
      </c>
    </row>
    <row r="3119" spans="1:11" ht="42" customHeight="1">
      <c r="A3119" s="2" t="s">
        <v>6777</v>
      </c>
      <c r="B3119" s="2" t="s">
        <v>6777</v>
      </c>
      <c r="C3119" s="2" t="s">
        <v>16</v>
      </c>
      <c r="D3119" s="2" t="s">
        <v>17</v>
      </c>
      <c r="E3119" s="5">
        <v>-31430</v>
      </c>
      <c r="F3119" s="3" t="s">
        <v>1731</v>
      </c>
      <c r="G3119" s="3" t="s">
        <v>58</v>
      </c>
      <c r="H3119" s="2" t="s">
        <v>20</v>
      </c>
      <c r="I3119" s="2" t="s">
        <v>6779</v>
      </c>
      <c r="J3119" s="3" t="str">
        <f>HYPERLINK("https://www.boe.es/gazeta/dias/1813/12/11/pdfs/GRE-1813-163.pdf#page=2","Abrir facsímil")</f>
        <v>Abrir facsímil</v>
      </c>
      <c r="K3119" s="3" t="s">
        <v>22</v>
      </c>
    </row>
    <row r="3120" spans="1:11" ht="42" customHeight="1">
      <c r="A3120" s="2" t="s">
        <v>6780</v>
      </c>
      <c r="B3120" s="2" t="s">
        <v>6781</v>
      </c>
      <c r="C3120" s="2" t="s">
        <v>25</v>
      </c>
      <c r="D3120" s="2" t="s">
        <v>26</v>
      </c>
      <c r="E3120" s="5">
        <v>-31570</v>
      </c>
      <c r="F3120" s="3" t="s">
        <v>1803</v>
      </c>
      <c r="G3120" s="3" t="s">
        <v>54</v>
      </c>
      <c r="H3120" s="2" t="s">
        <v>20</v>
      </c>
      <c r="I3120" s="2" t="s">
        <v>6782</v>
      </c>
      <c r="J3120" s="3" t="str">
        <f>HYPERLINK("https://www.boe.es/gazeta/dias/1813/07/24/pdfs/GRE-1813-94.pdf#page=3","Abrir facsímil")</f>
        <v>Abrir facsímil</v>
      </c>
      <c r="K3120" s="3" t="s">
        <v>22</v>
      </c>
    </row>
    <row r="3121" spans="1:11" ht="42" customHeight="1">
      <c r="A3121" s="2" t="s">
        <v>6783</v>
      </c>
      <c r="B3121" s="2" t="s">
        <v>6783</v>
      </c>
      <c r="C3121" s="2" t="s">
        <v>25</v>
      </c>
      <c r="D3121" s="2" t="s">
        <v>26</v>
      </c>
      <c r="E3121" s="5">
        <v>-31649</v>
      </c>
      <c r="F3121" s="3" t="s">
        <v>3961</v>
      </c>
      <c r="G3121" s="3" t="s">
        <v>65</v>
      </c>
      <c r="H3121" s="2" t="s">
        <v>20</v>
      </c>
      <c r="I3121" s="2" t="s">
        <v>6784</v>
      </c>
      <c r="J3121" s="3" t="str">
        <f>HYPERLINK("https://www.boe.es/gazeta/dias/1813/05/06/pdfs/GMD-1813-126.pdf#page=1","Abrir facsímil")</f>
        <v>Abrir facsímil</v>
      </c>
      <c r="K3121" s="3" t="s">
        <v>22</v>
      </c>
    </row>
    <row r="3122" spans="1:11" ht="42" customHeight="1">
      <c r="A3122" s="2" t="s">
        <v>6785</v>
      </c>
      <c r="B3122" s="2" t="s">
        <v>6785</v>
      </c>
      <c r="C3122" s="2" t="s">
        <v>16</v>
      </c>
      <c r="D3122" s="2" t="s">
        <v>17</v>
      </c>
      <c r="E3122" s="5">
        <v>-31585</v>
      </c>
      <c r="F3122" s="3" t="s">
        <v>177</v>
      </c>
      <c r="G3122" s="3" t="s">
        <v>207</v>
      </c>
      <c r="H3122" s="2" t="s">
        <v>20</v>
      </c>
      <c r="I3122" s="2" t="s">
        <v>6786</v>
      </c>
      <c r="J3122" s="3" t="str">
        <f>HYPERLINK("https://www.boe.es/gazeta/dias/1813/07/09/pdfs/GMR-1813-16.pdf#page=10","Abrir facsímil")</f>
        <v>Abrir facsímil</v>
      </c>
      <c r="K3122" s="3" t="s">
        <v>22</v>
      </c>
    </row>
    <row r="3123" spans="1:11" ht="42" customHeight="1">
      <c r="A3123" s="2" t="s">
        <v>6785</v>
      </c>
      <c r="B3123" s="2" t="s">
        <v>6785</v>
      </c>
      <c r="C3123" s="2" t="s">
        <v>16</v>
      </c>
      <c r="D3123" s="2" t="s">
        <v>17</v>
      </c>
      <c r="E3123" s="5">
        <v>-31462</v>
      </c>
      <c r="F3123" s="3" t="s">
        <v>1028</v>
      </c>
      <c r="G3123" s="3" t="s">
        <v>19</v>
      </c>
      <c r="H3123" s="2" t="s">
        <v>20</v>
      </c>
      <c r="I3123" s="2" t="s">
        <v>6787</v>
      </c>
      <c r="J3123" s="3" t="str">
        <f>HYPERLINK("https://www.boe.es/gazeta/dias/1813/11/09/pdfs/GMR-1813-71.pdf#page=4","Abrir facsímil")</f>
        <v>Abrir facsímil</v>
      </c>
      <c r="K3123" s="3" t="s">
        <v>22</v>
      </c>
    </row>
    <row r="3124" spans="1:11" ht="42" customHeight="1">
      <c r="A3124" s="2" t="s">
        <v>6788</v>
      </c>
      <c r="B3124" s="2" t="s">
        <v>6789</v>
      </c>
      <c r="C3124" s="2" t="s">
        <v>34</v>
      </c>
      <c r="D3124" s="2" t="s">
        <v>35</v>
      </c>
      <c r="E3124" s="5">
        <v>-31709</v>
      </c>
      <c r="F3124" s="3" t="s">
        <v>36</v>
      </c>
      <c r="G3124" s="3" t="s">
        <v>303</v>
      </c>
      <c r="H3124" s="2" t="s">
        <v>20</v>
      </c>
      <c r="I3124" s="2" t="s">
        <v>6790</v>
      </c>
      <c r="J3124" s="3" t="str">
        <f>HYPERLINK("https://www.boe.es/gazeta/dias/1813/03/07/pdfs/GMD-1813-66.pdf#page=3","Abrir facsímil")</f>
        <v>Abrir facsímil</v>
      </c>
      <c r="K3124" s="3" t="s">
        <v>22</v>
      </c>
    </row>
    <row r="3125" spans="1:11" ht="42" customHeight="1">
      <c r="A3125" s="2" t="s">
        <v>6791</v>
      </c>
      <c r="B3125" s="2" t="s">
        <v>6791</v>
      </c>
      <c r="C3125" s="2" t="s">
        <v>16</v>
      </c>
      <c r="D3125" s="2" t="s">
        <v>17</v>
      </c>
      <c r="E3125" s="5">
        <v>-31507</v>
      </c>
      <c r="F3125" s="3" t="s">
        <v>61</v>
      </c>
      <c r="G3125" s="3" t="s">
        <v>58</v>
      </c>
      <c r="H3125" s="2" t="s">
        <v>20</v>
      </c>
      <c r="I3125" s="2" t="s">
        <v>6792</v>
      </c>
      <c r="J3125" s="3" t="str">
        <f>HYPERLINK("https://www.boe.es/gazeta/dias/1813/09/25/pdfs/GMR-1813-48.pdf#page=2","Abrir facsímil")</f>
        <v>Abrir facsímil</v>
      </c>
      <c r="K3125" s="3" t="s">
        <v>22</v>
      </c>
    </row>
    <row r="3126" spans="1:11" ht="42" customHeight="1">
      <c r="A3126" s="2" t="s">
        <v>6793</v>
      </c>
      <c r="B3126" s="2" t="s">
        <v>6793</v>
      </c>
      <c r="C3126" s="2" t="s">
        <v>16</v>
      </c>
      <c r="D3126" s="2" t="s">
        <v>17</v>
      </c>
      <c r="E3126" s="5">
        <v>-31509</v>
      </c>
      <c r="F3126" s="3" t="s">
        <v>2007</v>
      </c>
      <c r="G3126" s="3" t="s">
        <v>87</v>
      </c>
      <c r="H3126" s="2" t="s">
        <v>20</v>
      </c>
      <c r="I3126" s="2" t="s">
        <v>6794</v>
      </c>
      <c r="J3126" s="3" t="str">
        <f>HYPERLINK("https://www.boe.es/gazeta/dias/1813/09/23/pdfs/GRE-1813-125.pdf#page=7","Abrir facsímil")</f>
        <v>Abrir facsímil</v>
      </c>
      <c r="K3126" s="3" t="s">
        <v>22</v>
      </c>
    </row>
    <row r="3127" spans="1:11" ht="42" customHeight="1">
      <c r="A3127" s="2" t="s">
        <v>6795</v>
      </c>
      <c r="B3127" s="2" t="s">
        <v>6795</v>
      </c>
      <c r="C3127" s="2" t="s">
        <v>34</v>
      </c>
      <c r="D3127" s="2" t="s">
        <v>35</v>
      </c>
      <c r="E3127" s="5">
        <v>-31709</v>
      </c>
      <c r="F3127" s="3" t="s">
        <v>36</v>
      </c>
      <c r="G3127" s="3" t="s">
        <v>303</v>
      </c>
      <c r="H3127" s="2" t="s">
        <v>20</v>
      </c>
      <c r="I3127" s="2" t="s">
        <v>6796</v>
      </c>
      <c r="J3127" s="3" t="str">
        <f>HYPERLINK("https://www.boe.es/gazeta/dias/1813/03/07/pdfs/GMD-1813-66.pdf#page=3","Abrir facsímil")</f>
        <v>Abrir facsímil</v>
      </c>
      <c r="K3127" s="3" t="s">
        <v>22</v>
      </c>
    </row>
    <row r="3128" spans="1:11" ht="42" customHeight="1">
      <c r="A3128" s="2" t="s">
        <v>6797</v>
      </c>
      <c r="B3128" s="2" t="s">
        <v>6797</v>
      </c>
      <c r="C3128" s="2" t="s">
        <v>16</v>
      </c>
      <c r="D3128" s="2" t="s">
        <v>17</v>
      </c>
      <c r="E3128" s="5">
        <v>-31703</v>
      </c>
      <c r="F3128" s="3" t="s">
        <v>4331</v>
      </c>
      <c r="G3128" s="3" t="s">
        <v>4332</v>
      </c>
      <c r="H3128" s="2" t="s">
        <v>20</v>
      </c>
      <c r="I3128" s="2" t="s">
        <v>6798</v>
      </c>
      <c r="J3128" s="3" t="str">
        <f>HYPERLINK("https://www.boe.es/gazeta/dias/1813/03/13/pdfs/GRE-1813-32.pdf#page=4","Abrir facsímil")</f>
        <v>Abrir facsímil</v>
      </c>
      <c r="K3128" s="3" t="s">
        <v>22</v>
      </c>
    </row>
    <row r="3129" spans="1:11" ht="42" customHeight="1">
      <c r="A3129" s="2" t="s">
        <v>6799</v>
      </c>
      <c r="B3129" s="2" t="s">
        <v>6799</v>
      </c>
      <c r="C3129" s="2" t="s">
        <v>277</v>
      </c>
      <c r="D3129" s="2" t="s">
        <v>26</v>
      </c>
      <c r="E3129" s="5">
        <v>-31720</v>
      </c>
      <c r="F3129" s="3" t="s">
        <v>672</v>
      </c>
      <c r="G3129" s="3" t="s">
        <v>58</v>
      </c>
      <c r="H3129" s="2" t="s">
        <v>20</v>
      </c>
      <c r="I3129" s="2" t="s">
        <v>6800</v>
      </c>
      <c r="J3129" s="3" t="str">
        <f>HYPERLINK("https://www.boe.es/gazeta/dias/1813/02/24/pdfs/GMD-1813-55.pdf#page=2","Abrir facsímil")</f>
        <v>Abrir facsímil</v>
      </c>
      <c r="K3129" s="3" t="s">
        <v>22</v>
      </c>
    </row>
    <row r="3130" spans="1:11" ht="42" customHeight="1">
      <c r="A3130" s="2" t="s">
        <v>6801</v>
      </c>
      <c r="B3130" s="2" t="s">
        <v>6802</v>
      </c>
      <c r="C3130" s="2" t="s">
        <v>187</v>
      </c>
      <c r="D3130" s="2" t="s">
        <v>26</v>
      </c>
      <c r="E3130" s="5">
        <v>-31689</v>
      </c>
      <c r="F3130" s="3" t="s">
        <v>48</v>
      </c>
      <c r="G3130" s="3" t="s">
        <v>162</v>
      </c>
      <c r="H3130" s="2" t="s">
        <v>20</v>
      </c>
      <c r="I3130" s="2" t="s">
        <v>6803</v>
      </c>
      <c r="J3130" s="3" t="str">
        <f>HYPERLINK("https://www.boe.es/gazeta/dias/1813/03/27/pdfs/GRE-1813-38.pdf#page=8","Abrir facsímil")</f>
        <v>Abrir facsímil</v>
      </c>
      <c r="K3130" s="3" t="s">
        <v>22</v>
      </c>
    </row>
    <row r="3131" spans="1:11" ht="42" customHeight="1">
      <c r="A3131" s="2" t="s">
        <v>6801</v>
      </c>
      <c r="B3131" s="2" t="s">
        <v>6802</v>
      </c>
      <c r="C3131" s="2" t="s">
        <v>25</v>
      </c>
      <c r="D3131" s="2" t="s">
        <v>26</v>
      </c>
      <c r="E3131" s="5">
        <v>-31675</v>
      </c>
      <c r="F3131" s="3" t="s">
        <v>27</v>
      </c>
      <c r="G3131" s="3" t="s">
        <v>648</v>
      </c>
      <c r="H3131" s="2" t="s">
        <v>20</v>
      </c>
      <c r="I3131" s="2" t="s">
        <v>6804</v>
      </c>
      <c r="J3131" s="3" t="str">
        <f>HYPERLINK("https://www.boe.es/gazeta/dias/1813/04/10/pdfs/GRE-1813-44.pdf#page=7","Abrir facsímil")</f>
        <v>Abrir facsímil</v>
      </c>
      <c r="K3131" s="3" t="s">
        <v>22</v>
      </c>
    </row>
    <row r="3132" spans="1:11" ht="42" customHeight="1">
      <c r="A3132" s="2" t="s">
        <v>6805</v>
      </c>
      <c r="B3132" s="2" t="s">
        <v>6806</v>
      </c>
      <c r="C3132" s="2" t="s">
        <v>34</v>
      </c>
      <c r="D3132" s="2" t="s">
        <v>35</v>
      </c>
      <c r="E3132" s="5">
        <v>-31658</v>
      </c>
      <c r="F3132" s="3" t="s">
        <v>1113</v>
      </c>
      <c r="G3132" s="3" t="s">
        <v>1091</v>
      </c>
      <c r="H3132" s="2" t="s">
        <v>20</v>
      </c>
      <c r="I3132" s="2" t="s">
        <v>6807</v>
      </c>
      <c r="J3132" s="3" t="str">
        <f>HYPERLINK("https://www.boe.es/gazeta/dias/1813/04/27/pdfs/GRE-1813-52.pdf#page=7","Abrir facsímil")</f>
        <v>Abrir facsímil</v>
      </c>
      <c r="K3132" s="3" t="s">
        <v>22</v>
      </c>
    </row>
    <row r="3133" spans="1:11" ht="42" customHeight="1">
      <c r="A3133" s="2" t="s">
        <v>6808</v>
      </c>
      <c r="B3133" s="2" t="s">
        <v>6809</v>
      </c>
      <c r="C3133" s="2" t="s">
        <v>277</v>
      </c>
      <c r="D3133" s="2" t="s">
        <v>26</v>
      </c>
      <c r="E3133" s="5">
        <v>-31719</v>
      </c>
      <c r="F3133" s="3" t="s">
        <v>251</v>
      </c>
      <c r="G3133" s="3" t="s">
        <v>19</v>
      </c>
      <c r="H3133" s="2" t="s">
        <v>20</v>
      </c>
      <c r="I3133" s="2" t="s">
        <v>6810</v>
      </c>
      <c r="J3133" s="3" t="str">
        <f>HYPERLINK("https://www.boe.es/gazeta/dias/1813/02/25/pdfs/GMD-1813-56.pdf#page=4","Abrir facsímil")</f>
        <v>Abrir facsímil</v>
      </c>
      <c r="K3133" s="3" t="s">
        <v>22</v>
      </c>
    </row>
    <row r="3134" spans="1:11" ht="42" customHeight="1">
      <c r="A3134" s="2" t="s">
        <v>6811</v>
      </c>
      <c r="B3134" s="2" t="s">
        <v>6811</v>
      </c>
      <c r="C3134" s="2" t="s">
        <v>16</v>
      </c>
      <c r="D3134" s="2" t="s">
        <v>17</v>
      </c>
      <c r="E3134" s="5">
        <v>-31703</v>
      </c>
      <c r="F3134" s="3" t="s">
        <v>4331</v>
      </c>
      <c r="G3134" s="3" t="s">
        <v>4332</v>
      </c>
      <c r="H3134" s="2" t="s">
        <v>20</v>
      </c>
      <c r="I3134" s="2" t="s">
        <v>6812</v>
      </c>
      <c r="J3134" s="3" t="str">
        <f>HYPERLINK("https://www.boe.es/gazeta/dias/1813/03/13/pdfs/GRE-1813-32.pdf#page=4","Abrir facsímil")</f>
        <v>Abrir facsímil</v>
      </c>
      <c r="K3134" s="3" t="s">
        <v>22</v>
      </c>
    </row>
    <row r="3135" spans="1:11" ht="42" customHeight="1">
      <c r="A3135" s="2" t="s">
        <v>6813</v>
      </c>
      <c r="B3135" s="2" t="s">
        <v>6813</v>
      </c>
      <c r="C3135" s="2" t="s">
        <v>16</v>
      </c>
      <c r="D3135" s="2" t="s">
        <v>17</v>
      </c>
      <c r="E3135" s="5">
        <v>-31703</v>
      </c>
      <c r="F3135" s="3" t="s">
        <v>4331</v>
      </c>
      <c r="G3135" s="3" t="s">
        <v>4332</v>
      </c>
      <c r="H3135" s="2" t="s">
        <v>20</v>
      </c>
      <c r="I3135" s="2" t="s">
        <v>6814</v>
      </c>
      <c r="J3135" s="3" t="str">
        <f>HYPERLINK("https://www.boe.es/gazeta/dias/1813/03/13/pdfs/GRE-1813-32.pdf#page=4","Abrir facsímil")</f>
        <v>Abrir facsímil</v>
      </c>
      <c r="K3135" s="3" t="s">
        <v>22</v>
      </c>
    </row>
    <row r="3136" spans="1:11" ht="42" customHeight="1">
      <c r="A3136" s="2" t="s">
        <v>6813</v>
      </c>
      <c r="B3136" s="2" t="s">
        <v>6813</v>
      </c>
      <c r="C3136" s="2" t="s">
        <v>16</v>
      </c>
      <c r="D3136" s="2" t="s">
        <v>17</v>
      </c>
      <c r="E3136" s="5">
        <v>-31682</v>
      </c>
      <c r="F3136" s="3" t="s">
        <v>6815</v>
      </c>
      <c r="G3136" s="3" t="s">
        <v>65</v>
      </c>
      <c r="H3136" s="2" t="s">
        <v>20</v>
      </c>
      <c r="I3136" s="2" t="s">
        <v>6816</v>
      </c>
      <c r="J3136" s="3" t="str">
        <f>HYPERLINK("https://www.boe.es/gazeta/dias/1813/04/03/pdfs/GMD-1813-93.pdf#page=1","Abrir facsímil")</f>
        <v>Abrir facsímil</v>
      </c>
      <c r="K3136" s="3" t="s">
        <v>22</v>
      </c>
    </row>
    <row r="3137" spans="1:11" ht="42" customHeight="1">
      <c r="A3137" s="2" t="s">
        <v>6817</v>
      </c>
      <c r="B3137" s="2" t="s">
        <v>6818</v>
      </c>
      <c r="C3137" s="2" t="s">
        <v>435</v>
      </c>
      <c r="D3137" s="2" t="s">
        <v>26</v>
      </c>
      <c r="E3137" s="5">
        <v>-31483</v>
      </c>
      <c r="F3137" s="3" t="s">
        <v>1292</v>
      </c>
      <c r="G3137" s="3" t="s">
        <v>1293</v>
      </c>
      <c r="H3137" s="2" t="s">
        <v>20</v>
      </c>
      <c r="I3137" s="2" t="s">
        <v>6819</v>
      </c>
      <c r="J3137" s="3" t="str">
        <f>HYPERLINK("https://www.boe.es/gazeta/dias/1813/10/19/pdfs/GMR-1813-61.pdf#page=12","Abrir facsímil")</f>
        <v>Abrir facsímil</v>
      </c>
      <c r="K3137" s="3" t="s">
        <v>22</v>
      </c>
    </row>
    <row r="3138" spans="1:11" ht="42" customHeight="1">
      <c r="A3138" s="2" t="s">
        <v>6820</v>
      </c>
      <c r="B3138" s="2" t="s">
        <v>6820</v>
      </c>
      <c r="C3138" s="2" t="s">
        <v>16</v>
      </c>
      <c r="D3138" s="2" t="s">
        <v>17</v>
      </c>
      <c r="E3138" s="5">
        <v>-31663</v>
      </c>
      <c r="F3138" s="3" t="s">
        <v>871</v>
      </c>
      <c r="G3138" s="3" t="s">
        <v>19</v>
      </c>
      <c r="H3138" s="2" t="s">
        <v>20</v>
      </c>
      <c r="I3138" s="2" t="s">
        <v>6821</v>
      </c>
      <c r="J3138" s="3" t="str">
        <f>HYPERLINK("https://www.boe.es/gazeta/dias/1813/04/22/pdfs/GMD-1813-112.pdf#page=4","Abrir facsímil")</f>
        <v>Abrir facsímil</v>
      </c>
      <c r="K3138" s="3" t="s">
        <v>22</v>
      </c>
    </row>
    <row r="3139" spans="1:11" ht="42" customHeight="1">
      <c r="A3139" s="2" t="s">
        <v>6822</v>
      </c>
      <c r="B3139" s="2" t="s">
        <v>6822</v>
      </c>
      <c r="C3139" s="2" t="s">
        <v>16</v>
      </c>
      <c r="D3139" s="2" t="s">
        <v>17</v>
      </c>
      <c r="E3139" s="5">
        <v>-31481</v>
      </c>
      <c r="F3139" s="3" t="s">
        <v>380</v>
      </c>
      <c r="G3139" s="3" t="s">
        <v>95</v>
      </c>
      <c r="H3139" s="2" t="s">
        <v>20</v>
      </c>
      <c r="I3139" s="2" t="s">
        <v>6823</v>
      </c>
      <c r="J3139" s="3" t="str">
        <f>HYPERLINK("https://www.boe.es/gazeta/dias/1813/10/21/pdfs/GRE-1813-137.pdf#page=6","Abrir facsímil")</f>
        <v>Abrir facsímil</v>
      </c>
      <c r="K3139" s="3" t="s">
        <v>22</v>
      </c>
    </row>
    <row r="3140" spans="1:11" ht="42" customHeight="1">
      <c r="A3140" s="2" t="s">
        <v>6824</v>
      </c>
      <c r="B3140" s="2" t="s">
        <v>6824</v>
      </c>
      <c r="C3140" s="2" t="s">
        <v>16</v>
      </c>
      <c r="D3140" s="2" t="s">
        <v>17</v>
      </c>
      <c r="E3140" s="5">
        <v>-31483</v>
      </c>
      <c r="F3140" s="3" t="s">
        <v>1292</v>
      </c>
      <c r="G3140" s="3" t="s">
        <v>1476</v>
      </c>
      <c r="H3140" s="2" t="s">
        <v>20</v>
      </c>
      <c r="I3140" s="2" t="s">
        <v>6825</v>
      </c>
      <c r="J3140" s="3" t="str">
        <f>HYPERLINK("https://www.boe.es/gazeta/dias/1813/10/19/pdfs/GMR-1813-61.pdf#page=6","Abrir facsímil")</f>
        <v>Abrir facsímil</v>
      </c>
      <c r="K3140" s="3" t="s">
        <v>22</v>
      </c>
    </row>
    <row r="3141" spans="1:11" ht="42" customHeight="1">
      <c r="A3141" s="2" t="s">
        <v>6826</v>
      </c>
      <c r="B3141" s="2" t="s">
        <v>6827</v>
      </c>
      <c r="C3141" s="2" t="s">
        <v>16</v>
      </c>
      <c r="D3141" s="2" t="s">
        <v>17</v>
      </c>
      <c r="E3141" s="5">
        <v>-31467</v>
      </c>
      <c r="F3141" s="3" t="s">
        <v>120</v>
      </c>
      <c r="G3141" s="3" t="s">
        <v>82</v>
      </c>
      <c r="H3141" s="2" t="s">
        <v>20</v>
      </c>
      <c r="I3141" s="2" t="s">
        <v>6828</v>
      </c>
      <c r="J3141" s="3" t="str">
        <f>HYPERLINK("https://www.boe.es/gazeta/dias/1813/11/04/pdfs/GMR-1813-68.pdf#page=5","Abrir facsímil")</f>
        <v>Abrir facsímil</v>
      </c>
      <c r="K3141" s="3" t="s">
        <v>22</v>
      </c>
    </row>
    <row r="3142" spans="1:11" ht="42" customHeight="1">
      <c r="A3142" s="2" t="s">
        <v>6829</v>
      </c>
      <c r="B3142" s="2" t="s">
        <v>6829</v>
      </c>
      <c r="C3142" s="2" t="s">
        <v>16</v>
      </c>
      <c r="D3142" s="2" t="s">
        <v>17</v>
      </c>
      <c r="E3142" s="5">
        <v>-31623</v>
      </c>
      <c r="F3142" s="3" t="s">
        <v>267</v>
      </c>
      <c r="G3142" s="3" t="s">
        <v>58</v>
      </c>
      <c r="H3142" s="2" t="s">
        <v>20</v>
      </c>
      <c r="I3142" s="2" t="s">
        <v>6830</v>
      </c>
      <c r="J3142" s="3" t="str">
        <f>HYPERLINK("https://www.boe.es/gazeta/dias/1813/06/01/pdfs/GRE-1813-67.pdf#page=2","Abrir facsímil")</f>
        <v>Abrir facsímil</v>
      </c>
      <c r="K3142" s="3" t="s">
        <v>22</v>
      </c>
    </row>
    <row r="3143" spans="1:11" ht="42" customHeight="1">
      <c r="A3143" s="2" t="s">
        <v>6829</v>
      </c>
      <c r="B3143" s="2" t="s">
        <v>6829</v>
      </c>
      <c r="C3143" s="2" t="s">
        <v>16</v>
      </c>
      <c r="D3143" s="2" t="s">
        <v>17</v>
      </c>
      <c r="E3143" s="5">
        <v>-31616</v>
      </c>
      <c r="F3143" s="3" t="s">
        <v>2201</v>
      </c>
      <c r="G3143" s="3" t="s">
        <v>2202</v>
      </c>
      <c r="H3143" s="2" t="s">
        <v>20</v>
      </c>
      <c r="I3143" s="2" t="s">
        <v>6831</v>
      </c>
      <c r="J3143" s="3" t="str">
        <f>HYPERLINK("https://www.boe.es/gazeta/dias/1813/06/08/pdfs/GMR-1813-3.pdf#page=5","Abrir facsímil")</f>
        <v>Abrir facsímil</v>
      </c>
      <c r="K3143" s="3" t="s">
        <v>22</v>
      </c>
    </row>
    <row r="3144" spans="1:11" ht="42" customHeight="1">
      <c r="A3144" s="2" t="s">
        <v>6829</v>
      </c>
      <c r="B3144" s="2" t="s">
        <v>6829</v>
      </c>
      <c r="C3144" s="2" t="s">
        <v>16</v>
      </c>
      <c r="D3144" s="2" t="s">
        <v>17</v>
      </c>
      <c r="E3144" s="5">
        <v>-31614</v>
      </c>
      <c r="F3144" s="3" t="s">
        <v>498</v>
      </c>
      <c r="G3144" s="3" t="s">
        <v>54</v>
      </c>
      <c r="H3144" s="2" t="s">
        <v>20</v>
      </c>
      <c r="I3144" s="2" t="s">
        <v>6832</v>
      </c>
      <c r="J3144" s="3" t="str">
        <f>HYPERLINK("https://www.boe.es/gazeta/dias/1813/06/10/pdfs/GRE-1813-72.pdf#page=3","Abrir facsímil")</f>
        <v>Abrir facsímil</v>
      </c>
      <c r="K3144" s="3" t="s">
        <v>22</v>
      </c>
    </row>
    <row r="3145" spans="1:11" ht="42" customHeight="1">
      <c r="A3145" s="2" t="s">
        <v>6829</v>
      </c>
      <c r="B3145" s="2" t="s">
        <v>6829</v>
      </c>
      <c r="C3145" s="2" t="s">
        <v>16</v>
      </c>
      <c r="D3145" s="2" t="s">
        <v>17</v>
      </c>
      <c r="E3145" s="5">
        <v>-31613</v>
      </c>
      <c r="F3145" s="3" t="s">
        <v>1629</v>
      </c>
      <c r="G3145" s="3" t="s">
        <v>95</v>
      </c>
      <c r="H3145" s="2" t="s">
        <v>20</v>
      </c>
      <c r="I3145" s="2" t="s">
        <v>6833</v>
      </c>
      <c r="J3145" s="3" t="str">
        <f>HYPERLINK("https://www.boe.es/gazeta/dias/1813/06/11/pdfs/GMR-1813-4.pdf#page=6","Abrir facsímil")</f>
        <v>Abrir facsímil</v>
      </c>
      <c r="K3145" s="3" t="s">
        <v>22</v>
      </c>
    </row>
    <row r="3146" spans="1:11" ht="42" customHeight="1">
      <c r="A3146" s="2" t="s">
        <v>6829</v>
      </c>
      <c r="B3146" s="2" t="s">
        <v>6829</v>
      </c>
      <c r="C3146" s="2" t="s">
        <v>16</v>
      </c>
      <c r="D3146" s="2" t="s">
        <v>97</v>
      </c>
      <c r="E3146" s="5">
        <v>-31499</v>
      </c>
      <c r="F3146" s="3" t="s">
        <v>220</v>
      </c>
      <c r="G3146" s="3" t="s">
        <v>1788</v>
      </c>
      <c r="H3146" s="2" t="s">
        <v>20</v>
      </c>
      <c r="I3146" s="2" t="s">
        <v>6834</v>
      </c>
      <c r="J3146" s="3" t="str">
        <f>HYPERLINK("https://www.boe.es/gazeta/dias/1813/10/03/pdfs/GMR-1813-53E.pdf#page=4","Abrir facsímil")</f>
        <v>Abrir facsímil</v>
      </c>
      <c r="K3146" s="3" t="s">
        <v>22</v>
      </c>
    </row>
    <row r="3147" spans="1:11" ht="42" customHeight="1">
      <c r="A3147" s="2" t="s">
        <v>6829</v>
      </c>
      <c r="B3147" s="2" t="s">
        <v>6829</v>
      </c>
      <c r="C3147" s="2" t="s">
        <v>16</v>
      </c>
      <c r="D3147" s="2" t="s">
        <v>97</v>
      </c>
      <c r="E3147" s="5">
        <v>-31499</v>
      </c>
      <c r="F3147" s="3" t="s">
        <v>220</v>
      </c>
      <c r="G3147" s="3" t="s">
        <v>54</v>
      </c>
      <c r="H3147" s="2" t="s">
        <v>20</v>
      </c>
      <c r="I3147" s="2" t="s">
        <v>6835</v>
      </c>
      <c r="J3147" s="3" t="str">
        <f>HYPERLINK("https://www.boe.es/gazeta/dias/1813/10/03/pdfs/GMR-1813-53E.pdf#page=3","Abrir facsímil")</f>
        <v>Abrir facsímil</v>
      </c>
      <c r="K3147" s="3" t="s">
        <v>22</v>
      </c>
    </row>
    <row r="3148" spans="1:11" ht="42" customHeight="1">
      <c r="A3148" s="2" t="s">
        <v>6829</v>
      </c>
      <c r="B3148" s="2" t="s">
        <v>6829</v>
      </c>
      <c r="C3148" s="2" t="s">
        <v>16</v>
      </c>
      <c r="D3148" s="2" t="s">
        <v>97</v>
      </c>
      <c r="E3148" s="5">
        <v>-31499</v>
      </c>
      <c r="F3148" s="3" t="s">
        <v>220</v>
      </c>
      <c r="G3148" s="3" t="s">
        <v>28</v>
      </c>
      <c r="H3148" s="2" t="s">
        <v>20</v>
      </c>
      <c r="I3148" s="2" t="s">
        <v>6836</v>
      </c>
      <c r="J3148" s="3" t="str">
        <f>HYPERLINK("https://www.boe.es/gazeta/dias/1813/10/03/pdfs/GMR-1813-53E.pdf#page=8","Abrir facsímil")</f>
        <v>Abrir facsímil</v>
      </c>
      <c r="K3148" s="3" t="s">
        <v>22</v>
      </c>
    </row>
    <row r="3149" spans="1:11" ht="42" customHeight="1">
      <c r="A3149" s="2" t="s">
        <v>6829</v>
      </c>
      <c r="B3149" s="2" t="s">
        <v>6829</v>
      </c>
      <c r="C3149" s="2" t="s">
        <v>16</v>
      </c>
      <c r="D3149" s="2" t="s">
        <v>17</v>
      </c>
      <c r="E3149" s="5">
        <v>-31497</v>
      </c>
      <c r="F3149" s="3" t="s">
        <v>223</v>
      </c>
      <c r="G3149" s="3" t="s">
        <v>19</v>
      </c>
      <c r="H3149" s="2" t="s">
        <v>20</v>
      </c>
      <c r="I3149" s="2" t="s">
        <v>6837</v>
      </c>
      <c r="J3149" s="3" t="str">
        <f>HYPERLINK("https://www.boe.es/gazeta/dias/1813/10/05/pdfs/GRE-1813-130.pdf#page=4","Abrir facsímil")</f>
        <v>Abrir facsímil</v>
      </c>
      <c r="K3149" s="3" t="s">
        <v>22</v>
      </c>
    </row>
    <row r="3150" spans="1:11" ht="42" customHeight="1">
      <c r="A3150" s="2" t="s">
        <v>6829</v>
      </c>
      <c r="B3150" s="2" t="s">
        <v>6829</v>
      </c>
      <c r="C3150" s="2" t="s">
        <v>16</v>
      </c>
      <c r="D3150" s="2" t="s">
        <v>17</v>
      </c>
      <c r="E3150" s="5">
        <v>-31497</v>
      </c>
      <c r="F3150" s="3" t="s">
        <v>223</v>
      </c>
      <c r="G3150" s="3" t="s">
        <v>82</v>
      </c>
      <c r="H3150" s="2" t="s">
        <v>20</v>
      </c>
      <c r="I3150" s="2" t="s">
        <v>6838</v>
      </c>
      <c r="J3150" s="3" t="str">
        <f>HYPERLINK("https://www.boe.es/gazeta/dias/1813/10/05/pdfs/GRE-1813-130.pdf#page=5","Abrir facsímil")</f>
        <v>Abrir facsímil</v>
      </c>
      <c r="K3150" s="3" t="s">
        <v>22</v>
      </c>
    </row>
    <row r="3151" spans="1:11" ht="42" customHeight="1">
      <c r="A3151" s="2" t="s">
        <v>6829</v>
      </c>
      <c r="B3151" s="2" t="s">
        <v>6829</v>
      </c>
      <c r="C3151" s="2" t="s">
        <v>16</v>
      </c>
      <c r="D3151" s="2" t="s">
        <v>17</v>
      </c>
      <c r="E3151" s="5">
        <v>-31497</v>
      </c>
      <c r="F3151" s="3" t="s">
        <v>223</v>
      </c>
      <c r="G3151" s="3" t="s">
        <v>95</v>
      </c>
      <c r="H3151" s="2" t="s">
        <v>20</v>
      </c>
      <c r="I3151" s="2" t="s">
        <v>6839</v>
      </c>
      <c r="J3151" s="3" t="str">
        <f>HYPERLINK("https://www.boe.es/gazeta/dias/1813/10/05/pdfs/GRE-1813-130.pdf#page=6","Abrir facsímil")</f>
        <v>Abrir facsímil</v>
      </c>
      <c r="K3151" s="3" t="s">
        <v>22</v>
      </c>
    </row>
    <row r="3152" spans="1:11" ht="42" customHeight="1">
      <c r="A3152" s="2" t="s">
        <v>6829</v>
      </c>
      <c r="B3152" s="2" t="s">
        <v>6829</v>
      </c>
      <c r="C3152" s="2" t="s">
        <v>16</v>
      </c>
      <c r="D3152" s="2" t="s">
        <v>17</v>
      </c>
      <c r="E3152" s="5">
        <v>-31497</v>
      </c>
      <c r="F3152" s="3" t="s">
        <v>223</v>
      </c>
      <c r="G3152" s="3" t="s">
        <v>87</v>
      </c>
      <c r="H3152" s="2" t="s">
        <v>20</v>
      </c>
      <c r="I3152" s="2" t="s">
        <v>6840</v>
      </c>
      <c r="J3152" s="3" t="str">
        <f>HYPERLINK("https://www.boe.es/gazeta/dias/1813/10/05/pdfs/GRE-1813-130.pdf#page=7","Abrir facsímil")</f>
        <v>Abrir facsímil</v>
      </c>
      <c r="K3152" s="3" t="s">
        <v>22</v>
      </c>
    </row>
    <row r="3153" spans="1:11" ht="42" customHeight="1">
      <c r="A3153" s="2" t="s">
        <v>6829</v>
      </c>
      <c r="B3153" s="2" t="s">
        <v>6829</v>
      </c>
      <c r="C3153" s="2" t="s">
        <v>16</v>
      </c>
      <c r="D3153" s="2" t="s">
        <v>17</v>
      </c>
      <c r="E3153" s="5">
        <v>-31472</v>
      </c>
      <c r="F3153" s="3" t="s">
        <v>1942</v>
      </c>
      <c r="G3153" s="3" t="s">
        <v>19</v>
      </c>
      <c r="H3153" s="2" t="s">
        <v>20</v>
      </c>
      <c r="I3153" s="2" t="s">
        <v>6841</v>
      </c>
      <c r="J3153" s="3" t="str">
        <f>HYPERLINK("https://www.boe.es/gazeta/dias/1813/10/30/pdfs/GRE-1813-142.pdf#page=4","Abrir facsímil")</f>
        <v>Abrir facsímil</v>
      </c>
      <c r="K3153" s="3" t="s">
        <v>22</v>
      </c>
    </row>
    <row r="3154" spans="1:11" ht="42" customHeight="1">
      <c r="A3154" s="2" t="s">
        <v>6842</v>
      </c>
      <c r="B3154" s="2" t="s">
        <v>6843</v>
      </c>
      <c r="C3154" s="2" t="s">
        <v>16</v>
      </c>
      <c r="D3154" s="2" t="s">
        <v>97</v>
      </c>
      <c r="E3154" s="5">
        <v>-31479</v>
      </c>
      <c r="F3154" s="3" t="s">
        <v>290</v>
      </c>
      <c r="G3154" s="3" t="s">
        <v>258</v>
      </c>
      <c r="H3154" s="2" t="s">
        <v>20</v>
      </c>
      <c r="I3154" s="2" t="s">
        <v>6844</v>
      </c>
      <c r="J3154" s="3" t="str">
        <f>HYPERLINK("https://www.boe.es/gazeta/dias/1813/10/23/pdfs/GRE-1813-139E.pdf#page=12","Abrir facsímil")</f>
        <v>Abrir facsímil</v>
      </c>
      <c r="K3154" s="3" t="s">
        <v>22</v>
      </c>
    </row>
    <row r="3155" spans="1:11" ht="42" customHeight="1">
      <c r="A3155" s="2" t="s">
        <v>6845</v>
      </c>
      <c r="B3155" s="2" t="s">
        <v>6845</v>
      </c>
      <c r="C3155" s="2" t="s">
        <v>16</v>
      </c>
      <c r="D3155" s="2" t="s">
        <v>17</v>
      </c>
      <c r="E3155" s="5">
        <v>-31472</v>
      </c>
      <c r="F3155" s="3" t="s">
        <v>143</v>
      </c>
      <c r="G3155" s="3" t="s">
        <v>87</v>
      </c>
      <c r="H3155" s="2" t="s">
        <v>20</v>
      </c>
      <c r="I3155" s="2" t="s">
        <v>6846</v>
      </c>
      <c r="J3155" s="3" t="str">
        <f>HYPERLINK("https://www.boe.es/gazeta/dias/1813/10/30/pdfs/GMR-1813-66.pdf#page=7","Abrir facsímil")</f>
        <v>Abrir facsímil</v>
      </c>
      <c r="K3155" s="3" t="s">
        <v>22</v>
      </c>
    </row>
    <row r="3156" spans="1:11" ht="42" customHeight="1">
      <c r="A3156" s="2" t="s">
        <v>6847</v>
      </c>
      <c r="B3156" s="2" t="s">
        <v>6847</v>
      </c>
      <c r="C3156" s="2" t="s">
        <v>16</v>
      </c>
      <c r="D3156" s="2" t="s">
        <v>17</v>
      </c>
      <c r="E3156" s="5">
        <v>-31598</v>
      </c>
      <c r="F3156" s="3" t="s">
        <v>286</v>
      </c>
      <c r="G3156" s="3" t="s">
        <v>28</v>
      </c>
      <c r="H3156" s="2" t="s">
        <v>20</v>
      </c>
      <c r="I3156" s="2" t="s">
        <v>6848</v>
      </c>
      <c r="J3156" s="3" t="str">
        <f>HYPERLINK("https://www.boe.es/gazeta/dias/1813/06/26/pdfs/GRE-1813-79.pdf#page=8","Abrir facsímil")</f>
        <v>Abrir facsímil</v>
      </c>
      <c r="K3156" s="3" t="s">
        <v>22</v>
      </c>
    </row>
    <row r="3157" spans="1:11" ht="42" customHeight="1">
      <c r="A3157" s="2" t="s">
        <v>6847</v>
      </c>
      <c r="B3157" s="2" t="s">
        <v>6847</v>
      </c>
      <c r="C3157" s="2" t="s">
        <v>16</v>
      </c>
      <c r="D3157" s="2" t="s">
        <v>17</v>
      </c>
      <c r="E3157" s="5">
        <v>-31592</v>
      </c>
      <c r="F3157" s="3" t="s">
        <v>175</v>
      </c>
      <c r="G3157" s="3" t="s">
        <v>54</v>
      </c>
      <c r="H3157" s="2" t="s">
        <v>20</v>
      </c>
      <c r="I3157" s="2" t="s">
        <v>6849</v>
      </c>
      <c r="J3157" s="3" t="str">
        <f>HYPERLINK("https://www.boe.es/gazeta/dias/1813/07/02/pdfs/GRE-1813-82.pdf#page=3","Abrir facsímil")</f>
        <v>Abrir facsímil</v>
      </c>
      <c r="K3157" s="3" t="s">
        <v>22</v>
      </c>
    </row>
    <row r="3158" spans="1:11" ht="42" customHeight="1">
      <c r="A3158" s="2" t="s">
        <v>6847</v>
      </c>
      <c r="B3158" s="2" t="s">
        <v>6847</v>
      </c>
      <c r="C3158" s="2" t="s">
        <v>16</v>
      </c>
      <c r="D3158" s="2" t="s">
        <v>17</v>
      </c>
      <c r="E3158" s="5">
        <v>-31592</v>
      </c>
      <c r="F3158" s="3" t="s">
        <v>175</v>
      </c>
      <c r="G3158" s="3" t="s">
        <v>82</v>
      </c>
      <c r="H3158" s="2" t="s">
        <v>20</v>
      </c>
      <c r="I3158" s="2" t="s">
        <v>6850</v>
      </c>
      <c r="J3158" s="3" t="str">
        <f>HYPERLINK("https://www.boe.es/gazeta/dias/1813/07/02/pdfs/GRE-1813-82.pdf#page=5","Abrir facsímil")</f>
        <v>Abrir facsímil</v>
      </c>
      <c r="K3158" s="3" t="s">
        <v>22</v>
      </c>
    </row>
    <row r="3159" spans="1:11" ht="42" customHeight="1">
      <c r="A3159" s="2" t="s">
        <v>6847</v>
      </c>
      <c r="B3159" s="2" t="s">
        <v>6847</v>
      </c>
      <c r="C3159" s="2" t="s">
        <v>16</v>
      </c>
      <c r="D3159" s="2" t="s">
        <v>17</v>
      </c>
      <c r="E3159" s="5">
        <v>-31585</v>
      </c>
      <c r="F3159" s="3" t="s">
        <v>177</v>
      </c>
      <c r="G3159" s="3" t="s">
        <v>258</v>
      </c>
      <c r="H3159" s="2" t="s">
        <v>20</v>
      </c>
      <c r="I3159" s="2" t="s">
        <v>6851</v>
      </c>
      <c r="J3159" s="3" t="str">
        <f>HYPERLINK("https://www.boe.es/gazeta/dias/1813/07/09/pdfs/GMR-1813-16.pdf#page=12","Abrir facsímil")</f>
        <v>Abrir facsímil</v>
      </c>
      <c r="K3159" s="3" t="s">
        <v>22</v>
      </c>
    </row>
    <row r="3160" spans="1:11" ht="42" customHeight="1">
      <c r="A3160" s="2" t="s">
        <v>6847</v>
      </c>
      <c r="B3160" s="2" t="s">
        <v>6847</v>
      </c>
      <c r="C3160" s="2" t="s">
        <v>16</v>
      </c>
      <c r="D3160" s="2" t="s">
        <v>17</v>
      </c>
      <c r="E3160" s="5">
        <v>-31585</v>
      </c>
      <c r="F3160" s="3" t="s">
        <v>177</v>
      </c>
      <c r="G3160" s="3" t="s">
        <v>28</v>
      </c>
      <c r="H3160" s="2" t="s">
        <v>20</v>
      </c>
      <c r="I3160" s="2" t="s">
        <v>6852</v>
      </c>
      <c r="J3160" s="3" t="str">
        <f>HYPERLINK("https://www.boe.es/gazeta/dias/1813/07/09/pdfs/GMR-1813-16.pdf#page=8","Abrir facsímil")</f>
        <v>Abrir facsímil</v>
      </c>
      <c r="K3160" s="3" t="s">
        <v>22</v>
      </c>
    </row>
    <row r="3161" spans="1:11" ht="42" customHeight="1">
      <c r="A3161" s="2" t="s">
        <v>6847</v>
      </c>
      <c r="B3161" s="2" t="s">
        <v>6847</v>
      </c>
      <c r="C3161" s="2" t="s">
        <v>16</v>
      </c>
      <c r="D3161" s="2" t="s">
        <v>17</v>
      </c>
      <c r="E3161" s="5">
        <v>-31582</v>
      </c>
      <c r="F3161" s="3" t="s">
        <v>907</v>
      </c>
      <c r="G3161" s="3" t="s">
        <v>2210</v>
      </c>
      <c r="H3161" s="2" t="s">
        <v>20</v>
      </c>
      <c r="I3161" s="2" t="s">
        <v>6853</v>
      </c>
      <c r="J3161" s="3" t="str">
        <f>HYPERLINK("https://www.boe.es/gazeta/dias/1813/07/12/pdfs/GRE-1813-87.pdf#page=5","Abrir facsímil")</f>
        <v>Abrir facsímil</v>
      </c>
      <c r="K3161" s="3" t="s">
        <v>22</v>
      </c>
    </row>
    <row r="3162" spans="1:11" ht="42" customHeight="1">
      <c r="A3162" s="2" t="s">
        <v>6847</v>
      </c>
      <c r="B3162" s="2" t="s">
        <v>6847</v>
      </c>
      <c r="C3162" s="2" t="s">
        <v>16</v>
      </c>
      <c r="D3162" s="2" t="s">
        <v>17</v>
      </c>
      <c r="E3162" s="5">
        <v>-31582</v>
      </c>
      <c r="F3162" s="3" t="s">
        <v>907</v>
      </c>
      <c r="G3162" s="3" t="s">
        <v>19</v>
      </c>
      <c r="H3162" s="2" t="s">
        <v>20</v>
      </c>
      <c r="I3162" s="2" t="s">
        <v>6854</v>
      </c>
      <c r="J3162" s="3" t="str">
        <f>HYPERLINK("https://www.boe.es/gazeta/dias/1813/07/12/pdfs/GRE-1813-87.pdf#page=4","Abrir facsímil")</f>
        <v>Abrir facsímil</v>
      </c>
      <c r="K3162" s="3" t="s">
        <v>22</v>
      </c>
    </row>
    <row r="3163" spans="1:11" ht="42" customHeight="1">
      <c r="A3163" s="2" t="s">
        <v>6847</v>
      </c>
      <c r="B3163" s="2" t="s">
        <v>6847</v>
      </c>
      <c r="C3163" s="2" t="s">
        <v>16</v>
      </c>
      <c r="D3163" s="2" t="s">
        <v>17</v>
      </c>
      <c r="E3163" s="5">
        <v>-31574</v>
      </c>
      <c r="F3163" s="3" t="s">
        <v>1343</v>
      </c>
      <c r="G3163" s="3" t="s">
        <v>54</v>
      </c>
      <c r="H3163" s="2" t="s">
        <v>20</v>
      </c>
      <c r="I3163" s="2" t="s">
        <v>6855</v>
      </c>
      <c r="J3163" s="3" t="str">
        <f>HYPERLINK("https://www.boe.es/gazeta/dias/1813/07/20/pdfs/GMR-1813-19.pdf#page=3","Abrir facsímil")</f>
        <v>Abrir facsímil</v>
      </c>
      <c r="K3163" s="3" t="s">
        <v>22</v>
      </c>
    </row>
    <row r="3164" spans="1:11" ht="42" customHeight="1">
      <c r="A3164" s="2" t="s">
        <v>6847</v>
      </c>
      <c r="B3164" s="2" t="s">
        <v>6847</v>
      </c>
      <c r="C3164" s="2" t="s">
        <v>16</v>
      </c>
      <c r="D3164" s="2" t="s">
        <v>17</v>
      </c>
      <c r="E3164" s="5">
        <v>-31571</v>
      </c>
      <c r="F3164" s="3" t="s">
        <v>788</v>
      </c>
      <c r="G3164" s="3" t="s">
        <v>910</v>
      </c>
      <c r="H3164" s="2" t="s">
        <v>20</v>
      </c>
      <c r="I3164" s="2" t="s">
        <v>6856</v>
      </c>
      <c r="J3164" s="3" t="str">
        <f>HYPERLINK("https://www.boe.es/gazeta/dias/1813/07/23/pdfs/GMR-1813-20.pdf#page=10","Abrir facsímil")</f>
        <v>Abrir facsímil</v>
      </c>
      <c r="K3164" s="3" t="s">
        <v>22</v>
      </c>
    </row>
    <row r="3165" spans="1:11" ht="42" customHeight="1">
      <c r="A3165" s="2" t="s">
        <v>6847</v>
      </c>
      <c r="B3165" s="2" t="s">
        <v>6847</v>
      </c>
      <c r="C3165" s="2" t="s">
        <v>16</v>
      </c>
      <c r="D3165" s="2" t="s">
        <v>17</v>
      </c>
      <c r="E3165" s="5">
        <v>-31571</v>
      </c>
      <c r="F3165" s="3" t="s">
        <v>788</v>
      </c>
      <c r="G3165" s="3" t="s">
        <v>2657</v>
      </c>
      <c r="H3165" s="2" t="s">
        <v>20</v>
      </c>
      <c r="I3165" s="2" t="s">
        <v>6857</v>
      </c>
      <c r="J3165" s="3" t="str">
        <f>HYPERLINK("https://www.boe.es/gazeta/dias/1813/07/23/pdfs/GMR-1813-20.pdf#page=11","Abrir facsímil")</f>
        <v>Abrir facsímil</v>
      </c>
      <c r="K3165" s="3" t="s">
        <v>22</v>
      </c>
    </row>
    <row r="3166" spans="1:11" ht="42" customHeight="1">
      <c r="A3166" s="2" t="s">
        <v>6847</v>
      </c>
      <c r="B3166" s="2" t="s">
        <v>6847</v>
      </c>
      <c r="C3166" s="2" t="s">
        <v>16</v>
      </c>
      <c r="D3166" s="2" t="s">
        <v>17</v>
      </c>
      <c r="E3166" s="5">
        <v>-31535</v>
      </c>
      <c r="F3166" s="3" t="s">
        <v>894</v>
      </c>
      <c r="G3166" s="3" t="s">
        <v>95</v>
      </c>
      <c r="H3166" s="2" t="s">
        <v>20</v>
      </c>
      <c r="I3166" s="2" t="s">
        <v>6858</v>
      </c>
      <c r="J3166" s="3" t="str">
        <f>HYPERLINK("https://www.boe.es/gazeta/dias/1813/08/28/pdfs/GMR-1813-34.pdf#page=6","Abrir facsímil")</f>
        <v>Abrir facsímil</v>
      </c>
      <c r="K3166" s="3" t="s">
        <v>22</v>
      </c>
    </row>
    <row r="3167" spans="1:11" ht="42" customHeight="1">
      <c r="A3167" s="2" t="s">
        <v>6847</v>
      </c>
      <c r="B3167" s="2" t="s">
        <v>6847</v>
      </c>
      <c r="C3167" s="2" t="s">
        <v>16</v>
      </c>
      <c r="D3167" s="2" t="s">
        <v>17</v>
      </c>
      <c r="E3167" s="5">
        <v>-31490</v>
      </c>
      <c r="F3167" s="3" t="s">
        <v>2909</v>
      </c>
      <c r="G3167" s="3" t="s">
        <v>28</v>
      </c>
      <c r="H3167" s="2" t="s">
        <v>20</v>
      </c>
      <c r="I3167" s="2" t="s">
        <v>6859</v>
      </c>
      <c r="J3167" s="3" t="str">
        <f>HYPERLINK("https://www.boe.es/gazeta/dias/1813/10/12/pdfs/GMR-1813-57.pdf#page=8","Abrir facsímil")</f>
        <v>Abrir facsímil</v>
      </c>
      <c r="K3167" s="3" t="s">
        <v>22</v>
      </c>
    </row>
    <row r="3168" spans="1:11" ht="42" customHeight="1">
      <c r="A3168" s="2" t="s">
        <v>6847</v>
      </c>
      <c r="B3168" s="2" t="s">
        <v>6847</v>
      </c>
      <c r="C3168" s="2" t="s">
        <v>16</v>
      </c>
      <c r="D3168" s="2" t="s">
        <v>17</v>
      </c>
      <c r="E3168" s="5">
        <v>-31481</v>
      </c>
      <c r="F3168" s="3" t="s">
        <v>380</v>
      </c>
      <c r="G3168" s="3" t="s">
        <v>28</v>
      </c>
      <c r="H3168" s="2" t="s">
        <v>20</v>
      </c>
      <c r="I3168" s="2" t="s">
        <v>6860</v>
      </c>
      <c r="J3168" s="3" t="str">
        <f>HYPERLINK("https://www.boe.es/gazeta/dias/1813/10/21/pdfs/GRE-1813-137.pdf#page=8","Abrir facsímil")</f>
        <v>Abrir facsímil</v>
      </c>
      <c r="K3168" s="3" t="s">
        <v>22</v>
      </c>
    </row>
    <row r="3169" spans="1:11" ht="42" customHeight="1">
      <c r="A3169" s="2" t="s">
        <v>6847</v>
      </c>
      <c r="B3169" s="2" t="s">
        <v>6847</v>
      </c>
      <c r="C3169" s="2" t="s">
        <v>16</v>
      </c>
      <c r="D3169" s="2" t="s">
        <v>97</v>
      </c>
      <c r="E3169" s="5">
        <v>-31445</v>
      </c>
      <c r="F3169" s="3" t="s">
        <v>299</v>
      </c>
      <c r="G3169" s="3" t="s">
        <v>300</v>
      </c>
      <c r="H3169" s="2" t="s">
        <v>20</v>
      </c>
      <c r="I3169" s="2" t="s">
        <v>6861</v>
      </c>
      <c r="J3169" s="3" t="str">
        <f>HYPERLINK("https://www.boe.es/gazeta/dias/1813/11/26/pdfs/GRE-1813-156E.pdf#page=3","Abrir facsímil")</f>
        <v>Abrir facsímil</v>
      </c>
      <c r="K3169" s="3" t="s">
        <v>22</v>
      </c>
    </row>
    <row r="3170" spans="1:11" ht="42" customHeight="1">
      <c r="A3170" s="2" t="s">
        <v>6847</v>
      </c>
      <c r="B3170" s="2" t="s">
        <v>6847</v>
      </c>
      <c r="C3170" s="2" t="s">
        <v>16</v>
      </c>
      <c r="D3170" s="2" t="s">
        <v>97</v>
      </c>
      <c r="E3170" s="5">
        <v>-31445</v>
      </c>
      <c r="F3170" s="3" t="s">
        <v>299</v>
      </c>
      <c r="G3170" s="3" t="s">
        <v>82</v>
      </c>
      <c r="H3170" s="2" t="s">
        <v>20</v>
      </c>
      <c r="I3170" s="2" t="s">
        <v>6862</v>
      </c>
      <c r="J3170" s="3" t="str">
        <f>HYPERLINK("https://www.boe.es/gazeta/dias/1813/11/26/pdfs/GRE-1813-156E.pdf#page=5","Abrir facsímil")</f>
        <v>Abrir facsímil</v>
      </c>
      <c r="K3170" s="3" t="s">
        <v>22</v>
      </c>
    </row>
    <row r="3171" spans="1:11" ht="42" customHeight="1">
      <c r="A3171" s="2" t="s">
        <v>6847</v>
      </c>
      <c r="B3171" s="2" t="s">
        <v>6847</v>
      </c>
      <c r="C3171" s="2" t="s">
        <v>16</v>
      </c>
      <c r="D3171" s="2" t="s">
        <v>17</v>
      </c>
      <c r="E3171" s="5">
        <v>-31432</v>
      </c>
      <c r="F3171" s="3" t="s">
        <v>702</v>
      </c>
      <c r="G3171" s="3" t="s">
        <v>19</v>
      </c>
      <c r="H3171" s="2" t="s">
        <v>20</v>
      </c>
      <c r="I3171" s="2" t="s">
        <v>6863</v>
      </c>
      <c r="J3171" s="3" t="str">
        <f>HYPERLINK("https://www.boe.es/gazeta/dias/1813/12/09/pdfs/GMR-1813-85.pdf#page=4","Abrir facsímil")</f>
        <v>Abrir facsímil</v>
      </c>
      <c r="K3171" s="3" t="s">
        <v>22</v>
      </c>
    </row>
    <row r="3172" spans="1:11" ht="42" customHeight="1">
      <c r="A3172" s="2" t="s">
        <v>6847</v>
      </c>
      <c r="B3172" s="2" t="s">
        <v>6847</v>
      </c>
      <c r="C3172" s="2" t="s">
        <v>16</v>
      </c>
      <c r="D3172" s="2" t="s">
        <v>17</v>
      </c>
      <c r="E3172" s="5">
        <v>-31432</v>
      </c>
      <c r="F3172" s="3" t="s">
        <v>702</v>
      </c>
      <c r="G3172" s="3" t="s">
        <v>95</v>
      </c>
      <c r="H3172" s="2" t="s">
        <v>20</v>
      </c>
      <c r="I3172" s="2" t="s">
        <v>6864</v>
      </c>
      <c r="J3172" s="3" t="str">
        <f>HYPERLINK("https://www.boe.es/gazeta/dias/1813/12/09/pdfs/GMR-1813-85.pdf#page=6","Abrir facsímil")</f>
        <v>Abrir facsímil</v>
      </c>
      <c r="K3172" s="3" t="s">
        <v>22</v>
      </c>
    </row>
    <row r="3173" spans="1:11" ht="42" customHeight="1">
      <c r="A3173" s="2" t="s">
        <v>6865</v>
      </c>
      <c r="B3173" s="2" t="s">
        <v>6866</v>
      </c>
      <c r="C3173" s="2" t="s">
        <v>16</v>
      </c>
      <c r="D3173" s="2" t="s">
        <v>97</v>
      </c>
      <c r="E3173" s="5">
        <v>-31548</v>
      </c>
      <c r="F3173" s="3" t="s">
        <v>1680</v>
      </c>
      <c r="G3173" s="3" t="s">
        <v>58</v>
      </c>
      <c r="H3173" s="2" t="s">
        <v>20</v>
      </c>
      <c r="I3173" s="2" t="s">
        <v>6867</v>
      </c>
      <c r="J3173" s="3" t="str">
        <f>HYPERLINK("https://www.boe.es/gazeta/dias/1813/08/15/pdfs/GRE-1813-104E.pdf#page=2","Abrir facsímil")</f>
        <v>Abrir facsímil</v>
      </c>
      <c r="K3173" s="3" t="s">
        <v>22</v>
      </c>
    </row>
    <row r="3174" spans="1:11" ht="42" customHeight="1">
      <c r="A3174" s="2" t="s">
        <v>6868</v>
      </c>
      <c r="B3174" s="2" t="s">
        <v>6869</v>
      </c>
      <c r="C3174" s="2" t="s">
        <v>187</v>
      </c>
      <c r="D3174" s="2" t="s">
        <v>26</v>
      </c>
      <c r="E3174" s="5">
        <v>-31686</v>
      </c>
      <c r="F3174" s="3" t="s">
        <v>372</v>
      </c>
      <c r="G3174" s="3" t="s">
        <v>28</v>
      </c>
      <c r="H3174" s="2" t="s">
        <v>20</v>
      </c>
      <c r="I3174" s="2" t="s">
        <v>6870</v>
      </c>
      <c r="J3174" s="3" t="str">
        <f>HYPERLINK("https://www.boe.es/gazeta/dias/1813/03/30/pdfs/GRE-1813-39.pdf#page=8","Abrir facsímil")</f>
        <v>Abrir facsímil</v>
      </c>
      <c r="K3174" s="3" t="s">
        <v>22</v>
      </c>
    </row>
    <row r="3175" spans="1:11" ht="42" customHeight="1">
      <c r="A3175" s="2" t="s">
        <v>6868</v>
      </c>
      <c r="B3175" s="2" t="s">
        <v>6869</v>
      </c>
      <c r="C3175" s="2" t="s">
        <v>16</v>
      </c>
      <c r="D3175" s="2" t="s">
        <v>17</v>
      </c>
      <c r="E3175" s="5">
        <v>-31585</v>
      </c>
      <c r="F3175" s="3" t="s">
        <v>177</v>
      </c>
      <c r="G3175" s="3" t="s">
        <v>821</v>
      </c>
      <c r="H3175" s="2" t="s">
        <v>20</v>
      </c>
      <c r="I3175" s="2" t="s">
        <v>6871</v>
      </c>
      <c r="J3175" s="3" t="str">
        <f>HYPERLINK("https://www.boe.es/gazeta/dias/1813/07/09/pdfs/GMR-1813-16.pdf#page=13","Abrir facsímil")</f>
        <v>Abrir facsímil</v>
      </c>
      <c r="K3175" s="3" t="s">
        <v>22</v>
      </c>
    </row>
    <row r="3176" spans="1:11" ht="42" customHeight="1">
      <c r="A3176" s="2" t="s">
        <v>6868</v>
      </c>
      <c r="B3176" s="2" t="s">
        <v>6869</v>
      </c>
      <c r="C3176" s="2" t="s">
        <v>16</v>
      </c>
      <c r="D3176" s="2" t="s">
        <v>17</v>
      </c>
      <c r="E3176" s="5">
        <v>-31585</v>
      </c>
      <c r="F3176" s="3" t="s">
        <v>177</v>
      </c>
      <c r="G3176" s="3" t="s">
        <v>1474</v>
      </c>
      <c r="H3176" s="2" t="s">
        <v>20</v>
      </c>
      <c r="I3176" s="2" t="s">
        <v>6872</v>
      </c>
      <c r="J3176" s="3" t="str">
        <f>HYPERLINK("https://www.boe.es/gazeta/dias/1813/07/09/pdfs/GMR-1813-16.pdf#page=14","Abrir facsímil")</f>
        <v>Abrir facsímil</v>
      </c>
      <c r="K3176" s="3" t="s">
        <v>22</v>
      </c>
    </row>
    <row r="3177" spans="1:11" ht="42" customHeight="1">
      <c r="A3177" s="2" t="s">
        <v>6868</v>
      </c>
      <c r="B3177" s="2" t="s">
        <v>6869</v>
      </c>
      <c r="C3177" s="2" t="s">
        <v>16</v>
      </c>
      <c r="D3177" s="2" t="s">
        <v>17</v>
      </c>
      <c r="E3177" s="5">
        <v>-31579</v>
      </c>
      <c r="F3177" s="3" t="s">
        <v>609</v>
      </c>
      <c r="G3177" s="3" t="s">
        <v>3601</v>
      </c>
      <c r="H3177" s="2" t="s">
        <v>20</v>
      </c>
      <c r="I3177" s="2" t="s">
        <v>6873</v>
      </c>
      <c r="J3177" s="3" t="str">
        <f>HYPERLINK("https://www.boe.es/gazeta/dias/1813/07/15/pdfs/GRE-1813-89.pdf#page=5","Abrir facsímil")</f>
        <v>Abrir facsímil</v>
      </c>
      <c r="K3177" s="3" t="s">
        <v>22</v>
      </c>
    </row>
    <row r="3178" spans="1:11" ht="42" customHeight="1">
      <c r="A3178" s="2" t="s">
        <v>6868</v>
      </c>
      <c r="B3178" s="2" t="s">
        <v>6869</v>
      </c>
      <c r="C3178" s="2" t="s">
        <v>16</v>
      </c>
      <c r="D3178" s="2" t="s">
        <v>97</v>
      </c>
      <c r="E3178" s="5">
        <v>-31519</v>
      </c>
      <c r="F3178" s="3" t="s">
        <v>312</v>
      </c>
      <c r="G3178" s="3" t="s">
        <v>19</v>
      </c>
      <c r="H3178" s="2" t="s">
        <v>20</v>
      </c>
      <c r="I3178" s="2" t="s">
        <v>6874</v>
      </c>
      <c r="J3178" s="3" t="str">
        <f>HYPERLINK("https://www.boe.es/gazeta/dias/1813/09/13/pdfs/GRE-1813-118E.pdf#page=4","Abrir facsímil")</f>
        <v>Abrir facsímil</v>
      </c>
      <c r="K3178" s="3" t="s">
        <v>22</v>
      </c>
    </row>
    <row r="3179" spans="1:11" ht="42" customHeight="1">
      <c r="A3179" s="2" t="s">
        <v>6868</v>
      </c>
      <c r="B3179" s="2" t="s">
        <v>6869</v>
      </c>
      <c r="C3179" s="2" t="s">
        <v>16</v>
      </c>
      <c r="D3179" s="2" t="s">
        <v>17</v>
      </c>
      <c r="E3179" s="5">
        <v>-31511</v>
      </c>
      <c r="F3179" s="3" t="s">
        <v>935</v>
      </c>
      <c r="G3179" s="3" t="s">
        <v>178</v>
      </c>
      <c r="H3179" s="2" t="s">
        <v>20</v>
      </c>
      <c r="I3179" s="2" t="s">
        <v>6875</v>
      </c>
      <c r="J3179" s="3" t="str">
        <f>HYPERLINK("https://www.boe.es/gazeta/dias/1813/09/21/pdfs/GMR-1813-46.pdf#page=11","Abrir facsímil")</f>
        <v>Abrir facsímil</v>
      </c>
      <c r="K3179" s="3" t="s">
        <v>22</v>
      </c>
    </row>
    <row r="3180" spans="1:11" ht="42" customHeight="1">
      <c r="A3180" s="2" t="s">
        <v>6868</v>
      </c>
      <c r="B3180" s="2" t="s">
        <v>6869</v>
      </c>
      <c r="C3180" s="2" t="s">
        <v>16</v>
      </c>
      <c r="D3180" s="2" t="s">
        <v>97</v>
      </c>
      <c r="E3180" s="5">
        <v>-31479</v>
      </c>
      <c r="F3180" s="3" t="s">
        <v>290</v>
      </c>
      <c r="G3180" s="3" t="s">
        <v>58</v>
      </c>
      <c r="H3180" s="2" t="s">
        <v>20</v>
      </c>
      <c r="I3180" s="2" t="s">
        <v>6876</v>
      </c>
      <c r="J3180" s="3" t="str">
        <f>HYPERLINK("https://www.boe.es/gazeta/dias/1813/10/23/pdfs/GRE-1813-139E.pdf#page=2","Abrir facsímil")</f>
        <v>Abrir facsímil</v>
      </c>
      <c r="K3180" s="3" t="s">
        <v>22</v>
      </c>
    </row>
    <row r="3181" spans="1:11" ht="42" customHeight="1">
      <c r="A3181" s="2" t="s">
        <v>6868</v>
      </c>
      <c r="B3181" s="2" t="s">
        <v>6869</v>
      </c>
      <c r="C3181" s="2" t="s">
        <v>16</v>
      </c>
      <c r="D3181" s="2" t="s">
        <v>97</v>
      </c>
      <c r="E3181" s="5">
        <v>-31479</v>
      </c>
      <c r="F3181" s="3" t="s">
        <v>290</v>
      </c>
      <c r="G3181" s="3" t="s">
        <v>54</v>
      </c>
      <c r="H3181" s="2" t="s">
        <v>20</v>
      </c>
      <c r="I3181" s="2" t="s">
        <v>6877</v>
      </c>
      <c r="J3181" s="3" t="str">
        <f>HYPERLINK("https://www.boe.es/gazeta/dias/1813/10/23/pdfs/GRE-1813-139E.pdf#page=3","Abrir facsímil")</f>
        <v>Abrir facsímil</v>
      </c>
      <c r="K3181" s="3" t="s">
        <v>22</v>
      </c>
    </row>
    <row r="3182" spans="1:11" ht="42" customHeight="1">
      <c r="A3182" s="2" t="s">
        <v>6878</v>
      </c>
      <c r="B3182" s="2" t="s">
        <v>6879</v>
      </c>
      <c r="C3182" s="2" t="s">
        <v>16</v>
      </c>
      <c r="D3182" s="2" t="s">
        <v>97</v>
      </c>
      <c r="E3182" s="5">
        <v>-31479</v>
      </c>
      <c r="F3182" s="3" t="s">
        <v>290</v>
      </c>
      <c r="G3182" s="3" t="s">
        <v>19</v>
      </c>
      <c r="H3182" s="2" t="s">
        <v>20</v>
      </c>
      <c r="I3182" s="2" t="s">
        <v>6880</v>
      </c>
      <c r="J3182" s="3" t="str">
        <f>HYPERLINK("https://www.boe.es/gazeta/dias/1813/10/23/pdfs/GRE-1813-139E.pdf#page=4","Abrir facsímil")</f>
        <v>Abrir facsímil</v>
      </c>
      <c r="K3182" s="3" t="s">
        <v>22</v>
      </c>
    </row>
    <row r="3183" spans="1:11" ht="42" customHeight="1">
      <c r="A3183" s="2" t="s">
        <v>6868</v>
      </c>
      <c r="B3183" s="2" t="s">
        <v>6869</v>
      </c>
      <c r="C3183" s="2" t="s">
        <v>16</v>
      </c>
      <c r="D3183" s="2" t="s">
        <v>17</v>
      </c>
      <c r="E3183" s="5">
        <v>-31476</v>
      </c>
      <c r="F3183" s="3" t="s">
        <v>158</v>
      </c>
      <c r="G3183" s="3" t="s">
        <v>95</v>
      </c>
      <c r="H3183" s="2" t="s">
        <v>20</v>
      </c>
      <c r="I3183" s="2" t="s">
        <v>6881</v>
      </c>
      <c r="J3183" s="3" t="str">
        <f>HYPERLINK("https://www.boe.es/gazeta/dias/1813/10/26/pdfs/GMR-1813-64.pdf#page=6","Abrir facsímil")</f>
        <v>Abrir facsímil</v>
      </c>
      <c r="K3183" s="3" t="s">
        <v>22</v>
      </c>
    </row>
    <row r="3184" spans="1:11" ht="42" customHeight="1">
      <c r="A3184" s="2" t="s">
        <v>6868</v>
      </c>
      <c r="B3184" s="2" t="s">
        <v>6869</v>
      </c>
      <c r="C3184" s="2" t="s">
        <v>16</v>
      </c>
      <c r="D3184" s="2" t="s">
        <v>17</v>
      </c>
      <c r="E3184" s="5">
        <v>-31469</v>
      </c>
      <c r="F3184" s="3" t="s">
        <v>1452</v>
      </c>
      <c r="G3184" s="3" t="s">
        <v>95</v>
      </c>
      <c r="H3184" s="2" t="s">
        <v>20</v>
      </c>
      <c r="I3184" s="2" t="s">
        <v>6882</v>
      </c>
      <c r="J3184" s="3" t="str">
        <f>HYPERLINK("https://www.boe.es/gazeta/dias/1813/11/02/pdfs/GRE-1813-143.pdf#page=6","Abrir facsímil")</f>
        <v>Abrir facsímil</v>
      </c>
      <c r="K3184" s="3" t="s">
        <v>22</v>
      </c>
    </row>
    <row r="3185" spans="1:11" ht="42" customHeight="1">
      <c r="A3185" s="2" t="s">
        <v>6868</v>
      </c>
      <c r="B3185" s="2" t="s">
        <v>6869</v>
      </c>
      <c r="C3185" s="2" t="s">
        <v>16</v>
      </c>
      <c r="D3185" s="2" t="s">
        <v>17</v>
      </c>
      <c r="E3185" s="5">
        <v>-31467</v>
      </c>
      <c r="F3185" s="3" t="s">
        <v>120</v>
      </c>
      <c r="G3185" s="3" t="s">
        <v>95</v>
      </c>
      <c r="H3185" s="2" t="s">
        <v>20</v>
      </c>
      <c r="I3185" s="2" t="s">
        <v>6883</v>
      </c>
      <c r="J3185" s="3" t="str">
        <f>HYPERLINK("https://www.boe.es/gazeta/dias/1813/11/04/pdfs/GMR-1813-68.pdf#page=6","Abrir facsímil")</f>
        <v>Abrir facsímil</v>
      </c>
      <c r="K3185" s="3" t="s">
        <v>22</v>
      </c>
    </row>
    <row r="3186" spans="1:11" ht="42" customHeight="1">
      <c r="A3186" s="2" t="s">
        <v>6878</v>
      </c>
      <c r="B3186" s="2" t="s">
        <v>6879</v>
      </c>
      <c r="C3186" s="2" t="s">
        <v>16</v>
      </c>
      <c r="D3186" s="2" t="s">
        <v>17</v>
      </c>
      <c r="E3186" s="5">
        <v>-31467</v>
      </c>
      <c r="F3186" s="3" t="s">
        <v>120</v>
      </c>
      <c r="G3186" s="3" t="s">
        <v>87</v>
      </c>
      <c r="H3186" s="2" t="s">
        <v>20</v>
      </c>
      <c r="I3186" s="2" t="s">
        <v>6884</v>
      </c>
      <c r="J3186" s="3" t="str">
        <f>HYPERLINK("https://www.boe.es/gazeta/dias/1813/11/04/pdfs/GMR-1813-68.pdf#page=7","Abrir facsímil")</f>
        <v>Abrir facsímil</v>
      </c>
      <c r="K3186" s="3" t="s">
        <v>22</v>
      </c>
    </row>
    <row r="3187" spans="1:11" ht="42" customHeight="1">
      <c r="A3187" s="2" t="s">
        <v>6868</v>
      </c>
      <c r="B3187" s="2" t="s">
        <v>6869</v>
      </c>
      <c r="C3187" s="2" t="s">
        <v>16</v>
      </c>
      <c r="D3187" s="2" t="s">
        <v>17</v>
      </c>
      <c r="E3187" s="5">
        <v>-31467</v>
      </c>
      <c r="F3187" s="3" t="s">
        <v>1464</v>
      </c>
      <c r="G3187" s="3" t="s">
        <v>95</v>
      </c>
      <c r="H3187" s="2" t="s">
        <v>20</v>
      </c>
      <c r="I3187" s="2" t="s">
        <v>6885</v>
      </c>
      <c r="J3187" s="3" t="str">
        <f>HYPERLINK("https://www.boe.es/gazeta/dias/1813/11/04/pdfs/GRE-1813-144.pdf#page=6","Abrir facsímil")</f>
        <v>Abrir facsímil</v>
      </c>
      <c r="K3187" s="3" t="s">
        <v>22</v>
      </c>
    </row>
    <row r="3188" spans="1:11" ht="42" customHeight="1">
      <c r="A3188" s="2" t="s">
        <v>6878</v>
      </c>
      <c r="B3188" s="2" t="s">
        <v>6879</v>
      </c>
      <c r="C3188" s="2" t="s">
        <v>16</v>
      </c>
      <c r="D3188" s="2" t="s">
        <v>17</v>
      </c>
      <c r="E3188" s="5">
        <v>-31467</v>
      </c>
      <c r="F3188" s="3" t="s">
        <v>1464</v>
      </c>
      <c r="G3188" s="3" t="s">
        <v>87</v>
      </c>
      <c r="H3188" s="2" t="s">
        <v>20</v>
      </c>
      <c r="I3188" s="2" t="s">
        <v>6886</v>
      </c>
      <c r="J3188" s="3" t="str">
        <f>HYPERLINK("https://www.boe.es/gazeta/dias/1813/11/04/pdfs/GRE-1813-144.pdf#page=7","Abrir facsímil")</f>
        <v>Abrir facsímil</v>
      </c>
      <c r="K3188" s="3" t="s">
        <v>22</v>
      </c>
    </row>
    <row r="3189" spans="1:11" ht="42" customHeight="1">
      <c r="A3189" s="2" t="s">
        <v>6868</v>
      </c>
      <c r="B3189" s="2" t="s">
        <v>6869</v>
      </c>
      <c r="C3189" s="2" t="s">
        <v>16</v>
      </c>
      <c r="D3189" s="2" t="s">
        <v>17</v>
      </c>
      <c r="E3189" s="5">
        <v>-31460</v>
      </c>
      <c r="F3189" s="3" t="s">
        <v>599</v>
      </c>
      <c r="G3189" s="3" t="s">
        <v>3551</v>
      </c>
      <c r="H3189" s="2" t="s">
        <v>20</v>
      </c>
      <c r="I3189" s="2" t="s">
        <v>6887</v>
      </c>
      <c r="J3189" s="3" t="str">
        <f>HYPERLINK("https://www.boe.es/gazeta/dias/1813/11/11/pdfs/GMR-1813-72.pdf#page=9","Abrir facsímil")</f>
        <v>Abrir facsímil</v>
      </c>
      <c r="K3189" s="3" t="s">
        <v>22</v>
      </c>
    </row>
    <row r="3190" spans="1:11" ht="42" customHeight="1">
      <c r="A3190" s="2" t="s">
        <v>6868</v>
      </c>
      <c r="B3190" s="2" t="s">
        <v>6869</v>
      </c>
      <c r="C3190" s="2" t="s">
        <v>25</v>
      </c>
      <c r="D3190" s="2" t="s">
        <v>97</v>
      </c>
      <c r="E3190" s="5">
        <v>-31445</v>
      </c>
      <c r="F3190" s="3" t="s">
        <v>299</v>
      </c>
      <c r="G3190" s="3" t="s">
        <v>58</v>
      </c>
      <c r="H3190" s="2" t="s">
        <v>20</v>
      </c>
      <c r="I3190" s="2" t="s">
        <v>6888</v>
      </c>
      <c r="J3190" s="3" t="str">
        <f>HYPERLINK("https://www.boe.es/gazeta/dias/1813/11/26/pdfs/GRE-1813-156E.pdf#page=2","Abrir facsímil")</f>
        <v>Abrir facsímil</v>
      </c>
      <c r="K3190" s="3" t="s">
        <v>22</v>
      </c>
    </row>
    <row r="3191" spans="1:11" ht="42" customHeight="1">
      <c r="A3191" s="2" t="s">
        <v>6868</v>
      </c>
      <c r="B3191" s="2" t="s">
        <v>6869</v>
      </c>
      <c r="C3191" s="2" t="s">
        <v>16</v>
      </c>
      <c r="D3191" s="2" t="s">
        <v>17</v>
      </c>
      <c r="E3191" s="5">
        <v>-31432</v>
      </c>
      <c r="F3191" s="3" t="s">
        <v>702</v>
      </c>
      <c r="G3191" s="3" t="s">
        <v>19</v>
      </c>
      <c r="H3191" s="2" t="s">
        <v>20</v>
      </c>
      <c r="I3191" s="2" t="s">
        <v>6889</v>
      </c>
      <c r="J3191" s="3" t="str">
        <f>HYPERLINK("https://www.boe.es/gazeta/dias/1813/12/09/pdfs/GMR-1813-85.pdf#page=4","Abrir facsímil")</f>
        <v>Abrir facsímil</v>
      </c>
      <c r="K3191" s="3" t="s">
        <v>22</v>
      </c>
    </row>
    <row r="3192" spans="1:11" ht="42" customHeight="1">
      <c r="A3192" s="2" t="s">
        <v>6868</v>
      </c>
      <c r="B3192" s="2" t="s">
        <v>6869</v>
      </c>
      <c r="C3192" s="2" t="s">
        <v>16</v>
      </c>
      <c r="D3192" s="2" t="s">
        <v>17</v>
      </c>
      <c r="E3192" s="5">
        <v>-31432</v>
      </c>
      <c r="F3192" s="3" t="s">
        <v>702</v>
      </c>
      <c r="G3192" s="3" t="s">
        <v>82</v>
      </c>
      <c r="H3192" s="2" t="s">
        <v>20</v>
      </c>
      <c r="I3192" s="2" t="s">
        <v>6890</v>
      </c>
      <c r="J3192" s="3" t="str">
        <f>HYPERLINK("https://www.boe.es/gazeta/dias/1813/12/09/pdfs/GMR-1813-85.pdf#page=5","Abrir facsímil")</f>
        <v>Abrir facsímil</v>
      </c>
      <c r="K3192" s="3" t="s">
        <v>22</v>
      </c>
    </row>
    <row r="3193" spans="1:11" ht="42" customHeight="1">
      <c r="A3193" s="2" t="s">
        <v>6868</v>
      </c>
      <c r="B3193" s="2" t="s">
        <v>6869</v>
      </c>
      <c r="C3193" s="2" t="s">
        <v>16</v>
      </c>
      <c r="D3193" s="2" t="s">
        <v>17</v>
      </c>
      <c r="E3193" s="5">
        <v>-31432</v>
      </c>
      <c r="F3193" s="3" t="s">
        <v>702</v>
      </c>
      <c r="G3193" s="3" t="s">
        <v>95</v>
      </c>
      <c r="H3193" s="2" t="s">
        <v>20</v>
      </c>
      <c r="I3193" s="2" t="s">
        <v>6891</v>
      </c>
      <c r="J3193" s="3" t="str">
        <f>HYPERLINK("https://www.boe.es/gazeta/dias/1813/12/09/pdfs/GMR-1813-85.pdf#page=6","Abrir facsímil")</f>
        <v>Abrir facsímil</v>
      </c>
      <c r="K3193" s="3" t="s">
        <v>22</v>
      </c>
    </row>
    <row r="3194" spans="1:11" ht="42" customHeight="1">
      <c r="A3194" s="2" t="s">
        <v>6892</v>
      </c>
      <c r="B3194" s="2" t="s">
        <v>6893</v>
      </c>
      <c r="C3194" s="2" t="s">
        <v>16</v>
      </c>
      <c r="D3194" s="2" t="s">
        <v>17</v>
      </c>
      <c r="E3194" s="5">
        <v>-31582</v>
      </c>
      <c r="F3194" s="3" t="s">
        <v>907</v>
      </c>
      <c r="G3194" s="3" t="s">
        <v>58</v>
      </c>
      <c r="H3194" s="2" t="s">
        <v>20</v>
      </c>
      <c r="I3194" s="2" t="s">
        <v>6894</v>
      </c>
      <c r="J3194" s="3" t="str">
        <f>HYPERLINK("https://www.boe.es/gazeta/dias/1813/07/12/pdfs/GRE-1813-87.pdf#page=2","Abrir facsímil")</f>
        <v>Abrir facsímil</v>
      </c>
      <c r="K3194" s="3" t="s">
        <v>22</v>
      </c>
    </row>
    <row r="3195" spans="1:11" ht="42" customHeight="1">
      <c r="A3195" s="2" t="s">
        <v>6895</v>
      </c>
      <c r="B3195" s="2" t="s">
        <v>6896</v>
      </c>
      <c r="C3195" s="2" t="s">
        <v>16</v>
      </c>
      <c r="D3195" s="2" t="s">
        <v>17</v>
      </c>
      <c r="E3195" s="5">
        <v>-31558</v>
      </c>
      <c r="F3195" s="3" t="s">
        <v>1288</v>
      </c>
      <c r="G3195" s="3" t="s">
        <v>87</v>
      </c>
      <c r="H3195" s="2" t="s">
        <v>20</v>
      </c>
      <c r="I3195" s="2" t="s">
        <v>6897</v>
      </c>
      <c r="J3195" s="3" t="str">
        <f>HYPERLINK("https://www.boe.es/gazeta/dias/1813/08/05/pdfs/GMR-1813-24.pdf#page=7","Abrir facsímil")</f>
        <v>Abrir facsímil</v>
      </c>
      <c r="K3195" s="3" t="s">
        <v>22</v>
      </c>
    </row>
    <row r="3196" spans="1:11" ht="42" customHeight="1">
      <c r="A3196" s="2" t="s">
        <v>6898</v>
      </c>
      <c r="B3196" s="2" t="s">
        <v>6899</v>
      </c>
      <c r="C3196" s="2" t="s">
        <v>16</v>
      </c>
      <c r="D3196" s="2" t="s">
        <v>17</v>
      </c>
      <c r="E3196" s="5">
        <v>-31530</v>
      </c>
      <c r="F3196" s="3" t="s">
        <v>133</v>
      </c>
      <c r="G3196" s="3" t="s">
        <v>54</v>
      </c>
      <c r="H3196" s="2" t="s">
        <v>20</v>
      </c>
      <c r="I3196" s="2" t="s">
        <v>6900</v>
      </c>
      <c r="J3196" s="3" t="str">
        <f>HYPERLINK("https://www.boe.es/gazeta/dias/1813/09/02/pdfs/GMR-1813-36.pdf#page=3","Abrir facsímil")</f>
        <v>Abrir facsímil</v>
      </c>
      <c r="K3196" s="3" t="s">
        <v>22</v>
      </c>
    </row>
    <row r="3197" spans="1:11" ht="42" customHeight="1">
      <c r="A3197" s="2" t="s">
        <v>6898</v>
      </c>
      <c r="B3197" s="2" t="s">
        <v>6899</v>
      </c>
      <c r="C3197" s="2" t="s">
        <v>16</v>
      </c>
      <c r="D3197" s="2" t="s">
        <v>17</v>
      </c>
      <c r="E3197" s="5">
        <v>-31530</v>
      </c>
      <c r="F3197" s="3" t="s">
        <v>319</v>
      </c>
      <c r="G3197" s="3" t="s">
        <v>5755</v>
      </c>
      <c r="H3197" s="2" t="s">
        <v>20</v>
      </c>
      <c r="I3197" s="2" t="s">
        <v>6901</v>
      </c>
      <c r="J3197" s="3" t="str">
        <f>HYPERLINK("https://www.boe.es/gazeta/dias/1813/09/02/pdfs/GRE-1813-112.pdf#page=5","Abrir facsímil")</f>
        <v>Abrir facsímil</v>
      </c>
      <c r="K3197" s="3" t="s">
        <v>22</v>
      </c>
    </row>
    <row r="3198" spans="1:11" ht="42" customHeight="1">
      <c r="A3198" s="2" t="s">
        <v>6902</v>
      </c>
      <c r="B3198" s="2" t="s">
        <v>6903</v>
      </c>
      <c r="C3198" s="2" t="s">
        <v>16</v>
      </c>
      <c r="D3198" s="2" t="s">
        <v>17</v>
      </c>
      <c r="E3198" s="5">
        <v>-31567</v>
      </c>
      <c r="F3198" s="3" t="s">
        <v>1471</v>
      </c>
      <c r="G3198" s="3" t="s">
        <v>95</v>
      </c>
      <c r="H3198" s="2" t="s">
        <v>20</v>
      </c>
      <c r="I3198" s="2" t="s">
        <v>6904</v>
      </c>
      <c r="J3198" s="3" t="str">
        <f>HYPERLINK("https://www.boe.es/gazeta/dias/1813/07/27/pdfs/GRE-1813-95.pdf#page=6","Abrir facsímil")</f>
        <v>Abrir facsímil</v>
      </c>
      <c r="K3198" s="3" t="s">
        <v>22</v>
      </c>
    </row>
    <row r="3199" spans="1:11" ht="42" customHeight="1">
      <c r="A3199" s="2" t="s">
        <v>6905</v>
      </c>
      <c r="B3199" s="2" t="s">
        <v>6906</v>
      </c>
      <c r="C3199" s="2" t="s">
        <v>16</v>
      </c>
      <c r="D3199" s="2" t="s">
        <v>17</v>
      </c>
      <c r="E3199" s="5">
        <v>-31567</v>
      </c>
      <c r="F3199" s="3" t="s">
        <v>1471</v>
      </c>
      <c r="G3199" s="3" t="s">
        <v>82</v>
      </c>
      <c r="H3199" s="2" t="s">
        <v>20</v>
      </c>
      <c r="I3199" s="2" t="s">
        <v>6907</v>
      </c>
      <c r="J3199" s="3" t="str">
        <f>HYPERLINK("https://www.boe.es/gazeta/dias/1813/07/27/pdfs/GRE-1813-95.pdf#page=5","Abrir facsímil")</f>
        <v>Abrir facsímil</v>
      </c>
      <c r="K3199" s="3" t="s">
        <v>22</v>
      </c>
    </row>
    <row r="3200" spans="1:11" ht="42" customHeight="1">
      <c r="A3200" s="2" t="s">
        <v>6905</v>
      </c>
      <c r="B3200" s="2" t="s">
        <v>6906</v>
      </c>
      <c r="C3200" s="2" t="s">
        <v>34</v>
      </c>
      <c r="D3200" s="2" t="s">
        <v>35</v>
      </c>
      <c r="E3200" s="5">
        <v>-31549</v>
      </c>
      <c r="F3200" s="3" t="s">
        <v>332</v>
      </c>
      <c r="G3200" s="3" t="s">
        <v>19</v>
      </c>
      <c r="H3200" s="2" t="s">
        <v>20</v>
      </c>
      <c r="I3200" s="2" t="s">
        <v>6908</v>
      </c>
      <c r="J3200" s="3" t="str">
        <f>HYPERLINK("https://www.boe.es/gazeta/dias/1813/08/14/pdfs/GMR-1813-28.pdf#page=4","Abrir facsímil")</f>
        <v>Abrir facsímil</v>
      </c>
      <c r="K3200" s="3" t="s">
        <v>22</v>
      </c>
    </row>
    <row r="3201" spans="1:11" ht="42" customHeight="1">
      <c r="A3201" s="2" t="s">
        <v>6909</v>
      </c>
      <c r="B3201" s="2" t="s">
        <v>6910</v>
      </c>
      <c r="C3201" s="2" t="s">
        <v>25</v>
      </c>
      <c r="D3201" s="2" t="s">
        <v>26</v>
      </c>
      <c r="E3201" s="5">
        <v>-31675</v>
      </c>
      <c r="F3201" s="3" t="s">
        <v>27</v>
      </c>
      <c r="G3201" s="3" t="s">
        <v>28</v>
      </c>
      <c r="H3201" s="2" t="s">
        <v>20</v>
      </c>
      <c r="I3201" s="2" t="s">
        <v>6911</v>
      </c>
      <c r="J3201" s="3" t="str">
        <f>HYPERLINK("https://www.boe.es/gazeta/dias/1813/04/10/pdfs/GRE-1813-44.pdf#page=8","Abrir facsímil")</f>
        <v>Abrir facsímil</v>
      </c>
      <c r="K3201" s="3" t="s">
        <v>22</v>
      </c>
    </row>
    <row r="3202" spans="1:11" ht="42" customHeight="1">
      <c r="A3202" s="2" t="s">
        <v>6912</v>
      </c>
      <c r="B3202" s="2" t="s">
        <v>6913</v>
      </c>
      <c r="C3202" s="2" t="s">
        <v>25</v>
      </c>
      <c r="D3202" s="2" t="s">
        <v>26</v>
      </c>
      <c r="E3202" s="5">
        <v>-31530</v>
      </c>
      <c r="F3202" s="3" t="s">
        <v>133</v>
      </c>
      <c r="G3202" s="3" t="s">
        <v>65</v>
      </c>
      <c r="H3202" s="2" t="s">
        <v>20</v>
      </c>
      <c r="I3202" s="2" t="s">
        <v>6914</v>
      </c>
      <c r="J3202" s="3" t="str">
        <f>HYPERLINK("https://www.boe.es/gazeta/dias/1813/09/02/pdfs/GMR-1813-36.pdf#page=1","Abrir facsímil")</f>
        <v>Abrir facsímil</v>
      </c>
      <c r="K3202" s="3" t="s">
        <v>22</v>
      </c>
    </row>
    <row r="3203" spans="1:11" ht="42" customHeight="1">
      <c r="A3203" s="2" t="s">
        <v>6915</v>
      </c>
      <c r="B3203" s="2" t="s">
        <v>6915</v>
      </c>
      <c r="C3203" s="2" t="s">
        <v>16</v>
      </c>
      <c r="D3203" s="2" t="s">
        <v>97</v>
      </c>
      <c r="E3203" s="5">
        <v>-31446</v>
      </c>
      <c r="F3203" s="3" t="s">
        <v>1877</v>
      </c>
      <c r="G3203" s="3" t="s">
        <v>54</v>
      </c>
      <c r="H3203" s="2" t="s">
        <v>20</v>
      </c>
      <c r="I3203" s="2" t="s">
        <v>6916</v>
      </c>
      <c r="J3203" s="3" t="str">
        <f>HYPERLINK("https://www.boe.es/gazeta/dias/1813/11/25/pdfs/GRE-1813-155E.pdf#page=3","Abrir facsímil")</f>
        <v>Abrir facsímil</v>
      </c>
      <c r="K3203" s="3" t="s">
        <v>22</v>
      </c>
    </row>
    <row r="3204" spans="1:11" ht="42" customHeight="1">
      <c r="A3204" s="2" t="s">
        <v>6917</v>
      </c>
      <c r="B3204" s="2" t="s">
        <v>6917</v>
      </c>
      <c r="C3204" s="2" t="s">
        <v>16</v>
      </c>
      <c r="D3204" s="2" t="s">
        <v>97</v>
      </c>
      <c r="E3204" s="5">
        <v>-31446</v>
      </c>
      <c r="F3204" s="3" t="s">
        <v>1877</v>
      </c>
      <c r="G3204" s="3" t="s">
        <v>1878</v>
      </c>
      <c r="H3204" s="2" t="s">
        <v>20</v>
      </c>
      <c r="I3204" s="2" t="s">
        <v>6918</v>
      </c>
      <c r="J3204" s="3" t="str">
        <f>HYPERLINK("https://www.boe.es/gazeta/dias/1813/11/25/pdfs/GRE-1813-155E.pdf#page=8","Abrir facsímil")</f>
        <v>Abrir facsímil</v>
      </c>
      <c r="K3204" s="3" t="s">
        <v>22</v>
      </c>
    </row>
    <row r="3205" spans="1:11" ht="42" customHeight="1">
      <c r="A3205" s="2" t="s">
        <v>6917</v>
      </c>
      <c r="B3205" s="2" t="s">
        <v>6917</v>
      </c>
      <c r="C3205" s="2" t="s">
        <v>16</v>
      </c>
      <c r="D3205" s="2" t="s">
        <v>17</v>
      </c>
      <c r="E3205" s="5">
        <v>-31441</v>
      </c>
      <c r="F3205" s="3" t="s">
        <v>1933</v>
      </c>
      <c r="G3205" s="3" t="s">
        <v>19</v>
      </c>
      <c r="H3205" s="2" t="s">
        <v>20</v>
      </c>
      <c r="I3205" s="2" t="s">
        <v>6919</v>
      </c>
      <c r="J3205" s="3" t="str">
        <f>HYPERLINK("https://www.boe.es/gazeta/dias/1813/11/30/pdfs/GMR-1813-81.pdf#page=4","Abrir facsímil")</f>
        <v>Abrir facsímil</v>
      </c>
      <c r="K3205" s="3" t="s">
        <v>22</v>
      </c>
    </row>
    <row r="3206" spans="1:11" ht="42" customHeight="1">
      <c r="A3206" s="2" t="s">
        <v>6917</v>
      </c>
      <c r="B3206" s="2" t="s">
        <v>6917</v>
      </c>
      <c r="C3206" s="2" t="s">
        <v>16</v>
      </c>
      <c r="D3206" s="2" t="s">
        <v>17</v>
      </c>
      <c r="E3206" s="5">
        <v>-31418</v>
      </c>
      <c r="F3206" s="3" t="s">
        <v>1529</v>
      </c>
      <c r="G3206" s="3" t="s">
        <v>65</v>
      </c>
      <c r="H3206" s="2" t="s">
        <v>20</v>
      </c>
      <c r="I3206" s="2" t="s">
        <v>6920</v>
      </c>
      <c r="J3206" s="3" t="str">
        <f>HYPERLINK("https://www.boe.es/gazeta/dias/1813/12/23/pdfs/GMR-1813-91.pdf#page=1","Abrir facsímil")</f>
        <v>Abrir facsímil</v>
      </c>
      <c r="K3206" s="3" t="s">
        <v>22</v>
      </c>
    </row>
    <row r="3207" spans="1:11" ht="42" customHeight="1">
      <c r="A3207" s="2" t="s">
        <v>6917</v>
      </c>
      <c r="B3207" s="2" t="s">
        <v>6917</v>
      </c>
      <c r="C3207" s="2" t="s">
        <v>16</v>
      </c>
      <c r="D3207" s="2" t="s">
        <v>17</v>
      </c>
      <c r="E3207" s="5">
        <v>-31413</v>
      </c>
      <c r="F3207" s="3" t="s">
        <v>152</v>
      </c>
      <c r="G3207" s="3" t="s">
        <v>54</v>
      </c>
      <c r="H3207" s="2" t="s">
        <v>20</v>
      </c>
      <c r="I3207" s="2" t="s">
        <v>6921</v>
      </c>
      <c r="J3207" s="3" t="str">
        <f>HYPERLINK("https://www.boe.es/gazeta/dias/1813/12/28/pdfs/GRE-1813-170.pdf#page=3","Abrir facsímil")</f>
        <v>Abrir facsímil</v>
      </c>
      <c r="K3207" s="3" t="s">
        <v>22</v>
      </c>
    </row>
    <row r="3208" spans="1:11" ht="42" customHeight="1">
      <c r="A3208" s="2" t="s">
        <v>6922</v>
      </c>
      <c r="B3208" s="2" t="s">
        <v>6922</v>
      </c>
      <c r="C3208" s="2" t="s">
        <v>16</v>
      </c>
      <c r="D3208" s="2" t="s">
        <v>17</v>
      </c>
      <c r="E3208" s="5">
        <v>-31592</v>
      </c>
      <c r="F3208" s="3" t="s">
        <v>175</v>
      </c>
      <c r="G3208" s="3" t="s">
        <v>471</v>
      </c>
      <c r="H3208" s="2" t="s">
        <v>20</v>
      </c>
      <c r="I3208" s="2" t="s">
        <v>6923</v>
      </c>
      <c r="J3208" s="3" t="str">
        <f>HYPERLINK("https://www.boe.es/gazeta/dias/1813/07/02/pdfs/GRE-1813-82.pdf#page=7","Abrir facsímil")</f>
        <v>Abrir facsímil</v>
      </c>
      <c r="K3208" s="3" t="s">
        <v>22</v>
      </c>
    </row>
    <row r="3209" spans="1:11" ht="42" customHeight="1">
      <c r="A3209" s="2" t="s">
        <v>6924</v>
      </c>
      <c r="B3209" s="2" t="s">
        <v>6924</v>
      </c>
      <c r="C3209" s="2" t="s">
        <v>25</v>
      </c>
      <c r="D3209" s="2" t="s">
        <v>26</v>
      </c>
      <c r="E3209" s="5">
        <v>-31700</v>
      </c>
      <c r="F3209" s="3" t="s">
        <v>778</v>
      </c>
      <c r="G3209" s="3" t="s">
        <v>65</v>
      </c>
      <c r="H3209" s="2" t="s">
        <v>20</v>
      </c>
      <c r="I3209" s="2" t="s">
        <v>6925</v>
      </c>
      <c r="J3209" s="3" t="str">
        <f>HYPERLINK("https://www.boe.es/gazeta/dias/1813/03/16/pdfs/GMD-1813-75.pdf#page=1","Abrir facsímil")</f>
        <v>Abrir facsímil</v>
      </c>
      <c r="K3209" s="3" t="s">
        <v>22</v>
      </c>
    </row>
    <row r="3210" spans="1:11" ht="42" customHeight="1">
      <c r="A3210" s="2" t="s">
        <v>6926</v>
      </c>
      <c r="B3210" s="2" t="s">
        <v>6926</v>
      </c>
      <c r="C3210" s="2" t="s">
        <v>16</v>
      </c>
      <c r="D3210" s="2" t="s">
        <v>17</v>
      </c>
      <c r="E3210" s="5">
        <v>-31413</v>
      </c>
      <c r="F3210" s="3" t="s">
        <v>152</v>
      </c>
      <c r="G3210" s="3" t="s">
        <v>54</v>
      </c>
      <c r="H3210" s="2" t="s">
        <v>20</v>
      </c>
      <c r="I3210" s="2" t="s">
        <v>6927</v>
      </c>
      <c r="J3210" s="3" t="str">
        <f>HYPERLINK("https://www.boe.es/gazeta/dias/1813/12/28/pdfs/GRE-1813-170.pdf#page=3","Abrir facsímil")</f>
        <v>Abrir facsímil</v>
      </c>
      <c r="K3210" s="3" t="s">
        <v>22</v>
      </c>
    </row>
    <row r="3211" spans="1:11" ht="42" customHeight="1">
      <c r="A3211" s="2" t="s">
        <v>6928</v>
      </c>
      <c r="B3211" s="2" t="s">
        <v>6928</v>
      </c>
      <c r="C3211" s="2" t="s">
        <v>16</v>
      </c>
      <c r="D3211" s="2" t="s">
        <v>17</v>
      </c>
      <c r="E3211" s="5">
        <v>-31560</v>
      </c>
      <c r="F3211" s="3" t="s">
        <v>1233</v>
      </c>
      <c r="G3211" s="3" t="s">
        <v>95</v>
      </c>
      <c r="H3211" s="2" t="s">
        <v>20</v>
      </c>
      <c r="I3211" s="2" t="s">
        <v>6929</v>
      </c>
      <c r="J3211" s="3" t="str">
        <f>HYPERLINK("https://www.boe.es/gazeta/dias/1813/08/03/pdfs/GMR-1813-23.pdf#page=6","Abrir facsímil")</f>
        <v>Abrir facsímil</v>
      </c>
      <c r="K3211" s="3" t="s">
        <v>22</v>
      </c>
    </row>
    <row r="3212" spans="1:11" ht="42" customHeight="1">
      <c r="A3212" s="2" t="s">
        <v>6930</v>
      </c>
      <c r="B3212" s="2" t="s">
        <v>6930</v>
      </c>
      <c r="C3212" s="2" t="s">
        <v>16</v>
      </c>
      <c r="D3212" s="2" t="s">
        <v>17</v>
      </c>
      <c r="E3212" s="5">
        <v>-31693</v>
      </c>
      <c r="F3212" s="3" t="s">
        <v>1847</v>
      </c>
      <c r="G3212" s="3" t="s">
        <v>54</v>
      </c>
      <c r="H3212" s="2" t="s">
        <v>20</v>
      </c>
      <c r="I3212" s="2" t="s">
        <v>6931</v>
      </c>
      <c r="J3212" s="3" t="str">
        <f>HYPERLINK("https://www.boe.es/gazeta/dias/1813/03/23/pdfs/GMD-1813-82.pdf#page=3","Abrir facsímil")</f>
        <v>Abrir facsímil</v>
      </c>
      <c r="K3212" s="3" t="s">
        <v>22</v>
      </c>
    </row>
    <row r="3213" spans="1:11" ht="42" customHeight="1">
      <c r="A3213" s="2" t="s">
        <v>6932</v>
      </c>
      <c r="B3213" s="2" t="s">
        <v>6932</v>
      </c>
      <c r="C3213" s="2" t="s">
        <v>16</v>
      </c>
      <c r="D3213" s="2" t="s">
        <v>17</v>
      </c>
      <c r="E3213" s="5">
        <v>-31553</v>
      </c>
      <c r="F3213" s="3" t="s">
        <v>1853</v>
      </c>
      <c r="G3213" s="3" t="s">
        <v>58</v>
      </c>
      <c r="H3213" s="2" t="s">
        <v>20</v>
      </c>
      <c r="I3213" s="2" t="s">
        <v>6933</v>
      </c>
      <c r="J3213" s="3" t="str">
        <f>HYPERLINK("https://www.boe.es/gazeta/dias/1813/08/10/pdfs/GMR-1813-26.pdf#page=2","Abrir facsímil")</f>
        <v>Abrir facsímil</v>
      </c>
      <c r="K3213" s="3" t="s">
        <v>22</v>
      </c>
    </row>
    <row r="3214" spans="1:11" ht="42" customHeight="1">
      <c r="A3214" s="2" t="s">
        <v>6934</v>
      </c>
      <c r="B3214" s="2" t="s">
        <v>6934</v>
      </c>
      <c r="C3214" s="2" t="s">
        <v>16</v>
      </c>
      <c r="D3214" s="2" t="s">
        <v>17</v>
      </c>
      <c r="E3214" s="5">
        <v>-31467</v>
      </c>
      <c r="F3214" s="3" t="s">
        <v>120</v>
      </c>
      <c r="G3214" s="3" t="s">
        <v>82</v>
      </c>
      <c r="H3214" s="2" t="s">
        <v>20</v>
      </c>
      <c r="I3214" s="2" t="s">
        <v>6935</v>
      </c>
      <c r="J3214" s="3" t="str">
        <f>HYPERLINK("https://www.boe.es/gazeta/dias/1813/11/04/pdfs/GMR-1813-68.pdf#page=5","Abrir facsímil")</f>
        <v>Abrir facsímil</v>
      </c>
      <c r="K3214" s="3" t="s">
        <v>22</v>
      </c>
    </row>
    <row r="3215" spans="1:11" ht="42" customHeight="1">
      <c r="A3215" s="2" t="s">
        <v>6936</v>
      </c>
      <c r="B3215" s="2" t="s">
        <v>6936</v>
      </c>
      <c r="C3215" s="2" t="s">
        <v>16</v>
      </c>
      <c r="D3215" s="2" t="s">
        <v>17</v>
      </c>
      <c r="E3215" s="5">
        <v>-31726</v>
      </c>
      <c r="F3215" s="3" t="s">
        <v>493</v>
      </c>
      <c r="G3215" s="3" t="s">
        <v>19</v>
      </c>
      <c r="H3215" s="2" t="s">
        <v>20</v>
      </c>
      <c r="I3215" s="2" t="s">
        <v>6937</v>
      </c>
      <c r="J3215" s="3" t="str">
        <f>HYPERLINK("https://www.boe.es/gazeta/dias/1813/02/18/pdfs/GMD-1813-49.pdf#page=4","Abrir facsímil")</f>
        <v>Abrir facsímil</v>
      </c>
      <c r="K3215" s="3" t="s">
        <v>22</v>
      </c>
    </row>
    <row r="3216" spans="1:11" ht="42" customHeight="1">
      <c r="A3216" s="2" t="s">
        <v>6938</v>
      </c>
      <c r="B3216" s="2" t="s">
        <v>6938</v>
      </c>
      <c r="C3216" s="2" t="s">
        <v>16</v>
      </c>
      <c r="D3216" s="2" t="s">
        <v>17</v>
      </c>
      <c r="E3216" s="5">
        <v>-31574</v>
      </c>
      <c r="F3216" s="3" t="s">
        <v>509</v>
      </c>
      <c r="G3216" s="3" t="s">
        <v>65</v>
      </c>
      <c r="H3216" s="2" t="s">
        <v>20</v>
      </c>
      <c r="I3216" s="2" t="s">
        <v>6939</v>
      </c>
      <c r="J3216" s="3" t="str">
        <f>HYPERLINK("https://www.boe.es/gazeta/dias/1813/07/20/pdfs/GRE-1813-92.pdf#page=1","Abrir facsímil")</f>
        <v>Abrir facsímil</v>
      </c>
      <c r="K3216" s="3" t="s">
        <v>22</v>
      </c>
    </row>
    <row r="3217" spans="1:11" ht="42" customHeight="1">
      <c r="A3217" s="2" t="s">
        <v>6940</v>
      </c>
      <c r="B3217" s="2" t="s">
        <v>6941</v>
      </c>
      <c r="C3217" s="2" t="s">
        <v>25</v>
      </c>
      <c r="D3217" s="2" t="s">
        <v>26</v>
      </c>
      <c r="E3217" s="5">
        <v>-31745</v>
      </c>
      <c r="F3217" s="3" t="s">
        <v>445</v>
      </c>
      <c r="G3217" s="3" t="s">
        <v>28</v>
      </c>
      <c r="H3217" s="2" t="s">
        <v>20</v>
      </c>
      <c r="I3217" s="2" t="s">
        <v>6942</v>
      </c>
      <c r="J3217" s="3" t="str">
        <f>HYPERLINK("https://www.boe.es/gazeta/dias/1813/01/30/pdfs/GRE-1813-13.pdf#page=8","Abrir facsímil")</f>
        <v>Abrir facsímil</v>
      </c>
      <c r="K3217" s="3" t="s">
        <v>22</v>
      </c>
    </row>
    <row r="3218" spans="1:11" ht="42" customHeight="1">
      <c r="A3218" s="2" t="s">
        <v>6943</v>
      </c>
      <c r="B3218" s="2" t="s">
        <v>6943</v>
      </c>
      <c r="C3218" s="2" t="s">
        <v>16</v>
      </c>
      <c r="D3218" s="2" t="s">
        <v>17</v>
      </c>
      <c r="E3218" s="5">
        <v>-31537</v>
      </c>
      <c r="F3218" s="3" t="s">
        <v>138</v>
      </c>
      <c r="G3218" s="3" t="s">
        <v>178</v>
      </c>
      <c r="H3218" s="2" t="s">
        <v>20</v>
      </c>
      <c r="I3218" s="2" t="s">
        <v>6944</v>
      </c>
      <c r="J3218" s="3" t="str">
        <f>HYPERLINK("https://www.boe.es/gazeta/dias/1813/08/26/pdfs/GMR-1813-33.pdf#page=11","Abrir facsímil")</f>
        <v>Abrir facsímil</v>
      </c>
      <c r="K3218" s="3" t="s">
        <v>22</v>
      </c>
    </row>
    <row r="3219" spans="1:11" ht="42" customHeight="1">
      <c r="A3219" s="2" t="s">
        <v>6945</v>
      </c>
      <c r="B3219" s="2" t="s">
        <v>6946</v>
      </c>
      <c r="C3219" s="2" t="s">
        <v>16</v>
      </c>
      <c r="D3219" s="2" t="s">
        <v>17</v>
      </c>
      <c r="E3219" s="5">
        <v>-31481</v>
      </c>
      <c r="F3219" s="3" t="s">
        <v>40</v>
      </c>
      <c r="G3219" s="3" t="s">
        <v>87</v>
      </c>
      <c r="H3219" s="2" t="s">
        <v>20</v>
      </c>
      <c r="I3219" s="2" t="s">
        <v>6947</v>
      </c>
      <c r="J3219" s="3" t="str">
        <f>HYPERLINK("https://www.boe.es/gazeta/dias/1813/10/21/pdfs/GMR-1813-62.pdf#page=7","Abrir facsímil")</f>
        <v>Abrir facsímil</v>
      </c>
      <c r="K3219" s="3" t="s">
        <v>22</v>
      </c>
    </row>
    <row r="3220" spans="1:11" ht="42" customHeight="1">
      <c r="A3220" s="2" t="s">
        <v>6948</v>
      </c>
      <c r="B3220" s="2" t="s">
        <v>6949</v>
      </c>
      <c r="C3220" s="2" t="s">
        <v>187</v>
      </c>
      <c r="D3220" s="2" t="s">
        <v>26</v>
      </c>
      <c r="E3220" s="5">
        <v>-31537</v>
      </c>
      <c r="F3220" s="3" t="s">
        <v>138</v>
      </c>
      <c r="G3220" s="3" t="s">
        <v>95</v>
      </c>
      <c r="H3220" s="2" t="s">
        <v>20</v>
      </c>
      <c r="I3220" s="2" t="s">
        <v>6950</v>
      </c>
      <c r="J3220" s="3" t="str">
        <f>HYPERLINK("https://www.boe.es/gazeta/dias/1813/08/26/pdfs/GMR-1813-33.pdf#page=6","Abrir facsímil")</f>
        <v>Abrir facsímil</v>
      </c>
      <c r="K3220" s="3" t="s">
        <v>22</v>
      </c>
    </row>
    <row r="3221" spans="1:11" ht="42" customHeight="1">
      <c r="A3221" s="2" t="s">
        <v>6951</v>
      </c>
      <c r="B3221" s="2" t="s">
        <v>6951</v>
      </c>
      <c r="C3221" s="2" t="s">
        <v>16</v>
      </c>
      <c r="D3221" s="2" t="s">
        <v>17</v>
      </c>
      <c r="E3221" s="5">
        <v>-31537</v>
      </c>
      <c r="F3221" s="3" t="s">
        <v>138</v>
      </c>
      <c r="G3221" s="3" t="s">
        <v>821</v>
      </c>
      <c r="H3221" s="2" t="s">
        <v>20</v>
      </c>
      <c r="I3221" s="2" t="s">
        <v>6952</v>
      </c>
      <c r="J3221" s="3" t="str">
        <f>HYPERLINK("https://www.boe.es/gazeta/dias/1813/08/26/pdfs/GMR-1813-33.pdf#page=13","Abrir facsímil")</f>
        <v>Abrir facsímil</v>
      </c>
      <c r="K3221" s="3" t="s">
        <v>22</v>
      </c>
    </row>
    <row r="3222" spans="1:11" ht="42" customHeight="1">
      <c r="A3222" s="2" t="s">
        <v>6953</v>
      </c>
      <c r="B3222" s="2" t="s">
        <v>6954</v>
      </c>
      <c r="C3222" s="2" t="s">
        <v>25</v>
      </c>
      <c r="D3222" s="2" t="s">
        <v>26</v>
      </c>
      <c r="E3222" s="5">
        <v>-31677</v>
      </c>
      <c r="F3222" s="3" t="s">
        <v>76</v>
      </c>
      <c r="G3222" s="3" t="s">
        <v>28</v>
      </c>
      <c r="H3222" s="2" t="s">
        <v>20</v>
      </c>
      <c r="I3222" s="2" t="s">
        <v>6955</v>
      </c>
      <c r="J3222" s="3" t="str">
        <f>HYPERLINK("https://www.boe.es/gazeta/dias/1813/04/08/pdfs/GRE-1813-43.pdf#page=8","Abrir facsímil")</f>
        <v>Abrir facsímil</v>
      </c>
      <c r="K3222" s="3" t="s">
        <v>22</v>
      </c>
    </row>
    <row r="3223" spans="1:11" ht="42" customHeight="1">
      <c r="A3223" s="2" t="s">
        <v>6956</v>
      </c>
      <c r="B3223" s="2" t="s">
        <v>6957</v>
      </c>
      <c r="C3223" s="2" t="s">
        <v>16</v>
      </c>
      <c r="D3223" s="2" t="s">
        <v>17</v>
      </c>
      <c r="E3223" s="5">
        <v>-31591</v>
      </c>
      <c r="F3223" s="3" t="s">
        <v>2123</v>
      </c>
      <c r="G3223" s="3" t="s">
        <v>87</v>
      </c>
      <c r="H3223" s="2" t="s">
        <v>20</v>
      </c>
      <c r="I3223" s="2" t="s">
        <v>6958</v>
      </c>
      <c r="J3223" s="3" t="str">
        <f>HYPERLINK("https://www.boe.es/gazeta/dias/1813/07/03/pdfs/GRE-1813-83.pdf#page=7","Abrir facsímil")</f>
        <v>Abrir facsímil</v>
      </c>
      <c r="K3223" s="3" t="s">
        <v>22</v>
      </c>
    </row>
    <row r="3224" spans="1:11" ht="42" customHeight="1">
      <c r="A3224" s="2" t="s">
        <v>6959</v>
      </c>
      <c r="B3224" s="2" t="s">
        <v>6959</v>
      </c>
      <c r="C3224" s="2" t="s">
        <v>25</v>
      </c>
      <c r="D3224" s="2" t="s">
        <v>26</v>
      </c>
      <c r="E3224" s="5">
        <v>-31659</v>
      </c>
      <c r="F3224" s="3" t="s">
        <v>3041</v>
      </c>
      <c r="G3224" s="3" t="s">
        <v>54</v>
      </c>
      <c r="H3224" s="2" t="s">
        <v>20</v>
      </c>
      <c r="I3224" s="2" t="s">
        <v>6960</v>
      </c>
      <c r="J3224" s="3" t="str">
        <f>HYPERLINK("https://www.boe.es/gazeta/dias/1813/04/26/pdfs/GMD-1813-116.pdf#page=3","Abrir facsímil")</f>
        <v>Abrir facsímil</v>
      </c>
      <c r="K3224" s="3" t="s">
        <v>22</v>
      </c>
    </row>
    <row r="3225" spans="1:11" ht="42" customHeight="1">
      <c r="A3225" s="2" t="s">
        <v>6961</v>
      </c>
      <c r="B3225" s="2" t="s">
        <v>6962</v>
      </c>
      <c r="C3225" s="2" t="s">
        <v>34</v>
      </c>
      <c r="D3225" s="2" t="s">
        <v>35</v>
      </c>
      <c r="E3225" s="5">
        <v>-31502</v>
      </c>
      <c r="F3225" s="3" t="s">
        <v>257</v>
      </c>
      <c r="G3225" s="3" t="s">
        <v>258</v>
      </c>
      <c r="H3225" s="2" t="s">
        <v>20</v>
      </c>
      <c r="I3225" s="2" t="s">
        <v>6963</v>
      </c>
      <c r="J3225" s="3" t="str">
        <f>HYPERLINK("https://www.boe.es/gazeta/dias/1813/09/30/pdfs/GMR-1813-51.pdf#page=12","Abrir facsímil")</f>
        <v>Abrir facsímil</v>
      </c>
      <c r="K3225" s="3" t="s">
        <v>22</v>
      </c>
    </row>
    <row r="3226" spans="1:11" ht="42" customHeight="1">
      <c r="A3226" s="2" t="s">
        <v>6964</v>
      </c>
      <c r="B3226" s="2" t="s">
        <v>6965</v>
      </c>
      <c r="C3226" s="2" t="s">
        <v>25</v>
      </c>
      <c r="D3226" s="2" t="s">
        <v>26</v>
      </c>
      <c r="E3226" s="5">
        <v>-31752</v>
      </c>
      <c r="F3226" s="3" t="s">
        <v>182</v>
      </c>
      <c r="G3226" s="3" t="s">
        <v>183</v>
      </c>
      <c r="H3226" s="2" t="s">
        <v>20</v>
      </c>
      <c r="I3226" s="2" t="s">
        <v>6966</v>
      </c>
      <c r="J3226" s="3" t="str">
        <f>HYPERLINK("https://www.boe.es/gazeta/dias/1813/01/23/pdfs/GRE-1813-10.pdf#page=8","Abrir facsímil")</f>
        <v>Abrir facsímil</v>
      </c>
      <c r="K3226" s="3" t="s">
        <v>22</v>
      </c>
    </row>
    <row r="3227" spans="1:11" ht="42" customHeight="1">
      <c r="A3227" s="2" t="s">
        <v>6967</v>
      </c>
      <c r="B3227" s="2" t="s">
        <v>6968</v>
      </c>
      <c r="C3227" s="2" t="s">
        <v>16</v>
      </c>
      <c r="D3227" s="2" t="s">
        <v>17</v>
      </c>
      <c r="E3227" s="5">
        <v>-31502</v>
      </c>
      <c r="F3227" s="3" t="s">
        <v>1363</v>
      </c>
      <c r="G3227" s="3" t="s">
        <v>95</v>
      </c>
      <c r="H3227" s="2" t="s">
        <v>29</v>
      </c>
      <c r="I3227" s="2" t="s">
        <v>6969</v>
      </c>
      <c r="J3227" s="3" t="str">
        <f>HYPERLINK("https://www.boe.es/gazeta/dias/1813/09/30/pdfs/GRE-1813-128.pdf#page=6","Abrir facsímil")</f>
        <v>Abrir facsímil</v>
      </c>
      <c r="K3227" s="3" t="s">
        <v>31</v>
      </c>
    </row>
    <row r="3228" spans="1:11" ht="42" customHeight="1">
      <c r="A3228" s="2" t="s">
        <v>6970</v>
      </c>
      <c r="B3228" s="2" t="s">
        <v>6971</v>
      </c>
      <c r="C3228" s="2" t="s">
        <v>16</v>
      </c>
      <c r="D3228" s="2" t="s">
        <v>17</v>
      </c>
      <c r="E3228" s="5">
        <v>-31467</v>
      </c>
      <c r="F3228" s="3" t="s">
        <v>120</v>
      </c>
      <c r="G3228" s="3" t="s">
        <v>58</v>
      </c>
      <c r="H3228" s="2" t="s">
        <v>20</v>
      </c>
      <c r="I3228" s="2" t="s">
        <v>6972</v>
      </c>
      <c r="J3228" s="3" t="str">
        <f>HYPERLINK("https://www.boe.es/gazeta/dias/1813/11/04/pdfs/GMR-1813-68.pdf#page=2","Abrir facsímil")</f>
        <v>Abrir facsímil</v>
      </c>
      <c r="K3228" s="3" t="s">
        <v>22</v>
      </c>
    </row>
    <row r="3229" spans="1:11" ht="42" customHeight="1">
      <c r="A3229" s="2" t="s">
        <v>6973</v>
      </c>
      <c r="B3229" s="2" t="s">
        <v>6974</v>
      </c>
      <c r="C3229" s="2" t="s">
        <v>16</v>
      </c>
      <c r="D3229" s="2" t="s">
        <v>17</v>
      </c>
      <c r="E3229" s="5">
        <v>-31570</v>
      </c>
      <c r="F3229" s="3" t="s">
        <v>1803</v>
      </c>
      <c r="G3229" s="3" t="s">
        <v>95</v>
      </c>
      <c r="H3229" s="2" t="s">
        <v>20</v>
      </c>
      <c r="I3229" s="2" t="s">
        <v>6975</v>
      </c>
      <c r="J3229" s="3" t="str">
        <f>HYPERLINK("https://www.boe.es/gazeta/dias/1813/07/24/pdfs/GRE-1813-94.pdf#page=6","Abrir facsímil")</f>
        <v>Abrir facsímil</v>
      </c>
      <c r="K3229" s="3" t="s">
        <v>22</v>
      </c>
    </row>
    <row r="3230" spans="1:11" ht="42" customHeight="1">
      <c r="A3230" s="2" t="s">
        <v>6976</v>
      </c>
      <c r="B3230" s="2" t="s">
        <v>6977</v>
      </c>
      <c r="C3230" s="2" t="s">
        <v>16</v>
      </c>
      <c r="D3230" s="2" t="s">
        <v>17</v>
      </c>
      <c r="E3230" s="5">
        <v>-31444</v>
      </c>
      <c r="F3230" s="3" t="s">
        <v>389</v>
      </c>
      <c r="G3230" s="3" t="s">
        <v>95</v>
      </c>
      <c r="H3230" s="2" t="s">
        <v>20</v>
      </c>
      <c r="I3230" s="2" t="s">
        <v>6978</v>
      </c>
      <c r="J3230" s="3" t="str">
        <f>HYPERLINK("https://www.boe.es/gazeta/dias/1813/11/27/pdfs/GMR-1813-80.pdf#page=6","Abrir facsímil")</f>
        <v>Abrir facsímil</v>
      </c>
      <c r="K3230" s="3" t="s">
        <v>22</v>
      </c>
    </row>
    <row r="3231" spans="1:11" ht="42" customHeight="1">
      <c r="A3231" s="2" t="s">
        <v>6979</v>
      </c>
      <c r="B3231" s="2" t="s">
        <v>6980</v>
      </c>
      <c r="C3231" s="2" t="s">
        <v>25</v>
      </c>
      <c r="D3231" s="2" t="s">
        <v>26</v>
      </c>
      <c r="E3231" s="5">
        <v>-31745</v>
      </c>
      <c r="F3231" s="3" t="s">
        <v>445</v>
      </c>
      <c r="G3231" s="3" t="s">
        <v>475</v>
      </c>
      <c r="H3231" s="2" t="s">
        <v>20</v>
      </c>
      <c r="I3231" s="2" t="s">
        <v>6981</v>
      </c>
      <c r="J3231" s="3" t="str">
        <f>HYPERLINK("https://www.boe.es/gazeta/dias/1813/01/30/pdfs/GRE-1813-13.pdf#page=7","Abrir facsímil")</f>
        <v>Abrir facsímil</v>
      </c>
      <c r="K3231" s="3" t="s">
        <v>22</v>
      </c>
    </row>
    <row r="3232" spans="1:11" ht="42" customHeight="1">
      <c r="A3232" s="2" t="s">
        <v>6982</v>
      </c>
      <c r="B3232" s="2" t="s">
        <v>6983</v>
      </c>
      <c r="C3232" s="2" t="s">
        <v>16</v>
      </c>
      <c r="D3232" s="2" t="s">
        <v>17</v>
      </c>
      <c r="E3232" s="5">
        <v>-31451</v>
      </c>
      <c r="F3232" s="3" t="s">
        <v>127</v>
      </c>
      <c r="G3232" s="3" t="s">
        <v>28</v>
      </c>
      <c r="H3232" s="2" t="s">
        <v>20</v>
      </c>
      <c r="I3232" s="2" t="s">
        <v>6984</v>
      </c>
      <c r="J3232" s="3" t="str">
        <f>HYPERLINK("https://www.boe.es/gazeta/dias/1813/11/20/pdfs/GRE-1813-152.pdf#page=8","Abrir facsímil")</f>
        <v>Abrir facsímil</v>
      </c>
      <c r="K3232" s="3" t="s">
        <v>22</v>
      </c>
    </row>
    <row r="3233" spans="1:11" ht="42" customHeight="1">
      <c r="A3233" s="2" t="s">
        <v>6985</v>
      </c>
      <c r="B3233" s="2" t="s">
        <v>6986</v>
      </c>
      <c r="C3233" s="2" t="s">
        <v>34</v>
      </c>
      <c r="D3233" s="2" t="s">
        <v>35</v>
      </c>
      <c r="E3233" s="5">
        <v>-31467</v>
      </c>
      <c r="F3233" s="3" t="s">
        <v>120</v>
      </c>
      <c r="G3233" s="3" t="s">
        <v>58</v>
      </c>
      <c r="H3233" s="2" t="s">
        <v>20</v>
      </c>
      <c r="I3233" s="2" t="s">
        <v>6987</v>
      </c>
      <c r="J3233" s="3" t="str">
        <f>HYPERLINK("https://www.boe.es/gazeta/dias/1813/11/04/pdfs/GMR-1813-68.pdf#page=2","Abrir facsímil")</f>
        <v>Abrir facsímil</v>
      </c>
      <c r="K3233" s="3" t="s">
        <v>22</v>
      </c>
    </row>
    <row r="3234" spans="1:11" ht="42" customHeight="1">
      <c r="A3234" s="2" t="s">
        <v>6988</v>
      </c>
      <c r="B3234" s="2" t="s">
        <v>6989</v>
      </c>
      <c r="C3234" s="2" t="s">
        <v>25</v>
      </c>
      <c r="D3234" s="2" t="s">
        <v>26</v>
      </c>
      <c r="E3234" s="5">
        <v>-31544</v>
      </c>
      <c r="F3234" s="3" t="s">
        <v>44</v>
      </c>
      <c r="G3234" s="3" t="s">
        <v>49</v>
      </c>
      <c r="H3234" s="2" t="s">
        <v>20</v>
      </c>
      <c r="I3234" s="2" t="s">
        <v>6990</v>
      </c>
      <c r="J3234" s="3" t="str">
        <f>HYPERLINK("https://www.boe.es/gazeta/dias/1813/08/19/pdfs/GMR-1813-30.pdf#page=5","Abrir facsímil")</f>
        <v>Abrir facsímil</v>
      </c>
      <c r="K3234" s="3" t="s">
        <v>22</v>
      </c>
    </row>
    <row r="3235" spans="1:11" ht="42" customHeight="1">
      <c r="A3235" s="2" t="s">
        <v>6991</v>
      </c>
      <c r="B3235" s="2" t="s">
        <v>6992</v>
      </c>
      <c r="C3235" s="2" t="s">
        <v>16</v>
      </c>
      <c r="D3235" s="2" t="s">
        <v>17</v>
      </c>
      <c r="E3235" s="5">
        <v>-31665</v>
      </c>
      <c r="F3235" s="3" t="s">
        <v>396</v>
      </c>
      <c r="G3235" s="3" t="s">
        <v>58</v>
      </c>
      <c r="H3235" s="2" t="s">
        <v>20</v>
      </c>
      <c r="I3235" s="2" t="s">
        <v>6993</v>
      </c>
      <c r="J3235" s="3" t="str">
        <f>HYPERLINK("https://www.boe.es/gazeta/dias/1813/04/20/pdfs/GRE-1813-49.pdf#page=2","Abrir facsímil")</f>
        <v>Abrir facsímil</v>
      </c>
      <c r="K3235" s="3" t="s">
        <v>22</v>
      </c>
    </row>
    <row r="3236" spans="1:11" ht="42" customHeight="1">
      <c r="A3236" s="2" t="s">
        <v>6994</v>
      </c>
      <c r="B3236" s="2" t="s">
        <v>6994</v>
      </c>
      <c r="C3236" s="2" t="s">
        <v>16</v>
      </c>
      <c r="D3236" s="2" t="s">
        <v>17</v>
      </c>
      <c r="E3236" s="5">
        <v>-31726</v>
      </c>
      <c r="F3236" s="3" t="s">
        <v>493</v>
      </c>
      <c r="G3236" s="3" t="s">
        <v>19</v>
      </c>
      <c r="H3236" s="2" t="s">
        <v>20</v>
      </c>
      <c r="I3236" s="2" t="s">
        <v>6995</v>
      </c>
      <c r="J3236" s="3" t="str">
        <f>HYPERLINK("https://www.boe.es/gazeta/dias/1813/02/18/pdfs/GMD-1813-49.pdf#page=4","Abrir facsímil")</f>
        <v>Abrir facsímil</v>
      </c>
      <c r="K3236" s="3" t="s">
        <v>22</v>
      </c>
    </row>
    <row r="3237" spans="1:11" ht="42" customHeight="1">
      <c r="A3237" s="2" t="s">
        <v>6996</v>
      </c>
      <c r="B3237" s="2" t="s">
        <v>6997</v>
      </c>
      <c r="C3237" s="2" t="s">
        <v>25</v>
      </c>
      <c r="D3237" s="2" t="s">
        <v>26</v>
      </c>
      <c r="E3237" s="5">
        <v>-31630</v>
      </c>
      <c r="F3237" s="3" t="s">
        <v>1324</v>
      </c>
      <c r="G3237" s="3" t="s">
        <v>3155</v>
      </c>
      <c r="H3237" s="2" t="s">
        <v>20</v>
      </c>
      <c r="I3237" s="2" t="s">
        <v>6998</v>
      </c>
      <c r="J3237" s="3" t="str">
        <f>HYPERLINK("https://www.boe.es/gazeta/dias/1813/05/25/pdfs/GRE-1813-64.pdf#page=8","Abrir facsímil")</f>
        <v>Abrir facsímil</v>
      </c>
      <c r="K3237" s="3" t="s">
        <v>22</v>
      </c>
    </row>
    <row r="3238" spans="1:11" ht="42" customHeight="1">
      <c r="A3238" s="2" t="s">
        <v>6999</v>
      </c>
      <c r="B3238" s="2" t="s">
        <v>7000</v>
      </c>
      <c r="C3238" s="2" t="s">
        <v>34</v>
      </c>
      <c r="D3238" s="2" t="s">
        <v>35</v>
      </c>
      <c r="E3238" s="5">
        <v>-31458</v>
      </c>
      <c r="F3238" s="3" t="s">
        <v>1171</v>
      </c>
      <c r="G3238" s="3" t="s">
        <v>3273</v>
      </c>
      <c r="H3238" s="2" t="s">
        <v>20</v>
      </c>
      <c r="I3238" s="2" t="s">
        <v>7001</v>
      </c>
      <c r="J3238" s="3" t="str">
        <f>HYPERLINK("https://www.boe.es/gazeta/dias/1813/11/13/pdfs/GRE-1813-149.pdf#page=7","Abrir facsímil")</f>
        <v>Abrir facsímil</v>
      </c>
      <c r="K3238" s="3" t="s">
        <v>22</v>
      </c>
    </row>
    <row r="3239" spans="1:11" ht="42" customHeight="1">
      <c r="A3239" s="2" t="s">
        <v>7002</v>
      </c>
      <c r="B3239" s="2" t="s">
        <v>7003</v>
      </c>
      <c r="C3239" s="2" t="s">
        <v>16</v>
      </c>
      <c r="D3239" s="2" t="s">
        <v>17</v>
      </c>
      <c r="E3239" s="5">
        <v>-31677</v>
      </c>
      <c r="F3239" s="3" t="s">
        <v>76</v>
      </c>
      <c r="G3239" s="3" t="s">
        <v>95</v>
      </c>
      <c r="H3239" s="2" t="s">
        <v>20</v>
      </c>
      <c r="I3239" s="2" t="s">
        <v>7004</v>
      </c>
      <c r="J3239" s="3" t="str">
        <f>HYPERLINK("https://www.boe.es/gazeta/dias/1813/04/08/pdfs/GRE-1813-43.pdf#page=6","Abrir facsímil")</f>
        <v>Abrir facsímil</v>
      </c>
      <c r="K3239" s="3" t="s">
        <v>22</v>
      </c>
    </row>
    <row r="3240" spans="1:11" ht="42" customHeight="1">
      <c r="A3240" s="2" t="s">
        <v>7005</v>
      </c>
      <c r="B3240" s="2" t="s">
        <v>7006</v>
      </c>
      <c r="C3240" s="2" t="s">
        <v>25</v>
      </c>
      <c r="D3240" s="2" t="s">
        <v>26</v>
      </c>
      <c r="E3240" s="5">
        <v>-31675</v>
      </c>
      <c r="F3240" s="3" t="s">
        <v>27</v>
      </c>
      <c r="G3240" s="3" t="s">
        <v>28</v>
      </c>
      <c r="H3240" s="2" t="s">
        <v>20</v>
      </c>
      <c r="I3240" s="2" t="s">
        <v>7007</v>
      </c>
      <c r="J3240" s="3" t="str">
        <f>HYPERLINK("https://www.boe.es/gazeta/dias/1813/04/10/pdfs/GRE-1813-44.pdf#page=8","Abrir facsímil")</f>
        <v>Abrir facsímil</v>
      </c>
      <c r="K3240" s="3" t="s">
        <v>22</v>
      </c>
    </row>
    <row r="3241" spans="1:11" ht="42" customHeight="1">
      <c r="A3241" s="2" t="s">
        <v>7008</v>
      </c>
      <c r="B3241" s="2" t="s">
        <v>7009</v>
      </c>
      <c r="C3241" s="2" t="s">
        <v>16</v>
      </c>
      <c r="D3241" s="2" t="s">
        <v>17</v>
      </c>
      <c r="E3241" s="5">
        <v>-31677</v>
      </c>
      <c r="F3241" s="3" t="s">
        <v>76</v>
      </c>
      <c r="G3241" s="3" t="s">
        <v>95</v>
      </c>
      <c r="H3241" s="2" t="s">
        <v>20</v>
      </c>
      <c r="I3241" s="2" t="s">
        <v>7010</v>
      </c>
      <c r="J3241" s="3" t="str">
        <f>HYPERLINK("https://www.boe.es/gazeta/dias/1813/04/08/pdfs/GRE-1813-43.pdf#page=6","Abrir facsímil")</f>
        <v>Abrir facsímil</v>
      </c>
      <c r="K3241" s="3" t="s">
        <v>22</v>
      </c>
    </row>
    <row r="3242" spans="1:11" ht="42" customHeight="1">
      <c r="A3242" s="2" t="s">
        <v>7008</v>
      </c>
      <c r="B3242" s="2" t="s">
        <v>7009</v>
      </c>
      <c r="C3242" s="2" t="s">
        <v>34</v>
      </c>
      <c r="D3242" s="2" t="s">
        <v>35</v>
      </c>
      <c r="E3242" s="5">
        <v>-31670</v>
      </c>
      <c r="F3242" s="3" t="s">
        <v>92</v>
      </c>
      <c r="G3242" s="3" t="s">
        <v>5911</v>
      </c>
      <c r="H3242" s="2" t="s">
        <v>20</v>
      </c>
      <c r="I3242" s="2" t="s">
        <v>7011</v>
      </c>
      <c r="J3242" s="3" t="str">
        <f>HYPERLINK("https://www.boe.es/gazeta/dias/1813/04/15/pdfs/GRE-1813-46.pdf#page=7","Abrir facsímil")</f>
        <v>Abrir facsímil</v>
      </c>
      <c r="K3242" s="3" t="s">
        <v>22</v>
      </c>
    </row>
    <row r="3243" spans="1:11" ht="42" customHeight="1">
      <c r="A3243" s="2" t="s">
        <v>7012</v>
      </c>
      <c r="B3243" s="2" t="s">
        <v>7013</v>
      </c>
      <c r="C3243" s="2" t="s">
        <v>16</v>
      </c>
      <c r="D3243" s="2" t="s">
        <v>17</v>
      </c>
      <c r="E3243" s="5">
        <v>-31619</v>
      </c>
      <c r="F3243" s="3" t="s">
        <v>1350</v>
      </c>
      <c r="G3243" s="3" t="s">
        <v>95</v>
      </c>
      <c r="H3243" s="2" t="s">
        <v>20</v>
      </c>
      <c r="I3243" s="2" t="s">
        <v>7014</v>
      </c>
      <c r="J3243" s="3" t="str">
        <f>HYPERLINK("https://www.boe.es/gazeta/dias/1813/06/05/pdfs/GMR-1813-2.pdf#page=6","Abrir facsímil")</f>
        <v>Abrir facsímil</v>
      </c>
      <c r="K3243" s="3" t="s">
        <v>22</v>
      </c>
    </row>
    <row r="3244" spans="1:11" ht="42" customHeight="1">
      <c r="A3244" s="2" t="s">
        <v>7012</v>
      </c>
      <c r="B3244" s="2" t="s">
        <v>7013</v>
      </c>
      <c r="C3244" s="2" t="s">
        <v>16</v>
      </c>
      <c r="D3244" s="2" t="s">
        <v>17</v>
      </c>
      <c r="E3244" s="5">
        <v>-31613</v>
      </c>
      <c r="F3244" s="3" t="s">
        <v>1629</v>
      </c>
      <c r="G3244" s="3" t="s">
        <v>7015</v>
      </c>
      <c r="H3244" s="2" t="s">
        <v>20</v>
      </c>
      <c r="I3244" s="2" t="s">
        <v>7016</v>
      </c>
      <c r="J3244" s="3" t="str">
        <f>HYPERLINK("https://www.boe.es/gazeta/dias/1813/06/11/pdfs/GMR-1813-4.pdf#page=10","Abrir facsímil")</f>
        <v>Abrir facsímil</v>
      </c>
      <c r="K3244" s="3" t="s">
        <v>22</v>
      </c>
    </row>
    <row r="3245" spans="1:11" ht="42" customHeight="1">
      <c r="A3245" s="2" t="s">
        <v>7012</v>
      </c>
      <c r="B3245" s="2" t="s">
        <v>7013</v>
      </c>
      <c r="C3245" s="2" t="s">
        <v>16</v>
      </c>
      <c r="D3245" s="2" t="s">
        <v>17</v>
      </c>
      <c r="E3245" s="5">
        <v>-31609</v>
      </c>
      <c r="F3245" s="3" t="s">
        <v>711</v>
      </c>
      <c r="G3245" s="3" t="s">
        <v>3485</v>
      </c>
      <c r="H3245" s="2" t="s">
        <v>20</v>
      </c>
      <c r="I3245" s="2" t="s">
        <v>7017</v>
      </c>
      <c r="J3245" s="3" t="str">
        <f>HYPERLINK("https://www.boe.es/gazeta/dias/1813/06/15/pdfs/GMR-1813-6.pdf#page=8","Abrir facsímil")</f>
        <v>Abrir facsímil</v>
      </c>
      <c r="K3245" s="3" t="s">
        <v>22</v>
      </c>
    </row>
    <row r="3246" spans="1:11" ht="42" customHeight="1">
      <c r="A3246" s="2" t="s">
        <v>7012</v>
      </c>
      <c r="B3246" s="2" t="s">
        <v>7013</v>
      </c>
      <c r="C3246" s="2" t="s">
        <v>16</v>
      </c>
      <c r="D3246" s="2" t="s">
        <v>17</v>
      </c>
      <c r="E3246" s="5">
        <v>-31595</v>
      </c>
      <c r="F3246" s="3" t="s">
        <v>70</v>
      </c>
      <c r="G3246" s="3" t="s">
        <v>3006</v>
      </c>
      <c r="H3246" s="2" t="s">
        <v>20</v>
      </c>
      <c r="I3246" s="2" t="s">
        <v>7018</v>
      </c>
      <c r="J3246" s="3" t="str">
        <f>HYPERLINK("https://www.boe.es/gazeta/dias/1813/06/29/pdfs/GMR-1813-13.pdf#page=15","Abrir facsímil")</f>
        <v>Abrir facsímil</v>
      </c>
      <c r="K3246" s="3" t="s">
        <v>22</v>
      </c>
    </row>
    <row r="3247" spans="1:11" ht="42" customHeight="1">
      <c r="A3247" s="2" t="s">
        <v>7012</v>
      </c>
      <c r="B3247" s="2" t="s">
        <v>7013</v>
      </c>
      <c r="C3247" s="2" t="s">
        <v>16</v>
      </c>
      <c r="D3247" s="2" t="s">
        <v>17</v>
      </c>
      <c r="E3247" s="5">
        <v>-31592</v>
      </c>
      <c r="F3247" s="3" t="s">
        <v>1538</v>
      </c>
      <c r="G3247" s="3" t="s">
        <v>258</v>
      </c>
      <c r="H3247" s="2" t="s">
        <v>20</v>
      </c>
      <c r="I3247" s="2" t="s">
        <v>7019</v>
      </c>
      <c r="J3247" s="3" t="str">
        <f>HYPERLINK("https://www.boe.es/gazeta/dias/1813/07/02/pdfs/GMR-1813-14.pdf#page=12","Abrir facsímil")</f>
        <v>Abrir facsímil</v>
      </c>
      <c r="K3247" s="3" t="s">
        <v>22</v>
      </c>
    </row>
    <row r="3248" spans="1:11" ht="42" customHeight="1">
      <c r="A3248" s="2" t="s">
        <v>7020</v>
      </c>
      <c r="B3248" s="2" t="s">
        <v>7021</v>
      </c>
      <c r="C3248" s="2" t="s">
        <v>16</v>
      </c>
      <c r="D3248" s="2" t="s">
        <v>17</v>
      </c>
      <c r="E3248" s="5">
        <v>-31549</v>
      </c>
      <c r="F3248" s="3" t="s">
        <v>332</v>
      </c>
      <c r="G3248" s="3" t="s">
        <v>28</v>
      </c>
      <c r="H3248" s="2" t="s">
        <v>20</v>
      </c>
      <c r="I3248" s="2" t="s">
        <v>7022</v>
      </c>
      <c r="J3248" s="3" t="str">
        <f>HYPERLINK("https://www.boe.es/gazeta/dias/1813/08/14/pdfs/GMR-1813-28.pdf#page=8","Abrir facsímil")</f>
        <v>Abrir facsímil</v>
      </c>
      <c r="K3248" s="3" t="s">
        <v>22</v>
      </c>
    </row>
    <row r="3249" spans="1:11" ht="42" customHeight="1">
      <c r="A3249" s="2" t="s">
        <v>7012</v>
      </c>
      <c r="B3249" s="2" t="s">
        <v>7013</v>
      </c>
      <c r="C3249" s="2" t="s">
        <v>16</v>
      </c>
      <c r="D3249" s="2" t="s">
        <v>17</v>
      </c>
      <c r="E3249" s="5">
        <v>-31539</v>
      </c>
      <c r="F3249" s="3" t="s">
        <v>1316</v>
      </c>
      <c r="G3249" s="3" t="s">
        <v>87</v>
      </c>
      <c r="H3249" s="2" t="s">
        <v>20</v>
      </c>
      <c r="I3249" s="2" t="s">
        <v>7023</v>
      </c>
      <c r="J3249" s="3" t="str">
        <f>HYPERLINK("https://www.boe.es/gazeta/dias/1813/08/24/pdfs/GMR-1813-32.pdf#page=7","Abrir facsímil")</f>
        <v>Abrir facsímil</v>
      </c>
      <c r="K3249" s="3" t="s">
        <v>22</v>
      </c>
    </row>
    <row r="3250" spans="1:11" ht="42" customHeight="1">
      <c r="A3250" s="2" t="s">
        <v>7024</v>
      </c>
      <c r="B3250" s="2" t="s">
        <v>7025</v>
      </c>
      <c r="C3250" s="2" t="s">
        <v>34</v>
      </c>
      <c r="D3250" s="2" t="s">
        <v>35</v>
      </c>
      <c r="E3250" s="5">
        <v>-31720</v>
      </c>
      <c r="F3250" s="3" t="s">
        <v>672</v>
      </c>
      <c r="G3250" s="3" t="s">
        <v>54</v>
      </c>
      <c r="H3250" s="2" t="s">
        <v>20</v>
      </c>
      <c r="I3250" s="2" t="s">
        <v>7026</v>
      </c>
      <c r="J3250" s="3" t="str">
        <f>HYPERLINK("https://www.boe.es/gazeta/dias/1813/02/24/pdfs/GMD-1813-55.pdf#page=3","Abrir facsímil")</f>
        <v>Abrir facsímil</v>
      </c>
      <c r="K3250" s="3" t="s">
        <v>22</v>
      </c>
    </row>
    <row r="3251" spans="1:11" ht="42" customHeight="1">
      <c r="A3251" s="2" t="s">
        <v>7027</v>
      </c>
      <c r="B3251" s="2" t="s">
        <v>7028</v>
      </c>
      <c r="C3251" s="2" t="s">
        <v>16</v>
      </c>
      <c r="D3251" s="2" t="s">
        <v>17</v>
      </c>
      <c r="E3251" s="5">
        <v>-31732</v>
      </c>
      <c r="F3251" s="3" t="s">
        <v>1904</v>
      </c>
      <c r="G3251" s="3" t="s">
        <v>54</v>
      </c>
      <c r="H3251" s="2" t="s">
        <v>20</v>
      </c>
      <c r="I3251" s="2" t="s">
        <v>7029</v>
      </c>
      <c r="J3251" s="3" t="str">
        <f>HYPERLINK("https://www.boe.es/gazeta/dias/1813/02/12/pdfs/GMD-1813-43.pdf#page=3","Abrir facsímil")</f>
        <v>Abrir facsímil</v>
      </c>
      <c r="K3251" s="3" t="s">
        <v>22</v>
      </c>
    </row>
    <row r="3252" spans="1:11" ht="42" customHeight="1">
      <c r="A3252" s="2" t="s">
        <v>7030</v>
      </c>
      <c r="B3252" s="2" t="s">
        <v>7031</v>
      </c>
      <c r="C3252" s="2" t="s">
        <v>435</v>
      </c>
      <c r="D3252" s="2" t="s">
        <v>26</v>
      </c>
      <c r="E3252" s="5">
        <v>-31607</v>
      </c>
      <c r="F3252" s="3" t="s">
        <v>3370</v>
      </c>
      <c r="G3252" s="3" t="s">
        <v>28</v>
      </c>
      <c r="H3252" s="2" t="s">
        <v>20</v>
      </c>
      <c r="I3252" s="2" t="s">
        <v>7032</v>
      </c>
      <c r="J3252" s="3" t="str">
        <f>HYPERLINK("https://www.boe.es/gazeta/dias/1813/06/17/pdfs/GRE-1813-75.pdf#page=8","Abrir facsímil")</f>
        <v>Abrir facsímil</v>
      </c>
      <c r="K3252" s="3" t="s">
        <v>22</v>
      </c>
    </row>
    <row r="3253" spans="1:11" ht="42" customHeight="1">
      <c r="A3253" s="2" t="s">
        <v>7033</v>
      </c>
      <c r="B3253" s="2" t="s">
        <v>7034</v>
      </c>
      <c r="C3253" s="2" t="s">
        <v>16</v>
      </c>
      <c r="D3253" s="2" t="s">
        <v>17</v>
      </c>
      <c r="E3253" s="5">
        <v>-31567</v>
      </c>
      <c r="F3253" s="3" t="s">
        <v>1471</v>
      </c>
      <c r="G3253" s="3" t="s">
        <v>28</v>
      </c>
      <c r="H3253" s="2" t="s">
        <v>20</v>
      </c>
      <c r="I3253" s="2" t="s">
        <v>7035</v>
      </c>
      <c r="J3253" s="3" t="str">
        <f>HYPERLINK("https://www.boe.es/gazeta/dias/1813/07/27/pdfs/GRE-1813-95.pdf#page=8","Abrir facsímil")</f>
        <v>Abrir facsímil</v>
      </c>
      <c r="K3253" s="3" t="s">
        <v>22</v>
      </c>
    </row>
    <row r="3254" spans="1:11" ht="42" customHeight="1">
      <c r="A3254" s="2" t="s">
        <v>7036</v>
      </c>
      <c r="B3254" s="2" t="s">
        <v>7036</v>
      </c>
      <c r="C3254" s="2" t="s">
        <v>16</v>
      </c>
      <c r="D3254" s="2" t="s">
        <v>17</v>
      </c>
      <c r="E3254" s="5">
        <v>-31686</v>
      </c>
      <c r="F3254" s="3" t="s">
        <v>7037</v>
      </c>
      <c r="G3254" s="3" t="s">
        <v>19</v>
      </c>
      <c r="H3254" s="2" t="s">
        <v>20</v>
      </c>
      <c r="I3254" s="2" t="s">
        <v>7038</v>
      </c>
      <c r="J3254" s="3" t="str">
        <f>HYPERLINK("https://www.boe.es/gazeta/dias/1813/03/30/pdfs/GMD-1813-89.pdf#page=4","Abrir facsímil")</f>
        <v>Abrir facsímil</v>
      </c>
      <c r="K3254" s="3" t="s">
        <v>22</v>
      </c>
    </row>
    <row r="3255" spans="1:11" ht="42" customHeight="1">
      <c r="A3255" s="2" t="s">
        <v>7036</v>
      </c>
      <c r="B3255" s="2" t="s">
        <v>7036</v>
      </c>
      <c r="C3255" s="2" t="s">
        <v>435</v>
      </c>
      <c r="D3255" s="2" t="s">
        <v>26</v>
      </c>
      <c r="E3255" s="5">
        <v>-31659</v>
      </c>
      <c r="F3255" s="3" t="s">
        <v>3041</v>
      </c>
      <c r="G3255" s="3" t="s">
        <v>54</v>
      </c>
      <c r="H3255" s="2" t="s">
        <v>20</v>
      </c>
      <c r="I3255" s="2" t="s">
        <v>7039</v>
      </c>
      <c r="J3255" s="3" t="str">
        <f>HYPERLINK("https://www.boe.es/gazeta/dias/1813/04/26/pdfs/GMD-1813-116.pdf#page=3","Abrir facsímil")</f>
        <v>Abrir facsímil</v>
      </c>
      <c r="K3255" s="3" t="s">
        <v>22</v>
      </c>
    </row>
    <row r="3256" spans="1:11" ht="42" customHeight="1">
      <c r="A3256" s="2" t="s">
        <v>7036</v>
      </c>
      <c r="B3256" s="2" t="s">
        <v>7036</v>
      </c>
      <c r="C3256" s="2" t="s">
        <v>34</v>
      </c>
      <c r="D3256" s="2" t="s">
        <v>35</v>
      </c>
      <c r="E3256" s="5">
        <v>-31657</v>
      </c>
      <c r="F3256" s="3" t="s">
        <v>988</v>
      </c>
      <c r="G3256" s="3" t="s">
        <v>54</v>
      </c>
      <c r="H3256" s="2" t="s">
        <v>20</v>
      </c>
      <c r="I3256" s="2" t="s">
        <v>7040</v>
      </c>
      <c r="J3256" s="3" t="str">
        <f>HYPERLINK("https://www.boe.es/gazeta/dias/1813/04/28/pdfs/GMD-1813-118.pdf#page=3","Abrir facsímil")</f>
        <v>Abrir facsímil</v>
      </c>
      <c r="K3256" s="3" t="s">
        <v>22</v>
      </c>
    </row>
    <row r="3257" spans="1:11" ht="42" customHeight="1">
      <c r="A3257" s="2" t="s">
        <v>7036</v>
      </c>
      <c r="B3257" s="2" t="s">
        <v>7036</v>
      </c>
      <c r="C3257" s="2" t="s">
        <v>34</v>
      </c>
      <c r="D3257" s="2" t="s">
        <v>35</v>
      </c>
      <c r="E3257" s="5">
        <v>-31507</v>
      </c>
      <c r="F3257" s="3" t="s">
        <v>61</v>
      </c>
      <c r="G3257" s="3" t="s">
        <v>791</v>
      </c>
      <c r="H3257" s="2" t="s">
        <v>20</v>
      </c>
      <c r="I3257" s="2" t="s">
        <v>7041</v>
      </c>
      <c r="J3257" s="3" t="str">
        <f>HYPERLINK("https://www.boe.es/gazeta/dias/1813/09/25/pdfs/GMR-1813-48.pdf#page=7","Abrir facsímil")</f>
        <v>Abrir facsímil</v>
      </c>
      <c r="K3257" s="3" t="s">
        <v>22</v>
      </c>
    </row>
    <row r="3258" spans="1:11" ht="42" customHeight="1">
      <c r="A3258" s="2" t="s">
        <v>7036</v>
      </c>
      <c r="B3258" s="2" t="s">
        <v>7036</v>
      </c>
      <c r="C3258" s="2" t="s">
        <v>435</v>
      </c>
      <c r="D3258" s="2" t="s">
        <v>26</v>
      </c>
      <c r="E3258" s="5">
        <v>-31500</v>
      </c>
      <c r="F3258" s="3" t="s">
        <v>938</v>
      </c>
      <c r="G3258" s="3" t="s">
        <v>5553</v>
      </c>
      <c r="H3258" s="2" t="s">
        <v>20</v>
      </c>
      <c r="I3258" s="2" t="s">
        <v>7042</v>
      </c>
      <c r="J3258" s="3" t="str">
        <f>HYPERLINK("https://www.boe.es/gazeta/dias/1813/10/02/pdfs/GMR-1813-52.pdf#page=5","Abrir facsímil")</f>
        <v>Abrir facsímil</v>
      </c>
      <c r="K3258" s="3" t="s">
        <v>22</v>
      </c>
    </row>
    <row r="3259" spans="1:11" ht="42" customHeight="1">
      <c r="A3259" s="2" t="s">
        <v>7043</v>
      </c>
      <c r="B3259" s="2" t="s">
        <v>7044</v>
      </c>
      <c r="C3259" s="2" t="s">
        <v>16</v>
      </c>
      <c r="D3259" s="2" t="s">
        <v>97</v>
      </c>
      <c r="E3259" s="5">
        <v>-31519</v>
      </c>
      <c r="F3259" s="3" t="s">
        <v>312</v>
      </c>
      <c r="G3259" s="3" t="s">
        <v>28</v>
      </c>
      <c r="H3259" s="2" t="s">
        <v>20</v>
      </c>
      <c r="I3259" s="2" t="s">
        <v>7045</v>
      </c>
      <c r="J3259" s="3" t="str">
        <f>HYPERLINK("https://www.boe.es/gazeta/dias/1813/09/13/pdfs/GRE-1813-118E.pdf#page=8","Abrir facsímil")</f>
        <v>Abrir facsímil</v>
      </c>
      <c r="K3259" s="3" t="s">
        <v>22</v>
      </c>
    </row>
    <row r="3260" spans="1:11" ht="42" customHeight="1">
      <c r="A3260" s="2" t="s">
        <v>7046</v>
      </c>
      <c r="B3260" s="2" t="s">
        <v>7047</v>
      </c>
      <c r="C3260" s="2" t="s">
        <v>34</v>
      </c>
      <c r="D3260" s="2" t="s">
        <v>35</v>
      </c>
      <c r="E3260" s="5">
        <v>-31709</v>
      </c>
      <c r="F3260" s="3" t="s">
        <v>36</v>
      </c>
      <c r="G3260" s="3" t="s">
        <v>303</v>
      </c>
      <c r="H3260" s="2" t="s">
        <v>20</v>
      </c>
      <c r="I3260" s="2" t="s">
        <v>7048</v>
      </c>
      <c r="J3260" s="3" t="str">
        <f>HYPERLINK("https://www.boe.es/gazeta/dias/1813/03/07/pdfs/GMD-1813-66.pdf#page=3","Abrir facsímil")</f>
        <v>Abrir facsímil</v>
      </c>
      <c r="K3260" s="3" t="s">
        <v>22</v>
      </c>
    </row>
    <row r="3261" spans="1:11" ht="42" customHeight="1">
      <c r="A3261" s="2" t="s">
        <v>7046</v>
      </c>
      <c r="B3261" s="2" t="s">
        <v>7047</v>
      </c>
      <c r="C3261" s="2" t="s">
        <v>435</v>
      </c>
      <c r="D3261" s="2" t="s">
        <v>26</v>
      </c>
      <c r="E3261" s="5">
        <v>-31560</v>
      </c>
      <c r="F3261" s="3" t="s">
        <v>590</v>
      </c>
      <c r="G3261" s="3" t="s">
        <v>87</v>
      </c>
      <c r="H3261" s="2" t="s">
        <v>20</v>
      </c>
      <c r="I3261" s="2" t="s">
        <v>7049</v>
      </c>
      <c r="J3261" s="3" t="str">
        <f>HYPERLINK("https://www.boe.es/gazeta/dias/1813/08/03/pdfs/GRE-1813-98.pdf#page=7","Abrir facsímil")</f>
        <v>Abrir facsímil</v>
      </c>
      <c r="K3261" s="3" t="s">
        <v>22</v>
      </c>
    </row>
    <row r="3262" spans="1:11" ht="42" customHeight="1">
      <c r="A3262" s="2" t="s">
        <v>7050</v>
      </c>
      <c r="B3262" s="2" t="s">
        <v>7051</v>
      </c>
      <c r="C3262" s="2" t="s">
        <v>109</v>
      </c>
      <c r="D3262" s="2" t="s">
        <v>26</v>
      </c>
      <c r="E3262" s="5">
        <v>-31544</v>
      </c>
      <c r="F3262" s="3" t="s">
        <v>44</v>
      </c>
      <c r="G3262" s="3" t="s">
        <v>49</v>
      </c>
      <c r="H3262" s="2" t="s">
        <v>20</v>
      </c>
      <c r="I3262" s="2" t="s">
        <v>7052</v>
      </c>
      <c r="J3262" s="3" t="str">
        <f>HYPERLINK("https://www.boe.es/gazeta/dias/1813/08/19/pdfs/GMR-1813-30.pdf#page=5","Abrir facsímil")</f>
        <v>Abrir facsímil</v>
      </c>
      <c r="K3262" s="3" t="s">
        <v>22</v>
      </c>
    </row>
    <row r="3263" spans="1:11" ht="42" customHeight="1">
      <c r="A3263" s="2" t="s">
        <v>7053</v>
      </c>
      <c r="B3263" s="2" t="s">
        <v>7054</v>
      </c>
      <c r="C3263" s="2" t="s">
        <v>16</v>
      </c>
      <c r="D3263" s="2" t="s">
        <v>17</v>
      </c>
      <c r="E3263" s="5">
        <v>-31490</v>
      </c>
      <c r="F3263" s="3" t="s">
        <v>3271</v>
      </c>
      <c r="G3263" s="3" t="s">
        <v>82</v>
      </c>
      <c r="H3263" s="2" t="s">
        <v>20</v>
      </c>
      <c r="I3263" s="2" t="s">
        <v>7055</v>
      </c>
      <c r="J3263" s="3" t="str">
        <f>HYPERLINK("https://www.boe.es/gazeta/dias/1813/10/12/pdfs/GRE-1813-133.pdf#page=5","Abrir facsímil")</f>
        <v>Abrir facsímil</v>
      </c>
      <c r="K3263" s="3" t="s">
        <v>22</v>
      </c>
    </row>
    <row r="3264" spans="1:11" ht="42" customHeight="1">
      <c r="A3264" s="2" t="s">
        <v>7056</v>
      </c>
      <c r="B3264" s="2" t="s">
        <v>7057</v>
      </c>
      <c r="C3264" s="2" t="s">
        <v>34</v>
      </c>
      <c r="D3264" s="2" t="s">
        <v>35</v>
      </c>
      <c r="E3264" s="5">
        <v>-31709</v>
      </c>
      <c r="F3264" s="3" t="s">
        <v>36</v>
      </c>
      <c r="G3264" s="3" t="s">
        <v>19</v>
      </c>
      <c r="H3264" s="2" t="s">
        <v>20</v>
      </c>
      <c r="I3264" s="2" t="s">
        <v>7058</v>
      </c>
      <c r="J3264" s="3" t="str">
        <f>HYPERLINK("https://www.boe.es/gazeta/dias/1813/03/07/pdfs/GMD-1813-66.pdf#page=4","Abrir facsímil")</f>
        <v>Abrir facsímil</v>
      </c>
      <c r="K3264" s="3" t="s">
        <v>22</v>
      </c>
    </row>
    <row r="3265" spans="1:11" ht="42" customHeight="1">
      <c r="A3265" s="2" t="s">
        <v>7059</v>
      </c>
      <c r="B3265" s="2" t="s">
        <v>7060</v>
      </c>
      <c r="C3265" s="2" t="s">
        <v>16</v>
      </c>
      <c r="D3265" s="2" t="s">
        <v>17</v>
      </c>
      <c r="E3265" s="5">
        <v>-31544</v>
      </c>
      <c r="F3265" s="3" t="s">
        <v>44</v>
      </c>
      <c r="G3265" s="3" t="s">
        <v>28</v>
      </c>
      <c r="H3265" s="2" t="s">
        <v>20</v>
      </c>
      <c r="I3265" s="2" t="s">
        <v>7061</v>
      </c>
      <c r="J3265" s="3" t="str">
        <f>HYPERLINK("https://www.boe.es/gazeta/dias/1813/08/19/pdfs/GMR-1813-30.pdf#page=8","Abrir facsímil")</f>
        <v>Abrir facsímil</v>
      </c>
      <c r="K3265" s="3" t="s">
        <v>22</v>
      </c>
    </row>
    <row r="3266" spans="1:11" ht="42" customHeight="1">
      <c r="A3266" s="2" t="s">
        <v>7062</v>
      </c>
      <c r="B3266" s="2" t="s">
        <v>7063</v>
      </c>
      <c r="C3266" s="2" t="s">
        <v>25</v>
      </c>
      <c r="D3266" s="2" t="s">
        <v>26</v>
      </c>
      <c r="E3266" s="5">
        <v>-31675</v>
      </c>
      <c r="F3266" s="3" t="s">
        <v>27</v>
      </c>
      <c r="G3266" s="3" t="s">
        <v>648</v>
      </c>
      <c r="H3266" s="2" t="s">
        <v>20</v>
      </c>
      <c r="I3266" s="2" t="s">
        <v>7064</v>
      </c>
      <c r="J3266" s="3" t="str">
        <f>HYPERLINK("https://www.boe.es/gazeta/dias/1813/04/10/pdfs/GRE-1813-44.pdf#page=7","Abrir facsímil")</f>
        <v>Abrir facsímil</v>
      </c>
      <c r="K3266" s="3" t="s">
        <v>22</v>
      </c>
    </row>
    <row r="3267" spans="1:11" ht="42" customHeight="1">
      <c r="A3267" s="2" t="s">
        <v>7065</v>
      </c>
      <c r="B3267" s="2" t="s">
        <v>7066</v>
      </c>
      <c r="C3267" s="2" t="s">
        <v>25</v>
      </c>
      <c r="D3267" s="2" t="s">
        <v>97</v>
      </c>
      <c r="E3267" s="5">
        <v>-31519</v>
      </c>
      <c r="F3267" s="3" t="s">
        <v>312</v>
      </c>
      <c r="G3267" s="3" t="s">
        <v>313</v>
      </c>
      <c r="H3267" s="2" t="s">
        <v>20</v>
      </c>
      <c r="I3267" s="2" t="s">
        <v>7067</v>
      </c>
      <c r="J3267" s="3" t="str">
        <f>HYPERLINK("https://www.boe.es/gazeta/dias/1813/09/13/pdfs/GRE-1813-118E.pdf#page=9","Abrir facsímil")</f>
        <v>Abrir facsímil</v>
      </c>
      <c r="K3267" s="3" t="s">
        <v>22</v>
      </c>
    </row>
    <row r="3268" spans="1:11" ht="42" customHeight="1">
      <c r="A3268" s="2" t="s">
        <v>7068</v>
      </c>
      <c r="B3268" s="2" t="s">
        <v>7069</v>
      </c>
      <c r="C3268" s="2" t="s">
        <v>16</v>
      </c>
      <c r="D3268" s="2" t="s">
        <v>17</v>
      </c>
      <c r="E3268" s="5">
        <v>-31577</v>
      </c>
      <c r="F3268" s="3" t="s">
        <v>586</v>
      </c>
      <c r="G3268" s="3" t="s">
        <v>28</v>
      </c>
      <c r="H3268" s="2" t="s">
        <v>20</v>
      </c>
      <c r="I3268" s="2" t="s">
        <v>7070</v>
      </c>
      <c r="J3268" s="3" t="str">
        <f>HYPERLINK("https://www.boe.es/gazeta/dias/1813/07/17/pdfs/GRE-1813-90.pdf#page=8","Abrir facsímil")</f>
        <v>Abrir facsímil</v>
      </c>
      <c r="K3268" s="3" t="s">
        <v>22</v>
      </c>
    </row>
    <row r="3269" spans="1:11" ht="42" customHeight="1">
      <c r="A3269" s="2" t="s">
        <v>7071</v>
      </c>
      <c r="B3269" s="2" t="s">
        <v>7072</v>
      </c>
      <c r="C3269" s="2" t="s">
        <v>16</v>
      </c>
      <c r="D3269" s="2" t="s">
        <v>17</v>
      </c>
      <c r="E3269" s="5">
        <v>-31567</v>
      </c>
      <c r="F3269" s="3" t="s">
        <v>820</v>
      </c>
      <c r="G3269" s="3" t="s">
        <v>821</v>
      </c>
      <c r="H3269" s="2" t="s">
        <v>20</v>
      </c>
      <c r="I3269" s="2" t="s">
        <v>7073</v>
      </c>
      <c r="J3269" s="3" t="str">
        <f>HYPERLINK("https://www.boe.es/gazeta/dias/1813/07/27/pdfs/GMR-1813-21.pdf#page=13","Abrir facsímil")</f>
        <v>Abrir facsímil</v>
      </c>
      <c r="K3269" s="3" t="s">
        <v>22</v>
      </c>
    </row>
    <row r="3270" spans="1:11" ht="42" customHeight="1">
      <c r="A3270" s="2" t="s">
        <v>7074</v>
      </c>
      <c r="B3270" s="2" t="s">
        <v>7075</v>
      </c>
      <c r="C3270" s="2" t="s">
        <v>34</v>
      </c>
      <c r="D3270" s="2" t="s">
        <v>35</v>
      </c>
      <c r="E3270" s="5">
        <v>-31521</v>
      </c>
      <c r="F3270" s="3" t="s">
        <v>1282</v>
      </c>
      <c r="G3270" s="3" t="s">
        <v>258</v>
      </c>
      <c r="H3270" s="2" t="s">
        <v>20</v>
      </c>
      <c r="I3270" s="2" t="s">
        <v>7076</v>
      </c>
      <c r="J3270" s="3" t="str">
        <f>HYPERLINK("https://www.boe.es/gazeta/dias/1813/09/11/pdfs/GMR-1813-41.pdf#page=12","Abrir facsímil")</f>
        <v>Abrir facsímil</v>
      </c>
      <c r="K3270" s="3" t="s">
        <v>22</v>
      </c>
    </row>
    <row r="3271" spans="1:11" ht="42" customHeight="1">
      <c r="A3271" s="2" t="s">
        <v>7077</v>
      </c>
      <c r="B3271" s="2" t="s">
        <v>7078</v>
      </c>
      <c r="C3271" s="2" t="s">
        <v>34</v>
      </c>
      <c r="D3271" s="2" t="s">
        <v>35</v>
      </c>
      <c r="E3271" s="5">
        <v>-31709</v>
      </c>
      <c r="F3271" s="3" t="s">
        <v>36</v>
      </c>
      <c r="G3271" s="3" t="s">
        <v>303</v>
      </c>
      <c r="H3271" s="2" t="s">
        <v>20</v>
      </c>
      <c r="I3271" s="2" t="s">
        <v>7079</v>
      </c>
      <c r="J3271" s="3" t="str">
        <f>HYPERLINK("https://www.boe.es/gazeta/dias/1813/03/07/pdfs/GMD-1813-66.pdf#page=3","Abrir facsímil")</f>
        <v>Abrir facsímil</v>
      </c>
      <c r="K3271" s="3" t="s">
        <v>22</v>
      </c>
    </row>
    <row r="3272" spans="1:11" ht="42" customHeight="1">
      <c r="A3272" s="2" t="s">
        <v>7080</v>
      </c>
      <c r="B3272" s="2" t="s">
        <v>7081</v>
      </c>
      <c r="C3272" s="2" t="s">
        <v>34</v>
      </c>
      <c r="D3272" s="2" t="s">
        <v>35</v>
      </c>
      <c r="E3272" s="5">
        <v>-31521</v>
      </c>
      <c r="F3272" s="3" t="s">
        <v>1282</v>
      </c>
      <c r="G3272" s="3" t="s">
        <v>258</v>
      </c>
      <c r="H3272" s="2" t="s">
        <v>20</v>
      </c>
      <c r="I3272" s="2" t="s">
        <v>7082</v>
      </c>
      <c r="J3272" s="3" t="str">
        <f>HYPERLINK("https://www.boe.es/gazeta/dias/1813/09/11/pdfs/GMR-1813-41.pdf#page=12","Abrir facsímil")</f>
        <v>Abrir facsímil</v>
      </c>
      <c r="K3272" s="3" t="s">
        <v>22</v>
      </c>
    </row>
    <row r="3273" spans="1:11" ht="42" customHeight="1">
      <c r="A3273" s="2" t="s">
        <v>7083</v>
      </c>
      <c r="B3273" s="2" t="s">
        <v>7084</v>
      </c>
      <c r="C3273" s="2" t="s">
        <v>25</v>
      </c>
      <c r="D3273" s="2" t="s">
        <v>26</v>
      </c>
      <c r="E3273" s="5">
        <v>-31476</v>
      </c>
      <c r="F3273" s="3" t="s">
        <v>158</v>
      </c>
      <c r="G3273" s="3" t="s">
        <v>19</v>
      </c>
      <c r="H3273" s="2" t="s">
        <v>20</v>
      </c>
      <c r="I3273" s="2" t="s">
        <v>7085</v>
      </c>
      <c r="J3273" s="3" t="str">
        <f>HYPERLINK("https://www.boe.es/gazeta/dias/1813/10/26/pdfs/GMR-1813-64.pdf#page=4","Abrir facsímil")</f>
        <v>Abrir facsímil</v>
      </c>
      <c r="K3273" s="3" t="s">
        <v>22</v>
      </c>
    </row>
    <row r="3274" spans="1:11" ht="42" customHeight="1">
      <c r="A3274" s="2" t="s">
        <v>7086</v>
      </c>
      <c r="B3274" s="2" t="s">
        <v>7087</v>
      </c>
      <c r="C3274" s="2" t="s">
        <v>34</v>
      </c>
      <c r="D3274" s="2" t="s">
        <v>35</v>
      </c>
      <c r="E3274" s="5">
        <v>-31709</v>
      </c>
      <c r="F3274" s="3" t="s">
        <v>36</v>
      </c>
      <c r="G3274" s="3" t="s">
        <v>19</v>
      </c>
      <c r="H3274" s="2" t="s">
        <v>20</v>
      </c>
      <c r="I3274" s="2" t="s">
        <v>7088</v>
      </c>
      <c r="J3274" s="3" t="str">
        <f>HYPERLINK("https://www.boe.es/gazeta/dias/1813/03/07/pdfs/GMD-1813-66.pdf#page=4","Abrir facsímil")</f>
        <v>Abrir facsímil</v>
      </c>
      <c r="K3274" s="3" t="s">
        <v>22</v>
      </c>
    </row>
    <row r="3275" spans="1:11" ht="42" customHeight="1">
      <c r="A3275" s="2" t="s">
        <v>7089</v>
      </c>
      <c r="B3275" s="2" t="s">
        <v>7090</v>
      </c>
      <c r="C3275" s="2" t="s">
        <v>187</v>
      </c>
      <c r="D3275" s="2" t="s">
        <v>26</v>
      </c>
      <c r="E3275" s="5">
        <v>-31560</v>
      </c>
      <c r="F3275" s="3" t="s">
        <v>1233</v>
      </c>
      <c r="G3275" s="3" t="s">
        <v>28</v>
      </c>
      <c r="H3275" s="2" t="s">
        <v>20</v>
      </c>
      <c r="I3275" s="2" t="s">
        <v>7091</v>
      </c>
      <c r="J3275" s="3" t="str">
        <f>HYPERLINK("https://www.boe.es/gazeta/dias/1813/08/03/pdfs/GMR-1813-23.pdf#page=8","Abrir facsímil")</f>
        <v>Abrir facsímil</v>
      </c>
      <c r="K3275" s="3" t="s">
        <v>22</v>
      </c>
    </row>
    <row r="3276" spans="1:11" ht="42" customHeight="1">
      <c r="A3276" s="2" t="s">
        <v>7092</v>
      </c>
      <c r="B3276" s="2" t="s">
        <v>7092</v>
      </c>
      <c r="C3276" s="2" t="s">
        <v>16</v>
      </c>
      <c r="D3276" s="2" t="s">
        <v>17</v>
      </c>
      <c r="E3276" s="5">
        <v>-31592</v>
      </c>
      <c r="F3276" s="3" t="s">
        <v>175</v>
      </c>
      <c r="G3276" s="3" t="s">
        <v>471</v>
      </c>
      <c r="H3276" s="2" t="s">
        <v>20</v>
      </c>
      <c r="I3276" s="2" t="s">
        <v>7093</v>
      </c>
      <c r="J3276" s="3" t="str">
        <f>HYPERLINK("https://www.boe.es/gazeta/dias/1813/07/02/pdfs/GRE-1813-82.pdf#page=7","Abrir facsímil")</f>
        <v>Abrir facsímil</v>
      </c>
      <c r="K3276" s="3" t="s">
        <v>22</v>
      </c>
    </row>
    <row r="3277" spans="1:11" ht="42" customHeight="1">
      <c r="A3277" s="2" t="s">
        <v>7094</v>
      </c>
      <c r="B3277" s="2" t="s">
        <v>7095</v>
      </c>
      <c r="C3277" s="2" t="s">
        <v>16</v>
      </c>
      <c r="D3277" s="2" t="s">
        <v>17</v>
      </c>
      <c r="E3277" s="5">
        <v>-31658</v>
      </c>
      <c r="F3277" s="3" t="s">
        <v>1113</v>
      </c>
      <c r="G3277" s="3" t="s">
        <v>1091</v>
      </c>
      <c r="H3277" s="2" t="s">
        <v>20</v>
      </c>
      <c r="I3277" s="2" t="s">
        <v>7096</v>
      </c>
      <c r="J3277" s="3" t="str">
        <f>HYPERLINK("https://www.boe.es/gazeta/dias/1813/04/27/pdfs/GRE-1813-52.pdf#page=7","Abrir facsímil")</f>
        <v>Abrir facsímil</v>
      </c>
      <c r="K3277" s="3" t="s">
        <v>22</v>
      </c>
    </row>
    <row r="3278" spans="1:11" ht="42" customHeight="1">
      <c r="A3278" s="2" t="s">
        <v>7097</v>
      </c>
      <c r="B3278" s="2" t="s">
        <v>7097</v>
      </c>
      <c r="C3278" s="2" t="s">
        <v>16</v>
      </c>
      <c r="D3278" s="2" t="s">
        <v>17</v>
      </c>
      <c r="E3278" s="5">
        <v>-31661</v>
      </c>
      <c r="F3278" s="3" t="s">
        <v>6643</v>
      </c>
      <c r="G3278" s="3" t="s">
        <v>7098</v>
      </c>
      <c r="H3278" s="2" t="s">
        <v>20</v>
      </c>
      <c r="I3278" s="2" t="s">
        <v>7099</v>
      </c>
      <c r="J3278" s="3" t="str">
        <f>HYPERLINK("https://www.boe.es/gazeta/dias/1813/04/24/pdfs/GRE-1813-51.pdf#page=6","Abrir facsímil")</f>
        <v>Abrir facsímil</v>
      </c>
      <c r="K3278" s="3" t="s">
        <v>22</v>
      </c>
    </row>
    <row r="3279" spans="1:11" ht="42" customHeight="1">
      <c r="A3279" s="2" t="s">
        <v>7100</v>
      </c>
      <c r="B3279" s="2" t="s">
        <v>7101</v>
      </c>
      <c r="C3279" s="2" t="s">
        <v>34</v>
      </c>
      <c r="D3279" s="2" t="s">
        <v>35</v>
      </c>
      <c r="E3279" s="5">
        <v>-31719</v>
      </c>
      <c r="F3279" s="3" t="s">
        <v>251</v>
      </c>
      <c r="G3279" s="3" t="s">
        <v>19</v>
      </c>
      <c r="H3279" s="2" t="s">
        <v>20</v>
      </c>
      <c r="I3279" s="2" t="s">
        <v>7102</v>
      </c>
      <c r="J3279" s="3" t="str">
        <f>HYPERLINK("https://www.boe.es/gazeta/dias/1813/02/25/pdfs/GMD-1813-56.pdf#page=4","Abrir facsímil")</f>
        <v>Abrir facsímil</v>
      </c>
      <c r="K3279" s="3" t="s">
        <v>22</v>
      </c>
    </row>
    <row r="3280" spans="1:11" ht="42" customHeight="1">
      <c r="A3280" s="2" t="s">
        <v>7103</v>
      </c>
      <c r="B3280" s="2" t="s">
        <v>7104</v>
      </c>
      <c r="C3280" s="2" t="s">
        <v>16</v>
      </c>
      <c r="D3280" s="2" t="s">
        <v>17</v>
      </c>
      <c r="E3280" s="5">
        <v>-31537</v>
      </c>
      <c r="F3280" s="3" t="s">
        <v>5241</v>
      </c>
      <c r="G3280" s="3" t="s">
        <v>7105</v>
      </c>
      <c r="H3280" s="2" t="s">
        <v>20</v>
      </c>
      <c r="I3280" s="2" t="s">
        <v>7106</v>
      </c>
      <c r="J3280" s="3" t="str">
        <f>HYPERLINK("https://www.boe.es/gazeta/dias/1813/08/26/pdfs/GRE-1813-109.pdf#page=7","Abrir facsímil")</f>
        <v>Abrir facsímil</v>
      </c>
      <c r="K3280" s="3" t="s">
        <v>22</v>
      </c>
    </row>
    <row r="3281" spans="1:11" ht="42" customHeight="1">
      <c r="A3281" s="2" t="s">
        <v>7107</v>
      </c>
      <c r="B3281" s="2" t="s">
        <v>7108</v>
      </c>
      <c r="C3281" s="2" t="s">
        <v>16</v>
      </c>
      <c r="D3281" s="2" t="s">
        <v>17</v>
      </c>
      <c r="E3281" s="5">
        <v>-31504</v>
      </c>
      <c r="F3281" s="3" t="s">
        <v>1361</v>
      </c>
      <c r="G3281" s="3" t="s">
        <v>28</v>
      </c>
      <c r="H3281" s="2" t="s">
        <v>20</v>
      </c>
      <c r="I3281" s="2" t="s">
        <v>7109</v>
      </c>
      <c r="J3281" s="3" t="str">
        <f>HYPERLINK("https://www.boe.es/gazeta/dias/1813/09/28/pdfs/GMR-1813-50.pdf#page=8","Abrir facsímil")</f>
        <v>Abrir facsímil</v>
      </c>
      <c r="K3281" s="3" t="s">
        <v>22</v>
      </c>
    </row>
    <row r="3282" spans="1:11" ht="42" customHeight="1">
      <c r="A3282" s="2" t="s">
        <v>7110</v>
      </c>
      <c r="B3282" s="2" t="s">
        <v>7110</v>
      </c>
      <c r="C3282" s="2" t="s">
        <v>16</v>
      </c>
      <c r="D3282" s="2" t="s">
        <v>17</v>
      </c>
      <c r="E3282" s="5">
        <v>-31551</v>
      </c>
      <c r="F3282" s="3" t="s">
        <v>954</v>
      </c>
      <c r="G3282" s="3" t="s">
        <v>19</v>
      </c>
      <c r="H3282" s="2" t="s">
        <v>20</v>
      </c>
      <c r="I3282" s="2" t="s">
        <v>7111</v>
      </c>
      <c r="J3282" s="3" t="str">
        <f>HYPERLINK("https://www.boe.es/gazeta/dias/1813/08/12/pdfs/GMR-1813-27.pdf#page=4","Abrir facsímil")</f>
        <v>Abrir facsímil</v>
      </c>
      <c r="K3282" s="3" t="s">
        <v>22</v>
      </c>
    </row>
    <row r="3283" spans="1:11" ht="42" customHeight="1">
      <c r="A3283" s="2" t="s">
        <v>7112</v>
      </c>
      <c r="B3283" s="2" t="s">
        <v>7113</v>
      </c>
      <c r="C3283" s="2" t="s">
        <v>435</v>
      </c>
      <c r="D3283" s="2" t="s">
        <v>26</v>
      </c>
      <c r="E3283" s="5">
        <v>-31560</v>
      </c>
      <c r="F3283" s="3" t="s">
        <v>590</v>
      </c>
      <c r="G3283" s="3" t="s">
        <v>87</v>
      </c>
      <c r="H3283" s="2" t="s">
        <v>20</v>
      </c>
      <c r="I3283" s="2" t="s">
        <v>7114</v>
      </c>
      <c r="J3283" s="3" t="str">
        <f>HYPERLINK("https://www.boe.es/gazeta/dias/1813/08/03/pdfs/GRE-1813-98.pdf#page=7","Abrir facsímil")</f>
        <v>Abrir facsímil</v>
      </c>
      <c r="K3283" s="3" t="s">
        <v>22</v>
      </c>
    </row>
    <row r="3284" spans="1:11" ht="42" customHeight="1">
      <c r="A3284" s="2" t="s">
        <v>7115</v>
      </c>
      <c r="B3284" s="2" t="s">
        <v>7116</v>
      </c>
      <c r="C3284" s="2" t="s">
        <v>25</v>
      </c>
      <c r="D3284" s="2" t="s">
        <v>26</v>
      </c>
      <c r="E3284" s="5">
        <v>-31745</v>
      </c>
      <c r="F3284" s="3" t="s">
        <v>445</v>
      </c>
      <c r="G3284" s="3" t="s">
        <v>28</v>
      </c>
      <c r="H3284" s="2" t="s">
        <v>20</v>
      </c>
      <c r="I3284" s="2" t="s">
        <v>7117</v>
      </c>
      <c r="J3284" s="3" t="str">
        <f>HYPERLINK("https://www.boe.es/gazeta/dias/1813/01/30/pdfs/GRE-1813-13.pdf#page=8","Abrir facsímil")</f>
        <v>Abrir facsímil</v>
      </c>
      <c r="K3284" s="3" t="s">
        <v>22</v>
      </c>
    </row>
    <row r="3285" spans="1:11" ht="42" customHeight="1">
      <c r="A3285" s="2" t="s">
        <v>7118</v>
      </c>
      <c r="B3285" s="2" t="s">
        <v>7119</v>
      </c>
      <c r="C3285" s="2" t="s">
        <v>16</v>
      </c>
      <c r="D3285" s="2" t="s">
        <v>17</v>
      </c>
      <c r="E3285" s="5">
        <v>-31731</v>
      </c>
      <c r="F3285" s="3" t="s">
        <v>866</v>
      </c>
      <c r="G3285" s="3" t="s">
        <v>867</v>
      </c>
      <c r="H3285" s="2" t="s">
        <v>20</v>
      </c>
      <c r="I3285" s="2" t="s">
        <v>7120</v>
      </c>
      <c r="J3285" s="3" t="str">
        <f>HYPERLINK("https://www.boe.es/gazeta/dias/1813/02/13/pdfs/GRE-1813-19.pdf#page=6","Abrir facsímil")</f>
        <v>Abrir facsímil</v>
      </c>
      <c r="K3285" s="3" t="s">
        <v>22</v>
      </c>
    </row>
    <row r="3286" spans="1:11" ht="42" customHeight="1">
      <c r="A3286" s="2" t="s">
        <v>7121</v>
      </c>
      <c r="B3286" s="2" t="s">
        <v>7122</v>
      </c>
      <c r="C3286" s="2" t="s">
        <v>109</v>
      </c>
      <c r="D3286" s="2" t="s">
        <v>26</v>
      </c>
      <c r="E3286" s="5">
        <v>-31689</v>
      </c>
      <c r="F3286" s="3" t="s">
        <v>48</v>
      </c>
      <c r="G3286" s="3" t="s">
        <v>162</v>
      </c>
      <c r="H3286" s="2" t="s">
        <v>20</v>
      </c>
      <c r="I3286" s="2" t="s">
        <v>7123</v>
      </c>
      <c r="J3286" s="3" t="str">
        <f>HYPERLINK("https://www.boe.es/gazeta/dias/1813/03/27/pdfs/GRE-1813-38.pdf#page=8","Abrir facsímil")</f>
        <v>Abrir facsímil</v>
      </c>
      <c r="K3286" s="3" t="s">
        <v>22</v>
      </c>
    </row>
    <row r="3287" spans="1:11" ht="42" customHeight="1">
      <c r="A3287" s="2" t="s">
        <v>7124</v>
      </c>
      <c r="B3287" s="2" t="s">
        <v>7124</v>
      </c>
      <c r="C3287" s="2" t="s">
        <v>16</v>
      </c>
      <c r="D3287" s="2" t="s">
        <v>17</v>
      </c>
      <c r="E3287" s="5">
        <v>-31504</v>
      </c>
      <c r="F3287" s="3" t="s">
        <v>1361</v>
      </c>
      <c r="G3287" s="3" t="s">
        <v>65</v>
      </c>
      <c r="H3287" s="2" t="s">
        <v>20</v>
      </c>
      <c r="I3287" s="2" t="s">
        <v>7125</v>
      </c>
      <c r="J3287" s="3" t="str">
        <f>HYPERLINK("https://www.boe.es/gazeta/dias/1813/09/28/pdfs/GMR-1813-50.pdf#page=1","Abrir facsímil")</f>
        <v>Abrir facsímil</v>
      </c>
      <c r="K3287" s="3" t="s">
        <v>22</v>
      </c>
    </row>
    <row r="3288" spans="1:11" ht="42" customHeight="1">
      <c r="A3288" s="2" t="s">
        <v>7126</v>
      </c>
      <c r="B3288" s="2" t="s">
        <v>7127</v>
      </c>
      <c r="C3288" s="2" t="s">
        <v>34</v>
      </c>
      <c r="D3288" s="2" t="s">
        <v>35</v>
      </c>
      <c r="E3288" s="5">
        <v>-31709</v>
      </c>
      <c r="F3288" s="3" t="s">
        <v>36</v>
      </c>
      <c r="G3288" s="3" t="s">
        <v>19</v>
      </c>
      <c r="H3288" s="2" t="s">
        <v>20</v>
      </c>
      <c r="I3288" s="2" t="s">
        <v>7128</v>
      </c>
      <c r="J3288" s="3" t="str">
        <f>HYPERLINK("https://www.boe.es/gazeta/dias/1813/03/07/pdfs/GMD-1813-66.pdf#page=4","Abrir facsímil")</f>
        <v>Abrir facsímil</v>
      </c>
      <c r="K3288" s="3" t="s">
        <v>22</v>
      </c>
    </row>
    <row r="3289" spans="1:11" ht="42" customHeight="1">
      <c r="A3289" s="2" t="s">
        <v>7129</v>
      </c>
      <c r="B3289" s="2" t="s">
        <v>7129</v>
      </c>
      <c r="C3289" s="2" t="s">
        <v>16</v>
      </c>
      <c r="D3289" s="2" t="s">
        <v>17</v>
      </c>
      <c r="E3289" s="5">
        <v>-31731</v>
      </c>
      <c r="F3289" s="3" t="s">
        <v>866</v>
      </c>
      <c r="G3289" s="3" t="s">
        <v>65</v>
      </c>
      <c r="H3289" s="2" t="s">
        <v>20</v>
      </c>
      <c r="I3289" s="2" t="s">
        <v>7130</v>
      </c>
      <c r="J3289" s="3" t="str">
        <f>HYPERLINK("https://www.boe.es/gazeta/dias/1813/02/13/pdfs/GRE-1813-19.pdf#page=1","Abrir facsímil")</f>
        <v>Abrir facsímil</v>
      </c>
      <c r="K3289" s="3" t="s">
        <v>22</v>
      </c>
    </row>
    <row r="3290" spans="1:11" ht="42" customHeight="1">
      <c r="A3290" s="2" t="s">
        <v>7131</v>
      </c>
      <c r="B3290" s="2" t="s">
        <v>7131</v>
      </c>
      <c r="C3290" s="2" t="s">
        <v>16</v>
      </c>
      <c r="D3290" s="2" t="s">
        <v>17</v>
      </c>
      <c r="E3290" s="5">
        <v>-31544</v>
      </c>
      <c r="F3290" s="3" t="s">
        <v>200</v>
      </c>
      <c r="G3290" s="3" t="s">
        <v>87</v>
      </c>
      <c r="H3290" s="2" t="s">
        <v>20</v>
      </c>
      <c r="I3290" s="2" t="s">
        <v>7132</v>
      </c>
      <c r="J3290" s="3" t="str">
        <f>HYPERLINK("https://www.boe.es/gazeta/dias/1813/08/19/pdfs/GRE-1813-106.pdf#page=7","Abrir facsímil")</f>
        <v>Abrir facsímil</v>
      </c>
      <c r="K3290" s="3" t="s">
        <v>22</v>
      </c>
    </row>
    <row r="3291" spans="1:11" ht="42" customHeight="1">
      <c r="A3291" s="2" t="s">
        <v>7133</v>
      </c>
      <c r="B3291" s="2" t="s">
        <v>7134</v>
      </c>
      <c r="C3291" s="2" t="s">
        <v>109</v>
      </c>
      <c r="D3291" s="2" t="s">
        <v>26</v>
      </c>
      <c r="E3291" s="5">
        <v>-31579</v>
      </c>
      <c r="F3291" s="3" t="s">
        <v>609</v>
      </c>
      <c r="G3291" s="3" t="s">
        <v>28</v>
      </c>
      <c r="H3291" s="2" t="s">
        <v>20</v>
      </c>
      <c r="I3291" s="2" t="s">
        <v>7135</v>
      </c>
      <c r="J3291" s="3" t="str">
        <f>HYPERLINK("https://www.boe.es/gazeta/dias/1813/07/15/pdfs/GRE-1813-89.pdf#page=8","Abrir facsímil")</f>
        <v>Abrir facsímil</v>
      </c>
      <c r="K3291" s="3" t="s">
        <v>22</v>
      </c>
    </row>
    <row r="3292" spans="1:11" ht="42" customHeight="1">
      <c r="A3292" s="2" t="s">
        <v>7136</v>
      </c>
      <c r="B3292" s="2" t="s">
        <v>7136</v>
      </c>
      <c r="C3292" s="2" t="s">
        <v>16</v>
      </c>
      <c r="D3292" s="2" t="s">
        <v>17</v>
      </c>
      <c r="E3292" s="5">
        <v>-31616</v>
      </c>
      <c r="F3292" s="3" t="s">
        <v>2201</v>
      </c>
      <c r="G3292" s="3" t="s">
        <v>87</v>
      </c>
      <c r="H3292" s="2" t="s">
        <v>20</v>
      </c>
      <c r="I3292" s="2" t="s">
        <v>7137</v>
      </c>
      <c r="J3292" s="3" t="str">
        <f>HYPERLINK("https://www.boe.es/gazeta/dias/1813/06/08/pdfs/GMR-1813-3.pdf#page=7","Abrir facsímil")</f>
        <v>Abrir facsímil</v>
      </c>
      <c r="K3292" s="3" t="s">
        <v>22</v>
      </c>
    </row>
    <row r="3293" spans="1:11" ht="42" customHeight="1">
      <c r="A3293" s="2" t="s">
        <v>7138</v>
      </c>
      <c r="B3293" s="2" t="s">
        <v>7138</v>
      </c>
      <c r="C3293" s="2" t="s">
        <v>16</v>
      </c>
      <c r="D3293" s="2" t="s">
        <v>17</v>
      </c>
      <c r="E3293" s="5">
        <v>-31742</v>
      </c>
      <c r="F3293" s="3" t="s">
        <v>2667</v>
      </c>
      <c r="G3293" s="3" t="s">
        <v>2668</v>
      </c>
      <c r="H3293" s="2" t="s">
        <v>20</v>
      </c>
      <c r="I3293" s="2" t="s">
        <v>7139</v>
      </c>
      <c r="J3293" s="3" t="str">
        <f>HYPERLINK("https://www.boe.es/gazeta/dias/1813/02/02/pdfs/GRE-1813-14.pdf#page=4","Abrir facsímil")</f>
        <v>Abrir facsímil</v>
      </c>
      <c r="K3293" s="3" t="s">
        <v>22</v>
      </c>
    </row>
    <row r="3294" spans="1:11" ht="42" customHeight="1">
      <c r="A3294" s="2" t="s">
        <v>7140</v>
      </c>
      <c r="B3294" s="2" t="s">
        <v>7141</v>
      </c>
      <c r="C3294" s="2" t="s">
        <v>16</v>
      </c>
      <c r="D3294" s="2" t="s">
        <v>17</v>
      </c>
      <c r="E3294" s="5">
        <v>-31628</v>
      </c>
      <c r="F3294" s="3" t="s">
        <v>358</v>
      </c>
      <c r="G3294" s="3" t="s">
        <v>19</v>
      </c>
      <c r="H3294" s="2" t="s">
        <v>20</v>
      </c>
      <c r="I3294" s="2" t="s">
        <v>7142</v>
      </c>
      <c r="J3294" s="3" t="str">
        <f>HYPERLINK("https://www.boe.es/gazeta/dias/1813/05/27/pdfs/GRE-1813-65.pdf#page=4","Abrir facsímil")</f>
        <v>Abrir facsímil</v>
      </c>
      <c r="K3294" s="3" t="s">
        <v>22</v>
      </c>
    </row>
    <row r="3295" spans="1:11" ht="42" customHeight="1">
      <c r="A3295" s="2" t="s">
        <v>7143</v>
      </c>
      <c r="B3295" s="2" t="s">
        <v>7144</v>
      </c>
      <c r="C3295" s="2" t="s">
        <v>16</v>
      </c>
      <c r="D3295" s="2" t="s">
        <v>97</v>
      </c>
      <c r="E3295" s="5">
        <v>-31479</v>
      </c>
      <c r="F3295" s="3" t="s">
        <v>290</v>
      </c>
      <c r="G3295" s="3" t="s">
        <v>65</v>
      </c>
      <c r="H3295" s="2" t="s">
        <v>20</v>
      </c>
      <c r="I3295" s="2" t="s">
        <v>7145</v>
      </c>
      <c r="J3295" s="3" t="str">
        <f>HYPERLINK("https://www.boe.es/gazeta/dias/1813/10/23/pdfs/GRE-1813-139E.pdf#page=1","Abrir facsímil")</f>
        <v>Abrir facsímil</v>
      </c>
      <c r="K3295" s="3" t="s">
        <v>22</v>
      </c>
    </row>
    <row r="3296" spans="1:11" ht="42" customHeight="1">
      <c r="A3296" s="2" t="s">
        <v>7146</v>
      </c>
      <c r="B3296" s="2" t="s">
        <v>7146</v>
      </c>
      <c r="C3296" s="2" t="s">
        <v>16</v>
      </c>
      <c r="D3296" s="2" t="s">
        <v>97</v>
      </c>
      <c r="E3296" s="5">
        <v>-31548</v>
      </c>
      <c r="F3296" s="3" t="s">
        <v>1680</v>
      </c>
      <c r="G3296" s="3" t="s">
        <v>87</v>
      </c>
      <c r="H3296" s="2" t="s">
        <v>20</v>
      </c>
      <c r="I3296" s="2" t="s">
        <v>7147</v>
      </c>
      <c r="J3296" s="3" t="str">
        <f>HYPERLINK("https://www.boe.es/gazeta/dias/1813/08/15/pdfs/GRE-1813-104E.pdf#page=7","Abrir facsímil")</f>
        <v>Abrir facsímil</v>
      </c>
      <c r="K3296" s="3" t="s">
        <v>22</v>
      </c>
    </row>
    <row r="3297" spans="1:11" ht="42" customHeight="1">
      <c r="A3297" s="2" t="s">
        <v>7148</v>
      </c>
      <c r="B3297" s="2" t="s">
        <v>7149</v>
      </c>
      <c r="C3297" s="2" t="s">
        <v>16</v>
      </c>
      <c r="D3297" s="2" t="s">
        <v>97</v>
      </c>
      <c r="E3297" s="5">
        <v>-31548</v>
      </c>
      <c r="F3297" s="3" t="s">
        <v>1680</v>
      </c>
      <c r="G3297" s="3" t="s">
        <v>87</v>
      </c>
      <c r="H3297" s="2" t="s">
        <v>20</v>
      </c>
      <c r="I3297" s="2" t="s">
        <v>7150</v>
      </c>
      <c r="J3297" s="3" t="str">
        <f>HYPERLINK("https://www.boe.es/gazeta/dias/1813/08/15/pdfs/GRE-1813-104E.pdf#page=7","Abrir facsímil")</f>
        <v>Abrir facsímil</v>
      </c>
      <c r="K3297" s="3" t="s">
        <v>22</v>
      </c>
    </row>
    <row r="3298" spans="1:11" ht="42" customHeight="1">
      <c r="A3298" s="2" t="s">
        <v>7151</v>
      </c>
      <c r="B3298" s="2" t="s">
        <v>7151</v>
      </c>
      <c r="C3298" s="2" t="s">
        <v>16</v>
      </c>
      <c r="D3298" s="2" t="s">
        <v>17</v>
      </c>
      <c r="E3298" s="5">
        <v>-31740</v>
      </c>
      <c r="F3298" s="3" t="s">
        <v>354</v>
      </c>
      <c r="G3298" s="3" t="s">
        <v>7152</v>
      </c>
      <c r="H3298" s="2" t="s">
        <v>20</v>
      </c>
      <c r="I3298" s="2" t="s">
        <v>7153</v>
      </c>
      <c r="J3298" s="3" t="str">
        <f>HYPERLINK("https://www.boe.es/gazeta/dias/1813/02/04/pdfs/GRE-1813-15.pdf#page=3","Abrir facsímil")</f>
        <v>Abrir facsímil</v>
      </c>
      <c r="K3298" s="3" t="s">
        <v>22</v>
      </c>
    </row>
    <row r="3299" spans="1:11" ht="42" customHeight="1">
      <c r="A3299" s="2" t="s">
        <v>7154</v>
      </c>
      <c r="B3299" s="2" t="s">
        <v>7154</v>
      </c>
      <c r="C3299" s="2" t="s">
        <v>16</v>
      </c>
      <c r="D3299" s="2" t="s">
        <v>17</v>
      </c>
      <c r="E3299" s="5">
        <v>-31745</v>
      </c>
      <c r="F3299" s="3" t="s">
        <v>445</v>
      </c>
      <c r="G3299" s="3" t="s">
        <v>54</v>
      </c>
      <c r="H3299" s="2" t="s">
        <v>20</v>
      </c>
      <c r="I3299" s="2" t="s">
        <v>7155</v>
      </c>
      <c r="J3299" s="3" t="str">
        <f>HYPERLINK("https://www.boe.es/gazeta/dias/1813/01/30/pdfs/GRE-1813-13.pdf#page=3","Abrir facsímil")</f>
        <v>Abrir facsímil</v>
      </c>
      <c r="K3299" s="3" t="s">
        <v>22</v>
      </c>
    </row>
    <row r="3300" spans="1:11" ht="42" customHeight="1">
      <c r="A3300" s="2" t="s">
        <v>7156</v>
      </c>
      <c r="B3300" s="2" t="s">
        <v>7157</v>
      </c>
      <c r="C3300" s="2" t="s">
        <v>16</v>
      </c>
      <c r="D3300" s="2" t="s">
        <v>17</v>
      </c>
      <c r="E3300" s="5">
        <v>-31628</v>
      </c>
      <c r="F3300" s="3" t="s">
        <v>358</v>
      </c>
      <c r="G3300" s="3" t="s">
        <v>87</v>
      </c>
      <c r="H3300" s="2" t="s">
        <v>20</v>
      </c>
      <c r="I3300" s="2" t="s">
        <v>7158</v>
      </c>
      <c r="J3300" s="3" t="str">
        <f>HYPERLINK("https://www.boe.es/gazeta/dias/1813/05/27/pdfs/GRE-1813-65.pdf#page=7","Abrir facsímil")</f>
        <v>Abrir facsímil</v>
      </c>
      <c r="K3300" s="3" t="s">
        <v>22</v>
      </c>
    </row>
    <row r="3301" spans="1:11" ht="42" customHeight="1">
      <c r="A3301" s="2" t="s">
        <v>7159</v>
      </c>
      <c r="B3301" s="2" t="s">
        <v>7160</v>
      </c>
      <c r="C3301" s="2" t="s">
        <v>16</v>
      </c>
      <c r="D3301" s="2" t="s">
        <v>17</v>
      </c>
      <c r="E3301" s="5">
        <v>-31630</v>
      </c>
      <c r="F3301" s="3" t="s">
        <v>1324</v>
      </c>
      <c r="G3301" s="3" t="s">
        <v>54</v>
      </c>
      <c r="H3301" s="2" t="s">
        <v>20</v>
      </c>
      <c r="I3301" s="2" t="s">
        <v>7161</v>
      </c>
      <c r="J3301" s="3" t="str">
        <f>HYPERLINK("https://www.boe.es/gazeta/dias/1813/05/25/pdfs/GRE-1813-64.pdf#page=3","Abrir facsímil")</f>
        <v>Abrir facsímil</v>
      </c>
      <c r="K3301" s="3" t="s">
        <v>22</v>
      </c>
    </row>
    <row r="3302" spans="1:11" ht="42" customHeight="1">
      <c r="A3302" s="2" t="s">
        <v>7162</v>
      </c>
      <c r="B3302" s="2" t="s">
        <v>7163</v>
      </c>
      <c r="C3302" s="2" t="s">
        <v>16</v>
      </c>
      <c r="D3302" s="2" t="s">
        <v>17</v>
      </c>
      <c r="E3302" s="5">
        <v>-31745</v>
      </c>
      <c r="F3302" s="3" t="s">
        <v>445</v>
      </c>
      <c r="G3302" s="3" t="s">
        <v>19</v>
      </c>
      <c r="H3302" s="2" t="s">
        <v>20</v>
      </c>
      <c r="I3302" s="2" t="s">
        <v>7164</v>
      </c>
      <c r="J3302" s="3" t="str">
        <f>HYPERLINK("https://www.boe.es/gazeta/dias/1813/01/30/pdfs/GRE-1813-13.pdf#page=4","Abrir facsímil")</f>
        <v>Abrir facsímil</v>
      </c>
      <c r="K3302" s="3" t="s">
        <v>22</v>
      </c>
    </row>
    <row r="3303" spans="1:11" ht="42" customHeight="1">
      <c r="A3303" s="2" t="s">
        <v>7162</v>
      </c>
      <c r="B3303" s="2" t="s">
        <v>7163</v>
      </c>
      <c r="C3303" s="2" t="s">
        <v>16</v>
      </c>
      <c r="D3303" s="2" t="s">
        <v>17</v>
      </c>
      <c r="E3303" s="5">
        <v>-31742</v>
      </c>
      <c r="F3303" s="3" t="s">
        <v>2667</v>
      </c>
      <c r="G3303" s="3" t="s">
        <v>3281</v>
      </c>
      <c r="H3303" s="2" t="s">
        <v>20</v>
      </c>
      <c r="I3303" s="2" t="s">
        <v>7165</v>
      </c>
      <c r="J3303" s="3" t="str">
        <f>HYPERLINK("https://www.boe.es/gazeta/dias/1813/02/02/pdfs/GRE-1813-14.pdf#page=5","Abrir facsímil")</f>
        <v>Abrir facsímil</v>
      </c>
      <c r="K3303" s="3" t="s">
        <v>22</v>
      </c>
    </row>
    <row r="3304" spans="1:11" ht="42" customHeight="1">
      <c r="A3304" s="2" t="s">
        <v>7162</v>
      </c>
      <c r="B3304" s="2" t="s">
        <v>7163</v>
      </c>
      <c r="C3304" s="2" t="s">
        <v>16</v>
      </c>
      <c r="D3304" s="2" t="s">
        <v>17</v>
      </c>
      <c r="E3304" s="5">
        <v>-31742</v>
      </c>
      <c r="F3304" s="3" t="s">
        <v>2667</v>
      </c>
      <c r="G3304" s="3" t="s">
        <v>7166</v>
      </c>
      <c r="H3304" s="2" t="s">
        <v>20</v>
      </c>
      <c r="I3304" s="2" t="s">
        <v>7167</v>
      </c>
      <c r="J3304" s="3" t="str">
        <f>HYPERLINK("https://www.boe.es/gazeta/dias/1813/02/02/pdfs/GRE-1813-14.pdf#page=7","Abrir facsímil")</f>
        <v>Abrir facsímil</v>
      </c>
      <c r="K3304" s="3" t="s">
        <v>22</v>
      </c>
    </row>
    <row r="3305" spans="1:11" ht="42" customHeight="1">
      <c r="A3305" s="2" t="s">
        <v>7168</v>
      </c>
      <c r="B3305" s="2" t="s">
        <v>7168</v>
      </c>
      <c r="C3305" s="2" t="s">
        <v>16</v>
      </c>
      <c r="D3305" s="2" t="s">
        <v>17</v>
      </c>
      <c r="E3305" s="5">
        <v>-31467</v>
      </c>
      <c r="F3305" s="3" t="s">
        <v>120</v>
      </c>
      <c r="G3305" s="3" t="s">
        <v>19</v>
      </c>
      <c r="H3305" s="2" t="s">
        <v>20</v>
      </c>
      <c r="I3305" s="2" t="s">
        <v>7169</v>
      </c>
      <c r="J3305" s="3" t="str">
        <f>HYPERLINK("https://www.boe.es/gazeta/dias/1813/11/04/pdfs/GMR-1813-68.pdf#page=4","Abrir facsímil")</f>
        <v>Abrir facsímil</v>
      </c>
      <c r="K3305" s="3" t="s">
        <v>22</v>
      </c>
    </row>
    <row r="3306" spans="1:11" ht="42" customHeight="1">
      <c r="A3306" s="2" t="s">
        <v>7170</v>
      </c>
      <c r="B3306" s="2" t="s">
        <v>7170</v>
      </c>
      <c r="C3306" s="2" t="s">
        <v>16</v>
      </c>
      <c r="D3306" s="2" t="s">
        <v>17</v>
      </c>
      <c r="E3306" s="5">
        <v>-31579</v>
      </c>
      <c r="F3306" s="3" t="s">
        <v>609</v>
      </c>
      <c r="G3306" s="3" t="s">
        <v>95</v>
      </c>
      <c r="H3306" s="2" t="s">
        <v>20</v>
      </c>
      <c r="I3306" s="2" t="s">
        <v>7171</v>
      </c>
      <c r="J3306" s="3" t="str">
        <f>HYPERLINK("https://www.boe.es/gazeta/dias/1813/07/15/pdfs/GRE-1813-89.pdf#page=6","Abrir facsímil")</f>
        <v>Abrir facsímil</v>
      </c>
      <c r="K3306" s="3" t="s">
        <v>22</v>
      </c>
    </row>
    <row r="3307" spans="1:11" ht="42" customHeight="1">
      <c r="A3307" s="2" t="s">
        <v>7172</v>
      </c>
      <c r="B3307" s="2" t="s">
        <v>7173</v>
      </c>
      <c r="C3307" s="2" t="s">
        <v>16</v>
      </c>
      <c r="D3307" s="2" t="s">
        <v>17</v>
      </c>
      <c r="E3307" s="5">
        <v>-31591</v>
      </c>
      <c r="F3307" s="3" t="s">
        <v>2123</v>
      </c>
      <c r="G3307" s="3" t="s">
        <v>87</v>
      </c>
      <c r="H3307" s="2" t="s">
        <v>20</v>
      </c>
      <c r="I3307" s="2" t="s">
        <v>7174</v>
      </c>
      <c r="J3307" s="3" t="str">
        <f>HYPERLINK("https://www.boe.es/gazeta/dias/1813/07/03/pdfs/GRE-1813-83.pdf#page=7","Abrir facsímil")</f>
        <v>Abrir facsímil</v>
      </c>
      <c r="K3307" s="3" t="s">
        <v>22</v>
      </c>
    </row>
    <row r="3308" spans="1:11" ht="42" customHeight="1">
      <c r="A3308" s="2" t="s">
        <v>7175</v>
      </c>
      <c r="B3308" s="2" t="s">
        <v>7175</v>
      </c>
      <c r="C3308" s="2" t="s">
        <v>16</v>
      </c>
      <c r="D3308" s="2" t="s">
        <v>17</v>
      </c>
      <c r="E3308" s="5">
        <v>-31574</v>
      </c>
      <c r="F3308" s="3" t="s">
        <v>1343</v>
      </c>
      <c r="G3308" s="3" t="s">
        <v>313</v>
      </c>
      <c r="H3308" s="2" t="s">
        <v>20</v>
      </c>
      <c r="I3308" s="2" t="s">
        <v>7176</v>
      </c>
      <c r="J3308" s="3" t="str">
        <f>HYPERLINK("https://www.boe.es/gazeta/dias/1813/07/20/pdfs/GMR-1813-19.pdf#page=9","Abrir facsímil")</f>
        <v>Abrir facsímil</v>
      </c>
      <c r="K3308" s="3" t="s">
        <v>22</v>
      </c>
    </row>
    <row r="3309" spans="1:11" ht="42" customHeight="1">
      <c r="A3309" s="2" t="s">
        <v>7177</v>
      </c>
      <c r="B3309" s="2" t="s">
        <v>7178</v>
      </c>
      <c r="C3309" s="2" t="s">
        <v>16</v>
      </c>
      <c r="D3309" s="2" t="s">
        <v>17</v>
      </c>
      <c r="E3309" s="5">
        <v>-31511</v>
      </c>
      <c r="F3309" s="3" t="s">
        <v>2149</v>
      </c>
      <c r="G3309" s="3" t="s">
        <v>19</v>
      </c>
      <c r="H3309" s="2" t="s">
        <v>20</v>
      </c>
      <c r="I3309" s="2" t="s">
        <v>7179</v>
      </c>
      <c r="J3309" s="3" t="str">
        <f>HYPERLINK("https://www.boe.es/gazeta/dias/1813/09/21/pdfs/GRE-1813-122.pdf#page=4","Abrir facsímil")</f>
        <v>Abrir facsímil</v>
      </c>
      <c r="K3309" s="3" t="s">
        <v>22</v>
      </c>
    </row>
    <row r="3310" spans="1:11" ht="42" customHeight="1">
      <c r="A3310" s="2" t="s">
        <v>7180</v>
      </c>
      <c r="B3310" s="2" t="s">
        <v>7181</v>
      </c>
      <c r="C3310" s="2" t="s">
        <v>16</v>
      </c>
      <c r="D3310" s="2" t="s">
        <v>17</v>
      </c>
      <c r="E3310" s="5">
        <v>-31511</v>
      </c>
      <c r="F3310" s="3" t="s">
        <v>2149</v>
      </c>
      <c r="G3310" s="3" t="s">
        <v>19</v>
      </c>
      <c r="H3310" s="2" t="s">
        <v>20</v>
      </c>
      <c r="I3310" s="2" t="s">
        <v>7182</v>
      </c>
      <c r="J3310" s="3" t="str">
        <f>HYPERLINK("https://www.boe.es/gazeta/dias/1813/09/21/pdfs/GRE-1813-122.pdf#page=4","Abrir facsímil")</f>
        <v>Abrir facsímil</v>
      </c>
      <c r="K3310" s="3" t="s">
        <v>22</v>
      </c>
    </row>
    <row r="3311" spans="1:11" ht="42" customHeight="1">
      <c r="A3311" s="2" t="s">
        <v>7183</v>
      </c>
      <c r="B3311" s="2" t="s">
        <v>7183</v>
      </c>
      <c r="C3311" s="2" t="s">
        <v>16</v>
      </c>
      <c r="D3311" s="2" t="s">
        <v>17</v>
      </c>
      <c r="E3311" s="5">
        <v>-31542</v>
      </c>
      <c r="F3311" s="3" t="s">
        <v>347</v>
      </c>
      <c r="G3311" s="3" t="s">
        <v>54</v>
      </c>
      <c r="H3311" s="2" t="s">
        <v>20</v>
      </c>
      <c r="I3311" s="2" t="s">
        <v>7184</v>
      </c>
      <c r="J3311" s="3" t="str">
        <f>HYPERLINK("https://www.boe.es/gazeta/dias/1813/08/21/pdfs/GMR-1813-31.pdf#page=3","Abrir facsímil")</f>
        <v>Abrir facsímil</v>
      </c>
      <c r="K3311" s="3" t="s">
        <v>22</v>
      </c>
    </row>
    <row r="3312" spans="1:11" ht="42" customHeight="1">
      <c r="A3312" s="2" t="s">
        <v>7185</v>
      </c>
      <c r="B3312" s="2" t="s">
        <v>7186</v>
      </c>
      <c r="C3312" s="2" t="s">
        <v>16</v>
      </c>
      <c r="D3312" s="2" t="s">
        <v>17</v>
      </c>
      <c r="E3312" s="5">
        <v>-31511</v>
      </c>
      <c r="F3312" s="3" t="s">
        <v>2149</v>
      </c>
      <c r="G3312" s="3" t="s">
        <v>82</v>
      </c>
      <c r="H3312" s="2" t="s">
        <v>20</v>
      </c>
      <c r="I3312" s="2" t="s">
        <v>7187</v>
      </c>
      <c r="J3312" s="3" t="str">
        <f>HYPERLINK("https://www.boe.es/gazeta/dias/1813/09/21/pdfs/GRE-1813-122.pdf#page=5","Abrir facsímil")</f>
        <v>Abrir facsímil</v>
      </c>
      <c r="K3312" s="3" t="s">
        <v>22</v>
      </c>
    </row>
    <row r="3313" spans="1:11" ht="42" customHeight="1">
      <c r="A3313" s="2" t="s">
        <v>7188</v>
      </c>
      <c r="B3313" s="2" t="s">
        <v>7188</v>
      </c>
      <c r="C3313" s="2" t="s">
        <v>16</v>
      </c>
      <c r="D3313" s="2" t="s">
        <v>17</v>
      </c>
      <c r="E3313" s="5">
        <v>-31640</v>
      </c>
      <c r="F3313" s="3" t="s">
        <v>2392</v>
      </c>
      <c r="G3313" s="3" t="s">
        <v>3612</v>
      </c>
      <c r="H3313" s="2" t="s">
        <v>20</v>
      </c>
      <c r="I3313" s="2" t="s">
        <v>7189</v>
      </c>
      <c r="J3313" s="3" t="str">
        <f>HYPERLINK("https://www.boe.es/gazeta/dias/1813/05/15/pdfs/GRE-1813-60.pdf#page=6","Abrir facsímil")</f>
        <v>Abrir facsímil</v>
      </c>
      <c r="K3313" s="3" t="s">
        <v>22</v>
      </c>
    </row>
    <row r="3314" spans="1:11" ht="42" customHeight="1">
      <c r="A3314" s="2" t="s">
        <v>7188</v>
      </c>
      <c r="B3314" s="2" t="s">
        <v>7188</v>
      </c>
      <c r="C3314" s="2" t="s">
        <v>16</v>
      </c>
      <c r="D3314" s="2" t="s">
        <v>17</v>
      </c>
      <c r="E3314" s="5">
        <v>-31588</v>
      </c>
      <c r="F3314" s="3" t="s">
        <v>1535</v>
      </c>
      <c r="G3314" s="3" t="s">
        <v>207</v>
      </c>
      <c r="H3314" s="2" t="s">
        <v>20</v>
      </c>
      <c r="I3314" s="2" t="s">
        <v>7190</v>
      </c>
      <c r="J3314" s="3" t="str">
        <f>HYPERLINK("https://www.boe.es/gazeta/dias/1813/07/06/pdfs/GMR-1813-15.pdf#page=10","Abrir facsímil")</f>
        <v>Abrir facsímil</v>
      </c>
      <c r="K3314" s="3" t="s">
        <v>22</v>
      </c>
    </row>
    <row r="3315" spans="1:11" ht="42" customHeight="1">
      <c r="A3315" s="2" t="s">
        <v>7188</v>
      </c>
      <c r="B3315" s="2" t="s">
        <v>7188</v>
      </c>
      <c r="C3315" s="2" t="s">
        <v>16</v>
      </c>
      <c r="D3315" s="2" t="s">
        <v>17</v>
      </c>
      <c r="E3315" s="5">
        <v>-31588</v>
      </c>
      <c r="F3315" s="3" t="s">
        <v>1535</v>
      </c>
      <c r="G3315" s="3" t="s">
        <v>313</v>
      </c>
      <c r="H3315" s="2" t="s">
        <v>20</v>
      </c>
      <c r="I3315" s="2" t="s">
        <v>7191</v>
      </c>
      <c r="J3315" s="3" t="str">
        <f>HYPERLINK("https://www.boe.es/gazeta/dias/1813/07/06/pdfs/GMR-1813-15.pdf#page=9","Abrir facsímil")</f>
        <v>Abrir facsímil</v>
      </c>
      <c r="K3315" s="3" t="s">
        <v>22</v>
      </c>
    </row>
    <row r="3316" spans="1:11" ht="42" customHeight="1">
      <c r="A3316" s="2" t="s">
        <v>7188</v>
      </c>
      <c r="B3316" s="2" t="s">
        <v>7188</v>
      </c>
      <c r="C3316" s="2" t="s">
        <v>16</v>
      </c>
      <c r="D3316" s="2" t="s">
        <v>17</v>
      </c>
      <c r="E3316" s="5">
        <v>-31585</v>
      </c>
      <c r="F3316" s="3" t="s">
        <v>177</v>
      </c>
      <c r="G3316" s="3" t="s">
        <v>207</v>
      </c>
      <c r="H3316" s="2" t="s">
        <v>20</v>
      </c>
      <c r="I3316" s="2" t="s">
        <v>7192</v>
      </c>
      <c r="J3316" s="3" t="str">
        <f>HYPERLINK("https://www.boe.es/gazeta/dias/1813/07/09/pdfs/GMR-1813-16.pdf#page=10","Abrir facsímil")</f>
        <v>Abrir facsímil</v>
      </c>
      <c r="K3316" s="3" t="s">
        <v>22</v>
      </c>
    </row>
    <row r="3317" spans="1:11" ht="42" customHeight="1">
      <c r="A3317" s="2" t="s">
        <v>7188</v>
      </c>
      <c r="B3317" s="2" t="s">
        <v>7188</v>
      </c>
      <c r="C3317" s="2" t="s">
        <v>16</v>
      </c>
      <c r="D3317" s="2" t="s">
        <v>17</v>
      </c>
      <c r="E3317" s="5">
        <v>-31579</v>
      </c>
      <c r="F3317" s="3" t="s">
        <v>609</v>
      </c>
      <c r="G3317" s="3" t="s">
        <v>3601</v>
      </c>
      <c r="H3317" s="2" t="s">
        <v>20</v>
      </c>
      <c r="I3317" s="2" t="s">
        <v>7193</v>
      </c>
      <c r="J3317" s="3" t="str">
        <f>HYPERLINK("https://www.boe.es/gazeta/dias/1813/07/15/pdfs/GRE-1813-89.pdf#page=5","Abrir facsímil")</f>
        <v>Abrir facsímil</v>
      </c>
      <c r="K3317" s="3" t="s">
        <v>22</v>
      </c>
    </row>
    <row r="3318" spans="1:11" ht="42" customHeight="1">
      <c r="A3318" s="2" t="s">
        <v>7188</v>
      </c>
      <c r="B3318" s="2" t="s">
        <v>7188</v>
      </c>
      <c r="C3318" s="2" t="s">
        <v>16</v>
      </c>
      <c r="D3318" s="2" t="s">
        <v>17</v>
      </c>
      <c r="E3318" s="5">
        <v>-31579</v>
      </c>
      <c r="F3318" s="3" t="s">
        <v>609</v>
      </c>
      <c r="G3318" s="3" t="s">
        <v>95</v>
      </c>
      <c r="H3318" s="2" t="s">
        <v>20</v>
      </c>
      <c r="I3318" s="2" t="s">
        <v>7194</v>
      </c>
      <c r="J3318" s="3" t="str">
        <f>HYPERLINK("https://www.boe.es/gazeta/dias/1813/07/15/pdfs/GRE-1813-89.pdf#page=6","Abrir facsímil")</f>
        <v>Abrir facsímil</v>
      </c>
      <c r="K3318" s="3" t="s">
        <v>22</v>
      </c>
    </row>
    <row r="3319" spans="1:11" ht="42" customHeight="1">
      <c r="A3319" s="2" t="s">
        <v>7188</v>
      </c>
      <c r="B3319" s="2" t="s">
        <v>7188</v>
      </c>
      <c r="C3319" s="2" t="s">
        <v>16</v>
      </c>
      <c r="D3319" s="2" t="s">
        <v>17</v>
      </c>
      <c r="E3319" s="5">
        <v>-31571</v>
      </c>
      <c r="F3319" s="3" t="s">
        <v>788</v>
      </c>
      <c r="G3319" s="3" t="s">
        <v>87</v>
      </c>
      <c r="H3319" s="2" t="s">
        <v>20</v>
      </c>
      <c r="I3319" s="2" t="s">
        <v>7195</v>
      </c>
      <c r="J3319" s="3" t="str">
        <f>HYPERLINK("https://www.boe.es/gazeta/dias/1813/07/23/pdfs/GMR-1813-20.pdf#page=7","Abrir facsímil")</f>
        <v>Abrir facsímil</v>
      </c>
      <c r="K3319" s="3" t="s">
        <v>22</v>
      </c>
    </row>
    <row r="3320" spans="1:11" ht="42" customHeight="1">
      <c r="A3320" s="2" t="s">
        <v>7188</v>
      </c>
      <c r="B3320" s="2" t="s">
        <v>7188</v>
      </c>
      <c r="C3320" s="2" t="s">
        <v>16</v>
      </c>
      <c r="D3320" s="2" t="s">
        <v>17</v>
      </c>
      <c r="E3320" s="5">
        <v>-31560</v>
      </c>
      <c r="F3320" s="3" t="s">
        <v>1233</v>
      </c>
      <c r="G3320" s="3" t="s">
        <v>87</v>
      </c>
      <c r="H3320" s="2" t="s">
        <v>20</v>
      </c>
      <c r="I3320" s="2" t="s">
        <v>7196</v>
      </c>
      <c r="J3320" s="3" t="str">
        <f>HYPERLINK("https://www.boe.es/gazeta/dias/1813/08/03/pdfs/GMR-1813-23.pdf#page=7","Abrir facsímil")</f>
        <v>Abrir facsímil</v>
      </c>
      <c r="K3320" s="3" t="s">
        <v>22</v>
      </c>
    </row>
    <row r="3321" spans="1:11" ht="42" customHeight="1">
      <c r="A3321" s="2" t="s">
        <v>7188</v>
      </c>
      <c r="B3321" s="2" t="s">
        <v>7188</v>
      </c>
      <c r="C3321" s="2" t="s">
        <v>16</v>
      </c>
      <c r="D3321" s="2" t="s">
        <v>17</v>
      </c>
      <c r="E3321" s="5">
        <v>-31553</v>
      </c>
      <c r="F3321" s="3" t="s">
        <v>592</v>
      </c>
      <c r="G3321" s="3" t="s">
        <v>28</v>
      </c>
      <c r="H3321" s="2" t="s">
        <v>20</v>
      </c>
      <c r="I3321" s="2" t="s">
        <v>7197</v>
      </c>
      <c r="J3321" s="3" t="str">
        <f>HYPERLINK("https://www.boe.es/gazeta/dias/1813/08/10/pdfs/GRE-1813-101.pdf#page=8","Abrir facsímil")</f>
        <v>Abrir facsímil</v>
      </c>
      <c r="K3321" s="3" t="s">
        <v>22</v>
      </c>
    </row>
    <row r="3322" spans="1:11" ht="42" customHeight="1">
      <c r="A3322" s="2" t="s">
        <v>7188</v>
      </c>
      <c r="B3322" s="2" t="s">
        <v>7188</v>
      </c>
      <c r="C3322" s="2" t="s">
        <v>16</v>
      </c>
      <c r="D3322" s="2" t="s">
        <v>17</v>
      </c>
      <c r="E3322" s="5">
        <v>-31511</v>
      </c>
      <c r="F3322" s="3" t="s">
        <v>2149</v>
      </c>
      <c r="G3322" s="3" t="s">
        <v>87</v>
      </c>
      <c r="H3322" s="2" t="s">
        <v>20</v>
      </c>
      <c r="I3322" s="2" t="s">
        <v>7198</v>
      </c>
      <c r="J3322" s="3" t="str">
        <f>HYPERLINK("https://www.boe.es/gazeta/dias/1813/09/21/pdfs/GRE-1813-122.pdf#page=7","Abrir facsímil")</f>
        <v>Abrir facsímil</v>
      </c>
      <c r="K3322" s="3" t="s">
        <v>22</v>
      </c>
    </row>
    <row r="3323" spans="1:11" ht="42" customHeight="1">
      <c r="A3323" s="2" t="s">
        <v>7188</v>
      </c>
      <c r="B3323" s="2" t="s">
        <v>7188</v>
      </c>
      <c r="C3323" s="2" t="s">
        <v>16</v>
      </c>
      <c r="D3323" s="2" t="s">
        <v>17</v>
      </c>
      <c r="E3323" s="5">
        <v>-31507</v>
      </c>
      <c r="F3323" s="3" t="s">
        <v>61</v>
      </c>
      <c r="G3323" s="3" t="s">
        <v>95</v>
      </c>
      <c r="H3323" s="2" t="s">
        <v>20</v>
      </c>
      <c r="I3323" s="2" t="s">
        <v>7199</v>
      </c>
      <c r="J3323" s="3" t="str">
        <f>HYPERLINK("https://www.boe.es/gazeta/dias/1813/09/25/pdfs/GMR-1813-48.pdf#page=6","Abrir facsímil")</f>
        <v>Abrir facsímil</v>
      </c>
      <c r="K3323" s="3" t="s">
        <v>22</v>
      </c>
    </row>
    <row r="3324" spans="1:11" ht="42" customHeight="1">
      <c r="A3324" s="2" t="s">
        <v>7200</v>
      </c>
      <c r="B3324" s="2" t="s">
        <v>7200</v>
      </c>
      <c r="C3324" s="2" t="s">
        <v>16</v>
      </c>
      <c r="D3324" s="2" t="s">
        <v>17</v>
      </c>
      <c r="E3324" s="5">
        <v>-31502</v>
      </c>
      <c r="F3324" s="3" t="s">
        <v>257</v>
      </c>
      <c r="G3324" s="3" t="s">
        <v>2029</v>
      </c>
      <c r="H3324" s="2" t="s">
        <v>20</v>
      </c>
      <c r="I3324" s="2" t="s">
        <v>7201</v>
      </c>
      <c r="J3324" s="3" t="str">
        <f>HYPERLINK("https://www.boe.es/gazeta/dias/1813/09/30/pdfs/GMR-1813-51.pdf#page=6","Abrir facsímil")</f>
        <v>Abrir facsímil</v>
      </c>
      <c r="K3324" s="3" t="s">
        <v>22</v>
      </c>
    </row>
    <row r="3325" spans="1:11" ht="42" customHeight="1">
      <c r="A3325" s="2" t="s">
        <v>7188</v>
      </c>
      <c r="B3325" s="2" t="s">
        <v>7188</v>
      </c>
      <c r="C3325" s="2" t="s">
        <v>16</v>
      </c>
      <c r="D3325" s="2" t="s">
        <v>17</v>
      </c>
      <c r="E3325" s="5">
        <v>-31479</v>
      </c>
      <c r="F3325" s="3" t="s">
        <v>322</v>
      </c>
      <c r="G3325" s="3" t="s">
        <v>95</v>
      </c>
      <c r="H3325" s="2" t="s">
        <v>20</v>
      </c>
      <c r="I3325" s="2" t="s">
        <v>7202</v>
      </c>
      <c r="J3325" s="3" t="str">
        <f>HYPERLINK("https://www.boe.es/gazeta/dias/1813/10/23/pdfs/GMR-1813-63.pdf#page=6","Abrir facsímil")</f>
        <v>Abrir facsímil</v>
      </c>
      <c r="K3325" s="3" t="s">
        <v>22</v>
      </c>
    </row>
    <row r="3326" spans="1:11" ht="42" customHeight="1">
      <c r="A3326" s="2" t="s">
        <v>7188</v>
      </c>
      <c r="B3326" s="2" t="s">
        <v>7188</v>
      </c>
      <c r="C3326" s="2" t="s">
        <v>16</v>
      </c>
      <c r="D3326" s="2" t="s">
        <v>17</v>
      </c>
      <c r="E3326" s="5">
        <v>-31432</v>
      </c>
      <c r="F3326" s="3" t="s">
        <v>702</v>
      </c>
      <c r="G3326" s="3" t="s">
        <v>58</v>
      </c>
      <c r="H3326" s="2" t="s">
        <v>20</v>
      </c>
      <c r="I3326" s="2" t="s">
        <v>7203</v>
      </c>
      <c r="J3326" s="3" t="str">
        <f>HYPERLINK("https://www.boe.es/gazeta/dias/1813/12/09/pdfs/GMR-1813-85.pdf#page=2","Abrir facsímil")</f>
        <v>Abrir facsímil</v>
      </c>
      <c r="K3326" s="3" t="s">
        <v>22</v>
      </c>
    </row>
    <row r="3327" spans="1:11" ht="42" customHeight="1">
      <c r="A3327" s="2" t="s">
        <v>7188</v>
      </c>
      <c r="B3327" s="2" t="s">
        <v>7188</v>
      </c>
      <c r="C3327" s="2" t="s">
        <v>16</v>
      </c>
      <c r="D3327" s="2" t="s">
        <v>17</v>
      </c>
      <c r="E3327" s="5">
        <v>-31430</v>
      </c>
      <c r="F3327" s="3" t="s">
        <v>1731</v>
      </c>
      <c r="G3327" s="3" t="s">
        <v>82</v>
      </c>
      <c r="H3327" s="2" t="s">
        <v>20</v>
      </c>
      <c r="I3327" s="2" t="s">
        <v>7204</v>
      </c>
      <c r="J3327" s="3" t="str">
        <f>HYPERLINK("https://www.boe.es/gazeta/dias/1813/12/11/pdfs/GRE-1813-163.pdf#page=5","Abrir facsímil")</f>
        <v>Abrir facsímil</v>
      </c>
      <c r="K3327" s="3" t="s">
        <v>22</v>
      </c>
    </row>
    <row r="3328" spans="1:11" ht="42" customHeight="1">
      <c r="A3328" s="2" t="s">
        <v>7205</v>
      </c>
      <c r="B3328" s="2" t="s">
        <v>7206</v>
      </c>
      <c r="C3328" s="2" t="s">
        <v>16</v>
      </c>
      <c r="D3328" s="2" t="s">
        <v>17</v>
      </c>
      <c r="E3328" s="5">
        <v>-31711</v>
      </c>
      <c r="F3328" s="3" t="s">
        <v>385</v>
      </c>
      <c r="G3328" s="3" t="s">
        <v>28</v>
      </c>
      <c r="H3328" s="2" t="s">
        <v>20</v>
      </c>
      <c r="I3328" s="2" t="s">
        <v>7207</v>
      </c>
      <c r="J3328" s="3" t="str">
        <f>HYPERLINK("https://www.boe.es/gazeta/dias/1813/03/05/pdfs/GRE-1813-99.pdf#page=8","Abrir facsímil")</f>
        <v>Abrir facsímil</v>
      </c>
      <c r="K3328" s="3" t="s">
        <v>22</v>
      </c>
    </row>
    <row r="3329" spans="1:11" ht="42" customHeight="1">
      <c r="A3329" s="2" t="s">
        <v>7205</v>
      </c>
      <c r="B3329" s="2" t="s">
        <v>7206</v>
      </c>
      <c r="C3329" s="2" t="s">
        <v>16</v>
      </c>
      <c r="D3329" s="2" t="s">
        <v>17</v>
      </c>
      <c r="E3329" s="5">
        <v>-31598</v>
      </c>
      <c r="F3329" s="3" t="s">
        <v>286</v>
      </c>
      <c r="G3329" s="3" t="s">
        <v>28</v>
      </c>
      <c r="H3329" s="2" t="s">
        <v>20</v>
      </c>
      <c r="I3329" s="2" t="s">
        <v>7208</v>
      </c>
      <c r="J3329" s="3" t="str">
        <f>HYPERLINK("https://www.boe.es/gazeta/dias/1813/06/26/pdfs/GRE-1813-79.pdf#page=8","Abrir facsímil")</f>
        <v>Abrir facsímil</v>
      </c>
      <c r="K3329" s="3" t="s">
        <v>22</v>
      </c>
    </row>
    <row r="3330" spans="1:11" ht="42" customHeight="1">
      <c r="A3330" s="2" t="s">
        <v>7205</v>
      </c>
      <c r="B3330" s="2" t="s">
        <v>7206</v>
      </c>
      <c r="C3330" s="2" t="s">
        <v>16</v>
      </c>
      <c r="D3330" s="2" t="s">
        <v>17</v>
      </c>
      <c r="E3330" s="5">
        <v>-31592</v>
      </c>
      <c r="F3330" s="3" t="s">
        <v>175</v>
      </c>
      <c r="G3330" s="3" t="s">
        <v>58</v>
      </c>
      <c r="H3330" s="2" t="s">
        <v>20</v>
      </c>
      <c r="I3330" s="2" t="s">
        <v>7209</v>
      </c>
      <c r="J3330" s="3" t="str">
        <f>HYPERLINK("https://www.boe.es/gazeta/dias/1813/07/02/pdfs/GRE-1813-82.pdf#page=2","Abrir facsímil")</f>
        <v>Abrir facsímil</v>
      </c>
      <c r="K3330" s="3" t="s">
        <v>22</v>
      </c>
    </row>
    <row r="3331" spans="1:11" ht="42" customHeight="1">
      <c r="A3331" s="2" t="s">
        <v>7205</v>
      </c>
      <c r="B3331" s="2" t="s">
        <v>7206</v>
      </c>
      <c r="C3331" s="2" t="s">
        <v>16</v>
      </c>
      <c r="D3331" s="2" t="s">
        <v>17</v>
      </c>
      <c r="E3331" s="5">
        <v>-31592</v>
      </c>
      <c r="F3331" s="3" t="s">
        <v>175</v>
      </c>
      <c r="G3331" s="3" t="s">
        <v>54</v>
      </c>
      <c r="H3331" s="2" t="s">
        <v>20</v>
      </c>
      <c r="I3331" s="2" t="s">
        <v>7210</v>
      </c>
      <c r="J3331" s="3" t="str">
        <f>HYPERLINK("https://www.boe.es/gazeta/dias/1813/07/02/pdfs/GRE-1813-82.pdf#page=3","Abrir facsímil")</f>
        <v>Abrir facsímil</v>
      </c>
      <c r="K3331" s="3" t="s">
        <v>22</v>
      </c>
    </row>
    <row r="3332" spans="1:11" ht="42" customHeight="1">
      <c r="A3332" s="2" t="s">
        <v>7205</v>
      </c>
      <c r="B3332" s="2" t="s">
        <v>7206</v>
      </c>
      <c r="C3332" s="2" t="s">
        <v>16</v>
      </c>
      <c r="D3332" s="2" t="s">
        <v>17</v>
      </c>
      <c r="E3332" s="5">
        <v>-31592</v>
      </c>
      <c r="F3332" s="3" t="s">
        <v>175</v>
      </c>
      <c r="G3332" s="3" t="s">
        <v>82</v>
      </c>
      <c r="H3332" s="2" t="s">
        <v>20</v>
      </c>
      <c r="I3332" s="2" t="s">
        <v>7211</v>
      </c>
      <c r="J3332" s="3" t="str">
        <f>HYPERLINK("https://www.boe.es/gazeta/dias/1813/07/02/pdfs/GRE-1813-82.pdf#page=5","Abrir facsímil")</f>
        <v>Abrir facsímil</v>
      </c>
      <c r="K3332" s="3" t="s">
        <v>22</v>
      </c>
    </row>
    <row r="3333" spans="1:11" ht="42" customHeight="1">
      <c r="A3333" s="2" t="s">
        <v>7205</v>
      </c>
      <c r="B3333" s="2" t="s">
        <v>7206</v>
      </c>
      <c r="C3333" s="2" t="s">
        <v>16</v>
      </c>
      <c r="D3333" s="2" t="s">
        <v>17</v>
      </c>
      <c r="E3333" s="5">
        <v>-31591</v>
      </c>
      <c r="F3333" s="3" t="s">
        <v>2123</v>
      </c>
      <c r="G3333" s="3" t="s">
        <v>87</v>
      </c>
      <c r="H3333" s="2" t="s">
        <v>20</v>
      </c>
      <c r="I3333" s="2" t="s">
        <v>7212</v>
      </c>
      <c r="J3333" s="3" t="str">
        <f>HYPERLINK("https://www.boe.es/gazeta/dias/1813/07/03/pdfs/GRE-1813-83.pdf#page=7","Abrir facsímil")</f>
        <v>Abrir facsímil</v>
      </c>
      <c r="K3333" s="3" t="s">
        <v>22</v>
      </c>
    </row>
    <row r="3334" spans="1:11" ht="42" customHeight="1">
      <c r="A3334" s="2" t="s">
        <v>7205</v>
      </c>
      <c r="B3334" s="2" t="s">
        <v>7206</v>
      </c>
      <c r="C3334" s="2" t="s">
        <v>16</v>
      </c>
      <c r="D3334" s="2" t="s">
        <v>17</v>
      </c>
      <c r="E3334" s="5">
        <v>-31558</v>
      </c>
      <c r="F3334" s="3" t="s">
        <v>385</v>
      </c>
      <c r="G3334" s="3" t="s">
        <v>28</v>
      </c>
      <c r="H3334" s="2" t="s">
        <v>20</v>
      </c>
      <c r="I3334" s="2" t="s">
        <v>7207</v>
      </c>
      <c r="J3334" s="3" t="str">
        <f>HYPERLINK("https://www.boe.es/gazeta/dias/1813/08/05/pdfs/GRE-1813-99.pdf#page=8","Abrir facsímil")</f>
        <v>Abrir facsímil</v>
      </c>
      <c r="K3334" s="3" t="s">
        <v>22</v>
      </c>
    </row>
    <row r="3335" spans="1:11" ht="42" customHeight="1">
      <c r="A3335" s="2" t="s">
        <v>7205</v>
      </c>
      <c r="B3335" s="2" t="s">
        <v>7206</v>
      </c>
      <c r="C3335" s="2" t="s">
        <v>16</v>
      </c>
      <c r="D3335" s="2" t="s">
        <v>97</v>
      </c>
      <c r="E3335" s="5">
        <v>-31519</v>
      </c>
      <c r="F3335" s="3" t="s">
        <v>312</v>
      </c>
      <c r="G3335" s="3" t="s">
        <v>65</v>
      </c>
      <c r="H3335" s="2" t="s">
        <v>20</v>
      </c>
      <c r="I3335" s="2" t="s">
        <v>7213</v>
      </c>
      <c r="J3335" s="3" t="str">
        <f>HYPERLINK("https://www.boe.es/gazeta/dias/1813/09/13/pdfs/GRE-1813-118E.pdf#page=1","Abrir facsímil")</f>
        <v>Abrir facsímil</v>
      </c>
      <c r="K3335" s="3" t="s">
        <v>22</v>
      </c>
    </row>
    <row r="3336" spans="1:11" ht="42" customHeight="1">
      <c r="A3336" s="2" t="s">
        <v>7205</v>
      </c>
      <c r="B3336" s="2" t="s">
        <v>7206</v>
      </c>
      <c r="C3336" s="2" t="s">
        <v>16</v>
      </c>
      <c r="D3336" s="2" t="s">
        <v>17</v>
      </c>
      <c r="E3336" s="5">
        <v>-31516</v>
      </c>
      <c r="F3336" s="3" t="s">
        <v>1685</v>
      </c>
      <c r="G3336" s="3" t="s">
        <v>54</v>
      </c>
      <c r="H3336" s="2" t="s">
        <v>20</v>
      </c>
      <c r="I3336" s="2" t="s">
        <v>7214</v>
      </c>
      <c r="J3336" s="3" t="str">
        <f>HYPERLINK("https://www.boe.es/gazeta/dias/1813/09/16/pdfs/GRE-1813-120.pdf#page=3","Abrir facsímil")</f>
        <v>Abrir facsímil</v>
      </c>
      <c r="K3336" s="3" t="s">
        <v>22</v>
      </c>
    </row>
    <row r="3337" spans="1:11" ht="42" customHeight="1">
      <c r="A3337" s="2" t="s">
        <v>7205</v>
      </c>
      <c r="B3337" s="2" t="s">
        <v>7206</v>
      </c>
      <c r="C3337" s="2" t="s">
        <v>16</v>
      </c>
      <c r="D3337" s="2" t="s">
        <v>97</v>
      </c>
      <c r="E3337" s="5">
        <v>-31479</v>
      </c>
      <c r="F3337" s="3" t="s">
        <v>290</v>
      </c>
      <c r="G3337" s="3" t="s">
        <v>65</v>
      </c>
      <c r="H3337" s="2" t="s">
        <v>20</v>
      </c>
      <c r="I3337" s="2" t="s">
        <v>7215</v>
      </c>
      <c r="J3337" s="3" t="str">
        <f>HYPERLINK("https://www.boe.es/gazeta/dias/1813/10/23/pdfs/GRE-1813-139E.pdf#page=1","Abrir facsímil")</f>
        <v>Abrir facsímil</v>
      </c>
      <c r="K3337" s="3" t="s">
        <v>22</v>
      </c>
    </row>
    <row r="3338" spans="1:11" ht="42" customHeight="1">
      <c r="A3338" s="2" t="s">
        <v>7216</v>
      </c>
      <c r="B3338" s="2" t="s">
        <v>7217</v>
      </c>
      <c r="C3338" s="2" t="s">
        <v>16</v>
      </c>
      <c r="D3338" s="2" t="s">
        <v>17</v>
      </c>
      <c r="E3338" s="5">
        <v>-31502</v>
      </c>
      <c r="F3338" s="3" t="s">
        <v>257</v>
      </c>
      <c r="G3338" s="3" t="s">
        <v>2029</v>
      </c>
      <c r="H3338" s="2" t="s">
        <v>20</v>
      </c>
      <c r="I3338" s="2" t="s">
        <v>7218</v>
      </c>
      <c r="J3338" s="3" t="str">
        <f>HYPERLINK("https://www.boe.es/gazeta/dias/1813/09/30/pdfs/GMR-1813-51.pdf#page=6","Abrir facsímil")</f>
        <v>Abrir facsímil</v>
      </c>
      <c r="K3338" s="3" t="s">
        <v>22</v>
      </c>
    </row>
    <row r="3339" spans="1:11" ht="42" customHeight="1">
      <c r="A3339" s="2" t="s">
        <v>7219</v>
      </c>
      <c r="B3339" s="2" t="s">
        <v>7219</v>
      </c>
      <c r="C3339" s="2" t="s">
        <v>16</v>
      </c>
      <c r="D3339" s="2" t="s">
        <v>17</v>
      </c>
      <c r="E3339" s="5">
        <v>-31530</v>
      </c>
      <c r="F3339" s="3" t="s">
        <v>319</v>
      </c>
      <c r="G3339" s="3" t="s">
        <v>87</v>
      </c>
      <c r="H3339" s="2" t="s">
        <v>20</v>
      </c>
      <c r="I3339" s="2" t="s">
        <v>7220</v>
      </c>
      <c r="J3339" s="3" t="str">
        <f>HYPERLINK("https://www.boe.es/gazeta/dias/1813/09/02/pdfs/GRE-1813-112.pdf#page=7","Abrir facsímil")</f>
        <v>Abrir facsímil</v>
      </c>
      <c r="K3339" s="3" t="s">
        <v>22</v>
      </c>
    </row>
    <row r="3340" spans="1:11" ht="42" customHeight="1">
      <c r="A3340" s="2" t="s">
        <v>7221</v>
      </c>
      <c r="B3340" s="2" t="s">
        <v>7222</v>
      </c>
      <c r="C3340" s="2" t="s">
        <v>16</v>
      </c>
      <c r="D3340" s="2" t="s">
        <v>97</v>
      </c>
      <c r="E3340" s="5">
        <v>-31548</v>
      </c>
      <c r="F3340" s="3" t="s">
        <v>1680</v>
      </c>
      <c r="G3340" s="3" t="s">
        <v>58</v>
      </c>
      <c r="H3340" s="2" t="s">
        <v>20</v>
      </c>
      <c r="I3340" s="2" t="s">
        <v>7223</v>
      </c>
      <c r="J3340" s="3" t="str">
        <f>HYPERLINK("https://www.boe.es/gazeta/dias/1813/08/15/pdfs/GRE-1813-104E.pdf#page=2","Abrir facsímil")</f>
        <v>Abrir facsímil</v>
      </c>
      <c r="K3340" s="3" t="s">
        <v>22</v>
      </c>
    </row>
    <row r="3341" spans="1:11" ht="42" customHeight="1">
      <c r="A3341" s="2" t="s">
        <v>7224</v>
      </c>
      <c r="B3341" s="2" t="s">
        <v>7224</v>
      </c>
      <c r="C3341" s="2" t="s">
        <v>16</v>
      </c>
      <c r="D3341" s="2" t="s">
        <v>17</v>
      </c>
      <c r="E3341" s="5">
        <v>-31582</v>
      </c>
      <c r="F3341" s="3" t="s">
        <v>907</v>
      </c>
      <c r="G3341" s="3" t="s">
        <v>58</v>
      </c>
      <c r="H3341" s="2" t="s">
        <v>20</v>
      </c>
      <c r="I3341" s="2" t="s">
        <v>7225</v>
      </c>
      <c r="J3341" s="3" t="str">
        <f>HYPERLINK("https://www.boe.es/gazeta/dias/1813/07/12/pdfs/GRE-1813-87.pdf#page=2","Abrir facsímil")</f>
        <v>Abrir facsímil</v>
      </c>
      <c r="K3341" s="3" t="s">
        <v>22</v>
      </c>
    </row>
    <row r="3342" spans="1:11" ht="42" customHeight="1">
      <c r="A3342" s="2" t="s">
        <v>7226</v>
      </c>
      <c r="B3342" s="2" t="s">
        <v>7227</v>
      </c>
      <c r="C3342" s="2" t="s">
        <v>16</v>
      </c>
      <c r="D3342" s="2" t="s">
        <v>97</v>
      </c>
      <c r="E3342" s="5">
        <v>-31479</v>
      </c>
      <c r="F3342" s="3" t="s">
        <v>290</v>
      </c>
      <c r="G3342" s="3" t="s">
        <v>58</v>
      </c>
      <c r="H3342" s="2" t="s">
        <v>20</v>
      </c>
      <c r="I3342" s="2" t="s">
        <v>7228</v>
      </c>
      <c r="J3342" s="3" t="str">
        <f>HYPERLINK("https://www.boe.es/gazeta/dias/1813/10/23/pdfs/GRE-1813-139E.pdf#page=2","Abrir facsímil")</f>
        <v>Abrir facsímil</v>
      </c>
      <c r="K3342" s="3" t="s">
        <v>22</v>
      </c>
    </row>
    <row r="3343" spans="1:11" ht="42" customHeight="1">
      <c r="A3343" s="2" t="s">
        <v>7229</v>
      </c>
      <c r="B3343" s="2" t="s">
        <v>7229</v>
      </c>
      <c r="C3343" s="2" t="s">
        <v>16</v>
      </c>
      <c r="D3343" s="2" t="s">
        <v>17</v>
      </c>
      <c r="E3343" s="5">
        <v>-31542</v>
      </c>
      <c r="F3343" s="3" t="s">
        <v>347</v>
      </c>
      <c r="G3343" s="3" t="s">
        <v>373</v>
      </c>
      <c r="H3343" s="2" t="s">
        <v>20</v>
      </c>
      <c r="I3343" s="2" t="s">
        <v>7230</v>
      </c>
      <c r="J3343" s="3" t="str">
        <f>HYPERLINK("https://www.boe.es/gazeta/dias/1813/08/21/pdfs/GMR-1813-31.pdf#page=2","Abrir facsímil")</f>
        <v>Abrir facsímil</v>
      </c>
      <c r="K3343" s="3" t="s">
        <v>22</v>
      </c>
    </row>
    <row r="3344" spans="1:11" ht="42" customHeight="1">
      <c r="A3344" s="2" t="s">
        <v>7231</v>
      </c>
      <c r="B3344" s="2" t="s">
        <v>7232</v>
      </c>
      <c r="C3344" s="2" t="s">
        <v>16</v>
      </c>
      <c r="D3344" s="2" t="s">
        <v>17</v>
      </c>
      <c r="E3344" s="5">
        <v>-31511</v>
      </c>
      <c r="F3344" s="3" t="s">
        <v>2149</v>
      </c>
      <c r="G3344" s="3" t="s">
        <v>19</v>
      </c>
      <c r="H3344" s="2" t="s">
        <v>20</v>
      </c>
      <c r="I3344" s="2" t="s">
        <v>7233</v>
      </c>
      <c r="J3344" s="3" t="str">
        <f>HYPERLINK("https://www.boe.es/gazeta/dias/1813/09/21/pdfs/GRE-1813-122.pdf#page=4","Abrir facsímil")</f>
        <v>Abrir facsímil</v>
      </c>
      <c r="K3344" s="3" t="s">
        <v>22</v>
      </c>
    </row>
    <row r="3345" spans="1:11" ht="42" customHeight="1">
      <c r="A3345" s="2" t="s">
        <v>7234</v>
      </c>
      <c r="B3345" s="2" t="s">
        <v>7235</v>
      </c>
      <c r="C3345" s="2" t="s">
        <v>16</v>
      </c>
      <c r="D3345" s="2" t="s">
        <v>17</v>
      </c>
      <c r="E3345" s="5">
        <v>-31559</v>
      </c>
      <c r="F3345" s="3" t="s">
        <v>1485</v>
      </c>
      <c r="G3345" s="3" t="s">
        <v>1486</v>
      </c>
      <c r="H3345" s="2" t="s">
        <v>20</v>
      </c>
      <c r="I3345" s="2" t="s">
        <v>7236</v>
      </c>
      <c r="J3345" s="3" t="str">
        <f>HYPERLINK("https://www.boe.es/gazeta/dias/1813/08/04/pdfs/GRE-1813-113.pdf#page=8","Abrir facsímil")</f>
        <v>Abrir facsímil</v>
      </c>
      <c r="K3345" s="3" t="s">
        <v>22</v>
      </c>
    </row>
    <row r="3346" spans="1:11" ht="42" customHeight="1">
      <c r="A3346" s="2" t="s">
        <v>7234</v>
      </c>
      <c r="B3346" s="2" t="s">
        <v>7235</v>
      </c>
      <c r="C3346" s="2" t="s">
        <v>16</v>
      </c>
      <c r="D3346" s="2" t="s">
        <v>17</v>
      </c>
      <c r="E3346" s="5">
        <v>-31528</v>
      </c>
      <c r="F3346" s="3" t="s">
        <v>1485</v>
      </c>
      <c r="G3346" s="3" t="s">
        <v>1486</v>
      </c>
      <c r="H3346" s="2" t="s">
        <v>20</v>
      </c>
      <c r="I3346" s="2" t="s">
        <v>7236</v>
      </c>
      <c r="J3346" s="3" t="str">
        <f>HYPERLINK("https://www.boe.es/gazeta/dias/1813/09/04/pdfs/GRE-1813-113.pdf#page=8","Abrir facsímil")</f>
        <v>Abrir facsímil</v>
      </c>
      <c r="K3346" s="3" t="s">
        <v>22</v>
      </c>
    </row>
    <row r="3347" spans="1:11" ht="42" customHeight="1">
      <c r="A3347" s="2" t="s">
        <v>7237</v>
      </c>
      <c r="B3347" s="2" t="s">
        <v>7237</v>
      </c>
      <c r="C3347" s="2" t="s">
        <v>34</v>
      </c>
      <c r="D3347" s="2" t="s">
        <v>35</v>
      </c>
      <c r="E3347" s="5">
        <v>-31434</v>
      </c>
      <c r="F3347" s="3" t="s">
        <v>18</v>
      </c>
      <c r="G3347" s="3" t="s">
        <v>65</v>
      </c>
      <c r="H3347" s="2" t="s">
        <v>20</v>
      </c>
      <c r="I3347" s="2" t="s">
        <v>7238</v>
      </c>
      <c r="J3347" s="3" t="str">
        <f>HYPERLINK("https://www.boe.es/gazeta/dias/1813/12/07/pdfs/GRE-1813-161.pdf#page=1","Abrir facsímil")</f>
        <v>Abrir facsímil</v>
      </c>
      <c r="K3347" s="3" t="s">
        <v>22</v>
      </c>
    </row>
    <row r="3348" spans="1:11" ht="42" customHeight="1">
      <c r="A3348" s="2" t="s">
        <v>7239</v>
      </c>
      <c r="B3348" s="2" t="s">
        <v>7240</v>
      </c>
      <c r="C3348" s="2" t="s">
        <v>16</v>
      </c>
      <c r="D3348" s="2" t="s">
        <v>17</v>
      </c>
      <c r="E3348" s="5">
        <v>-31532</v>
      </c>
      <c r="F3348" s="3" t="s">
        <v>215</v>
      </c>
      <c r="G3348" s="3" t="s">
        <v>95</v>
      </c>
      <c r="H3348" s="2" t="s">
        <v>20</v>
      </c>
      <c r="I3348" s="2" t="s">
        <v>7241</v>
      </c>
      <c r="J3348" s="3" t="str">
        <f>HYPERLINK("https://www.boe.es/gazeta/dias/1813/08/31/pdfs/GRE-1813-111.pdf#page=6","Abrir facsímil")</f>
        <v>Abrir facsímil</v>
      </c>
      <c r="K3348" s="3" t="s">
        <v>22</v>
      </c>
    </row>
    <row r="3349" spans="1:11" ht="42" customHeight="1">
      <c r="A3349" s="2" t="s">
        <v>7242</v>
      </c>
      <c r="B3349" s="2" t="s">
        <v>7243</v>
      </c>
      <c r="C3349" s="2" t="s">
        <v>25</v>
      </c>
      <c r="D3349" s="2" t="s">
        <v>26</v>
      </c>
      <c r="E3349" s="5">
        <v>-31530</v>
      </c>
      <c r="F3349" s="3" t="s">
        <v>133</v>
      </c>
      <c r="G3349" s="3" t="s">
        <v>82</v>
      </c>
      <c r="H3349" s="2" t="s">
        <v>29</v>
      </c>
      <c r="I3349" s="2" t="s">
        <v>7244</v>
      </c>
      <c r="J3349" s="3" t="str">
        <f>HYPERLINK("https://www.boe.es/gazeta/dias/1813/09/02/pdfs/GMR-1813-36.pdf#page=5","Abrir facsímil")</f>
        <v>Abrir facsímil</v>
      </c>
      <c r="K3349" s="3" t="s">
        <v>31</v>
      </c>
    </row>
    <row r="3350" spans="1:11" ht="42" customHeight="1">
      <c r="A3350" s="2" t="s">
        <v>7245</v>
      </c>
      <c r="B3350" s="2" t="s">
        <v>7245</v>
      </c>
      <c r="C3350" s="2" t="s">
        <v>16</v>
      </c>
      <c r="D3350" s="2" t="s">
        <v>17</v>
      </c>
      <c r="E3350" s="5">
        <v>-31656</v>
      </c>
      <c r="F3350" s="3" t="s">
        <v>415</v>
      </c>
      <c r="G3350" s="3" t="s">
        <v>65</v>
      </c>
      <c r="H3350" s="2" t="s">
        <v>20</v>
      </c>
      <c r="I3350" s="2" t="s">
        <v>7246</v>
      </c>
      <c r="J3350" s="3" t="str">
        <f>HYPERLINK("https://www.boe.es/gazeta/dias/1813/04/29/pdfs/GMD-1813-119.pdf#page=1","Abrir facsímil")</f>
        <v>Abrir facsímil</v>
      </c>
      <c r="K3350" s="3" t="s">
        <v>22</v>
      </c>
    </row>
    <row r="3351" spans="1:11" ht="42" customHeight="1">
      <c r="A3351" s="2" t="s">
        <v>7247</v>
      </c>
      <c r="B3351" s="2" t="s">
        <v>7247</v>
      </c>
      <c r="C3351" s="2" t="s">
        <v>16</v>
      </c>
      <c r="D3351" s="2" t="s">
        <v>17</v>
      </c>
      <c r="E3351" s="5">
        <v>-31724</v>
      </c>
      <c r="F3351" s="3" t="s">
        <v>684</v>
      </c>
      <c r="G3351" s="3" t="s">
        <v>1495</v>
      </c>
      <c r="H3351" s="2" t="s">
        <v>20</v>
      </c>
      <c r="I3351" s="2" t="s">
        <v>7248</v>
      </c>
      <c r="J3351" s="3" t="str">
        <f>HYPERLINK("https://www.boe.es/gazeta/dias/1813/02/20/pdfs/GMD-1813-51.pdf#page=4","Abrir facsímil")</f>
        <v>Abrir facsímil</v>
      </c>
      <c r="K3351" s="3" t="s">
        <v>22</v>
      </c>
    </row>
    <row r="3352" spans="1:11" ht="42" customHeight="1">
      <c r="A3352" s="2" t="s">
        <v>7247</v>
      </c>
      <c r="B3352" s="2" t="s">
        <v>7247</v>
      </c>
      <c r="C3352" s="2" t="s">
        <v>16</v>
      </c>
      <c r="D3352" s="2" t="s">
        <v>17</v>
      </c>
      <c r="E3352" s="5">
        <v>-31700</v>
      </c>
      <c r="F3352" s="3" t="s">
        <v>226</v>
      </c>
      <c r="G3352" s="3" t="s">
        <v>7249</v>
      </c>
      <c r="H3352" s="2" t="s">
        <v>20</v>
      </c>
      <c r="I3352" s="2" t="s">
        <v>7250</v>
      </c>
      <c r="J3352" s="3" t="str">
        <f>HYPERLINK("https://www.boe.es/gazeta/dias/1813/03/16/pdfs/GRE-1813-33.pdf#page=6","Abrir facsímil")</f>
        <v>Abrir facsímil</v>
      </c>
      <c r="K3352" s="3" t="s">
        <v>22</v>
      </c>
    </row>
    <row r="3353" spans="1:11" ht="42" customHeight="1">
      <c r="A3353" s="2" t="s">
        <v>7251</v>
      </c>
      <c r="B3353" s="2" t="s">
        <v>7251</v>
      </c>
      <c r="C3353" s="2" t="s">
        <v>16</v>
      </c>
      <c r="D3353" s="2" t="s">
        <v>17</v>
      </c>
      <c r="E3353" s="5">
        <v>-31598</v>
      </c>
      <c r="F3353" s="3" t="s">
        <v>286</v>
      </c>
      <c r="G3353" s="3" t="s">
        <v>87</v>
      </c>
      <c r="H3353" s="2" t="s">
        <v>20</v>
      </c>
      <c r="I3353" s="2" t="s">
        <v>7252</v>
      </c>
      <c r="J3353" s="3" t="str">
        <f>HYPERLINK("https://www.boe.es/gazeta/dias/1813/06/26/pdfs/GRE-1813-79.pdf#page=7","Abrir facsímil")</f>
        <v>Abrir facsímil</v>
      </c>
      <c r="K3353" s="3" t="s">
        <v>22</v>
      </c>
    </row>
    <row r="3354" spans="1:11" ht="42" customHeight="1">
      <c r="A3354" s="2" t="s">
        <v>7251</v>
      </c>
      <c r="B3354" s="2" t="s">
        <v>7251</v>
      </c>
      <c r="C3354" s="2" t="s">
        <v>16</v>
      </c>
      <c r="D3354" s="2" t="s">
        <v>17</v>
      </c>
      <c r="E3354" s="5">
        <v>-31582</v>
      </c>
      <c r="F3354" s="3" t="s">
        <v>907</v>
      </c>
      <c r="G3354" s="3" t="s">
        <v>65</v>
      </c>
      <c r="H3354" s="2" t="s">
        <v>20</v>
      </c>
      <c r="I3354" s="2" t="s">
        <v>7253</v>
      </c>
      <c r="J3354" s="3" t="str">
        <f>HYPERLINK("https://www.boe.es/gazeta/dias/1813/07/12/pdfs/GRE-1813-87.pdf#page=1","Abrir facsímil")</f>
        <v>Abrir facsímil</v>
      </c>
      <c r="K3354" s="3" t="s">
        <v>22</v>
      </c>
    </row>
    <row r="3355" spans="1:11" ht="42" customHeight="1">
      <c r="A3355" s="2" t="s">
        <v>7251</v>
      </c>
      <c r="B3355" s="2" t="s">
        <v>7251</v>
      </c>
      <c r="C3355" s="2" t="s">
        <v>16</v>
      </c>
      <c r="D3355" s="2" t="s">
        <v>17</v>
      </c>
      <c r="E3355" s="5">
        <v>-31574</v>
      </c>
      <c r="F3355" s="3" t="s">
        <v>1343</v>
      </c>
      <c r="G3355" s="3" t="s">
        <v>313</v>
      </c>
      <c r="H3355" s="2" t="s">
        <v>20</v>
      </c>
      <c r="I3355" s="2" t="s">
        <v>7254</v>
      </c>
      <c r="J3355" s="3" t="str">
        <f>HYPERLINK("https://www.boe.es/gazeta/dias/1813/07/20/pdfs/GMR-1813-19.pdf#page=9","Abrir facsímil")</f>
        <v>Abrir facsímil</v>
      </c>
      <c r="K3355" s="3" t="s">
        <v>22</v>
      </c>
    </row>
    <row r="3356" spans="1:11" ht="42" customHeight="1">
      <c r="A3356" s="2" t="s">
        <v>7251</v>
      </c>
      <c r="B3356" s="2" t="s">
        <v>7251</v>
      </c>
      <c r="C3356" s="2" t="s">
        <v>16</v>
      </c>
      <c r="D3356" s="2" t="s">
        <v>17</v>
      </c>
      <c r="E3356" s="5">
        <v>-31532</v>
      </c>
      <c r="F3356" s="3" t="s">
        <v>215</v>
      </c>
      <c r="G3356" s="3" t="s">
        <v>54</v>
      </c>
      <c r="H3356" s="2" t="s">
        <v>20</v>
      </c>
      <c r="I3356" s="2" t="s">
        <v>7255</v>
      </c>
      <c r="J3356" s="3" t="str">
        <f>HYPERLINK("https://www.boe.es/gazeta/dias/1813/08/31/pdfs/GRE-1813-111.pdf#page=3","Abrir facsímil")</f>
        <v>Abrir facsímil</v>
      </c>
      <c r="K3356" s="3" t="s">
        <v>22</v>
      </c>
    </row>
    <row r="3357" spans="1:11" ht="42" customHeight="1">
      <c r="A3357" s="2" t="s">
        <v>7251</v>
      </c>
      <c r="B3357" s="2" t="s">
        <v>7251</v>
      </c>
      <c r="C3357" s="2" t="s">
        <v>16</v>
      </c>
      <c r="D3357" s="2" t="s">
        <v>97</v>
      </c>
      <c r="E3357" s="5">
        <v>-31445</v>
      </c>
      <c r="F3357" s="3" t="s">
        <v>299</v>
      </c>
      <c r="G3357" s="3" t="s">
        <v>58</v>
      </c>
      <c r="H3357" s="2" t="s">
        <v>20</v>
      </c>
      <c r="I3357" s="2" t="s">
        <v>7256</v>
      </c>
      <c r="J3357" s="3" t="str">
        <f>HYPERLINK("https://www.boe.es/gazeta/dias/1813/11/26/pdfs/GRE-1813-156E.pdf#page=2","Abrir facsímil")</f>
        <v>Abrir facsímil</v>
      </c>
      <c r="K3357" s="3" t="s">
        <v>22</v>
      </c>
    </row>
    <row r="3358" spans="1:11" ht="42" customHeight="1">
      <c r="A3358" s="2" t="s">
        <v>7251</v>
      </c>
      <c r="B3358" s="2" t="s">
        <v>7251</v>
      </c>
      <c r="C3358" s="2" t="s">
        <v>16</v>
      </c>
      <c r="D3358" s="2" t="s">
        <v>17</v>
      </c>
      <c r="E3358" s="5">
        <v>-31432</v>
      </c>
      <c r="F3358" s="3" t="s">
        <v>702</v>
      </c>
      <c r="G3358" s="3" t="s">
        <v>19</v>
      </c>
      <c r="H3358" s="2" t="s">
        <v>20</v>
      </c>
      <c r="I3358" s="2" t="s">
        <v>7257</v>
      </c>
      <c r="J3358" s="3" t="str">
        <f>HYPERLINK("https://www.boe.es/gazeta/dias/1813/12/09/pdfs/GMR-1813-85.pdf#page=4","Abrir facsímil")</f>
        <v>Abrir facsímil</v>
      </c>
      <c r="K3358" s="3" t="s">
        <v>22</v>
      </c>
    </row>
    <row r="3359" spans="1:11" ht="42" customHeight="1">
      <c r="A3359" s="2" t="s">
        <v>7258</v>
      </c>
      <c r="B3359" s="2" t="s">
        <v>7258</v>
      </c>
      <c r="C3359" s="2" t="s">
        <v>34</v>
      </c>
      <c r="D3359" s="2" t="s">
        <v>35</v>
      </c>
      <c r="E3359" s="5">
        <v>-31692</v>
      </c>
      <c r="F3359" s="3" t="s">
        <v>2171</v>
      </c>
      <c r="G3359" s="3" t="s">
        <v>65</v>
      </c>
      <c r="H3359" s="2" t="s">
        <v>20</v>
      </c>
      <c r="I3359" s="2" t="s">
        <v>7259</v>
      </c>
      <c r="J3359" s="3" t="str">
        <f>HYPERLINK("https://www.boe.es/gazeta/dias/1813/03/24/pdfs/GMD-1813-83.pdf#page=1","Abrir facsímil")</f>
        <v>Abrir facsímil</v>
      </c>
      <c r="K3359" s="3" t="s">
        <v>22</v>
      </c>
    </row>
    <row r="3360" spans="1:11" ht="42" customHeight="1">
      <c r="A3360" s="2" t="s">
        <v>7260</v>
      </c>
      <c r="B3360" s="2" t="s">
        <v>7260</v>
      </c>
      <c r="C3360" s="2" t="s">
        <v>25</v>
      </c>
      <c r="D3360" s="2" t="s">
        <v>26</v>
      </c>
      <c r="E3360" s="5">
        <v>-31521</v>
      </c>
      <c r="F3360" s="3" t="s">
        <v>1282</v>
      </c>
      <c r="G3360" s="3" t="s">
        <v>58</v>
      </c>
      <c r="H3360" s="2" t="s">
        <v>20</v>
      </c>
      <c r="I3360" s="2" t="s">
        <v>7261</v>
      </c>
      <c r="J3360" s="3" t="str">
        <f>HYPERLINK("https://www.boe.es/gazeta/dias/1813/09/11/pdfs/GMR-1813-41.pdf#page=2","Abrir facsímil")</f>
        <v>Abrir facsímil</v>
      </c>
      <c r="K3360" s="3" t="s">
        <v>22</v>
      </c>
    </row>
    <row r="3361" spans="1:11" ht="42" customHeight="1">
      <c r="A3361" s="2" t="s">
        <v>7262</v>
      </c>
      <c r="B3361" s="2" t="s">
        <v>7263</v>
      </c>
      <c r="C3361" s="2" t="s">
        <v>25</v>
      </c>
      <c r="D3361" s="2" t="s">
        <v>26</v>
      </c>
      <c r="E3361" s="5">
        <v>-31700</v>
      </c>
      <c r="F3361" s="3" t="s">
        <v>778</v>
      </c>
      <c r="G3361" s="3" t="s">
        <v>65</v>
      </c>
      <c r="H3361" s="2" t="s">
        <v>20</v>
      </c>
      <c r="I3361" s="2" t="s">
        <v>7264</v>
      </c>
      <c r="J3361" s="3" t="str">
        <f>HYPERLINK("https://www.boe.es/gazeta/dias/1813/03/16/pdfs/GMD-1813-75.pdf#page=1","Abrir facsímil")</f>
        <v>Abrir facsímil</v>
      </c>
      <c r="K3361" s="3" t="s">
        <v>22</v>
      </c>
    </row>
    <row r="3362" spans="1:11" ht="42" customHeight="1">
      <c r="A3362" s="2" t="s">
        <v>7265</v>
      </c>
      <c r="B3362" s="2" t="s">
        <v>7266</v>
      </c>
      <c r="C3362" s="2" t="s">
        <v>435</v>
      </c>
      <c r="D3362" s="2" t="s">
        <v>26</v>
      </c>
      <c r="E3362" s="5">
        <v>-31606</v>
      </c>
      <c r="F3362" s="3" t="s">
        <v>124</v>
      </c>
      <c r="G3362" s="3" t="s">
        <v>28</v>
      </c>
      <c r="H3362" s="2" t="s">
        <v>20</v>
      </c>
      <c r="I3362" s="2" t="s">
        <v>7267</v>
      </c>
      <c r="J3362" s="3" t="str">
        <f>HYPERLINK("https://www.boe.es/gazeta/dias/1813/06/18/pdfs/GMR-1813-7.pdf#page=8","Abrir facsímil")</f>
        <v>Abrir facsímil</v>
      </c>
      <c r="K3362" s="3" t="s">
        <v>22</v>
      </c>
    </row>
    <row r="3363" spans="1:11" ht="42" customHeight="1">
      <c r="A3363" s="2" t="s">
        <v>7268</v>
      </c>
      <c r="B3363" s="2" t="s">
        <v>7268</v>
      </c>
      <c r="C3363" s="2" t="s">
        <v>25</v>
      </c>
      <c r="D3363" s="2" t="s">
        <v>26</v>
      </c>
      <c r="E3363" s="5">
        <v>-31645</v>
      </c>
      <c r="F3363" s="3" t="s">
        <v>4666</v>
      </c>
      <c r="G3363" s="3" t="s">
        <v>58</v>
      </c>
      <c r="H3363" s="2" t="s">
        <v>20</v>
      </c>
      <c r="I3363" s="2" t="s">
        <v>7269</v>
      </c>
      <c r="J3363" s="3" t="str">
        <f>HYPERLINK("https://www.boe.es/gazeta/dias/1813/05/10/pdfs/GMD-1813-130.pdf#page=2","Abrir facsímil")</f>
        <v>Abrir facsímil</v>
      </c>
      <c r="K3363" s="3" t="s">
        <v>22</v>
      </c>
    </row>
    <row r="3364" spans="1:11" ht="42" customHeight="1">
      <c r="A3364" s="2" t="s">
        <v>7270</v>
      </c>
      <c r="B3364" s="2" t="s">
        <v>7270</v>
      </c>
      <c r="C3364" s="2" t="s">
        <v>25</v>
      </c>
      <c r="D3364" s="2" t="s">
        <v>26</v>
      </c>
      <c r="E3364" s="5">
        <v>-31771</v>
      </c>
      <c r="F3364" s="3" t="s">
        <v>1976</v>
      </c>
      <c r="G3364" s="3" t="s">
        <v>54</v>
      </c>
      <c r="H3364" s="2" t="s">
        <v>20</v>
      </c>
      <c r="I3364" s="2" t="s">
        <v>7271</v>
      </c>
      <c r="J3364" s="3" t="str">
        <f>HYPERLINK("https://www.boe.es/gazeta/dias/1813/01/04/pdfs/GMD-1813-4.pdf#page=3","Abrir facsímil")</f>
        <v>Abrir facsímil</v>
      </c>
      <c r="K3364" s="3" t="s">
        <v>22</v>
      </c>
    </row>
    <row r="3365" spans="1:11" ht="42" customHeight="1">
      <c r="A3365" s="2" t="s">
        <v>7272</v>
      </c>
      <c r="B3365" s="2" t="s">
        <v>7273</v>
      </c>
      <c r="C3365" s="2" t="s">
        <v>187</v>
      </c>
      <c r="D3365" s="2" t="s">
        <v>26</v>
      </c>
      <c r="E3365" s="5">
        <v>-31551</v>
      </c>
      <c r="F3365" s="3" t="s">
        <v>954</v>
      </c>
      <c r="G3365" s="3" t="s">
        <v>28</v>
      </c>
      <c r="H3365" s="2" t="s">
        <v>20</v>
      </c>
      <c r="I3365" s="2" t="s">
        <v>7274</v>
      </c>
      <c r="J3365" s="3" t="str">
        <f>HYPERLINK("https://www.boe.es/gazeta/dias/1813/08/12/pdfs/GMR-1813-27.pdf#page=8","Abrir facsímil")</f>
        <v>Abrir facsímil</v>
      </c>
      <c r="K3365" s="3" t="s">
        <v>22</v>
      </c>
    </row>
    <row r="3366" spans="1:11" ht="42" customHeight="1">
      <c r="A3366" s="2" t="s">
        <v>7275</v>
      </c>
      <c r="B3366" s="2" t="s">
        <v>7275</v>
      </c>
      <c r="C3366" s="2" t="s">
        <v>16</v>
      </c>
      <c r="D3366" s="2" t="s">
        <v>17</v>
      </c>
      <c r="E3366" s="5">
        <v>-31444</v>
      </c>
      <c r="F3366" s="3" t="s">
        <v>389</v>
      </c>
      <c r="G3366" s="3" t="s">
        <v>19</v>
      </c>
      <c r="H3366" s="2" t="s">
        <v>20</v>
      </c>
      <c r="I3366" s="2" t="s">
        <v>7276</v>
      </c>
      <c r="J3366" s="3" t="str">
        <f>HYPERLINK("https://www.boe.es/gazeta/dias/1813/11/27/pdfs/GMR-1813-80.pdf#page=4","Abrir facsímil")</f>
        <v>Abrir facsímil</v>
      </c>
      <c r="K3366" s="3" t="s">
        <v>22</v>
      </c>
    </row>
    <row r="3367" spans="1:11" ht="42" customHeight="1">
      <c r="A3367" s="2" t="s">
        <v>7277</v>
      </c>
      <c r="B3367" s="2" t="s">
        <v>7277</v>
      </c>
      <c r="C3367" s="2" t="s">
        <v>16</v>
      </c>
      <c r="D3367" s="2" t="s">
        <v>17</v>
      </c>
      <c r="E3367" s="5">
        <v>-31733</v>
      </c>
      <c r="F3367" s="3" t="s">
        <v>3036</v>
      </c>
      <c r="G3367" s="3" t="s">
        <v>7278</v>
      </c>
      <c r="H3367" s="2" t="s">
        <v>20</v>
      </c>
      <c r="I3367" s="2" t="s">
        <v>7279</v>
      </c>
      <c r="J3367" s="3" t="str">
        <f>HYPERLINK("https://www.boe.es/gazeta/dias/1813/02/11/pdfs/GRE-1813-18.pdf#page=4","Abrir facsímil")</f>
        <v>Abrir facsímil</v>
      </c>
      <c r="K3367" s="3" t="s">
        <v>22</v>
      </c>
    </row>
    <row r="3368" spans="1:11" ht="42" customHeight="1">
      <c r="A3368" s="2" t="s">
        <v>7280</v>
      </c>
      <c r="B3368" s="2" t="s">
        <v>7281</v>
      </c>
      <c r="C3368" s="2" t="s">
        <v>16</v>
      </c>
      <c r="D3368" s="2" t="s">
        <v>17</v>
      </c>
      <c r="E3368" s="5">
        <v>-31434</v>
      </c>
      <c r="F3368" s="3" t="s">
        <v>18</v>
      </c>
      <c r="G3368" s="3" t="s">
        <v>65</v>
      </c>
      <c r="H3368" s="2" t="s">
        <v>29</v>
      </c>
      <c r="I3368" s="2" t="s">
        <v>7282</v>
      </c>
      <c r="J3368" s="3" t="str">
        <f>HYPERLINK("https://www.boe.es/gazeta/dias/1813/12/07/pdfs/GRE-1813-161.pdf#page=1","Abrir facsímil")</f>
        <v>Abrir facsímil</v>
      </c>
      <c r="K3368" s="3" t="s">
        <v>31</v>
      </c>
    </row>
    <row r="3369" spans="1:11" ht="42" customHeight="1">
      <c r="A3369" s="2" t="s">
        <v>7280</v>
      </c>
      <c r="B3369" s="2" t="s">
        <v>7281</v>
      </c>
      <c r="C3369" s="2" t="s">
        <v>34</v>
      </c>
      <c r="D3369" s="2" t="s">
        <v>35</v>
      </c>
      <c r="E3369" s="5">
        <v>-31427</v>
      </c>
      <c r="F3369" s="3" t="s">
        <v>1822</v>
      </c>
      <c r="G3369" s="3" t="s">
        <v>65</v>
      </c>
      <c r="H3369" s="2" t="s">
        <v>29</v>
      </c>
      <c r="I3369" s="2" t="s">
        <v>7283</v>
      </c>
      <c r="J3369" s="3" t="str">
        <f>HYPERLINK("https://www.boe.es/gazeta/dias/1813/12/14/pdfs/GRE-1813-164.pdf#page=1","Abrir facsímil")</f>
        <v>Abrir facsímil</v>
      </c>
      <c r="K3369" s="3" t="s">
        <v>31</v>
      </c>
    </row>
    <row r="3370" spans="1:11" ht="42" customHeight="1">
      <c r="A3370" s="2" t="s">
        <v>7284</v>
      </c>
      <c r="B3370" s="2" t="s">
        <v>7284</v>
      </c>
      <c r="C3370" s="2" t="s">
        <v>109</v>
      </c>
      <c r="D3370" s="2" t="s">
        <v>26</v>
      </c>
      <c r="E3370" s="5">
        <v>-31651</v>
      </c>
      <c r="F3370" s="3" t="s">
        <v>1553</v>
      </c>
      <c r="G3370" s="3" t="s">
        <v>65</v>
      </c>
      <c r="H3370" s="2" t="s">
        <v>20</v>
      </c>
      <c r="I3370" s="2" t="s">
        <v>7285</v>
      </c>
      <c r="J3370" s="3" t="str">
        <f>HYPERLINK("https://www.boe.es/gazeta/dias/1813/05/04/pdfs/GMD-1813-124.pdf#page=1","Abrir facsímil")</f>
        <v>Abrir facsímil</v>
      </c>
      <c r="K3370" s="3" t="s">
        <v>22</v>
      </c>
    </row>
    <row r="3371" spans="1:11" ht="42" customHeight="1">
      <c r="A3371" s="2" t="s">
        <v>7286</v>
      </c>
      <c r="B3371" s="2" t="s">
        <v>7286</v>
      </c>
      <c r="C3371" s="2" t="s">
        <v>435</v>
      </c>
      <c r="D3371" s="2" t="s">
        <v>26</v>
      </c>
      <c r="E3371" s="5">
        <v>-31770</v>
      </c>
      <c r="F3371" s="3" t="s">
        <v>641</v>
      </c>
      <c r="G3371" s="3" t="s">
        <v>19</v>
      </c>
      <c r="H3371" s="2" t="s">
        <v>20</v>
      </c>
      <c r="I3371" s="2" t="s">
        <v>7287</v>
      </c>
      <c r="J3371" s="3" t="str">
        <f>HYPERLINK("https://www.boe.es/gazeta/dias/1813/01/05/pdfs/GMD-1813-5.pdf#page=4","Abrir facsímil")</f>
        <v>Abrir facsímil</v>
      </c>
      <c r="K3371" s="3" t="s">
        <v>22</v>
      </c>
    </row>
    <row r="3372" spans="1:11" ht="42" customHeight="1">
      <c r="A3372" s="2" t="s">
        <v>7288</v>
      </c>
      <c r="B3372" s="2" t="s">
        <v>7288</v>
      </c>
      <c r="C3372" s="2" t="s">
        <v>16</v>
      </c>
      <c r="D3372" s="2" t="s">
        <v>17</v>
      </c>
      <c r="E3372" s="5">
        <v>-31560</v>
      </c>
      <c r="F3372" s="3" t="s">
        <v>1233</v>
      </c>
      <c r="G3372" s="3" t="s">
        <v>58</v>
      </c>
      <c r="H3372" s="2" t="s">
        <v>20</v>
      </c>
      <c r="I3372" s="2" t="s">
        <v>7289</v>
      </c>
      <c r="J3372" s="3" t="str">
        <f>HYPERLINK("https://www.boe.es/gazeta/dias/1813/08/03/pdfs/GMR-1813-23.pdf#page=2","Abrir facsímil")</f>
        <v>Abrir facsímil</v>
      </c>
      <c r="K3372" s="3" t="s">
        <v>22</v>
      </c>
    </row>
    <row r="3373" spans="1:11" ht="42" customHeight="1">
      <c r="A3373" s="2" t="s">
        <v>7290</v>
      </c>
      <c r="B3373" s="2" t="s">
        <v>7290</v>
      </c>
      <c r="C3373" s="2" t="s">
        <v>16</v>
      </c>
      <c r="D3373" s="2" t="s">
        <v>17</v>
      </c>
      <c r="E3373" s="5">
        <v>-31728</v>
      </c>
      <c r="F3373" s="3" t="s">
        <v>1434</v>
      </c>
      <c r="G3373" s="3" t="s">
        <v>54</v>
      </c>
      <c r="H3373" s="2" t="s">
        <v>20</v>
      </c>
      <c r="I3373" s="2" t="s">
        <v>7291</v>
      </c>
      <c r="J3373" s="3" t="str">
        <f>HYPERLINK("https://www.boe.es/gazeta/dias/1813/02/16/pdfs/GRE-1813-20.pdf#page=3","Abrir facsímil")</f>
        <v>Abrir facsímil</v>
      </c>
      <c r="K3373" s="3" t="s">
        <v>22</v>
      </c>
    </row>
    <row r="3374" spans="1:11" ht="42" customHeight="1">
      <c r="A3374" s="2" t="s">
        <v>7292</v>
      </c>
      <c r="B3374" s="2" t="s">
        <v>7292</v>
      </c>
      <c r="C3374" s="2" t="s">
        <v>16</v>
      </c>
      <c r="D3374" s="2" t="s">
        <v>17</v>
      </c>
      <c r="E3374" s="5">
        <v>-31746</v>
      </c>
      <c r="F3374" s="3" t="s">
        <v>1566</v>
      </c>
      <c r="G3374" s="3" t="s">
        <v>58</v>
      </c>
      <c r="H3374" s="2" t="s">
        <v>20</v>
      </c>
      <c r="I3374" s="2" t="s">
        <v>7293</v>
      </c>
      <c r="J3374" s="3" t="str">
        <f>HYPERLINK("https://www.boe.es/gazeta/dias/1813/01/29/pdfs/GMD-1813-29.pdf#page=2","Abrir facsímil")</f>
        <v>Abrir facsímil</v>
      </c>
      <c r="K3374" s="3" t="s">
        <v>22</v>
      </c>
    </row>
    <row r="3375" spans="1:11" ht="42" customHeight="1">
      <c r="A3375" s="2" t="s">
        <v>7292</v>
      </c>
      <c r="B3375" s="2" t="s">
        <v>7292</v>
      </c>
      <c r="C3375" s="2" t="s">
        <v>16</v>
      </c>
      <c r="D3375" s="2" t="s">
        <v>17</v>
      </c>
      <c r="E3375" s="5">
        <v>-31715</v>
      </c>
      <c r="F3375" s="3" t="s">
        <v>3358</v>
      </c>
      <c r="G3375" s="3" t="s">
        <v>65</v>
      </c>
      <c r="H3375" s="2" t="s">
        <v>20</v>
      </c>
      <c r="I3375" s="2" t="s">
        <v>7294</v>
      </c>
      <c r="J3375" s="3" t="str">
        <f>HYPERLINK("https://www.boe.es/gazeta/dias/1813/03/01/pdfs/GMD-1813-60.pdf#page=1","Abrir facsímil")</f>
        <v>Abrir facsímil</v>
      </c>
      <c r="K3375" s="3" t="s">
        <v>22</v>
      </c>
    </row>
    <row r="3376" spans="1:11" ht="42" customHeight="1">
      <c r="A3376" s="2" t="s">
        <v>7292</v>
      </c>
      <c r="B3376" s="2" t="s">
        <v>7292</v>
      </c>
      <c r="C3376" s="2" t="s">
        <v>16</v>
      </c>
      <c r="D3376" s="2" t="s">
        <v>17</v>
      </c>
      <c r="E3376" s="5">
        <v>-31694</v>
      </c>
      <c r="F3376" s="3" t="s">
        <v>2756</v>
      </c>
      <c r="G3376" s="3" t="s">
        <v>58</v>
      </c>
      <c r="H3376" s="2" t="s">
        <v>20</v>
      </c>
      <c r="I3376" s="2" t="s">
        <v>7295</v>
      </c>
      <c r="J3376" s="3" t="str">
        <f>HYPERLINK("https://www.boe.es/gazeta/dias/1813/03/22/pdfs/GMD-1813-81.pdf#page=2","Abrir facsímil")</f>
        <v>Abrir facsímil</v>
      </c>
      <c r="K3376" s="3" t="s">
        <v>22</v>
      </c>
    </row>
    <row r="3377" spans="1:11" ht="42" customHeight="1">
      <c r="A3377" s="2" t="s">
        <v>7292</v>
      </c>
      <c r="B3377" s="2" t="s">
        <v>7292</v>
      </c>
      <c r="C3377" s="2" t="s">
        <v>16</v>
      </c>
      <c r="D3377" s="2" t="s">
        <v>17</v>
      </c>
      <c r="E3377" s="5">
        <v>-31564</v>
      </c>
      <c r="F3377" s="3" t="s">
        <v>206</v>
      </c>
      <c r="G3377" s="3" t="s">
        <v>19</v>
      </c>
      <c r="H3377" s="2" t="s">
        <v>20</v>
      </c>
      <c r="I3377" s="2" t="s">
        <v>7296</v>
      </c>
      <c r="J3377" s="3" t="str">
        <f>HYPERLINK("https://www.boe.es/gazeta/dias/1813/07/30/pdfs/GMR-1813-22.pdf#page=4","Abrir facsímil")</f>
        <v>Abrir facsímil</v>
      </c>
      <c r="K3377" s="3" t="s">
        <v>22</v>
      </c>
    </row>
    <row r="3378" spans="1:11" ht="42" customHeight="1">
      <c r="A3378" s="2" t="s">
        <v>7292</v>
      </c>
      <c r="B3378" s="2" t="s">
        <v>7292</v>
      </c>
      <c r="C3378" s="2" t="s">
        <v>16</v>
      </c>
      <c r="D3378" s="2" t="s">
        <v>17</v>
      </c>
      <c r="E3378" s="5">
        <v>-31504</v>
      </c>
      <c r="F3378" s="3" t="s">
        <v>1361</v>
      </c>
      <c r="G3378" s="3" t="s">
        <v>54</v>
      </c>
      <c r="H3378" s="2" t="s">
        <v>20</v>
      </c>
      <c r="I3378" s="2" t="s">
        <v>7297</v>
      </c>
      <c r="J3378" s="3" t="str">
        <f>HYPERLINK("https://www.boe.es/gazeta/dias/1813/09/28/pdfs/GMR-1813-50.pdf#page=3","Abrir facsímil")</f>
        <v>Abrir facsímil</v>
      </c>
      <c r="K3378" s="3" t="s">
        <v>22</v>
      </c>
    </row>
    <row r="3379" spans="1:11" ht="42" customHeight="1">
      <c r="A3379" s="2" t="s">
        <v>7292</v>
      </c>
      <c r="B3379" s="2" t="s">
        <v>7292</v>
      </c>
      <c r="C3379" s="2" t="s">
        <v>16</v>
      </c>
      <c r="D3379" s="2" t="s">
        <v>17</v>
      </c>
      <c r="E3379" s="5">
        <v>-31502</v>
      </c>
      <c r="F3379" s="3" t="s">
        <v>1363</v>
      </c>
      <c r="G3379" s="3" t="s">
        <v>82</v>
      </c>
      <c r="H3379" s="2" t="s">
        <v>20</v>
      </c>
      <c r="I3379" s="2" t="s">
        <v>7298</v>
      </c>
      <c r="J3379" s="3" t="str">
        <f>HYPERLINK("https://www.boe.es/gazeta/dias/1813/09/30/pdfs/GRE-1813-128.pdf#page=5","Abrir facsímil")</f>
        <v>Abrir facsímil</v>
      </c>
      <c r="K3379" s="3" t="s">
        <v>22</v>
      </c>
    </row>
    <row r="3380" spans="1:11" ht="42" customHeight="1">
      <c r="A3380" s="2" t="s">
        <v>7292</v>
      </c>
      <c r="B3380" s="2" t="s">
        <v>7292</v>
      </c>
      <c r="C3380" s="2" t="s">
        <v>16</v>
      </c>
      <c r="D3380" s="2" t="s">
        <v>17</v>
      </c>
      <c r="E3380" s="5">
        <v>-31444</v>
      </c>
      <c r="F3380" s="3" t="s">
        <v>389</v>
      </c>
      <c r="G3380" s="3" t="s">
        <v>1365</v>
      </c>
      <c r="H3380" s="2" t="s">
        <v>20</v>
      </c>
      <c r="I3380" s="2" t="s">
        <v>7299</v>
      </c>
      <c r="J3380" s="3" t="str">
        <f>HYPERLINK("https://www.boe.es/gazeta/dias/1813/11/27/pdfs/GMR-1813-80.pdf#page=5","Abrir facsímil")</f>
        <v>Abrir facsímil</v>
      </c>
      <c r="K3380" s="3" t="s">
        <v>22</v>
      </c>
    </row>
    <row r="3381" spans="1:11" ht="42" customHeight="1">
      <c r="A3381" s="2" t="s">
        <v>7292</v>
      </c>
      <c r="B3381" s="2" t="s">
        <v>7292</v>
      </c>
      <c r="C3381" s="2" t="s">
        <v>16</v>
      </c>
      <c r="D3381" s="2" t="s">
        <v>17</v>
      </c>
      <c r="E3381" s="5">
        <v>-31439</v>
      </c>
      <c r="F3381" s="3" t="s">
        <v>3821</v>
      </c>
      <c r="G3381" s="3" t="s">
        <v>65</v>
      </c>
      <c r="H3381" s="2" t="s">
        <v>20</v>
      </c>
      <c r="I3381" s="2" t="s">
        <v>7300</v>
      </c>
      <c r="J3381" s="3" t="str">
        <f>HYPERLINK("https://www.boe.es/gazeta/dias/1813/12/02/pdfs/GRE-1813-159.pdf#page=1","Abrir facsímil")</f>
        <v>Abrir facsímil</v>
      </c>
      <c r="K3381" s="3" t="s">
        <v>22</v>
      </c>
    </row>
    <row r="3382" spans="1:11" ht="42" customHeight="1">
      <c r="A3382" s="2" t="s">
        <v>7301</v>
      </c>
      <c r="B3382" s="2" t="s">
        <v>7301</v>
      </c>
      <c r="C3382" s="2" t="s">
        <v>16</v>
      </c>
      <c r="D3382" s="2" t="s">
        <v>17</v>
      </c>
      <c r="E3382" s="5">
        <v>-31444</v>
      </c>
      <c r="F3382" s="3" t="s">
        <v>389</v>
      </c>
      <c r="G3382" s="3" t="s">
        <v>19</v>
      </c>
      <c r="H3382" s="2" t="s">
        <v>20</v>
      </c>
      <c r="I3382" s="2" t="s">
        <v>7302</v>
      </c>
      <c r="J3382" s="3" t="str">
        <f>HYPERLINK("https://www.boe.es/gazeta/dias/1813/11/27/pdfs/GMR-1813-80.pdf#page=4","Abrir facsímil")</f>
        <v>Abrir facsímil</v>
      </c>
      <c r="K3382" s="3" t="s">
        <v>22</v>
      </c>
    </row>
    <row r="3383" spans="1:11" ht="42" customHeight="1">
      <c r="A3383" s="2" t="s">
        <v>7303</v>
      </c>
      <c r="B3383" s="2" t="s">
        <v>7303</v>
      </c>
      <c r="C3383" s="2" t="s">
        <v>69</v>
      </c>
      <c r="D3383" s="2" t="s">
        <v>26</v>
      </c>
      <c r="E3383" s="5">
        <v>-31643</v>
      </c>
      <c r="F3383" s="3" t="s">
        <v>2610</v>
      </c>
      <c r="G3383" s="3" t="s">
        <v>7304</v>
      </c>
      <c r="H3383" s="2" t="s">
        <v>20</v>
      </c>
      <c r="I3383" s="2" t="s">
        <v>7305</v>
      </c>
      <c r="J3383" s="3" t="str">
        <f>HYPERLINK("https://www.boe.es/gazeta/dias/1813/05/12/pdfs/GMD-1813-132.pdf#page=2","Abrir facsímil")</f>
        <v>Abrir facsímil</v>
      </c>
      <c r="K3383" s="3" t="s">
        <v>22</v>
      </c>
    </row>
    <row r="3384" spans="1:11" ht="42" customHeight="1">
      <c r="A3384" s="2" t="s">
        <v>7306</v>
      </c>
      <c r="B3384" s="2" t="s">
        <v>7306</v>
      </c>
      <c r="C3384" s="2" t="s">
        <v>25</v>
      </c>
      <c r="D3384" s="2" t="s">
        <v>26</v>
      </c>
      <c r="E3384" s="5">
        <v>-31645</v>
      </c>
      <c r="F3384" s="3" t="s">
        <v>4666</v>
      </c>
      <c r="G3384" s="3" t="s">
        <v>58</v>
      </c>
      <c r="H3384" s="2" t="s">
        <v>20</v>
      </c>
      <c r="I3384" s="2" t="s">
        <v>7307</v>
      </c>
      <c r="J3384" s="3" t="str">
        <f>HYPERLINK("https://www.boe.es/gazeta/dias/1813/05/10/pdfs/GMD-1813-130.pdf#page=2","Abrir facsímil")</f>
        <v>Abrir facsímil</v>
      </c>
      <c r="K3384" s="3" t="s">
        <v>22</v>
      </c>
    </row>
    <row r="3385" spans="1:11" ht="42" customHeight="1">
      <c r="A3385" s="2" t="s">
        <v>7306</v>
      </c>
      <c r="B3385" s="2" t="s">
        <v>7306</v>
      </c>
      <c r="C3385" s="2" t="s">
        <v>25</v>
      </c>
      <c r="D3385" s="2" t="s">
        <v>26</v>
      </c>
      <c r="E3385" s="5">
        <v>-31645</v>
      </c>
      <c r="F3385" s="3" t="s">
        <v>4666</v>
      </c>
      <c r="G3385" s="3" t="s">
        <v>54</v>
      </c>
      <c r="H3385" s="2" t="s">
        <v>20</v>
      </c>
      <c r="I3385" s="2" t="s">
        <v>7308</v>
      </c>
      <c r="J3385" s="3" t="str">
        <f>HYPERLINK("https://www.boe.es/gazeta/dias/1813/05/10/pdfs/GMD-1813-130.pdf#page=3","Abrir facsímil")</f>
        <v>Abrir facsímil</v>
      </c>
      <c r="K3385" s="3" t="s">
        <v>22</v>
      </c>
    </row>
    <row r="3386" spans="1:11" ht="42" customHeight="1">
      <c r="A3386" s="2" t="s">
        <v>7309</v>
      </c>
      <c r="B3386" s="2" t="s">
        <v>7309</v>
      </c>
      <c r="C3386" s="2" t="s">
        <v>34</v>
      </c>
      <c r="D3386" s="2" t="s">
        <v>35</v>
      </c>
      <c r="E3386" s="5">
        <v>-31743</v>
      </c>
      <c r="F3386" s="3" t="s">
        <v>2711</v>
      </c>
      <c r="G3386" s="3" t="s">
        <v>54</v>
      </c>
      <c r="H3386" s="2" t="s">
        <v>20</v>
      </c>
      <c r="I3386" s="2" t="s">
        <v>7310</v>
      </c>
      <c r="J3386" s="3" t="str">
        <f>HYPERLINK("https://www.boe.es/gazeta/dias/1813/02/01/pdfs/GMD-1813-32.pdf#page=3","Abrir facsímil")</f>
        <v>Abrir facsímil</v>
      </c>
      <c r="K3386" s="3" t="s">
        <v>22</v>
      </c>
    </row>
    <row r="3387" spans="1:11" ht="42" customHeight="1">
      <c r="A3387" s="2" t="s">
        <v>7309</v>
      </c>
      <c r="B3387" s="2" t="s">
        <v>7309</v>
      </c>
      <c r="C3387" s="2" t="s">
        <v>187</v>
      </c>
      <c r="D3387" s="2" t="s">
        <v>26</v>
      </c>
      <c r="E3387" s="5">
        <v>-31734</v>
      </c>
      <c r="F3387" s="3" t="s">
        <v>362</v>
      </c>
      <c r="G3387" s="3" t="s">
        <v>58</v>
      </c>
      <c r="H3387" s="2" t="s">
        <v>20</v>
      </c>
      <c r="I3387" s="2" t="s">
        <v>7311</v>
      </c>
      <c r="J3387" s="3" t="str">
        <f>HYPERLINK("https://www.boe.es/gazeta/dias/1813/02/10/pdfs/GMD-1813-41.pdf#page=2","Abrir facsímil")</f>
        <v>Abrir facsímil</v>
      </c>
      <c r="K3387" s="3" t="s">
        <v>22</v>
      </c>
    </row>
    <row r="3388" spans="1:11" ht="42" customHeight="1">
      <c r="A3388" s="2" t="s">
        <v>7309</v>
      </c>
      <c r="B3388" s="2" t="s">
        <v>7309</v>
      </c>
      <c r="C3388" s="2" t="s">
        <v>16</v>
      </c>
      <c r="D3388" s="2" t="s">
        <v>17</v>
      </c>
      <c r="E3388" s="5">
        <v>-31676</v>
      </c>
      <c r="F3388" s="3" t="s">
        <v>3907</v>
      </c>
      <c r="G3388" s="3" t="s">
        <v>7312</v>
      </c>
      <c r="H3388" s="2" t="s">
        <v>20</v>
      </c>
      <c r="I3388" s="2" t="s">
        <v>7313</v>
      </c>
      <c r="J3388" s="3" t="str">
        <f>HYPERLINK("https://www.boe.es/gazeta/dias/1813/04/09/pdfs/GMD-1813-99.pdf#page=2","Abrir facsímil")</f>
        <v>Abrir facsímil</v>
      </c>
      <c r="K3388" s="3" t="s">
        <v>22</v>
      </c>
    </row>
    <row r="3389" spans="1:11" ht="42" customHeight="1">
      <c r="A3389" s="2" t="s">
        <v>7309</v>
      </c>
      <c r="B3389" s="2" t="s">
        <v>7309</v>
      </c>
      <c r="C3389" s="2" t="s">
        <v>187</v>
      </c>
      <c r="D3389" s="2" t="s">
        <v>26</v>
      </c>
      <c r="E3389" s="5">
        <v>-31646</v>
      </c>
      <c r="F3389" s="3" t="s">
        <v>1523</v>
      </c>
      <c r="G3389" s="3" t="s">
        <v>54</v>
      </c>
      <c r="H3389" s="2" t="s">
        <v>20</v>
      </c>
      <c r="I3389" s="2" t="s">
        <v>7314</v>
      </c>
      <c r="J3389" s="3" t="str">
        <f>HYPERLINK("https://www.boe.es/gazeta/dias/1813/05/09/pdfs/GMD-1813-129.pdf#page=3","Abrir facsímil")</f>
        <v>Abrir facsímil</v>
      </c>
      <c r="K3389" s="3" t="s">
        <v>22</v>
      </c>
    </row>
    <row r="3390" spans="1:11" ht="42" customHeight="1">
      <c r="A3390" s="2" t="s">
        <v>7309</v>
      </c>
      <c r="B3390" s="2" t="s">
        <v>7309</v>
      </c>
      <c r="C3390" s="2" t="s">
        <v>25</v>
      </c>
      <c r="D3390" s="2" t="s">
        <v>26</v>
      </c>
      <c r="E3390" s="5">
        <v>-31644</v>
      </c>
      <c r="F3390" s="3" t="s">
        <v>1979</v>
      </c>
      <c r="G3390" s="3" t="s">
        <v>65</v>
      </c>
      <c r="H3390" s="2" t="s">
        <v>20</v>
      </c>
      <c r="I3390" s="2" t="s">
        <v>7315</v>
      </c>
      <c r="J3390" s="3" t="str">
        <f>HYPERLINK("https://www.boe.es/gazeta/dias/1813/05/11/pdfs/GMD-1813-131.pdf#page=1","Abrir facsímil")</f>
        <v>Abrir facsímil</v>
      </c>
      <c r="K3390" s="3" t="s">
        <v>22</v>
      </c>
    </row>
    <row r="3391" spans="1:11" ht="42" customHeight="1">
      <c r="A3391" s="2" t="s">
        <v>7309</v>
      </c>
      <c r="B3391" s="2" t="s">
        <v>7309</v>
      </c>
      <c r="C3391" s="2" t="s">
        <v>25</v>
      </c>
      <c r="D3391" s="2" t="s">
        <v>26</v>
      </c>
      <c r="E3391" s="5">
        <v>-31642</v>
      </c>
      <c r="F3391" s="3" t="s">
        <v>2091</v>
      </c>
      <c r="G3391" s="3" t="s">
        <v>65</v>
      </c>
      <c r="H3391" s="2" t="s">
        <v>20</v>
      </c>
      <c r="I3391" s="2" t="s">
        <v>7316</v>
      </c>
      <c r="J3391" s="3" t="str">
        <f>HYPERLINK("https://www.boe.es/gazeta/dias/1813/05/13/pdfs/GMD-1813-133.pdf#page=1","Abrir facsímil")</f>
        <v>Abrir facsímil</v>
      </c>
      <c r="K3391" s="3" t="s">
        <v>22</v>
      </c>
    </row>
    <row r="3392" spans="1:11" ht="42" customHeight="1">
      <c r="A3392" s="2" t="s">
        <v>7317</v>
      </c>
      <c r="B3392" s="2" t="s">
        <v>7317</v>
      </c>
      <c r="C3392" s="2" t="s">
        <v>25</v>
      </c>
      <c r="D3392" s="2" t="s">
        <v>26</v>
      </c>
      <c r="E3392" s="5">
        <v>-31641</v>
      </c>
      <c r="F3392" s="3" t="s">
        <v>6522</v>
      </c>
      <c r="G3392" s="3" t="s">
        <v>58</v>
      </c>
      <c r="H3392" s="2" t="s">
        <v>20</v>
      </c>
      <c r="I3392" s="2" t="s">
        <v>7318</v>
      </c>
      <c r="J3392" s="3" t="str">
        <f>HYPERLINK("https://www.boe.es/gazeta/dias/1813/05/14/pdfs/GMD-1813-134.pdf#page=2","Abrir facsímil")</f>
        <v>Abrir facsímil</v>
      </c>
      <c r="K3392" s="3" t="s">
        <v>22</v>
      </c>
    </row>
    <row r="3393" spans="1:11" ht="42" customHeight="1">
      <c r="A3393" s="2" t="s">
        <v>7319</v>
      </c>
      <c r="B3393" s="2" t="s">
        <v>7319</v>
      </c>
      <c r="C3393" s="2" t="s">
        <v>16</v>
      </c>
      <c r="D3393" s="2" t="s">
        <v>17</v>
      </c>
      <c r="E3393" s="5">
        <v>-31703</v>
      </c>
      <c r="F3393" s="3" t="s">
        <v>4331</v>
      </c>
      <c r="G3393" s="3" t="s">
        <v>4332</v>
      </c>
      <c r="H3393" s="2" t="s">
        <v>20</v>
      </c>
      <c r="I3393" s="2" t="s">
        <v>7320</v>
      </c>
      <c r="J3393" s="3" t="str">
        <f>HYPERLINK("https://www.boe.es/gazeta/dias/1813/03/13/pdfs/GRE-1813-32.pdf#page=4","Abrir facsímil")</f>
        <v>Abrir facsímil</v>
      </c>
      <c r="K3393" s="3" t="s">
        <v>22</v>
      </c>
    </row>
    <row r="3394" spans="1:11" ht="42" customHeight="1">
      <c r="A3394" s="2" t="s">
        <v>7321</v>
      </c>
      <c r="B3394" s="2" t="s">
        <v>7321</v>
      </c>
      <c r="C3394" s="2" t="s">
        <v>16</v>
      </c>
      <c r="D3394" s="2" t="s">
        <v>17</v>
      </c>
      <c r="E3394" s="5">
        <v>-31735</v>
      </c>
      <c r="F3394" s="3" t="s">
        <v>5472</v>
      </c>
      <c r="G3394" s="3" t="s">
        <v>65</v>
      </c>
      <c r="H3394" s="2" t="s">
        <v>20</v>
      </c>
      <c r="I3394" s="2" t="s">
        <v>7322</v>
      </c>
      <c r="J3394" s="3" t="str">
        <f>HYPERLINK("https://www.boe.es/gazeta/dias/1813/02/09/pdfs/GMD-1813-40.pdf#page=1","Abrir facsímil")</f>
        <v>Abrir facsímil</v>
      </c>
      <c r="K3394" s="3" t="s">
        <v>22</v>
      </c>
    </row>
    <row r="3395" spans="1:11" ht="42" customHeight="1">
      <c r="A3395" s="2" t="s">
        <v>7323</v>
      </c>
      <c r="B3395" s="2" t="s">
        <v>7323</v>
      </c>
      <c r="C3395" s="2" t="s">
        <v>25</v>
      </c>
      <c r="D3395" s="2" t="s">
        <v>26</v>
      </c>
      <c r="E3395" s="5">
        <v>-31645</v>
      </c>
      <c r="F3395" s="3" t="s">
        <v>4666</v>
      </c>
      <c r="G3395" s="3" t="s">
        <v>54</v>
      </c>
      <c r="H3395" s="2" t="s">
        <v>20</v>
      </c>
      <c r="I3395" s="2" t="s">
        <v>7324</v>
      </c>
      <c r="J3395" s="3" t="str">
        <f>HYPERLINK("https://www.boe.es/gazeta/dias/1813/05/10/pdfs/GMD-1813-130.pdf#page=3","Abrir facsímil")</f>
        <v>Abrir facsímil</v>
      </c>
      <c r="K3395" s="3" t="s">
        <v>22</v>
      </c>
    </row>
    <row r="3396" spans="1:11" ht="42" customHeight="1">
      <c r="A3396" s="2" t="s">
        <v>7325</v>
      </c>
      <c r="B3396" s="2" t="s">
        <v>7325</v>
      </c>
      <c r="C3396" s="2" t="s">
        <v>25</v>
      </c>
      <c r="D3396" s="2" t="s">
        <v>26</v>
      </c>
      <c r="E3396" s="5">
        <v>-31743</v>
      </c>
      <c r="F3396" s="3" t="s">
        <v>2711</v>
      </c>
      <c r="G3396" s="3" t="s">
        <v>54</v>
      </c>
      <c r="H3396" s="2" t="s">
        <v>20</v>
      </c>
      <c r="I3396" s="2" t="s">
        <v>7326</v>
      </c>
      <c r="J3396" s="3" t="str">
        <f>HYPERLINK("https://www.boe.es/gazeta/dias/1813/02/01/pdfs/GMD-1813-32.pdf#page=3","Abrir facsímil")</f>
        <v>Abrir facsímil</v>
      </c>
      <c r="K3396" s="3" t="s">
        <v>22</v>
      </c>
    </row>
    <row r="3397" spans="1:11" ht="42" customHeight="1">
      <c r="A3397" s="2" t="s">
        <v>7327</v>
      </c>
      <c r="B3397" s="2" t="s">
        <v>7327</v>
      </c>
      <c r="C3397" s="2" t="s">
        <v>16</v>
      </c>
      <c r="D3397" s="2" t="s">
        <v>17</v>
      </c>
      <c r="E3397" s="5">
        <v>-31744</v>
      </c>
      <c r="F3397" s="3" t="s">
        <v>5679</v>
      </c>
      <c r="G3397" s="3" t="s">
        <v>65</v>
      </c>
      <c r="H3397" s="2" t="s">
        <v>20</v>
      </c>
      <c r="I3397" s="2" t="s">
        <v>7328</v>
      </c>
      <c r="J3397" s="3" t="str">
        <f>HYPERLINK("https://www.boe.es/gazeta/dias/1813/01/31/pdfs/GMD-1813-31.pdf#page=1","Abrir facsímil")</f>
        <v>Abrir facsímil</v>
      </c>
      <c r="K3397" s="3" t="s">
        <v>22</v>
      </c>
    </row>
    <row r="3398" spans="1:11" ht="42" customHeight="1">
      <c r="A3398" s="2" t="s">
        <v>7329</v>
      </c>
      <c r="B3398" s="2" t="s">
        <v>7329</v>
      </c>
      <c r="C3398" s="2" t="s">
        <v>16</v>
      </c>
      <c r="D3398" s="2" t="s">
        <v>17</v>
      </c>
      <c r="E3398" s="5">
        <v>-31769</v>
      </c>
      <c r="F3398" s="3" t="s">
        <v>431</v>
      </c>
      <c r="G3398" s="3" t="s">
        <v>58</v>
      </c>
      <c r="H3398" s="2" t="s">
        <v>20</v>
      </c>
      <c r="I3398" s="2" t="s">
        <v>7330</v>
      </c>
      <c r="J3398" s="3" t="str">
        <f>HYPERLINK("https://www.boe.es/gazeta/dias/1813/01/06/pdfs/GMD-1813-6.pdf#page=2","Abrir facsímil")</f>
        <v>Abrir facsímil</v>
      </c>
      <c r="K3398" s="3" t="s">
        <v>22</v>
      </c>
    </row>
    <row r="3399" spans="1:11" ht="42" customHeight="1">
      <c r="A3399" s="2" t="s">
        <v>7331</v>
      </c>
      <c r="B3399" s="2" t="s">
        <v>7331</v>
      </c>
      <c r="C3399" s="2" t="s">
        <v>16</v>
      </c>
      <c r="D3399" s="2" t="s">
        <v>17</v>
      </c>
      <c r="E3399" s="5">
        <v>-31748</v>
      </c>
      <c r="F3399" s="3" t="s">
        <v>5041</v>
      </c>
      <c r="G3399" s="3" t="s">
        <v>19</v>
      </c>
      <c r="H3399" s="2" t="s">
        <v>20</v>
      </c>
      <c r="I3399" s="2" t="s">
        <v>7332</v>
      </c>
      <c r="J3399" s="3" t="str">
        <f>HYPERLINK("https://www.boe.es/gazeta/dias/1813/01/27/pdfs/GMD-1813-27.pdf#page=4","Abrir facsímil")</f>
        <v>Abrir facsímil</v>
      </c>
      <c r="K3399" s="3" t="s">
        <v>22</v>
      </c>
    </row>
    <row r="3400" spans="1:11" ht="42" customHeight="1">
      <c r="A3400" s="2" t="s">
        <v>7333</v>
      </c>
      <c r="B3400" s="2" t="s">
        <v>7333</v>
      </c>
      <c r="C3400" s="2" t="s">
        <v>16</v>
      </c>
      <c r="D3400" s="2" t="s">
        <v>17</v>
      </c>
      <c r="E3400" s="5">
        <v>-31502</v>
      </c>
      <c r="F3400" s="3" t="s">
        <v>1363</v>
      </c>
      <c r="G3400" s="3" t="s">
        <v>82</v>
      </c>
      <c r="H3400" s="2" t="s">
        <v>20</v>
      </c>
      <c r="I3400" s="2" t="s">
        <v>7334</v>
      </c>
      <c r="J3400" s="3" t="str">
        <f>HYPERLINK("https://www.boe.es/gazeta/dias/1813/09/30/pdfs/GRE-1813-128.pdf#page=5","Abrir facsímil")</f>
        <v>Abrir facsímil</v>
      </c>
      <c r="K3400" s="3" t="s">
        <v>22</v>
      </c>
    </row>
    <row r="3401" spans="1:11" ht="42" customHeight="1">
      <c r="A3401" s="2" t="s">
        <v>7335</v>
      </c>
      <c r="B3401" s="2" t="s">
        <v>7335</v>
      </c>
      <c r="C3401" s="2" t="s">
        <v>16</v>
      </c>
      <c r="D3401" s="2" t="s">
        <v>97</v>
      </c>
      <c r="E3401" s="5">
        <v>-31479</v>
      </c>
      <c r="F3401" s="3" t="s">
        <v>290</v>
      </c>
      <c r="G3401" s="3" t="s">
        <v>65</v>
      </c>
      <c r="H3401" s="2" t="s">
        <v>20</v>
      </c>
      <c r="I3401" s="2" t="s">
        <v>7336</v>
      </c>
      <c r="J3401" s="3" t="str">
        <f>HYPERLINK("https://www.boe.es/gazeta/dias/1813/10/23/pdfs/GRE-1813-139E.pdf#page=1","Abrir facsímil")</f>
        <v>Abrir facsímil</v>
      </c>
      <c r="K3401" s="3" t="s">
        <v>22</v>
      </c>
    </row>
    <row r="3402" spans="1:11" ht="42" customHeight="1">
      <c r="A3402" s="2" t="s">
        <v>7337</v>
      </c>
      <c r="B3402" s="2" t="s">
        <v>7337</v>
      </c>
      <c r="C3402" s="2" t="s">
        <v>16</v>
      </c>
      <c r="D3402" s="2" t="s">
        <v>17</v>
      </c>
      <c r="E3402" s="5">
        <v>-31434</v>
      </c>
      <c r="F3402" s="3" t="s">
        <v>948</v>
      </c>
      <c r="G3402" s="3" t="s">
        <v>1141</v>
      </c>
      <c r="H3402" s="2" t="s">
        <v>20</v>
      </c>
      <c r="I3402" s="2" t="s">
        <v>7338</v>
      </c>
      <c r="J3402" s="3" t="str">
        <f>HYPERLINK("https://www.boe.es/gazeta/dias/1813/12/07/pdfs/GMR-1813-84.pdf#page=4","Abrir facsímil")</f>
        <v>Abrir facsímil</v>
      </c>
      <c r="K3402" s="3" t="s">
        <v>22</v>
      </c>
    </row>
    <row r="3403" spans="1:11" ht="42" customHeight="1">
      <c r="A3403" s="2" t="s">
        <v>7339</v>
      </c>
      <c r="B3403" s="2" t="s">
        <v>7340</v>
      </c>
      <c r="C3403" s="2" t="s">
        <v>16</v>
      </c>
      <c r="D3403" s="2" t="s">
        <v>97</v>
      </c>
      <c r="E3403" s="5">
        <v>-31519</v>
      </c>
      <c r="F3403" s="3" t="s">
        <v>312</v>
      </c>
      <c r="G3403" s="3" t="s">
        <v>19</v>
      </c>
      <c r="H3403" s="2" t="s">
        <v>20</v>
      </c>
      <c r="I3403" s="2" t="s">
        <v>7341</v>
      </c>
      <c r="J3403" s="3" t="str">
        <f>HYPERLINK("https://www.boe.es/gazeta/dias/1813/09/13/pdfs/GRE-1813-118E.pdf#page=4","Abrir facsímil")</f>
        <v>Abrir facsímil</v>
      </c>
      <c r="K3403" s="3" t="s">
        <v>22</v>
      </c>
    </row>
    <row r="3404" spans="1:11" ht="42" customHeight="1">
      <c r="A3404" s="2" t="s">
        <v>7342</v>
      </c>
      <c r="B3404" s="2" t="s">
        <v>7342</v>
      </c>
      <c r="C3404" s="2" t="s">
        <v>16</v>
      </c>
      <c r="D3404" s="2" t="s">
        <v>17</v>
      </c>
      <c r="E3404" s="5">
        <v>-31630</v>
      </c>
      <c r="F3404" s="3" t="s">
        <v>1324</v>
      </c>
      <c r="G3404" s="3" t="s">
        <v>58</v>
      </c>
      <c r="H3404" s="2" t="s">
        <v>20</v>
      </c>
      <c r="I3404" s="2" t="s">
        <v>7343</v>
      </c>
      <c r="J3404" s="3" t="str">
        <f>HYPERLINK("https://www.boe.es/gazeta/dias/1813/05/25/pdfs/GRE-1813-64.pdf#page=2","Abrir facsímil")</f>
        <v>Abrir facsímil</v>
      </c>
      <c r="K3404" s="3" t="s">
        <v>22</v>
      </c>
    </row>
    <row r="3405" spans="1:11" ht="42" customHeight="1">
      <c r="A3405" s="2" t="s">
        <v>7342</v>
      </c>
      <c r="B3405" s="2" t="s">
        <v>7342</v>
      </c>
      <c r="C3405" s="2" t="s">
        <v>16</v>
      </c>
      <c r="D3405" s="2" t="s">
        <v>17</v>
      </c>
      <c r="E3405" s="5">
        <v>-31619</v>
      </c>
      <c r="F3405" s="3" t="s">
        <v>1350</v>
      </c>
      <c r="G3405" s="3" t="s">
        <v>58</v>
      </c>
      <c r="H3405" s="2" t="s">
        <v>20</v>
      </c>
      <c r="I3405" s="2" t="s">
        <v>7344</v>
      </c>
      <c r="J3405" s="3" t="str">
        <f>HYPERLINK("https://www.boe.es/gazeta/dias/1813/06/05/pdfs/GMR-1813-2.pdf#page=2","Abrir facsímil")</f>
        <v>Abrir facsímil</v>
      </c>
      <c r="K3405" s="3" t="s">
        <v>22</v>
      </c>
    </row>
    <row r="3406" spans="1:11" ht="42" customHeight="1">
      <c r="A3406" s="2" t="s">
        <v>7345</v>
      </c>
      <c r="B3406" s="2" t="s">
        <v>7345</v>
      </c>
      <c r="C3406" s="2" t="s">
        <v>187</v>
      </c>
      <c r="D3406" s="2" t="s">
        <v>26</v>
      </c>
      <c r="E3406" s="5">
        <v>-31745</v>
      </c>
      <c r="F3406" s="3" t="s">
        <v>1856</v>
      </c>
      <c r="G3406" s="3" t="s">
        <v>65</v>
      </c>
      <c r="H3406" s="2" t="s">
        <v>20</v>
      </c>
      <c r="I3406" s="2" t="s">
        <v>7346</v>
      </c>
      <c r="J3406" s="3" t="str">
        <f>HYPERLINK("https://www.boe.es/gazeta/dias/1813/01/30/pdfs/GMD-1813-30.pdf#page=1","Abrir facsímil")</f>
        <v>Abrir facsímil</v>
      </c>
      <c r="K3406" s="3" t="s">
        <v>22</v>
      </c>
    </row>
    <row r="3407" spans="1:11" ht="42" customHeight="1">
      <c r="A3407" s="2" t="s">
        <v>7347</v>
      </c>
      <c r="B3407" s="2" t="s">
        <v>7347</v>
      </c>
      <c r="C3407" s="2" t="s">
        <v>16</v>
      </c>
      <c r="D3407" s="2" t="s">
        <v>17</v>
      </c>
      <c r="E3407" s="5">
        <v>-31560</v>
      </c>
      <c r="F3407" s="3" t="s">
        <v>590</v>
      </c>
      <c r="G3407" s="3" t="s">
        <v>54</v>
      </c>
      <c r="H3407" s="2" t="s">
        <v>20</v>
      </c>
      <c r="I3407" s="2" t="s">
        <v>7348</v>
      </c>
      <c r="J3407" s="3" t="str">
        <f>HYPERLINK("https://www.boe.es/gazeta/dias/1813/08/03/pdfs/GRE-1813-98.pdf#page=3","Abrir facsímil")</f>
        <v>Abrir facsímil</v>
      </c>
      <c r="K3407" s="3" t="s">
        <v>22</v>
      </c>
    </row>
    <row r="3408" spans="1:11" ht="42" customHeight="1">
      <c r="A3408" s="2" t="s">
        <v>7349</v>
      </c>
      <c r="B3408" s="2" t="s">
        <v>7349</v>
      </c>
      <c r="C3408" s="2" t="s">
        <v>16</v>
      </c>
      <c r="D3408" s="2" t="s">
        <v>17</v>
      </c>
      <c r="E3408" s="5">
        <v>-31623</v>
      </c>
      <c r="F3408" s="3" t="s">
        <v>267</v>
      </c>
      <c r="G3408" s="3" t="s">
        <v>676</v>
      </c>
      <c r="H3408" s="2" t="s">
        <v>20</v>
      </c>
      <c r="I3408" s="2" t="s">
        <v>7350</v>
      </c>
      <c r="J3408" s="3" t="str">
        <f>HYPERLINK("https://www.boe.es/gazeta/dias/1813/06/01/pdfs/GRE-1813-67.pdf#page=4","Abrir facsímil")</f>
        <v>Abrir facsímil</v>
      </c>
      <c r="K3408" s="3" t="s">
        <v>22</v>
      </c>
    </row>
    <row r="3409" spans="1:11" ht="42" customHeight="1">
      <c r="A3409" s="2" t="s">
        <v>7351</v>
      </c>
      <c r="B3409" s="2" t="s">
        <v>7352</v>
      </c>
      <c r="C3409" s="2" t="s">
        <v>34</v>
      </c>
      <c r="D3409" s="2" t="s">
        <v>35</v>
      </c>
      <c r="E3409" s="5">
        <v>-31465</v>
      </c>
      <c r="F3409" s="3" t="s">
        <v>2930</v>
      </c>
      <c r="G3409" s="3" t="s">
        <v>54</v>
      </c>
      <c r="H3409" s="2" t="s">
        <v>20</v>
      </c>
      <c r="I3409" s="2" t="s">
        <v>7353</v>
      </c>
      <c r="J3409" s="3" t="str">
        <f>HYPERLINK("https://www.boe.es/gazeta/dias/1813/11/06/pdfs/GRE-1813-145.pdf#page=3","Abrir facsímil")</f>
        <v>Abrir facsímil</v>
      </c>
      <c r="K3409" s="3" t="s">
        <v>22</v>
      </c>
    </row>
    <row r="3410" spans="1:11" ht="42" customHeight="1">
      <c r="A3410" s="2" t="s">
        <v>7354</v>
      </c>
      <c r="B3410" s="2" t="s">
        <v>7354</v>
      </c>
      <c r="C3410" s="2" t="s">
        <v>16</v>
      </c>
      <c r="D3410" s="2" t="s">
        <v>17</v>
      </c>
      <c r="E3410" s="5">
        <v>-31737</v>
      </c>
      <c r="F3410" s="3" t="s">
        <v>5824</v>
      </c>
      <c r="G3410" s="3" t="s">
        <v>19</v>
      </c>
      <c r="H3410" s="2" t="s">
        <v>20</v>
      </c>
      <c r="I3410" s="2" t="s">
        <v>7355</v>
      </c>
      <c r="J3410" s="3" t="str">
        <f>HYPERLINK("https://www.boe.es/gazeta/dias/1813/02/07/pdfs/GMD-1813-38.pdf#page=4","Abrir facsímil")</f>
        <v>Abrir facsímil</v>
      </c>
      <c r="K3410" s="3" t="s">
        <v>22</v>
      </c>
    </row>
    <row r="3411" spans="1:11" ht="42" customHeight="1">
      <c r="A3411" s="2" t="s">
        <v>7356</v>
      </c>
      <c r="B3411" s="2" t="s">
        <v>7357</v>
      </c>
      <c r="C3411" s="2" t="s">
        <v>16</v>
      </c>
      <c r="D3411" s="2" t="s">
        <v>17</v>
      </c>
      <c r="E3411" s="5">
        <v>-31559</v>
      </c>
      <c r="F3411" s="3" t="s">
        <v>1485</v>
      </c>
      <c r="G3411" s="3" t="s">
        <v>1486</v>
      </c>
      <c r="H3411" s="2" t="s">
        <v>20</v>
      </c>
      <c r="I3411" s="2" t="s">
        <v>7358</v>
      </c>
      <c r="J3411" s="3" t="str">
        <f>HYPERLINK("https://www.boe.es/gazeta/dias/1813/08/04/pdfs/GRE-1813-113.pdf#page=8","Abrir facsímil")</f>
        <v>Abrir facsímil</v>
      </c>
      <c r="K3411" s="3" t="s">
        <v>22</v>
      </c>
    </row>
    <row r="3412" spans="1:11" ht="42" customHeight="1">
      <c r="A3412" s="2" t="s">
        <v>7356</v>
      </c>
      <c r="B3412" s="2" t="s">
        <v>7357</v>
      </c>
      <c r="C3412" s="2" t="s">
        <v>16</v>
      </c>
      <c r="D3412" s="2" t="s">
        <v>17</v>
      </c>
      <c r="E3412" s="5">
        <v>-31528</v>
      </c>
      <c r="F3412" s="3" t="s">
        <v>1485</v>
      </c>
      <c r="G3412" s="3" t="s">
        <v>1486</v>
      </c>
      <c r="H3412" s="2" t="s">
        <v>20</v>
      </c>
      <c r="I3412" s="2" t="s">
        <v>7358</v>
      </c>
      <c r="J3412" s="3" t="str">
        <f>HYPERLINK("https://www.boe.es/gazeta/dias/1813/09/04/pdfs/GRE-1813-113.pdf#page=8","Abrir facsímil")</f>
        <v>Abrir facsímil</v>
      </c>
      <c r="K3412" s="3" t="s">
        <v>22</v>
      </c>
    </row>
    <row r="3413" spans="1:11" ht="42" customHeight="1">
      <c r="A3413" s="2" t="s">
        <v>7359</v>
      </c>
      <c r="B3413" s="2" t="s">
        <v>7359</v>
      </c>
      <c r="C3413" s="2" t="s">
        <v>435</v>
      </c>
      <c r="D3413" s="2" t="s">
        <v>26</v>
      </c>
      <c r="E3413" s="5">
        <v>-31507</v>
      </c>
      <c r="F3413" s="3" t="s">
        <v>61</v>
      </c>
      <c r="G3413" s="3" t="s">
        <v>95</v>
      </c>
      <c r="H3413" s="2" t="s">
        <v>20</v>
      </c>
      <c r="I3413" s="2" t="s">
        <v>7360</v>
      </c>
      <c r="J3413" s="3" t="str">
        <f>HYPERLINK("https://www.boe.es/gazeta/dias/1813/09/25/pdfs/GMR-1813-48.pdf#page=6","Abrir facsímil")</f>
        <v>Abrir facsímil</v>
      </c>
      <c r="K3413" s="3" t="s">
        <v>22</v>
      </c>
    </row>
    <row r="3414" spans="1:11" ht="42" customHeight="1">
      <c r="A3414" s="2" t="s">
        <v>7361</v>
      </c>
      <c r="B3414" s="2" t="s">
        <v>7362</v>
      </c>
      <c r="C3414" s="2" t="s">
        <v>187</v>
      </c>
      <c r="D3414" s="2" t="s">
        <v>26</v>
      </c>
      <c r="E3414" s="5">
        <v>-31689</v>
      </c>
      <c r="F3414" s="3" t="s">
        <v>48</v>
      </c>
      <c r="G3414" s="3" t="s">
        <v>162</v>
      </c>
      <c r="H3414" s="2" t="s">
        <v>20</v>
      </c>
      <c r="I3414" s="2" t="s">
        <v>7363</v>
      </c>
      <c r="J3414" s="3" t="str">
        <f>HYPERLINK("https://www.boe.es/gazeta/dias/1813/03/27/pdfs/GRE-1813-38.pdf#page=8","Abrir facsímil")</f>
        <v>Abrir facsímil</v>
      </c>
      <c r="K3414" s="3" t="s">
        <v>22</v>
      </c>
    </row>
    <row r="3415" spans="1:11" ht="42" customHeight="1">
      <c r="A3415" s="2" t="s">
        <v>7364</v>
      </c>
      <c r="B3415" s="2" t="s">
        <v>7364</v>
      </c>
      <c r="C3415" s="2" t="s">
        <v>16</v>
      </c>
      <c r="D3415" s="2" t="s">
        <v>17</v>
      </c>
      <c r="E3415" s="5">
        <v>-31705</v>
      </c>
      <c r="F3415" s="3" t="s">
        <v>243</v>
      </c>
      <c r="G3415" s="3" t="s">
        <v>65</v>
      </c>
      <c r="H3415" s="2" t="s">
        <v>20</v>
      </c>
      <c r="I3415" s="2" t="s">
        <v>7365</v>
      </c>
      <c r="J3415" s="3" t="str">
        <f>HYPERLINK("https://www.boe.es/gazeta/dias/1813/03/11/pdfs/GRE-1813-31.pdf#page=1","Abrir facsímil")</f>
        <v>Abrir facsímil</v>
      </c>
      <c r="K3415" s="3" t="s">
        <v>22</v>
      </c>
    </row>
    <row r="3416" spans="1:11" ht="42" customHeight="1">
      <c r="A3416" s="2" t="s">
        <v>7366</v>
      </c>
      <c r="B3416" s="2" t="s">
        <v>7367</v>
      </c>
      <c r="C3416" s="2" t="s">
        <v>25</v>
      </c>
      <c r="D3416" s="2" t="s">
        <v>26</v>
      </c>
      <c r="E3416" s="5">
        <v>-31745</v>
      </c>
      <c r="F3416" s="3" t="s">
        <v>445</v>
      </c>
      <c r="G3416" s="3" t="s">
        <v>475</v>
      </c>
      <c r="H3416" s="2" t="s">
        <v>20</v>
      </c>
      <c r="I3416" s="2" t="s">
        <v>7368</v>
      </c>
      <c r="J3416" s="3" t="str">
        <f>HYPERLINK("https://www.boe.es/gazeta/dias/1813/01/30/pdfs/GRE-1813-13.pdf#page=7","Abrir facsímil")</f>
        <v>Abrir facsímil</v>
      </c>
      <c r="K3416" s="3" t="s">
        <v>22</v>
      </c>
    </row>
    <row r="3417" spans="1:11" ht="42" customHeight="1">
      <c r="A3417" s="2" t="s">
        <v>7369</v>
      </c>
      <c r="B3417" s="2" t="s">
        <v>7370</v>
      </c>
      <c r="C3417" s="2" t="s">
        <v>34</v>
      </c>
      <c r="D3417" s="2" t="s">
        <v>35</v>
      </c>
      <c r="E3417" s="5">
        <v>-31709</v>
      </c>
      <c r="F3417" s="3" t="s">
        <v>36</v>
      </c>
      <c r="G3417" s="3" t="s">
        <v>19</v>
      </c>
      <c r="H3417" s="2" t="s">
        <v>20</v>
      </c>
      <c r="I3417" s="2" t="s">
        <v>7371</v>
      </c>
      <c r="J3417" s="3" t="str">
        <f>HYPERLINK("https://www.boe.es/gazeta/dias/1813/03/07/pdfs/GMD-1813-66.pdf#page=4","Abrir facsímil")</f>
        <v>Abrir facsímil</v>
      </c>
      <c r="K3417" s="3" t="s">
        <v>22</v>
      </c>
    </row>
    <row r="3418" spans="1:11" ht="42" customHeight="1">
      <c r="A3418" s="2" t="s">
        <v>7372</v>
      </c>
      <c r="B3418" s="2" t="s">
        <v>7373</v>
      </c>
      <c r="C3418" s="2" t="s">
        <v>16</v>
      </c>
      <c r="D3418" s="2" t="s">
        <v>17</v>
      </c>
      <c r="E3418" s="5">
        <v>-31539</v>
      </c>
      <c r="F3418" s="3" t="s">
        <v>1220</v>
      </c>
      <c r="G3418" s="3" t="s">
        <v>65</v>
      </c>
      <c r="H3418" s="2" t="s">
        <v>20</v>
      </c>
      <c r="I3418" s="2" t="s">
        <v>7374</v>
      </c>
      <c r="J3418" s="3" t="str">
        <f>HYPERLINK("https://www.boe.es/gazeta/dias/1813/08/24/pdfs/GRE-1813-108.pdf#page=1","Abrir facsímil")</f>
        <v>Abrir facsímil</v>
      </c>
      <c r="K3418" s="3" t="s">
        <v>22</v>
      </c>
    </row>
    <row r="3419" spans="1:11" ht="42" customHeight="1">
      <c r="A3419" s="2" t="s">
        <v>7375</v>
      </c>
      <c r="B3419" s="2" t="s">
        <v>7376</v>
      </c>
      <c r="C3419" s="2" t="s">
        <v>16</v>
      </c>
      <c r="D3419" s="2" t="s">
        <v>17</v>
      </c>
      <c r="E3419" s="5">
        <v>-31677</v>
      </c>
      <c r="F3419" s="3" t="s">
        <v>76</v>
      </c>
      <c r="G3419" s="3" t="s">
        <v>77</v>
      </c>
      <c r="H3419" s="2" t="s">
        <v>20</v>
      </c>
      <c r="I3419" s="2" t="s">
        <v>7377</v>
      </c>
      <c r="J3419" s="3" t="str">
        <f>HYPERLINK("https://www.boe.es/gazeta/dias/1813/04/08/pdfs/GRE-1813-43.pdf#page=7","Abrir facsímil")</f>
        <v>Abrir facsímil</v>
      </c>
      <c r="K3419" s="3" t="s">
        <v>22</v>
      </c>
    </row>
    <row r="3420" spans="1:11" ht="42" customHeight="1">
      <c r="A3420" s="2" t="s">
        <v>7378</v>
      </c>
      <c r="B3420" s="2" t="s">
        <v>7379</v>
      </c>
      <c r="C3420" s="2" t="s">
        <v>16</v>
      </c>
      <c r="D3420" s="2" t="s">
        <v>17</v>
      </c>
      <c r="E3420" s="5">
        <v>-31565</v>
      </c>
      <c r="F3420" s="3" t="s">
        <v>306</v>
      </c>
      <c r="G3420" s="3" t="s">
        <v>28</v>
      </c>
      <c r="H3420" s="2" t="s">
        <v>20</v>
      </c>
      <c r="I3420" s="2" t="s">
        <v>7380</v>
      </c>
      <c r="J3420" s="3" t="str">
        <f>HYPERLINK("https://www.boe.es/gazeta/dias/1813/07/29/pdfs/GRE-1813-96.pdf#page=8","Abrir facsímil")</f>
        <v>Abrir facsímil</v>
      </c>
      <c r="K3420" s="3" t="s">
        <v>22</v>
      </c>
    </row>
    <row r="3421" spans="1:11" ht="42" customHeight="1">
      <c r="A3421" s="2" t="s">
        <v>7378</v>
      </c>
      <c r="B3421" s="2" t="s">
        <v>7379</v>
      </c>
      <c r="C3421" s="2" t="s">
        <v>16</v>
      </c>
      <c r="D3421" s="2" t="s">
        <v>17</v>
      </c>
      <c r="E3421" s="5">
        <v>-31537</v>
      </c>
      <c r="F3421" s="3" t="s">
        <v>138</v>
      </c>
      <c r="G3421" s="3" t="s">
        <v>71</v>
      </c>
      <c r="H3421" s="2" t="s">
        <v>20</v>
      </c>
      <c r="I3421" s="2" t="s">
        <v>7381</v>
      </c>
      <c r="J3421" s="3" t="str">
        <f>HYPERLINK("https://www.boe.es/gazeta/dias/1813/08/26/pdfs/GMR-1813-33.pdf#page=16","Abrir facsímil")</f>
        <v>Abrir facsímil</v>
      </c>
      <c r="K3421" s="3" t="s">
        <v>22</v>
      </c>
    </row>
    <row r="3422" spans="1:11" ht="42" customHeight="1">
      <c r="A3422" s="2" t="s">
        <v>7378</v>
      </c>
      <c r="B3422" s="2" t="s">
        <v>7379</v>
      </c>
      <c r="C3422" s="2" t="s">
        <v>16</v>
      </c>
      <c r="D3422" s="2" t="s">
        <v>17</v>
      </c>
      <c r="E3422" s="5">
        <v>-31535</v>
      </c>
      <c r="F3422" s="3" t="s">
        <v>366</v>
      </c>
      <c r="G3422" s="3" t="s">
        <v>28</v>
      </c>
      <c r="H3422" s="2" t="s">
        <v>20</v>
      </c>
      <c r="I3422" s="2" t="s">
        <v>7382</v>
      </c>
      <c r="J3422" s="3" t="str">
        <f>HYPERLINK("https://www.boe.es/gazeta/dias/1813/08/28/pdfs/GRE-1813-110.pdf#page=8","Abrir facsímil")</f>
        <v>Abrir facsímil</v>
      </c>
      <c r="K3422" s="3" t="s">
        <v>22</v>
      </c>
    </row>
    <row r="3423" spans="1:11" ht="42" customHeight="1">
      <c r="A3423" s="2" t="s">
        <v>7378</v>
      </c>
      <c r="B3423" s="2" t="s">
        <v>7379</v>
      </c>
      <c r="C3423" s="2" t="s">
        <v>16</v>
      </c>
      <c r="D3423" s="2" t="s">
        <v>17</v>
      </c>
      <c r="E3423" s="5">
        <v>-31423</v>
      </c>
      <c r="F3423" s="3" t="s">
        <v>2465</v>
      </c>
      <c r="G3423" s="3" t="s">
        <v>87</v>
      </c>
      <c r="H3423" s="2" t="s">
        <v>20</v>
      </c>
      <c r="I3423" s="2" t="s">
        <v>7383</v>
      </c>
      <c r="J3423" s="3" t="str">
        <f>HYPERLINK("https://www.boe.es/gazeta/dias/1813/12/18/pdfs/GMR-1813-89.pdf#page=7","Abrir facsímil")</f>
        <v>Abrir facsímil</v>
      </c>
      <c r="K3423" s="3" t="s">
        <v>22</v>
      </c>
    </row>
    <row r="3424" spans="1:11" ht="42" customHeight="1">
      <c r="A3424" s="2" t="s">
        <v>7384</v>
      </c>
      <c r="B3424" s="2" t="s">
        <v>7385</v>
      </c>
      <c r="C3424" s="2" t="s">
        <v>16</v>
      </c>
      <c r="D3424" s="2" t="s">
        <v>17</v>
      </c>
      <c r="E3424" s="5">
        <v>-31572</v>
      </c>
      <c r="F3424" s="3" t="s">
        <v>317</v>
      </c>
      <c r="G3424" s="3" t="s">
        <v>28</v>
      </c>
      <c r="H3424" s="2" t="s">
        <v>20</v>
      </c>
      <c r="I3424" s="2" t="s">
        <v>7386</v>
      </c>
      <c r="J3424" s="3" t="str">
        <f>HYPERLINK("https://www.boe.es/gazeta/dias/1813/07/22/pdfs/GRE-1813-93.pdf#page=8","Abrir facsímil")</f>
        <v>Abrir facsímil</v>
      </c>
      <c r="K3424" s="3" t="s">
        <v>22</v>
      </c>
    </row>
    <row r="3425" spans="1:11" ht="42" customHeight="1">
      <c r="A3425" s="2" t="s">
        <v>7387</v>
      </c>
      <c r="B3425" s="2" t="s">
        <v>7388</v>
      </c>
      <c r="C3425" s="2" t="s">
        <v>16</v>
      </c>
      <c r="D3425" s="2" t="s">
        <v>17</v>
      </c>
      <c r="E3425" s="5">
        <v>-31677</v>
      </c>
      <c r="F3425" s="3" t="s">
        <v>76</v>
      </c>
      <c r="G3425" s="3" t="s">
        <v>95</v>
      </c>
      <c r="H3425" s="2" t="s">
        <v>20</v>
      </c>
      <c r="I3425" s="2" t="s">
        <v>7389</v>
      </c>
      <c r="J3425" s="3" t="str">
        <f>HYPERLINK("https://www.boe.es/gazeta/dias/1813/04/08/pdfs/GRE-1813-43.pdf#page=6","Abrir facsímil")</f>
        <v>Abrir facsímil</v>
      </c>
      <c r="K3425" s="3" t="s">
        <v>22</v>
      </c>
    </row>
    <row r="3426" spans="1:11" ht="42" customHeight="1">
      <c r="A3426" s="2" t="s">
        <v>7387</v>
      </c>
      <c r="B3426" s="2" t="s">
        <v>7388</v>
      </c>
      <c r="C3426" s="2" t="s">
        <v>16</v>
      </c>
      <c r="D3426" s="2" t="s">
        <v>17</v>
      </c>
      <c r="E3426" s="5">
        <v>-31649</v>
      </c>
      <c r="F3426" s="3" t="s">
        <v>1057</v>
      </c>
      <c r="G3426" s="3" t="s">
        <v>3717</v>
      </c>
      <c r="H3426" s="2" t="s">
        <v>20</v>
      </c>
      <c r="I3426" s="2" t="s">
        <v>7390</v>
      </c>
      <c r="J3426" s="3" t="str">
        <f>HYPERLINK("https://www.boe.es/gazeta/dias/1813/05/06/pdfs/GRE-1813-56.pdf#page=7","Abrir facsímil")</f>
        <v>Abrir facsímil</v>
      </c>
      <c r="K3426" s="3" t="s">
        <v>22</v>
      </c>
    </row>
    <row r="3427" spans="1:11" ht="42" customHeight="1">
      <c r="A3427" s="2" t="s">
        <v>7387</v>
      </c>
      <c r="B3427" s="2" t="s">
        <v>7388</v>
      </c>
      <c r="C3427" s="2" t="s">
        <v>16</v>
      </c>
      <c r="D3427" s="2" t="s">
        <v>17</v>
      </c>
      <c r="E3427" s="5">
        <v>-31640</v>
      </c>
      <c r="F3427" s="3" t="s">
        <v>2392</v>
      </c>
      <c r="G3427" s="3" t="s">
        <v>7391</v>
      </c>
      <c r="H3427" s="2" t="s">
        <v>20</v>
      </c>
      <c r="I3427" s="2" t="s">
        <v>7392</v>
      </c>
      <c r="J3427" s="3" t="str">
        <f>HYPERLINK("https://www.boe.es/gazeta/dias/1813/05/15/pdfs/GRE-1813-60.pdf#page=8","Abrir facsímil")</f>
        <v>Abrir facsímil</v>
      </c>
      <c r="K3427" s="3" t="s">
        <v>22</v>
      </c>
    </row>
    <row r="3428" spans="1:11" ht="42" customHeight="1">
      <c r="A3428" s="2" t="s">
        <v>7387</v>
      </c>
      <c r="B3428" s="2" t="s">
        <v>7388</v>
      </c>
      <c r="C3428" s="2" t="s">
        <v>16</v>
      </c>
      <c r="D3428" s="2" t="s">
        <v>97</v>
      </c>
      <c r="E3428" s="5">
        <v>-31623</v>
      </c>
      <c r="F3428" s="3" t="s">
        <v>786</v>
      </c>
      <c r="G3428" s="3" t="s">
        <v>65</v>
      </c>
      <c r="H3428" s="2" t="s">
        <v>20</v>
      </c>
      <c r="I3428" s="2" t="s">
        <v>7393</v>
      </c>
      <c r="J3428" s="3" t="str">
        <f>HYPERLINK("https://www.boe.es/gazeta/dias/1813/06/01/pdfs/GRE-1813-68E.pdf#page=1","Abrir facsímil")</f>
        <v>Abrir facsímil</v>
      </c>
      <c r="K3428" s="3" t="s">
        <v>22</v>
      </c>
    </row>
    <row r="3429" spans="1:11" ht="42" customHeight="1">
      <c r="A3429" s="2" t="s">
        <v>7387</v>
      </c>
      <c r="B3429" s="2" t="s">
        <v>7388</v>
      </c>
      <c r="C3429" s="2" t="s">
        <v>16</v>
      </c>
      <c r="D3429" s="2" t="s">
        <v>17</v>
      </c>
      <c r="E3429" s="5">
        <v>-31618</v>
      </c>
      <c r="F3429" s="3" t="s">
        <v>1057</v>
      </c>
      <c r="G3429" s="3" t="s">
        <v>3717</v>
      </c>
      <c r="H3429" s="2" t="s">
        <v>20</v>
      </c>
      <c r="I3429" s="2" t="s">
        <v>7390</v>
      </c>
      <c r="J3429" s="3" t="str">
        <f>HYPERLINK("https://www.boe.es/gazeta/dias/1813/06/06/pdfs/GRE-1813-56.pdf#page=7","Abrir facsímil")</f>
        <v>Abrir facsímil</v>
      </c>
      <c r="K3429" s="3" t="s">
        <v>22</v>
      </c>
    </row>
    <row r="3430" spans="1:11" ht="42" customHeight="1">
      <c r="A3430" s="2" t="s">
        <v>7387</v>
      </c>
      <c r="B3430" s="2" t="s">
        <v>7388</v>
      </c>
      <c r="C3430" s="2" t="s">
        <v>16</v>
      </c>
      <c r="D3430" s="2" t="s">
        <v>17</v>
      </c>
      <c r="E3430" s="5">
        <v>-31614</v>
      </c>
      <c r="F3430" s="3" t="s">
        <v>498</v>
      </c>
      <c r="G3430" s="3" t="s">
        <v>28</v>
      </c>
      <c r="H3430" s="2" t="s">
        <v>20</v>
      </c>
      <c r="I3430" s="2" t="s">
        <v>7394</v>
      </c>
      <c r="J3430" s="3" t="str">
        <f>HYPERLINK("https://www.boe.es/gazeta/dias/1813/06/10/pdfs/GRE-1813-72.pdf#page=8","Abrir facsímil")</f>
        <v>Abrir facsímil</v>
      </c>
      <c r="K3430" s="3" t="s">
        <v>22</v>
      </c>
    </row>
    <row r="3431" spans="1:11" ht="42" customHeight="1">
      <c r="A3431" s="2" t="s">
        <v>7387</v>
      </c>
      <c r="B3431" s="2" t="s">
        <v>7388</v>
      </c>
      <c r="C3431" s="2" t="s">
        <v>16</v>
      </c>
      <c r="D3431" s="2" t="s">
        <v>17</v>
      </c>
      <c r="E3431" s="5">
        <v>-31609</v>
      </c>
      <c r="F3431" s="3" t="s">
        <v>711</v>
      </c>
      <c r="G3431" s="3" t="s">
        <v>3485</v>
      </c>
      <c r="H3431" s="2" t="s">
        <v>20</v>
      </c>
      <c r="I3431" s="2" t="s">
        <v>7395</v>
      </c>
      <c r="J3431" s="3" t="str">
        <f>HYPERLINK("https://www.boe.es/gazeta/dias/1813/06/15/pdfs/GMR-1813-6.pdf#page=8","Abrir facsímil")</f>
        <v>Abrir facsímil</v>
      </c>
      <c r="K3431" s="3" t="s">
        <v>22</v>
      </c>
    </row>
    <row r="3432" spans="1:11" ht="42" customHeight="1">
      <c r="A3432" s="2" t="s">
        <v>7387</v>
      </c>
      <c r="B3432" s="2" t="s">
        <v>7388</v>
      </c>
      <c r="C3432" s="2" t="s">
        <v>16</v>
      </c>
      <c r="D3432" s="2" t="s">
        <v>17</v>
      </c>
      <c r="E3432" s="5">
        <v>-31602</v>
      </c>
      <c r="F3432" s="3" t="s">
        <v>4545</v>
      </c>
      <c r="G3432" s="3" t="s">
        <v>28</v>
      </c>
      <c r="H3432" s="2" t="s">
        <v>20</v>
      </c>
      <c r="I3432" s="2" t="s">
        <v>7396</v>
      </c>
      <c r="J3432" s="3" t="str">
        <f>HYPERLINK("https://www.boe.es/gazeta/dias/1813/06/22/pdfs/GRE-1813-77.pdf#page=8","Abrir facsímil")</f>
        <v>Abrir facsímil</v>
      </c>
      <c r="K3432" s="3" t="s">
        <v>22</v>
      </c>
    </row>
    <row r="3433" spans="1:11" ht="42" customHeight="1">
      <c r="A3433" s="2" t="s">
        <v>7387</v>
      </c>
      <c r="B3433" s="2" t="s">
        <v>7388</v>
      </c>
      <c r="C3433" s="2" t="s">
        <v>16</v>
      </c>
      <c r="D3433" s="2" t="s">
        <v>17</v>
      </c>
      <c r="E3433" s="5">
        <v>-31600</v>
      </c>
      <c r="F3433" s="3" t="s">
        <v>2121</v>
      </c>
      <c r="G3433" s="3" t="s">
        <v>95</v>
      </c>
      <c r="H3433" s="2" t="s">
        <v>20</v>
      </c>
      <c r="I3433" s="2" t="s">
        <v>7397</v>
      </c>
      <c r="J3433" s="3" t="str">
        <f>HYPERLINK("https://www.boe.es/gazeta/dias/1813/06/24/pdfs/GRE-1813-78.pdf#page=6","Abrir facsímil")</f>
        <v>Abrir facsímil</v>
      </c>
      <c r="K3433" s="3" t="s">
        <v>22</v>
      </c>
    </row>
    <row r="3434" spans="1:11" ht="42" customHeight="1">
      <c r="A3434" s="2" t="s">
        <v>7387</v>
      </c>
      <c r="B3434" s="2" t="s">
        <v>7388</v>
      </c>
      <c r="C3434" s="2" t="s">
        <v>16</v>
      </c>
      <c r="D3434" s="2" t="s">
        <v>17</v>
      </c>
      <c r="E3434" s="5">
        <v>-31595</v>
      </c>
      <c r="F3434" s="3" t="s">
        <v>1319</v>
      </c>
      <c r="G3434" s="3" t="s">
        <v>95</v>
      </c>
      <c r="H3434" s="2" t="s">
        <v>20</v>
      </c>
      <c r="I3434" s="2" t="s">
        <v>7398</v>
      </c>
      <c r="J3434" s="3" t="str">
        <f>HYPERLINK("https://www.boe.es/gazeta/dias/1813/06/29/pdfs/GRE-1813-80.pdf#page=6","Abrir facsímil")</f>
        <v>Abrir facsímil</v>
      </c>
      <c r="K3434" s="3" t="s">
        <v>22</v>
      </c>
    </row>
    <row r="3435" spans="1:11" ht="42" customHeight="1">
      <c r="A3435" s="2" t="s">
        <v>7387</v>
      </c>
      <c r="B3435" s="2" t="s">
        <v>7388</v>
      </c>
      <c r="C3435" s="2" t="s">
        <v>16</v>
      </c>
      <c r="D3435" s="2" t="s">
        <v>17</v>
      </c>
      <c r="E3435" s="5">
        <v>-31563</v>
      </c>
      <c r="F3435" s="3" t="s">
        <v>1267</v>
      </c>
      <c r="G3435" s="3" t="s">
        <v>28</v>
      </c>
      <c r="H3435" s="2" t="s">
        <v>20</v>
      </c>
      <c r="I3435" s="2" t="s">
        <v>7399</v>
      </c>
      <c r="J3435" s="3" t="str">
        <f>HYPERLINK("https://www.boe.es/gazeta/dias/1813/07/31/pdfs/GRE-1813-97.pdf#page=8","Abrir facsímil")</f>
        <v>Abrir facsímil</v>
      </c>
      <c r="K3435" s="3" t="s">
        <v>22</v>
      </c>
    </row>
    <row r="3436" spans="1:11" ht="42" customHeight="1">
      <c r="A3436" s="2" t="s">
        <v>7387</v>
      </c>
      <c r="B3436" s="2" t="s">
        <v>7388</v>
      </c>
      <c r="C3436" s="2" t="s">
        <v>16</v>
      </c>
      <c r="D3436" s="2" t="s">
        <v>17</v>
      </c>
      <c r="E3436" s="5">
        <v>-31542</v>
      </c>
      <c r="F3436" s="3" t="s">
        <v>337</v>
      </c>
      <c r="G3436" s="3" t="s">
        <v>28</v>
      </c>
      <c r="H3436" s="2" t="s">
        <v>20</v>
      </c>
      <c r="I3436" s="2" t="s">
        <v>7400</v>
      </c>
      <c r="J3436" s="3" t="str">
        <f>HYPERLINK("https://www.boe.es/gazeta/dias/1813/08/21/pdfs/GRE-1813-107.pdf#page=8","Abrir facsímil")</f>
        <v>Abrir facsímil</v>
      </c>
      <c r="K3436" s="3" t="s">
        <v>22</v>
      </c>
    </row>
    <row r="3437" spans="1:11" ht="42" customHeight="1">
      <c r="A3437" s="2" t="s">
        <v>7387</v>
      </c>
      <c r="B3437" s="2" t="s">
        <v>7388</v>
      </c>
      <c r="C3437" s="2" t="s">
        <v>16</v>
      </c>
      <c r="D3437" s="2" t="s">
        <v>17</v>
      </c>
      <c r="E3437" s="5">
        <v>-31537</v>
      </c>
      <c r="F3437" s="3" t="s">
        <v>5241</v>
      </c>
      <c r="G3437" s="3" t="s">
        <v>28</v>
      </c>
      <c r="H3437" s="2" t="s">
        <v>20</v>
      </c>
      <c r="I3437" s="2" t="s">
        <v>7401</v>
      </c>
      <c r="J3437" s="3" t="str">
        <f>HYPERLINK("https://www.boe.es/gazeta/dias/1813/08/26/pdfs/GRE-1813-109.pdf#page=8","Abrir facsímil")</f>
        <v>Abrir facsímil</v>
      </c>
      <c r="K3437" s="3" t="s">
        <v>22</v>
      </c>
    </row>
    <row r="3438" spans="1:11" ht="42" customHeight="1">
      <c r="A3438" s="2" t="s">
        <v>7387</v>
      </c>
      <c r="B3438" s="2" t="s">
        <v>7388</v>
      </c>
      <c r="C3438" s="2" t="s">
        <v>16</v>
      </c>
      <c r="D3438" s="2" t="s">
        <v>97</v>
      </c>
      <c r="E3438" s="5">
        <v>-31511</v>
      </c>
      <c r="F3438" s="3" t="s">
        <v>3791</v>
      </c>
      <c r="G3438" s="3" t="s">
        <v>65</v>
      </c>
      <c r="H3438" s="2" t="s">
        <v>20</v>
      </c>
      <c r="I3438" s="2" t="s">
        <v>7402</v>
      </c>
      <c r="J3438" s="3" t="str">
        <f>HYPERLINK("https://www.boe.es/gazeta/dias/1813/09/21/pdfs/GRE-1813-124E.pdf#page=1","Abrir facsímil")</f>
        <v>Abrir facsímil</v>
      </c>
      <c r="K3438" s="3" t="s">
        <v>22</v>
      </c>
    </row>
    <row r="3439" spans="1:11" ht="42" customHeight="1">
      <c r="A3439" s="2" t="s">
        <v>7387</v>
      </c>
      <c r="B3439" s="2" t="s">
        <v>7388</v>
      </c>
      <c r="C3439" s="2" t="s">
        <v>16</v>
      </c>
      <c r="D3439" s="2" t="s">
        <v>17</v>
      </c>
      <c r="E3439" s="5">
        <v>-31500</v>
      </c>
      <c r="F3439" s="3" t="s">
        <v>5349</v>
      </c>
      <c r="G3439" s="3" t="s">
        <v>82</v>
      </c>
      <c r="H3439" s="2" t="s">
        <v>20</v>
      </c>
      <c r="I3439" s="2" t="s">
        <v>7403</v>
      </c>
      <c r="J3439" s="3" t="str">
        <f>HYPERLINK("https://www.boe.es/gazeta/dias/1813/10/02/pdfs/GRE-1813-129.pdf#page=5","Abrir facsímil")</f>
        <v>Abrir facsímil</v>
      </c>
      <c r="K3439" s="3" t="s">
        <v>22</v>
      </c>
    </row>
    <row r="3440" spans="1:11" ht="42" customHeight="1">
      <c r="A3440" s="2" t="s">
        <v>7387</v>
      </c>
      <c r="B3440" s="2" t="s">
        <v>7388</v>
      </c>
      <c r="C3440" s="2" t="s">
        <v>16</v>
      </c>
      <c r="D3440" s="2" t="s">
        <v>17</v>
      </c>
      <c r="E3440" s="5">
        <v>-31439</v>
      </c>
      <c r="F3440" s="3" t="s">
        <v>3821</v>
      </c>
      <c r="G3440" s="3" t="s">
        <v>54</v>
      </c>
      <c r="H3440" s="2" t="s">
        <v>20</v>
      </c>
      <c r="I3440" s="2" t="s">
        <v>7404</v>
      </c>
      <c r="J3440" s="3" t="str">
        <f>HYPERLINK("https://www.boe.es/gazeta/dias/1813/12/02/pdfs/GRE-1813-159.pdf#page=3","Abrir facsímil")</f>
        <v>Abrir facsímil</v>
      </c>
      <c r="K3440" s="3" t="s">
        <v>22</v>
      </c>
    </row>
    <row r="3441" spans="1:11" ht="42" customHeight="1">
      <c r="A3441" s="2" t="s">
        <v>7405</v>
      </c>
      <c r="B3441" s="2" t="s">
        <v>7406</v>
      </c>
      <c r="C3441" s="2" t="s">
        <v>16</v>
      </c>
      <c r="D3441" s="2" t="s">
        <v>17</v>
      </c>
      <c r="E3441" s="5">
        <v>-31437</v>
      </c>
      <c r="F3441" s="3" t="s">
        <v>217</v>
      </c>
      <c r="G3441" s="3" t="s">
        <v>28</v>
      </c>
      <c r="H3441" s="2" t="s">
        <v>20</v>
      </c>
      <c r="I3441" s="2" t="s">
        <v>7407</v>
      </c>
      <c r="J3441" s="3" t="str">
        <f>HYPERLINK("https://www.boe.es/gazeta/dias/1813/12/04/pdfs/GRE-1813-160.pdf#page=8","Abrir facsímil")</f>
        <v>Abrir facsímil</v>
      </c>
      <c r="K3441" s="3" t="s">
        <v>22</v>
      </c>
    </row>
    <row r="3442" spans="1:11" ht="42" customHeight="1">
      <c r="A3442" s="2" t="s">
        <v>7387</v>
      </c>
      <c r="B3442" s="2" t="s">
        <v>7388</v>
      </c>
      <c r="C3442" s="2" t="s">
        <v>16</v>
      </c>
      <c r="D3442" s="2" t="s">
        <v>17</v>
      </c>
      <c r="E3442" s="5">
        <v>-31432</v>
      </c>
      <c r="F3442" s="3" t="s">
        <v>803</v>
      </c>
      <c r="G3442" s="3" t="s">
        <v>19</v>
      </c>
      <c r="H3442" s="2" t="s">
        <v>20</v>
      </c>
      <c r="I3442" s="2" t="s">
        <v>7408</v>
      </c>
      <c r="J3442" s="3" t="str">
        <f>HYPERLINK("https://www.boe.es/gazeta/dias/1813/12/09/pdfs/GRE-1813-162.pdf#page=4","Abrir facsímil")</f>
        <v>Abrir facsímil</v>
      </c>
      <c r="K3442" s="3" t="s">
        <v>22</v>
      </c>
    </row>
    <row r="3443" spans="1:11" ht="42" customHeight="1">
      <c r="A3443" s="2" t="s">
        <v>7387</v>
      </c>
      <c r="B3443" s="2" t="s">
        <v>7388</v>
      </c>
      <c r="C3443" s="2" t="s">
        <v>16</v>
      </c>
      <c r="D3443" s="2" t="s">
        <v>17</v>
      </c>
      <c r="E3443" s="5">
        <v>-31430</v>
      </c>
      <c r="F3443" s="3" t="s">
        <v>1161</v>
      </c>
      <c r="G3443" s="3" t="s">
        <v>28</v>
      </c>
      <c r="H3443" s="2" t="s">
        <v>20</v>
      </c>
      <c r="I3443" s="2" t="s">
        <v>7409</v>
      </c>
      <c r="J3443" s="3" t="str">
        <f>HYPERLINK("https://www.boe.es/gazeta/dias/1813/12/11/pdfs/GMR-1813-86.pdf#page=8","Abrir facsímil")</f>
        <v>Abrir facsímil</v>
      </c>
      <c r="K3443" s="3" t="s">
        <v>22</v>
      </c>
    </row>
    <row r="3444" spans="1:11" ht="42" customHeight="1">
      <c r="A3444" s="2" t="s">
        <v>7387</v>
      </c>
      <c r="B3444" s="2" t="s">
        <v>7388</v>
      </c>
      <c r="C3444" s="2" t="s">
        <v>16</v>
      </c>
      <c r="D3444" s="2" t="s">
        <v>17</v>
      </c>
      <c r="E3444" s="5">
        <v>-31425</v>
      </c>
      <c r="F3444" s="3" t="s">
        <v>1955</v>
      </c>
      <c r="G3444" s="3" t="s">
        <v>207</v>
      </c>
      <c r="H3444" s="2" t="s">
        <v>20</v>
      </c>
      <c r="I3444" s="2" t="s">
        <v>7410</v>
      </c>
      <c r="J3444" s="3" t="str">
        <f>HYPERLINK("https://www.boe.es/gazeta/dias/1813/12/16/pdfs/GMR-1813-88.pdf#page=10","Abrir facsímil")</f>
        <v>Abrir facsímil</v>
      </c>
      <c r="K3444" s="3" t="s">
        <v>22</v>
      </c>
    </row>
    <row r="3445" spans="1:11" ht="42" customHeight="1">
      <c r="A3445" s="2" t="s">
        <v>7387</v>
      </c>
      <c r="B3445" s="2" t="s">
        <v>7388</v>
      </c>
      <c r="C3445" s="2" t="s">
        <v>16</v>
      </c>
      <c r="D3445" s="2" t="s">
        <v>17</v>
      </c>
      <c r="E3445" s="5">
        <v>-31418</v>
      </c>
      <c r="F3445" s="3" t="s">
        <v>147</v>
      </c>
      <c r="G3445" s="3" t="s">
        <v>28</v>
      </c>
      <c r="H3445" s="2" t="s">
        <v>20</v>
      </c>
      <c r="I3445" s="2" t="s">
        <v>7411</v>
      </c>
      <c r="J3445" s="3" t="str">
        <f>HYPERLINK("https://www.boe.es/gazeta/dias/1813/12/23/pdfs/GRE-1813-168.pdf#page=8","Abrir facsímil")</f>
        <v>Abrir facsímil</v>
      </c>
      <c r="K3445" s="3" t="s">
        <v>22</v>
      </c>
    </row>
    <row r="3446" spans="1:11" ht="42" customHeight="1">
      <c r="A3446" s="2" t="s">
        <v>7412</v>
      </c>
      <c r="B3446" s="2" t="s">
        <v>7413</v>
      </c>
      <c r="C3446" s="2" t="s">
        <v>16</v>
      </c>
      <c r="D3446" s="2" t="s">
        <v>17</v>
      </c>
      <c r="E3446" s="5">
        <v>-31546</v>
      </c>
      <c r="F3446" s="3" t="s">
        <v>461</v>
      </c>
      <c r="G3446" s="3" t="s">
        <v>28</v>
      </c>
      <c r="H3446" s="2" t="s">
        <v>20</v>
      </c>
      <c r="I3446" s="2" t="s">
        <v>7414</v>
      </c>
      <c r="J3446" s="3" t="str">
        <f>HYPERLINK("https://www.boe.es/gazeta/dias/1813/08/17/pdfs/GMR-1813-29.pdf#page=8","Abrir facsímil")</f>
        <v>Abrir facsímil</v>
      </c>
      <c r="K3446" s="3" t="s">
        <v>22</v>
      </c>
    </row>
    <row r="3447" spans="1:11" ht="42" customHeight="1">
      <c r="A3447" s="2" t="s">
        <v>7415</v>
      </c>
      <c r="B3447" s="2" t="s">
        <v>7416</v>
      </c>
      <c r="C3447" s="2" t="s">
        <v>16</v>
      </c>
      <c r="D3447" s="2" t="s">
        <v>17</v>
      </c>
      <c r="E3447" s="5">
        <v>-31663</v>
      </c>
      <c r="F3447" s="3" t="s">
        <v>871</v>
      </c>
      <c r="G3447" s="3" t="s">
        <v>19</v>
      </c>
      <c r="H3447" s="2" t="s">
        <v>20</v>
      </c>
      <c r="I3447" s="2" t="s">
        <v>7417</v>
      </c>
      <c r="J3447" s="3" t="str">
        <f>HYPERLINK("https://www.boe.es/gazeta/dias/1813/04/22/pdfs/GMD-1813-112.pdf#page=4","Abrir facsímil")</f>
        <v>Abrir facsímil</v>
      </c>
      <c r="K3447" s="3" t="s">
        <v>22</v>
      </c>
    </row>
    <row r="3448" spans="1:11" ht="42" customHeight="1">
      <c r="A3448" s="2" t="s">
        <v>7418</v>
      </c>
      <c r="B3448" s="2" t="s">
        <v>7418</v>
      </c>
      <c r="C3448" s="2" t="s">
        <v>16</v>
      </c>
      <c r="D3448" s="2" t="s">
        <v>17</v>
      </c>
      <c r="E3448" s="5">
        <v>-31570</v>
      </c>
      <c r="F3448" s="3" t="s">
        <v>1803</v>
      </c>
      <c r="G3448" s="3" t="s">
        <v>28</v>
      </c>
      <c r="H3448" s="2" t="s">
        <v>20</v>
      </c>
      <c r="I3448" s="2" t="s">
        <v>7419</v>
      </c>
      <c r="J3448" s="3" t="str">
        <f>HYPERLINK("https://www.boe.es/gazeta/dias/1813/07/24/pdfs/GRE-1813-94.pdf#page=8","Abrir facsímil")</f>
        <v>Abrir facsímil</v>
      </c>
      <c r="K3448" s="3" t="s">
        <v>22</v>
      </c>
    </row>
    <row r="3449" spans="1:11" ht="42" customHeight="1">
      <c r="A3449" s="2" t="s">
        <v>7420</v>
      </c>
      <c r="B3449" s="2" t="s">
        <v>7421</v>
      </c>
      <c r="C3449" s="2" t="s">
        <v>25</v>
      </c>
      <c r="D3449" s="2" t="s">
        <v>26</v>
      </c>
      <c r="E3449" s="5">
        <v>-31752</v>
      </c>
      <c r="F3449" s="3" t="s">
        <v>182</v>
      </c>
      <c r="G3449" s="3" t="s">
        <v>183</v>
      </c>
      <c r="H3449" s="2" t="s">
        <v>20</v>
      </c>
      <c r="I3449" s="2" t="s">
        <v>7422</v>
      </c>
      <c r="J3449" s="3" t="str">
        <f>HYPERLINK("https://www.boe.es/gazeta/dias/1813/01/23/pdfs/GRE-1813-10.pdf#page=8","Abrir facsímil")</f>
        <v>Abrir facsímil</v>
      </c>
      <c r="K3449" s="3" t="s">
        <v>22</v>
      </c>
    </row>
    <row r="3450" spans="1:11" ht="42" customHeight="1">
      <c r="A3450" s="2" t="s">
        <v>7423</v>
      </c>
      <c r="B3450" s="2" t="s">
        <v>7423</v>
      </c>
      <c r="C3450" s="2" t="s">
        <v>16</v>
      </c>
      <c r="D3450" s="2" t="s">
        <v>17</v>
      </c>
      <c r="E3450" s="5">
        <v>-31726</v>
      </c>
      <c r="F3450" s="3" t="s">
        <v>493</v>
      </c>
      <c r="G3450" s="3" t="s">
        <v>54</v>
      </c>
      <c r="H3450" s="2" t="s">
        <v>20</v>
      </c>
      <c r="I3450" s="2" t="s">
        <v>7424</v>
      </c>
      <c r="J3450" s="3" t="str">
        <f>HYPERLINK("https://www.boe.es/gazeta/dias/1813/02/18/pdfs/GMD-1813-49.pdf#page=3","Abrir facsímil")</f>
        <v>Abrir facsímil</v>
      </c>
      <c r="K3450" s="3" t="s">
        <v>22</v>
      </c>
    </row>
    <row r="3451" spans="1:11" ht="42" customHeight="1">
      <c r="A3451" s="2" t="s">
        <v>7425</v>
      </c>
      <c r="B3451" s="2" t="s">
        <v>7425</v>
      </c>
      <c r="C3451" s="2" t="s">
        <v>16</v>
      </c>
      <c r="D3451" s="2" t="s">
        <v>17</v>
      </c>
      <c r="E3451" s="5">
        <v>-31418</v>
      </c>
      <c r="F3451" s="3" t="s">
        <v>1529</v>
      </c>
      <c r="G3451" s="3" t="s">
        <v>58</v>
      </c>
      <c r="H3451" s="2" t="s">
        <v>20</v>
      </c>
      <c r="I3451" s="2" t="s">
        <v>7426</v>
      </c>
      <c r="J3451" s="3" t="str">
        <f>HYPERLINK("https://www.boe.es/gazeta/dias/1813/12/23/pdfs/GMR-1813-91.pdf#page=2","Abrir facsímil")</f>
        <v>Abrir facsímil</v>
      </c>
      <c r="K3451" s="3" t="s">
        <v>22</v>
      </c>
    </row>
    <row r="3452" spans="1:11" ht="42" customHeight="1">
      <c r="A3452" s="2" t="s">
        <v>7427</v>
      </c>
      <c r="B3452" s="2" t="s">
        <v>7427</v>
      </c>
      <c r="C3452" s="2" t="s">
        <v>16</v>
      </c>
      <c r="D3452" s="2" t="s">
        <v>17</v>
      </c>
      <c r="E3452" s="5">
        <v>-31453</v>
      </c>
      <c r="F3452" s="3" t="s">
        <v>887</v>
      </c>
      <c r="G3452" s="3" t="s">
        <v>58</v>
      </c>
      <c r="H3452" s="2" t="s">
        <v>20</v>
      </c>
      <c r="I3452" s="2" t="s">
        <v>7428</v>
      </c>
      <c r="J3452" s="3" t="str">
        <f>HYPERLINK("https://www.boe.es/gazeta/dias/1813/11/18/pdfs/GMR-1813-76.pdf#page=2","Abrir facsímil")</f>
        <v>Abrir facsímil</v>
      </c>
      <c r="K3452" s="3" t="s">
        <v>22</v>
      </c>
    </row>
    <row r="3453" spans="1:11" ht="42" customHeight="1">
      <c r="A3453" s="2" t="s">
        <v>7429</v>
      </c>
      <c r="B3453" s="2" t="s">
        <v>7430</v>
      </c>
      <c r="C3453" s="2" t="s">
        <v>34</v>
      </c>
      <c r="D3453" s="2" t="s">
        <v>35</v>
      </c>
      <c r="E3453" s="5">
        <v>-31709</v>
      </c>
      <c r="F3453" s="3" t="s">
        <v>36</v>
      </c>
      <c r="G3453" s="3" t="s">
        <v>19</v>
      </c>
      <c r="H3453" s="2" t="s">
        <v>20</v>
      </c>
      <c r="I3453" s="2" t="s">
        <v>7431</v>
      </c>
      <c r="J3453" s="3" t="str">
        <f>HYPERLINK("https://www.boe.es/gazeta/dias/1813/03/07/pdfs/GMD-1813-66.pdf#page=4","Abrir facsímil")</f>
        <v>Abrir facsímil</v>
      </c>
      <c r="K3453" s="3" t="s">
        <v>22</v>
      </c>
    </row>
    <row r="3454" spans="1:11" ht="42" customHeight="1">
      <c r="A3454" s="2" t="s">
        <v>7432</v>
      </c>
      <c r="B3454" s="2" t="s">
        <v>7433</v>
      </c>
      <c r="C3454" s="2" t="s">
        <v>25</v>
      </c>
      <c r="D3454" s="2" t="s">
        <v>26</v>
      </c>
      <c r="E3454" s="5">
        <v>-31677</v>
      </c>
      <c r="F3454" s="3" t="s">
        <v>76</v>
      </c>
      <c r="G3454" s="3" t="s">
        <v>28</v>
      </c>
      <c r="H3454" s="2" t="s">
        <v>20</v>
      </c>
      <c r="I3454" s="2" t="s">
        <v>7434</v>
      </c>
      <c r="J3454" s="3" t="str">
        <f>HYPERLINK("https://www.boe.es/gazeta/dias/1813/04/08/pdfs/GRE-1813-43.pdf#page=8","Abrir facsímil")</f>
        <v>Abrir facsímil</v>
      </c>
      <c r="K3454" s="3" t="s">
        <v>22</v>
      </c>
    </row>
    <row r="3455" spans="1:11" ht="42" customHeight="1">
      <c r="A3455" s="2" t="s">
        <v>7435</v>
      </c>
      <c r="B3455" s="2" t="s">
        <v>7436</v>
      </c>
      <c r="C3455" s="2" t="s">
        <v>16</v>
      </c>
      <c r="D3455" s="2" t="s">
        <v>17</v>
      </c>
      <c r="E3455" s="5">
        <v>-31681</v>
      </c>
      <c r="F3455" s="3" t="s">
        <v>925</v>
      </c>
      <c r="G3455" s="3" t="s">
        <v>19</v>
      </c>
      <c r="H3455" s="2" t="s">
        <v>20</v>
      </c>
      <c r="I3455" s="2" t="s">
        <v>7437</v>
      </c>
      <c r="J3455" s="3" t="str">
        <f>HYPERLINK("https://www.boe.es/gazeta/dias/1813/04/04/pdfs/GMD-1813-94.pdf#page=4","Abrir facsímil")</f>
        <v>Abrir facsímil</v>
      </c>
      <c r="K3455" s="3" t="s">
        <v>22</v>
      </c>
    </row>
    <row r="3456" spans="1:11" ht="42" customHeight="1">
      <c r="A3456" s="2" t="s">
        <v>7435</v>
      </c>
      <c r="B3456" s="2" t="s">
        <v>7436</v>
      </c>
      <c r="C3456" s="2" t="s">
        <v>34</v>
      </c>
      <c r="D3456" s="2" t="s">
        <v>35</v>
      </c>
      <c r="E3456" s="5">
        <v>-31675</v>
      </c>
      <c r="F3456" s="3" t="s">
        <v>2552</v>
      </c>
      <c r="G3456" s="3" t="s">
        <v>19</v>
      </c>
      <c r="H3456" s="2" t="s">
        <v>20</v>
      </c>
      <c r="I3456" s="2" t="s">
        <v>7438</v>
      </c>
      <c r="J3456" s="3" t="str">
        <f>HYPERLINK("https://www.boe.es/gazeta/dias/1813/04/10/pdfs/GMD-1813-100.pdf#page=4","Abrir facsímil")</f>
        <v>Abrir facsímil</v>
      </c>
      <c r="K3456" s="3" t="s">
        <v>22</v>
      </c>
    </row>
    <row r="3457" spans="1:11" ht="42" customHeight="1">
      <c r="A3457" s="2" t="s">
        <v>7435</v>
      </c>
      <c r="B3457" s="2" t="s">
        <v>7436</v>
      </c>
      <c r="C3457" s="2" t="s">
        <v>25</v>
      </c>
      <c r="D3457" s="2" t="s">
        <v>26</v>
      </c>
      <c r="E3457" s="5">
        <v>-31653</v>
      </c>
      <c r="F3457" s="3" t="s">
        <v>3121</v>
      </c>
      <c r="G3457" s="3" t="s">
        <v>6674</v>
      </c>
      <c r="H3457" s="2" t="s">
        <v>20</v>
      </c>
      <c r="I3457" s="2" t="s">
        <v>7439</v>
      </c>
      <c r="J3457" s="3" t="str">
        <f>HYPERLINK("https://www.boe.es/gazeta/dias/1813/05/02/pdfs/GMD-1813-122.pdf#page=4","Abrir facsímil")</f>
        <v>Abrir facsímil</v>
      </c>
      <c r="K3457" s="3" t="s">
        <v>22</v>
      </c>
    </row>
    <row r="3458" spans="1:11" ht="42" customHeight="1">
      <c r="A3458" s="2" t="s">
        <v>7440</v>
      </c>
      <c r="B3458" s="2" t="s">
        <v>7441</v>
      </c>
      <c r="C3458" s="2" t="s">
        <v>16</v>
      </c>
      <c r="D3458" s="2" t="s">
        <v>17</v>
      </c>
      <c r="E3458" s="5">
        <v>-31542</v>
      </c>
      <c r="F3458" s="3" t="s">
        <v>337</v>
      </c>
      <c r="G3458" s="3" t="s">
        <v>54</v>
      </c>
      <c r="H3458" s="2" t="s">
        <v>20</v>
      </c>
      <c r="I3458" s="2" t="s">
        <v>7442</v>
      </c>
      <c r="J3458" s="3" t="str">
        <f>HYPERLINK("https://www.boe.es/gazeta/dias/1813/08/21/pdfs/GRE-1813-107.pdf#page=3","Abrir facsímil")</f>
        <v>Abrir facsímil</v>
      </c>
      <c r="K3458" s="3" t="s">
        <v>22</v>
      </c>
    </row>
    <row r="3459" spans="1:11" ht="42" customHeight="1">
      <c r="A3459" s="2" t="s">
        <v>7443</v>
      </c>
      <c r="B3459" s="2" t="s">
        <v>7444</v>
      </c>
      <c r="C3459" s="2" t="s">
        <v>25</v>
      </c>
      <c r="D3459" s="2" t="s">
        <v>26</v>
      </c>
      <c r="E3459" s="5">
        <v>-31745</v>
      </c>
      <c r="F3459" s="3" t="s">
        <v>445</v>
      </c>
      <c r="G3459" s="3" t="s">
        <v>475</v>
      </c>
      <c r="H3459" s="2" t="s">
        <v>20</v>
      </c>
      <c r="I3459" s="2" t="s">
        <v>7445</v>
      </c>
      <c r="J3459" s="3" t="str">
        <f>HYPERLINK("https://www.boe.es/gazeta/dias/1813/01/30/pdfs/GRE-1813-13.pdf#page=7","Abrir facsímil")</f>
        <v>Abrir facsímil</v>
      </c>
      <c r="K3459" s="3" t="s">
        <v>22</v>
      </c>
    </row>
    <row r="3460" spans="1:11" ht="42" customHeight="1">
      <c r="A3460" s="2" t="s">
        <v>7446</v>
      </c>
      <c r="B3460" s="2" t="s">
        <v>7447</v>
      </c>
      <c r="C3460" s="2" t="s">
        <v>16</v>
      </c>
      <c r="D3460" s="2" t="s">
        <v>17</v>
      </c>
      <c r="E3460" s="5">
        <v>-31591</v>
      </c>
      <c r="F3460" s="3" t="s">
        <v>2123</v>
      </c>
      <c r="G3460" s="3" t="s">
        <v>82</v>
      </c>
      <c r="H3460" s="2" t="s">
        <v>20</v>
      </c>
      <c r="I3460" s="2" t="s">
        <v>7448</v>
      </c>
      <c r="J3460" s="3" t="str">
        <f>HYPERLINK("https://www.boe.es/gazeta/dias/1813/07/03/pdfs/GRE-1813-83.pdf#page=5","Abrir facsímil")</f>
        <v>Abrir facsímil</v>
      </c>
      <c r="K3460" s="3" t="s">
        <v>22</v>
      </c>
    </row>
    <row r="3461" spans="1:11" ht="42" customHeight="1">
      <c r="A3461" s="2" t="s">
        <v>7449</v>
      </c>
      <c r="B3461" s="2" t="s">
        <v>7450</v>
      </c>
      <c r="C3461" s="2" t="s">
        <v>25</v>
      </c>
      <c r="D3461" s="2" t="s">
        <v>26</v>
      </c>
      <c r="E3461" s="5">
        <v>-31752</v>
      </c>
      <c r="F3461" s="3" t="s">
        <v>182</v>
      </c>
      <c r="G3461" s="3" t="s">
        <v>183</v>
      </c>
      <c r="H3461" s="2" t="s">
        <v>20</v>
      </c>
      <c r="I3461" s="2" t="s">
        <v>7451</v>
      </c>
      <c r="J3461" s="3" t="str">
        <f>HYPERLINK("https://www.boe.es/gazeta/dias/1813/01/23/pdfs/GRE-1813-10.pdf#page=8","Abrir facsímil")</f>
        <v>Abrir facsímil</v>
      </c>
      <c r="K3461" s="3" t="s">
        <v>22</v>
      </c>
    </row>
    <row r="3462" spans="1:11" ht="42" customHeight="1">
      <c r="A3462" s="2" t="s">
        <v>7452</v>
      </c>
      <c r="B3462" s="2" t="s">
        <v>7453</v>
      </c>
      <c r="C3462" s="2" t="s">
        <v>16</v>
      </c>
      <c r="D3462" s="2" t="s">
        <v>17</v>
      </c>
      <c r="E3462" s="5">
        <v>-31770</v>
      </c>
      <c r="F3462" s="3" t="s">
        <v>188</v>
      </c>
      <c r="G3462" s="3" t="s">
        <v>95</v>
      </c>
      <c r="H3462" s="2" t="s">
        <v>20</v>
      </c>
      <c r="I3462" s="2" t="s">
        <v>7454</v>
      </c>
      <c r="J3462" s="3" t="str">
        <f>HYPERLINK("https://www.boe.es/gazeta/dias/1813/01/05/pdfs/GRE-1813-3.pdf#page=6","Abrir facsímil")</f>
        <v>Abrir facsímil</v>
      </c>
      <c r="K3462" s="3" t="s">
        <v>22</v>
      </c>
    </row>
    <row r="3463" spans="1:11" ht="42" customHeight="1">
      <c r="A3463" s="2" t="s">
        <v>7452</v>
      </c>
      <c r="B3463" s="2" t="s">
        <v>7453</v>
      </c>
      <c r="C3463" s="2" t="s">
        <v>16</v>
      </c>
      <c r="D3463" s="2" t="s">
        <v>17</v>
      </c>
      <c r="E3463" s="5">
        <v>-31768</v>
      </c>
      <c r="F3463" s="3" t="s">
        <v>188</v>
      </c>
      <c r="G3463" s="3" t="s">
        <v>95</v>
      </c>
      <c r="H3463" s="2" t="s">
        <v>20</v>
      </c>
      <c r="I3463" s="2" t="s">
        <v>7454</v>
      </c>
      <c r="J3463" s="3" t="str">
        <f>HYPERLINK("https://www.boe.es/gazeta/dias/1813/01/07/pdfs/GRE-1813-3.pdf#page=6","Abrir facsímil")</f>
        <v>Abrir facsímil</v>
      </c>
      <c r="K3463" s="3" t="s">
        <v>22</v>
      </c>
    </row>
    <row r="3464" spans="1:11" ht="42" customHeight="1">
      <c r="A3464" s="2" t="s">
        <v>7455</v>
      </c>
      <c r="B3464" s="2" t="s">
        <v>7456</v>
      </c>
      <c r="C3464" s="2" t="s">
        <v>34</v>
      </c>
      <c r="D3464" s="2" t="s">
        <v>35</v>
      </c>
      <c r="E3464" s="5">
        <v>-31476</v>
      </c>
      <c r="F3464" s="3" t="s">
        <v>158</v>
      </c>
      <c r="G3464" s="3" t="s">
        <v>28</v>
      </c>
      <c r="H3464" s="2" t="s">
        <v>20</v>
      </c>
      <c r="I3464" s="2" t="s">
        <v>7457</v>
      </c>
      <c r="J3464" s="3" t="str">
        <f>HYPERLINK("https://www.boe.es/gazeta/dias/1813/10/26/pdfs/GMR-1813-64.pdf#page=8","Abrir facsímil")</f>
        <v>Abrir facsímil</v>
      </c>
      <c r="K3464" s="3" t="s">
        <v>22</v>
      </c>
    </row>
    <row r="3465" spans="1:11" ht="42" customHeight="1">
      <c r="A3465" s="2" t="s">
        <v>7458</v>
      </c>
      <c r="B3465" s="2" t="s">
        <v>7458</v>
      </c>
      <c r="C3465" s="2" t="s">
        <v>187</v>
      </c>
      <c r="D3465" s="2" t="s">
        <v>26</v>
      </c>
      <c r="E3465" s="5">
        <v>-31502</v>
      </c>
      <c r="F3465" s="3" t="s">
        <v>257</v>
      </c>
      <c r="G3465" s="3" t="s">
        <v>58</v>
      </c>
      <c r="H3465" s="2" t="s">
        <v>20</v>
      </c>
      <c r="I3465" s="2" t="s">
        <v>7459</v>
      </c>
      <c r="J3465" s="3" t="str">
        <f>HYPERLINK("https://www.boe.es/gazeta/dias/1813/09/30/pdfs/GMR-1813-51.pdf#page=2","Abrir facsímil")</f>
        <v>Abrir facsímil</v>
      </c>
      <c r="K3465" s="3" t="s">
        <v>22</v>
      </c>
    </row>
    <row r="3466" spans="1:11" ht="42" customHeight="1">
      <c r="A3466" s="2" t="s">
        <v>7460</v>
      </c>
      <c r="B3466" s="2" t="s">
        <v>7460</v>
      </c>
      <c r="C3466" s="2" t="s">
        <v>187</v>
      </c>
      <c r="D3466" s="2" t="s">
        <v>97</v>
      </c>
      <c r="E3466" s="5">
        <v>-31511</v>
      </c>
      <c r="F3466" s="3" t="s">
        <v>3791</v>
      </c>
      <c r="G3466" s="3" t="s">
        <v>4648</v>
      </c>
      <c r="H3466" s="2" t="s">
        <v>20</v>
      </c>
      <c r="I3466" s="2" t="s">
        <v>7461</v>
      </c>
      <c r="J3466" s="3" t="str">
        <f>HYPERLINK("https://www.boe.es/gazeta/dias/1813/09/21/pdfs/GRE-1813-124E.pdf#page=2","Abrir facsímil")</f>
        <v>Abrir facsímil</v>
      </c>
      <c r="K3466" s="3" t="s">
        <v>22</v>
      </c>
    </row>
    <row r="3467" spans="1:11" ht="42" customHeight="1">
      <c r="A3467" s="2" t="s">
        <v>7462</v>
      </c>
      <c r="B3467" s="2" t="s">
        <v>7463</v>
      </c>
      <c r="C3467" s="2" t="s">
        <v>16</v>
      </c>
      <c r="D3467" s="2" t="s">
        <v>97</v>
      </c>
      <c r="E3467" s="5">
        <v>-31519</v>
      </c>
      <c r="F3467" s="3" t="s">
        <v>312</v>
      </c>
      <c r="G3467" s="3" t="s">
        <v>28</v>
      </c>
      <c r="H3467" s="2" t="s">
        <v>20</v>
      </c>
      <c r="I3467" s="2" t="s">
        <v>7464</v>
      </c>
      <c r="J3467" s="3" t="str">
        <f>HYPERLINK("https://www.boe.es/gazeta/dias/1813/09/13/pdfs/GRE-1813-118E.pdf#page=8","Abrir facsímil")</f>
        <v>Abrir facsímil</v>
      </c>
      <c r="K3467" s="3" t="s">
        <v>22</v>
      </c>
    </row>
    <row r="3468" spans="1:11" ht="42" customHeight="1">
      <c r="A3468" s="2" t="s">
        <v>7462</v>
      </c>
      <c r="B3468" s="2" t="s">
        <v>7463</v>
      </c>
      <c r="C3468" s="2" t="s">
        <v>16</v>
      </c>
      <c r="D3468" s="2" t="s">
        <v>17</v>
      </c>
      <c r="E3468" s="5">
        <v>-31507</v>
      </c>
      <c r="F3468" s="3" t="s">
        <v>61</v>
      </c>
      <c r="G3468" s="3" t="s">
        <v>791</v>
      </c>
      <c r="H3468" s="2" t="s">
        <v>20</v>
      </c>
      <c r="I3468" s="2" t="s">
        <v>7465</v>
      </c>
      <c r="J3468" s="3" t="str">
        <f>HYPERLINK("https://www.boe.es/gazeta/dias/1813/09/25/pdfs/GMR-1813-48.pdf#page=7","Abrir facsímil")</f>
        <v>Abrir facsímil</v>
      </c>
      <c r="K3468" s="3" t="s">
        <v>22</v>
      </c>
    </row>
    <row r="3469" spans="1:11" ht="42" customHeight="1">
      <c r="A3469" s="2" t="s">
        <v>7466</v>
      </c>
      <c r="B3469" s="2" t="s">
        <v>7467</v>
      </c>
      <c r="C3469" s="2" t="s">
        <v>16</v>
      </c>
      <c r="D3469" s="2" t="s">
        <v>17</v>
      </c>
      <c r="E3469" s="5">
        <v>-31744</v>
      </c>
      <c r="F3469" s="3" t="s">
        <v>5679</v>
      </c>
      <c r="G3469" s="3" t="s">
        <v>19</v>
      </c>
      <c r="H3469" s="2" t="s">
        <v>20</v>
      </c>
      <c r="I3469" s="2" t="s">
        <v>7468</v>
      </c>
      <c r="J3469" s="3" t="str">
        <f>HYPERLINK("https://www.boe.es/gazeta/dias/1813/01/31/pdfs/GMD-1813-31.pdf#page=4","Abrir facsímil")</f>
        <v>Abrir facsímil</v>
      </c>
      <c r="K3469" s="3" t="s">
        <v>22</v>
      </c>
    </row>
    <row r="3470" spans="1:11" ht="42" customHeight="1">
      <c r="A3470" s="2" t="s">
        <v>7469</v>
      </c>
      <c r="B3470" s="2" t="s">
        <v>7470</v>
      </c>
      <c r="C3470" s="2" t="s">
        <v>16</v>
      </c>
      <c r="D3470" s="2" t="s">
        <v>17</v>
      </c>
      <c r="E3470" s="5">
        <v>-31582</v>
      </c>
      <c r="F3470" s="3" t="s">
        <v>907</v>
      </c>
      <c r="G3470" s="3" t="s">
        <v>87</v>
      </c>
      <c r="H3470" s="2" t="s">
        <v>20</v>
      </c>
      <c r="I3470" s="2" t="s">
        <v>7471</v>
      </c>
      <c r="J3470" s="3" t="str">
        <f>HYPERLINK("https://www.boe.es/gazeta/dias/1813/07/12/pdfs/GRE-1813-87.pdf#page=7","Abrir facsímil")</f>
        <v>Abrir facsímil</v>
      </c>
      <c r="K3470" s="3" t="s">
        <v>22</v>
      </c>
    </row>
    <row r="3471" spans="1:11" ht="42" customHeight="1">
      <c r="A3471" s="2" t="s">
        <v>7472</v>
      </c>
      <c r="B3471" s="2" t="s">
        <v>7473</v>
      </c>
      <c r="C3471" s="2" t="s">
        <v>16</v>
      </c>
      <c r="D3471" s="2" t="s">
        <v>17</v>
      </c>
      <c r="E3471" s="5">
        <v>-31574</v>
      </c>
      <c r="F3471" s="3" t="s">
        <v>1343</v>
      </c>
      <c r="G3471" s="3" t="s">
        <v>178</v>
      </c>
      <c r="H3471" s="2" t="s">
        <v>20</v>
      </c>
      <c r="I3471" s="2" t="s">
        <v>7474</v>
      </c>
      <c r="J3471" s="3" t="str">
        <f>HYPERLINK("https://www.boe.es/gazeta/dias/1813/07/20/pdfs/GMR-1813-19.pdf#page=11","Abrir facsímil")</f>
        <v>Abrir facsímil</v>
      </c>
      <c r="K3471" s="3" t="s">
        <v>22</v>
      </c>
    </row>
    <row r="3472" spans="1:11" ht="42" customHeight="1">
      <c r="A3472" s="2" t="s">
        <v>7475</v>
      </c>
      <c r="B3472" s="2" t="s">
        <v>7476</v>
      </c>
      <c r="C3472" s="2" t="s">
        <v>25</v>
      </c>
      <c r="D3472" s="2" t="s">
        <v>26</v>
      </c>
      <c r="E3472" s="5">
        <v>-31546</v>
      </c>
      <c r="F3472" s="3" t="s">
        <v>2057</v>
      </c>
      <c r="G3472" s="3" t="s">
        <v>87</v>
      </c>
      <c r="H3472" s="2" t="s">
        <v>20</v>
      </c>
      <c r="I3472" s="2" t="s">
        <v>7477</v>
      </c>
      <c r="J3472" s="3" t="str">
        <f>HYPERLINK("https://www.boe.es/gazeta/dias/1813/08/17/pdfs/GRE-1813-105.pdf#page=7","Abrir facsímil")</f>
        <v>Abrir facsímil</v>
      </c>
      <c r="K3472" s="3" t="s">
        <v>22</v>
      </c>
    </row>
    <row r="3473" spans="1:11" ht="42" customHeight="1">
      <c r="A3473" s="2" t="s">
        <v>7478</v>
      </c>
      <c r="B3473" s="2" t="s">
        <v>7479</v>
      </c>
      <c r="C3473" s="2" t="s">
        <v>16</v>
      </c>
      <c r="D3473" s="2" t="s">
        <v>17</v>
      </c>
      <c r="E3473" s="5">
        <v>-31476</v>
      </c>
      <c r="F3473" s="3" t="s">
        <v>158</v>
      </c>
      <c r="G3473" s="3" t="s">
        <v>95</v>
      </c>
      <c r="H3473" s="2" t="s">
        <v>20</v>
      </c>
      <c r="I3473" s="2" t="s">
        <v>7480</v>
      </c>
      <c r="J3473" s="3" t="str">
        <f>HYPERLINK("https://www.boe.es/gazeta/dias/1813/10/26/pdfs/GMR-1813-64.pdf#page=6","Abrir facsímil")</f>
        <v>Abrir facsímil</v>
      </c>
      <c r="K3473" s="3" t="s">
        <v>22</v>
      </c>
    </row>
    <row r="3474" spans="1:11" ht="42" customHeight="1">
      <c r="A3474" s="2" t="s">
        <v>7481</v>
      </c>
      <c r="B3474" s="2" t="s">
        <v>7482</v>
      </c>
      <c r="C3474" s="2" t="s">
        <v>34</v>
      </c>
      <c r="D3474" s="2" t="s">
        <v>35</v>
      </c>
      <c r="E3474" s="5">
        <v>-31542</v>
      </c>
      <c r="F3474" s="3" t="s">
        <v>347</v>
      </c>
      <c r="G3474" s="3" t="s">
        <v>28</v>
      </c>
      <c r="H3474" s="2" t="s">
        <v>20</v>
      </c>
      <c r="I3474" s="2" t="s">
        <v>7483</v>
      </c>
      <c r="J3474" s="3" t="str">
        <f>HYPERLINK("https://www.boe.es/gazeta/dias/1813/08/21/pdfs/GMR-1813-31.pdf#page=8","Abrir facsímil")</f>
        <v>Abrir facsímil</v>
      </c>
      <c r="K3474" s="3" t="s">
        <v>22</v>
      </c>
    </row>
    <row r="3475" spans="1:11" ht="42" customHeight="1">
      <c r="A3475" s="2" t="s">
        <v>7484</v>
      </c>
      <c r="B3475" s="2" t="s">
        <v>7485</v>
      </c>
      <c r="C3475" s="2" t="s">
        <v>34</v>
      </c>
      <c r="D3475" s="2" t="s">
        <v>35</v>
      </c>
      <c r="E3475" s="5">
        <v>-31709</v>
      </c>
      <c r="F3475" s="3" t="s">
        <v>36</v>
      </c>
      <c r="G3475" s="3" t="s">
        <v>19</v>
      </c>
      <c r="H3475" s="2" t="s">
        <v>20</v>
      </c>
      <c r="I3475" s="2" t="s">
        <v>7486</v>
      </c>
      <c r="J3475" s="3" t="str">
        <f>HYPERLINK("https://www.boe.es/gazeta/dias/1813/03/07/pdfs/GMD-1813-66.pdf#page=4","Abrir facsímil")</f>
        <v>Abrir facsímil</v>
      </c>
      <c r="K3475" s="3" t="s">
        <v>22</v>
      </c>
    </row>
    <row r="3476" spans="1:11" ht="42" customHeight="1">
      <c r="A3476" s="2" t="s">
        <v>7487</v>
      </c>
      <c r="B3476" s="2" t="s">
        <v>7488</v>
      </c>
      <c r="C3476" s="2" t="s">
        <v>109</v>
      </c>
      <c r="D3476" s="2" t="s">
        <v>26</v>
      </c>
      <c r="E3476" s="5">
        <v>-31690</v>
      </c>
      <c r="F3476" s="3" t="s">
        <v>2575</v>
      </c>
      <c r="G3476" s="3" t="s">
        <v>19</v>
      </c>
      <c r="H3476" s="2" t="s">
        <v>20</v>
      </c>
      <c r="I3476" s="2" t="s">
        <v>7489</v>
      </c>
      <c r="J3476" s="3" t="str">
        <f>HYPERLINK("https://www.boe.es/gazeta/dias/1813/03/26/pdfs/GMD-1813-85.pdf#page=4","Abrir facsímil")</f>
        <v>Abrir facsímil</v>
      </c>
      <c r="K3476" s="3" t="s">
        <v>22</v>
      </c>
    </row>
    <row r="3477" spans="1:11" ht="42" customHeight="1">
      <c r="A3477" s="2" t="s">
        <v>7487</v>
      </c>
      <c r="B3477" s="2" t="s">
        <v>7488</v>
      </c>
      <c r="C3477" s="2" t="s">
        <v>277</v>
      </c>
      <c r="D3477" s="2" t="s">
        <v>26</v>
      </c>
      <c r="E3477" s="5">
        <v>-31640</v>
      </c>
      <c r="F3477" s="3" t="s">
        <v>3174</v>
      </c>
      <c r="G3477" s="3" t="s">
        <v>19</v>
      </c>
      <c r="H3477" s="2" t="s">
        <v>20</v>
      </c>
      <c r="I3477" s="2" t="s">
        <v>7490</v>
      </c>
      <c r="J3477" s="3" t="str">
        <f>HYPERLINK("https://www.boe.es/gazeta/dias/1813/05/15/pdfs/GMD-1813-135.pdf#page=4","Abrir facsímil")</f>
        <v>Abrir facsímil</v>
      </c>
      <c r="K3477" s="3" t="s">
        <v>22</v>
      </c>
    </row>
    <row r="3478" spans="1:11" ht="42" customHeight="1">
      <c r="A3478" s="2" t="s">
        <v>7491</v>
      </c>
      <c r="B3478" s="2" t="s">
        <v>7492</v>
      </c>
      <c r="C3478" s="2" t="s">
        <v>16</v>
      </c>
      <c r="D3478" s="2" t="s">
        <v>17</v>
      </c>
      <c r="E3478" s="5">
        <v>-31565</v>
      </c>
      <c r="F3478" s="3" t="s">
        <v>306</v>
      </c>
      <c r="G3478" s="3" t="s">
        <v>95</v>
      </c>
      <c r="H3478" s="2" t="s">
        <v>20</v>
      </c>
      <c r="I3478" s="2" t="s">
        <v>7493</v>
      </c>
      <c r="J3478" s="3" t="str">
        <f>HYPERLINK("https://www.boe.es/gazeta/dias/1813/07/29/pdfs/GRE-1813-96.pdf#page=6","Abrir facsímil")</f>
        <v>Abrir facsímil</v>
      </c>
      <c r="K3478" s="3" t="s">
        <v>22</v>
      </c>
    </row>
    <row r="3479" spans="1:11" ht="42" customHeight="1">
      <c r="A3479" s="2" t="s">
        <v>7494</v>
      </c>
      <c r="B3479" s="2" t="s">
        <v>7495</v>
      </c>
      <c r="C3479" s="2" t="s">
        <v>187</v>
      </c>
      <c r="D3479" s="2" t="s">
        <v>26</v>
      </c>
      <c r="E3479" s="5">
        <v>-31448</v>
      </c>
      <c r="F3479" s="3" t="s">
        <v>57</v>
      </c>
      <c r="G3479" s="3" t="s">
        <v>28</v>
      </c>
      <c r="H3479" s="2" t="s">
        <v>20</v>
      </c>
      <c r="I3479" s="2" t="s">
        <v>7496</v>
      </c>
      <c r="J3479" s="3" t="str">
        <f>HYPERLINK("https://www.boe.es/gazeta/dias/1813/11/23/pdfs/GRE-1813-153.pdf#page=8","Abrir facsímil")</f>
        <v>Abrir facsímil</v>
      </c>
      <c r="K3479" s="3" t="s">
        <v>22</v>
      </c>
    </row>
    <row r="3480" spans="1:11" ht="42" customHeight="1">
      <c r="A3480" s="2" t="s">
        <v>7497</v>
      </c>
      <c r="B3480" s="2" t="s">
        <v>7497</v>
      </c>
      <c r="C3480" s="2" t="s">
        <v>16</v>
      </c>
      <c r="D3480" s="2" t="s">
        <v>17</v>
      </c>
      <c r="E3480" s="5">
        <v>-31481</v>
      </c>
      <c r="F3480" s="3" t="s">
        <v>380</v>
      </c>
      <c r="G3480" s="3" t="s">
        <v>95</v>
      </c>
      <c r="H3480" s="2" t="s">
        <v>20</v>
      </c>
      <c r="I3480" s="2" t="s">
        <v>7498</v>
      </c>
      <c r="J3480" s="3" t="str">
        <f>HYPERLINK("https://www.boe.es/gazeta/dias/1813/10/21/pdfs/GRE-1813-137.pdf#page=6","Abrir facsímil")</f>
        <v>Abrir facsímil</v>
      </c>
      <c r="K3480" s="3" t="s">
        <v>22</v>
      </c>
    </row>
    <row r="3481" spans="1:11" ht="42" customHeight="1">
      <c r="A3481" s="2" t="s">
        <v>7499</v>
      </c>
      <c r="B3481" s="2" t="s">
        <v>7499</v>
      </c>
      <c r="C3481" s="2" t="s">
        <v>16</v>
      </c>
      <c r="D3481" s="2" t="s">
        <v>17</v>
      </c>
      <c r="E3481" s="5">
        <v>-31710</v>
      </c>
      <c r="F3481" s="3" t="s">
        <v>4744</v>
      </c>
      <c r="G3481" s="3" t="s">
        <v>19</v>
      </c>
      <c r="H3481" s="2" t="s">
        <v>20</v>
      </c>
      <c r="I3481" s="2" t="s">
        <v>7500</v>
      </c>
      <c r="J3481" s="3" t="str">
        <f>HYPERLINK("https://www.boe.es/gazeta/dias/1813/03/06/pdfs/GMD-1813-65.pdf#page=4","Abrir facsímil")</f>
        <v>Abrir facsímil</v>
      </c>
      <c r="K3481" s="3" t="s">
        <v>22</v>
      </c>
    </row>
    <row r="3482" spans="1:11" ht="42" customHeight="1">
      <c r="A3482" s="2" t="s">
        <v>7499</v>
      </c>
      <c r="B3482" s="2" t="s">
        <v>7499</v>
      </c>
      <c r="C3482" s="2" t="s">
        <v>16</v>
      </c>
      <c r="D3482" s="2" t="s">
        <v>17</v>
      </c>
      <c r="E3482" s="5">
        <v>-31694</v>
      </c>
      <c r="F3482" s="3" t="s">
        <v>2756</v>
      </c>
      <c r="G3482" s="3" t="s">
        <v>19</v>
      </c>
      <c r="H3482" s="2" t="s">
        <v>20</v>
      </c>
      <c r="I3482" s="2" t="s">
        <v>7501</v>
      </c>
      <c r="J3482" s="3" t="str">
        <f>HYPERLINK("https://www.boe.es/gazeta/dias/1813/03/22/pdfs/GMD-1813-81.pdf#page=4","Abrir facsímil")</f>
        <v>Abrir facsímil</v>
      </c>
      <c r="K3482" s="3" t="s">
        <v>22</v>
      </c>
    </row>
    <row r="3483" spans="1:11" ht="42" customHeight="1">
      <c r="A3483" s="2" t="s">
        <v>7499</v>
      </c>
      <c r="B3483" s="2" t="s">
        <v>7499</v>
      </c>
      <c r="C3483" s="2" t="s">
        <v>16</v>
      </c>
      <c r="D3483" s="2" t="s">
        <v>17</v>
      </c>
      <c r="E3483" s="5">
        <v>-31640</v>
      </c>
      <c r="F3483" s="3" t="s">
        <v>3174</v>
      </c>
      <c r="G3483" s="3" t="s">
        <v>58</v>
      </c>
      <c r="H3483" s="2" t="s">
        <v>20</v>
      </c>
      <c r="I3483" s="2" t="s">
        <v>7502</v>
      </c>
      <c r="J3483" s="3" t="str">
        <f>HYPERLINK("https://www.boe.es/gazeta/dias/1813/05/15/pdfs/GMD-1813-135.pdf#page=2","Abrir facsímil")</f>
        <v>Abrir facsímil</v>
      </c>
      <c r="K3483" s="3" t="s">
        <v>22</v>
      </c>
    </row>
    <row r="3484" spans="1:11" ht="42" customHeight="1">
      <c r="A3484" s="2" t="s">
        <v>7503</v>
      </c>
      <c r="B3484" s="2" t="s">
        <v>7503</v>
      </c>
      <c r="C3484" s="2" t="s">
        <v>16</v>
      </c>
      <c r="D3484" s="2" t="s">
        <v>17</v>
      </c>
      <c r="E3484" s="5">
        <v>-31710</v>
      </c>
      <c r="F3484" s="3" t="s">
        <v>4744</v>
      </c>
      <c r="G3484" s="3" t="s">
        <v>19</v>
      </c>
      <c r="H3484" s="2" t="s">
        <v>20</v>
      </c>
      <c r="I3484" s="2" t="s">
        <v>7504</v>
      </c>
      <c r="J3484" s="3" t="str">
        <f>HYPERLINK("https://www.boe.es/gazeta/dias/1813/03/06/pdfs/GMD-1813-65.pdf#page=4","Abrir facsímil")</f>
        <v>Abrir facsímil</v>
      </c>
      <c r="K3484" s="3" t="s">
        <v>22</v>
      </c>
    </row>
    <row r="3485" spans="1:11" ht="42" customHeight="1">
      <c r="A3485" s="2" t="s">
        <v>7505</v>
      </c>
      <c r="B3485" s="2" t="s">
        <v>7506</v>
      </c>
      <c r="C3485" s="2" t="s">
        <v>16</v>
      </c>
      <c r="D3485" s="2" t="s">
        <v>17</v>
      </c>
      <c r="E3485" s="5">
        <v>-31613</v>
      </c>
      <c r="F3485" s="3" t="s">
        <v>1629</v>
      </c>
      <c r="G3485" s="3" t="s">
        <v>19</v>
      </c>
      <c r="H3485" s="2" t="s">
        <v>20</v>
      </c>
      <c r="I3485" s="2" t="s">
        <v>7507</v>
      </c>
      <c r="J3485" s="3" t="str">
        <f>HYPERLINK("https://www.boe.es/gazeta/dias/1813/06/11/pdfs/GMR-1813-4.pdf#page=4","Abrir facsímil")</f>
        <v>Abrir facsímil</v>
      </c>
      <c r="K3485" s="3" t="s">
        <v>22</v>
      </c>
    </row>
    <row r="3486" spans="1:11" ht="42" customHeight="1">
      <c r="A3486" s="2" t="s">
        <v>7508</v>
      </c>
      <c r="B3486" s="2" t="s">
        <v>7509</v>
      </c>
      <c r="C3486" s="2" t="s">
        <v>16</v>
      </c>
      <c r="D3486" s="2" t="s">
        <v>17</v>
      </c>
      <c r="E3486" s="5">
        <v>-31727</v>
      </c>
      <c r="F3486" s="3" t="s">
        <v>3767</v>
      </c>
      <c r="G3486" s="3" t="s">
        <v>65</v>
      </c>
      <c r="H3486" s="2" t="s">
        <v>20</v>
      </c>
      <c r="I3486" s="2" t="s">
        <v>7510</v>
      </c>
      <c r="J3486" s="3" t="str">
        <f>HYPERLINK("https://www.boe.es/gazeta/dias/1813/02/17/pdfs/GMD-1813-48.pdf#page=1","Abrir facsímil")</f>
        <v>Abrir facsímil</v>
      </c>
      <c r="K3486" s="3" t="s">
        <v>22</v>
      </c>
    </row>
    <row r="3487" spans="1:11" ht="42" customHeight="1">
      <c r="A3487" s="2" t="s">
        <v>7511</v>
      </c>
      <c r="B3487" s="2" t="s">
        <v>7511</v>
      </c>
      <c r="C3487" s="2" t="s">
        <v>16</v>
      </c>
      <c r="D3487" s="2" t="s">
        <v>17</v>
      </c>
      <c r="E3487" s="5">
        <v>-31571</v>
      </c>
      <c r="F3487" s="3" t="s">
        <v>788</v>
      </c>
      <c r="G3487" s="3" t="s">
        <v>2657</v>
      </c>
      <c r="H3487" s="2" t="s">
        <v>20</v>
      </c>
      <c r="I3487" s="2" t="s">
        <v>7512</v>
      </c>
      <c r="J3487" s="3" t="str">
        <f>HYPERLINK("https://www.boe.es/gazeta/dias/1813/07/23/pdfs/GMR-1813-20.pdf#page=11","Abrir facsímil")</f>
        <v>Abrir facsímil</v>
      </c>
      <c r="K3487" s="3" t="s">
        <v>22</v>
      </c>
    </row>
    <row r="3488" spans="1:11" ht="42" customHeight="1">
      <c r="A3488" s="2" t="s">
        <v>7513</v>
      </c>
      <c r="B3488" s="2" t="s">
        <v>7513</v>
      </c>
      <c r="C3488" s="2" t="s">
        <v>16</v>
      </c>
      <c r="D3488" s="2" t="s">
        <v>17</v>
      </c>
      <c r="E3488" s="5">
        <v>-31420</v>
      </c>
      <c r="F3488" s="3" t="s">
        <v>145</v>
      </c>
      <c r="G3488" s="3" t="s">
        <v>28</v>
      </c>
      <c r="H3488" s="2" t="s">
        <v>20</v>
      </c>
      <c r="I3488" s="2" t="s">
        <v>7514</v>
      </c>
      <c r="J3488" s="3" t="str">
        <f>HYPERLINK("https://www.boe.es/gazeta/dias/1813/12/21/pdfs/GMR-1813-90.pdf#page=8","Abrir facsímil")</f>
        <v>Abrir facsímil</v>
      </c>
      <c r="K3488" s="3" t="s">
        <v>22</v>
      </c>
    </row>
    <row r="3489" spans="1:11" ht="42" customHeight="1">
      <c r="A3489" s="2" t="s">
        <v>7515</v>
      </c>
      <c r="B3489" s="2" t="s">
        <v>7516</v>
      </c>
      <c r="C3489" s="2" t="s">
        <v>25</v>
      </c>
      <c r="D3489" s="2" t="s">
        <v>26</v>
      </c>
      <c r="E3489" s="5">
        <v>-31558</v>
      </c>
      <c r="F3489" s="3" t="s">
        <v>1288</v>
      </c>
      <c r="G3489" s="3" t="s">
        <v>28</v>
      </c>
      <c r="H3489" s="2" t="s">
        <v>20</v>
      </c>
      <c r="I3489" s="2" t="s">
        <v>7517</v>
      </c>
      <c r="J3489" s="3" t="str">
        <f>HYPERLINK("https://www.boe.es/gazeta/dias/1813/08/05/pdfs/GMR-1813-24.pdf#page=8","Abrir facsímil")</f>
        <v>Abrir facsímil</v>
      </c>
      <c r="K3489" s="3" t="s">
        <v>22</v>
      </c>
    </row>
    <row r="3490" spans="1:11" ht="42" customHeight="1">
      <c r="A3490" s="2" t="s">
        <v>7518</v>
      </c>
      <c r="B3490" s="2" t="s">
        <v>7518</v>
      </c>
      <c r="C3490" s="2" t="s">
        <v>16</v>
      </c>
      <c r="D3490" s="2" t="s">
        <v>17</v>
      </c>
      <c r="E3490" s="5">
        <v>-31774</v>
      </c>
      <c r="F3490" s="3" t="s">
        <v>3665</v>
      </c>
      <c r="G3490" s="3" t="s">
        <v>54</v>
      </c>
      <c r="H3490" s="2" t="s">
        <v>20</v>
      </c>
      <c r="I3490" s="2" t="s">
        <v>7519</v>
      </c>
      <c r="J3490" s="3" t="str">
        <f>HYPERLINK("https://www.boe.es/gazeta/dias/1813/01/01/pdfs/GMD-1813-1.pdf#page=3","Abrir facsímil")</f>
        <v>Abrir facsímil</v>
      </c>
      <c r="K3490" s="3" t="s">
        <v>22</v>
      </c>
    </row>
    <row r="3491" spans="1:11" ht="42" customHeight="1">
      <c r="A3491" s="2" t="s">
        <v>7520</v>
      </c>
      <c r="B3491" s="2" t="s">
        <v>7520</v>
      </c>
      <c r="C3491" s="2" t="s">
        <v>16</v>
      </c>
      <c r="D3491" s="2" t="s">
        <v>17</v>
      </c>
      <c r="E3491" s="5">
        <v>-31585</v>
      </c>
      <c r="F3491" s="3" t="s">
        <v>177</v>
      </c>
      <c r="G3491" s="3" t="s">
        <v>313</v>
      </c>
      <c r="H3491" s="2" t="s">
        <v>20</v>
      </c>
      <c r="I3491" s="2" t="s">
        <v>7521</v>
      </c>
      <c r="J3491" s="3" t="str">
        <f>HYPERLINK("https://www.boe.es/gazeta/dias/1813/07/09/pdfs/GMR-1813-16.pdf#page=9","Abrir facsímil")</f>
        <v>Abrir facsímil</v>
      </c>
      <c r="K3491" s="3" t="s">
        <v>22</v>
      </c>
    </row>
    <row r="3492" spans="1:11" ht="42" customHeight="1">
      <c r="A3492" s="2" t="s">
        <v>7522</v>
      </c>
      <c r="B3492" s="2" t="s">
        <v>7522</v>
      </c>
      <c r="C3492" s="2" t="s">
        <v>34</v>
      </c>
      <c r="D3492" s="2" t="s">
        <v>35</v>
      </c>
      <c r="E3492" s="5">
        <v>-31770</v>
      </c>
      <c r="F3492" s="3" t="s">
        <v>641</v>
      </c>
      <c r="G3492" s="3" t="s">
        <v>65</v>
      </c>
      <c r="H3492" s="2" t="s">
        <v>20</v>
      </c>
      <c r="I3492" s="2" t="s">
        <v>7523</v>
      </c>
      <c r="J3492" s="3" t="str">
        <f>HYPERLINK("https://www.boe.es/gazeta/dias/1813/01/05/pdfs/GMD-1813-5.pdf#page=1","Abrir facsímil")</f>
        <v>Abrir facsímil</v>
      </c>
      <c r="K3492" s="3" t="s">
        <v>22</v>
      </c>
    </row>
    <row r="3493" spans="1:11" ht="42" customHeight="1">
      <c r="A3493" s="2" t="s">
        <v>7524</v>
      </c>
      <c r="B3493" s="2" t="s">
        <v>7524</v>
      </c>
      <c r="C3493" s="2" t="s">
        <v>16</v>
      </c>
      <c r="D3493" s="2" t="s">
        <v>17</v>
      </c>
      <c r="E3493" s="5">
        <v>-31592</v>
      </c>
      <c r="F3493" s="3" t="s">
        <v>175</v>
      </c>
      <c r="G3493" s="3" t="s">
        <v>54</v>
      </c>
      <c r="H3493" s="2" t="s">
        <v>20</v>
      </c>
      <c r="I3493" s="2" t="s">
        <v>7525</v>
      </c>
      <c r="J3493" s="3" t="str">
        <f>HYPERLINK("https://www.boe.es/gazeta/dias/1813/07/02/pdfs/GRE-1813-82.pdf#page=3","Abrir facsímil")</f>
        <v>Abrir facsímil</v>
      </c>
      <c r="K3493" s="3" t="s">
        <v>22</v>
      </c>
    </row>
    <row r="3494" spans="1:11" ht="42" customHeight="1">
      <c r="A3494" s="2" t="s">
        <v>7526</v>
      </c>
      <c r="B3494" s="2" t="s">
        <v>7526</v>
      </c>
      <c r="C3494" s="2" t="s">
        <v>16</v>
      </c>
      <c r="D3494" s="2" t="s">
        <v>17</v>
      </c>
      <c r="E3494" s="5">
        <v>-31647</v>
      </c>
      <c r="F3494" s="3" t="s">
        <v>1972</v>
      </c>
      <c r="G3494" s="3" t="s">
        <v>1973</v>
      </c>
      <c r="H3494" s="2" t="s">
        <v>20</v>
      </c>
      <c r="I3494" s="2" t="s">
        <v>7527</v>
      </c>
      <c r="J3494" s="3" t="str">
        <f>HYPERLINK("https://www.boe.es/gazeta/dias/1813/05/08/pdfs/GRE-1813-57.pdf#page=2","Abrir facsímil")</f>
        <v>Abrir facsímil</v>
      </c>
      <c r="K3494" s="3" t="s">
        <v>22</v>
      </c>
    </row>
    <row r="3495" spans="1:11" ht="42" customHeight="1">
      <c r="A3495" s="2" t="s">
        <v>7526</v>
      </c>
      <c r="B3495" s="2" t="s">
        <v>7526</v>
      </c>
      <c r="C3495" s="2" t="s">
        <v>16</v>
      </c>
      <c r="D3495" s="2" t="s">
        <v>17</v>
      </c>
      <c r="E3495" s="5">
        <v>-31453</v>
      </c>
      <c r="F3495" s="3" t="s">
        <v>695</v>
      </c>
      <c r="G3495" s="3" t="s">
        <v>82</v>
      </c>
      <c r="H3495" s="2" t="s">
        <v>20</v>
      </c>
      <c r="I3495" s="2" t="s">
        <v>7528</v>
      </c>
      <c r="J3495" s="3" t="str">
        <f>HYPERLINK("https://www.boe.es/gazeta/dias/1813/11/18/pdfs/GRE-1813-151.pdf#page=5","Abrir facsímil")</f>
        <v>Abrir facsímil</v>
      </c>
      <c r="K3495" s="3" t="s">
        <v>22</v>
      </c>
    </row>
    <row r="3496" spans="1:11" ht="42" customHeight="1">
      <c r="A3496" s="2" t="s">
        <v>7529</v>
      </c>
      <c r="B3496" s="2" t="s">
        <v>7530</v>
      </c>
      <c r="C3496" s="2" t="s">
        <v>16</v>
      </c>
      <c r="D3496" s="2" t="s">
        <v>97</v>
      </c>
      <c r="E3496" s="5">
        <v>-31445</v>
      </c>
      <c r="F3496" s="3" t="s">
        <v>299</v>
      </c>
      <c r="G3496" s="3" t="s">
        <v>19</v>
      </c>
      <c r="H3496" s="2" t="s">
        <v>20</v>
      </c>
      <c r="I3496" s="2" t="s">
        <v>7531</v>
      </c>
      <c r="J3496" s="3" t="str">
        <f>HYPERLINK("https://www.boe.es/gazeta/dias/1813/11/26/pdfs/GRE-1813-156E.pdf#page=4","Abrir facsímil")</f>
        <v>Abrir facsímil</v>
      </c>
      <c r="K3496" s="3" t="s">
        <v>22</v>
      </c>
    </row>
    <row r="3497" spans="1:11" ht="42" customHeight="1">
      <c r="A3497" s="2" t="s">
        <v>7532</v>
      </c>
      <c r="B3497" s="2" t="s">
        <v>7532</v>
      </c>
      <c r="C3497" s="2" t="s">
        <v>16</v>
      </c>
      <c r="D3497" s="2" t="s">
        <v>17</v>
      </c>
      <c r="E3497" s="5">
        <v>-31686</v>
      </c>
      <c r="F3497" s="3" t="s">
        <v>7037</v>
      </c>
      <c r="G3497" s="3" t="s">
        <v>58</v>
      </c>
      <c r="H3497" s="2" t="s">
        <v>20</v>
      </c>
      <c r="I3497" s="2" t="s">
        <v>7533</v>
      </c>
      <c r="J3497" s="3" t="str">
        <f>HYPERLINK("https://www.boe.es/gazeta/dias/1813/03/30/pdfs/GMD-1813-89.pdf#page=2","Abrir facsímil")</f>
        <v>Abrir facsímil</v>
      </c>
      <c r="K3497" s="3" t="s">
        <v>22</v>
      </c>
    </row>
    <row r="3498" spans="1:11" ht="42" customHeight="1">
      <c r="A3498" s="2" t="s">
        <v>7534</v>
      </c>
      <c r="B3498" s="2" t="s">
        <v>7534</v>
      </c>
      <c r="C3498" s="2" t="s">
        <v>16</v>
      </c>
      <c r="D3498" s="2" t="s">
        <v>17</v>
      </c>
      <c r="E3498" s="5">
        <v>-31479</v>
      </c>
      <c r="F3498" s="3" t="s">
        <v>2383</v>
      </c>
      <c r="G3498" s="3" t="s">
        <v>54</v>
      </c>
      <c r="H3498" s="2" t="s">
        <v>20</v>
      </c>
      <c r="I3498" s="2" t="s">
        <v>7535</v>
      </c>
      <c r="J3498" s="3" t="str">
        <f>HYPERLINK("https://www.boe.es/gazeta/dias/1813/10/23/pdfs/GRE-1813-138.pdf#page=3","Abrir facsímil")</f>
        <v>Abrir facsímil</v>
      </c>
      <c r="K3498" s="3" t="s">
        <v>22</v>
      </c>
    </row>
    <row r="3499" spans="1:11" ht="42" customHeight="1">
      <c r="A3499" s="2" t="s">
        <v>7536</v>
      </c>
      <c r="B3499" s="2" t="s">
        <v>7536</v>
      </c>
      <c r="C3499" s="2" t="s">
        <v>16</v>
      </c>
      <c r="D3499" s="2" t="s">
        <v>17</v>
      </c>
      <c r="E3499" s="5">
        <v>-31687</v>
      </c>
      <c r="F3499" s="3" t="s">
        <v>2723</v>
      </c>
      <c r="G3499" s="3" t="s">
        <v>54</v>
      </c>
      <c r="H3499" s="2" t="s">
        <v>20</v>
      </c>
      <c r="I3499" s="2" t="s">
        <v>7537</v>
      </c>
      <c r="J3499" s="3" t="str">
        <f>HYPERLINK("https://www.boe.es/gazeta/dias/1813/03/29/pdfs/GMD-1813-88.pdf#page=3","Abrir facsímil")</f>
        <v>Abrir facsímil</v>
      </c>
      <c r="K3499" s="3" t="s">
        <v>22</v>
      </c>
    </row>
    <row r="3500" spans="1:11" ht="42" customHeight="1">
      <c r="A3500" s="2" t="s">
        <v>7538</v>
      </c>
      <c r="B3500" s="2" t="s">
        <v>7538</v>
      </c>
      <c r="C3500" s="2" t="s">
        <v>16</v>
      </c>
      <c r="D3500" s="2" t="s">
        <v>17</v>
      </c>
      <c r="E3500" s="5">
        <v>-31432</v>
      </c>
      <c r="F3500" s="3" t="s">
        <v>702</v>
      </c>
      <c r="G3500" s="3" t="s">
        <v>87</v>
      </c>
      <c r="H3500" s="2" t="s">
        <v>20</v>
      </c>
      <c r="I3500" s="2" t="s">
        <v>7539</v>
      </c>
      <c r="J3500" s="3" t="str">
        <f>HYPERLINK("https://www.boe.es/gazeta/dias/1813/12/09/pdfs/GMR-1813-85.pdf#page=7","Abrir facsímil")</f>
        <v>Abrir facsímil</v>
      </c>
      <c r="K3500" s="3" t="s">
        <v>22</v>
      </c>
    </row>
    <row r="3501" spans="1:11" ht="42" customHeight="1">
      <c r="A3501" s="2" t="s">
        <v>7540</v>
      </c>
      <c r="B3501" s="2" t="s">
        <v>7540</v>
      </c>
      <c r="C3501" s="2" t="s">
        <v>16</v>
      </c>
      <c r="D3501" s="2" t="s">
        <v>17</v>
      </c>
      <c r="E3501" s="5">
        <v>-31595</v>
      </c>
      <c r="F3501" s="3" t="s">
        <v>70</v>
      </c>
      <c r="G3501" s="3" t="s">
        <v>95</v>
      </c>
      <c r="H3501" s="2" t="s">
        <v>20</v>
      </c>
      <c r="I3501" s="2" t="s">
        <v>7541</v>
      </c>
      <c r="J3501" s="3" t="str">
        <f>HYPERLINK("https://www.boe.es/gazeta/dias/1813/06/29/pdfs/GMR-1813-13.pdf#page=6","Abrir facsímil")</f>
        <v>Abrir facsímil</v>
      </c>
      <c r="K3501" s="3" t="s">
        <v>22</v>
      </c>
    </row>
    <row r="3502" spans="1:11" ht="42" customHeight="1">
      <c r="A3502" s="2" t="s">
        <v>7542</v>
      </c>
      <c r="B3502" s="2" t="s">
        <v>7542</v>
      </c>
      <c r="C3502" s="2" t="s">
        <v>16</v>
      </c>
      <c r="D3502" s="2" t="s">
        <v>17</v>
      </c>
      <c r="E3502" s="5">
        <v>-31660</v>
      </c>
      <c r="F3502" s="3" t="s">
        <v>1632</v>
      </c>
      <c r="G3502" s="3" t="s">
        <v>65</v>
      </c>
      <c r="H3502" s="2" t="s">
        <v>20</v>
      </c>
      <c r="I3502" s="2" t="s">
        <v>7543</v>
      </c>
      <c r="J3502" s="3" t="str">
        <f>HYPERLINK("https://www.boe.es/gazeta/dias/1813/04/25/pdfs/GMD-1813-115.pdf#page=1","Abrir facsímil")</f>
        <v>Abrir facsímil</v>
      </c>
      <c r="K3502" s="3" t="s">
        <v>22</v>
      </c>
    </row>
    <row r="3503" spans="1:11" ht="42" customHeight="1">
      <c r="A3503" s="2" t="s">
        <v>7544</v>
      </c>
      <c r="B3503" s="2" t="s">
        <v>7544</v>
      </c>
      <c r="C3503" s="2" t="s">
        <v>16</v>
      </c>
      <c r="D3503" s="2" t="s">
        <v>17</v>
      </c>
      <c r="E3503" s="5">
        <v>-31453</v>
      </c>
      <c r="F3503" s="3" t="s">
        <v>695</v>
      </c>
      <c r="G3503" s="3" t="s">
        <v>95</v>
      </c>
      <c r="H3503" s="2" t="s">
        <v>20</v>
      </c>
      <c r="I3503" s="2" t="s">
        <v>7545</v>
      </c>
      <c r="J3503" s="3" t="str">
        <f>HYPERLINK("https://www.boe.es/gazeta/dias/1813/11/18/pdfs/GRE-1813-151.pdf#page=6","Abrir facsímil")</f>
        <v>Abrir facsímil</v>
      </c>
      <c r="K3503" s="3" t="s">
        <v>22</v>
      </c>
    </row>
    <row r="3504" spans="1:11" ht="42" customHeight="1">
      <c r="A3504" s="2" t="s">
        <v>7546</v>
      </c>
      <c r="B3504" s="2" t="s">
        <v>7546</v>
      </c>
      <c r="C3504" s="2" t="s">
        <v>16</v>
      </c>
      <c r="D3504" s="2" t="s">
        <v>17</v>
      </c>
      <c r="E3504" s="5">
        <v>-31707</v>
      </c>
      <c r="F3504" s="3" t="s">
        <v>1557</v>
      </c>
      <c r="G3504" s="3" t="s">
        <v>1558</v>
      </c>
      <c r="H3504" s="2" t="s">
        <v>20</v>
      </c>
      <c r="I3504" s="2" t="s">
        <v>7547</v>
      </c>
      <c r="J3504" s="3" t="str">
        <f>HYPERLINK("https://www.boe.es/gazeta/dias/1813/03/09/pdfs/GRE-1813-30.pdf#page=8","Abrir facsímil")</f>
        <v>Abrir facsímil</v>
      </c>
      <c r="K3504" s="3" t="s">
        <v>22</v>
      </c>
    </row>
    <row r="3505" spans="1:11" ht="42" customHeight="1">
      <c r="A3505" s="2" t="s">
        <v>7548</v>
      </c>
      <c r="B3505" s="2" t="s">
        <v>7548</v>
      </c>
      <c r="C3505" s="2" t="s">
        <v>16</v>
      </c>
      <c r="D3505" s="2" t="s">
        <v>17</v>
      </c>
      <c r="E3505" s="5">
        <v>-31654</v>
      </c>
      <c r="F3505" s="3" t="s">
        <v>1519</v>
      </c>
      <c r="G3505" s="3" t="s">
        <v>7549</v>
      </c>
      <c r="H3505" s="2" t="s">
        <v>20</v>
      </c>
      <c r="I3505" s="2" t="s">
        <v>7550</v>
      </c>
      <c r="J3505" s="3" t="str">
        <f>HYPERLINK("https://www.boe.es/gazeta/dias/1813/05/01/pdfs/GRE-1813-54.pdf#page=8","Abrir facsímil")</f>
        <v>Abrir facsímil</v>
      </c>
      <c r="K3505" s="3" t="s">
        <v>22</v>
      </c>
    </row>
    <row r="3506" spans="1:11" ht="42" customHeight="1">
      <c r="A3506" s="2" t="s">
        <v>7548</v>
      </c>
      <c r="B3506" s="2" t="s">
        <v>7548</v>
      </c>
      <c r="C3506" s="2" t="s">
        <v>16</v>
      </c>
      <c r="D3506" s="2" t="s">
        <v>17</v>
      </c>
      <c r="E3506" s="5">
        <v>-31640</v>
      </c>
      <c r="F3506" s="3" t="s">
        <v>3174</v>
      </c>
      <c r="G3506" s="3" t="s">
        <v>58</v>
      </c>
      <c r="H3506" s="2" t="s">
        <v>20</v>
      </c>
      <c r="I3506" s="2" t="s">
        <v>7551</v>
      </c>
      <c r="J3506" s="3" t="str">
        <f>HYPERLINK("https://www.boe.es/gazeta/dias/1813/05/15/pdfs/GMD-1813-135.pdf#page=2","Abrir facsímil")</f>
        <v>Abrir facsímil</v>
      </c>
      <c r="K3506" s="3" t="s">
        <v>22</v>
      </c>
    </row>
    <row r="3507" spans="1:11" ht="42" customHeight="1">
      <c r="A3507" s="2" t="s">
        <v>7548</v>
      </c>
      <c r="B3507" s="2" t="s">
        <v>7548</v>
      </c>
      <c r="C3507" s="2" t="s">
        <v>16</v>
      </c>
      <c r="D3507" s="2" t="s">
        <v>17</v>
      </c>
      <c r="E3507" s="5">
        <v>-31619</v>
      </c>
      <c r="F3507" s="3" t="s">
        <v>1350</v>
      </c>
      <c r="G3507" s="3" t="s">
        <v>95</v>
      </c>
      <c r="H3507" s="2" t="s">
        <v>20</v>
      </c>
      <c r="I3507" s="2" t="s">
        <v>7552</v>
      </c>
      <c r="J3507" s="3" t="str">
        <f>HYPERLINK("https://www.boe.es/gazeta/dias/1813/06/05/pdfs/GMR-1813-2.pdf#page=6","Abrir facsímil")</f>
        <v>Abrir facsímil</v>
      </c>
      <c r="K3507" s="3" t="s">
        <v>22</v>
      </c>
    </row>
    <row r="3508" spans="1:11" ht="42" customHeight="1">
      <c r="A3508" s="2" t="s">
        <v>7553</v>
      </c>
      <c r="B3508" s="2" t="s">
        <v>7554</v>
      </c>
      <c r="C3508" s="2" t="s">
        <v>16</v>
      </c>
      <c r="D3508" s="2" t="s">
        <v>17</v>
      </c>
      <c r="E3508" s="5">
        <v>-31570</v>
      </c>
      <c r="F3508" s="3" t="s">
        <v>1803</v>
      </c>
      <c r="G3508" s="3" t="s">
        <v>54</v>
      </c>
      <c r="H3508" s="2" t="s">
        <v>20</v>
      </c>
      <c r="I3508" s="2" t="s">
        <v>7555</v>
      </c>
      <c r="J3508" s="3" t="str">
        <f>HYPERLINK("https://www.boe.es/gazeta/dias/1813/07/24/pdfs/GRE-1813-94.pdf#page=3","Abrir facsímil")</f>
        <v>Abrir facsímil</v>
      </c>
      <c r="K3508" s="3" t="s">
        <v>22</v>
      </c>
    </row>
    <row r="3509" spans="1:11" ht="42" customHeight="1">
      <c r="A3509" s="2" t="s">
        <v>7556</v>
      </c>
      <c r="B3509" s="2" t="s">
        <v>7556</v>
      </c>
      <c r="C3509" s="2" t="s">
        <v>16</v>
      </c>
      <c r="D3509" s="2" t="s">
        <v>17</v>
      </c>
      <c r="E3509" s="5">
        <v>-31726</v>
      </c>
      <c r="F3509" s="3" t="s">
        <v>533</v>
      </c>
      <c r="G3509" s="3" t="s">
        <v>534</v>
      </c>
      <c r="H3509" s="2" t="s">
        <v>20</v>
      </c>
      <c r="I3509" s="2" t="s">
        <v>7557</v>
      </c>
      <c r="J3509" s="3" t="str">
        <f>HYPERLINK("https://www.boe.es/gazeta/dias/1813/02/18/pdfs/GRE-1813-21.pdf#page=4","Abrir facsímil")</f>
        <v>Abrir facsímil</v>
      </c>
      <c r="K3509" s="3" t="s">
        <v>22</v>
      </c>
    </row>
    <row r="3510" spans="1:11" ht="42" customHeight="1">
      <c r="A3510" s="2" t="s">
        <v>7556</v>
      </c>
      <c r="B3510" s="2" t="s">
        <v>7556</v>
      </c>
      <c r="C3510" s="2" t="s">
        <v>16</v>
      </c>
      <c r="D3510" s="2" t="s">
        <v>17</v>
      </c>
      <c r="E3510" s="5">
        <v>-31714</v>
      </c>
      <c r="F3510" s="3" t="s">
        <v>3912</v>
      </c>
      <c r="G3510" s="3" t="s">
        <v>65</v>
      </c>
      <c r="H3510" s="2" t="s">
        <v>20</v>
      </c>
      <c r="I3510" s="2" t="s">
        <v>7558</v>
      </c>
      <c r="J3510" s="3" t="str">
        <f>HYPERLINK("https://www.boe.es/gazeta/dias/1813/03/02/pdfs/GMD-1813-61.pdf#page=1","Abrir facsímil")</f>
        <v>Abrir facsímil</v>
      </c>
      <c r="K3510" s="3" t="s">
        <v>22</v>
      </c>
    </row>
    <row r="3511" spans="1:11" ht="42" customHeight="1">
      <c r="A3511" s="2" t="s">
        <v>7556</v>
      </c>
      <c r="B3511" s="2" t="s">
        <v>7556</v>
      </c>
      <c r="C3511" s="2" t="s">
        <v>16</v>
      </c>
      <c r="D3511" s="2" t="s">
        <v>17</v>
      </c>
      <c r="E3511" s="5">
        <v>-31654</v>
      </c>
      <c r="F3511" s="3" t="s">
        <v>852</v>
      </c>
      <c r="G3511" s="3" t="s">
        <v>65</v>
      </c>
      <c r="H3511" s="2" t="s">
        <v>20</v>
      </c>
      <c r="I3511" s="2" t="s">
        <v>7559</v>
      </c>
      <c r="J3511" s="3" t="str">
        <f>HYPERLINK("https://www.boe.es/gazeta/dias/1813/05/01/pdfs/GMD-1813-121.pdf#page=1","Abrir facsímil")</f>
        <v>Abrir facsímil</v>
      </c>
      <c r="K3511" s="3" t="s">
        <v>22</v>
      </c>
    </row>
    <row r="3512" spans="1:11" ht="42" customHeight="1">
      <c r="A3512" s="2" t="s">
        <v>7556</v>
      </c>
      <c r="B3512" s="2" t="s">
        <v>7556</v>
      </c>
      <c r="C3512" s="2" t="s">
        <v>16</v>
      </c>
      <c r="D3512" s="2" t="s">
        <v>17</v>
      </c>
      <c r="E3512" s="5">
        <v>-31629</v>
      </c>
      <c r="F3512" s="3" t="s">
        <v>1146</v>
      </c>
      <c r="G3512" s="3" t="s">
        <v>65</v>
      </c>
      <c r="H3512" s="2" t="s">
        <v>20</v>
      </c>
      <c r="I3512" s="2" t="s">
        <v>7560</v>
      </c>
      <c r="J3512" s="3" t="str">
        <f>HYPERLINK("https://www.boe.es/gazeta/dias/1813/05/26/pdfs/GMD-1813-146.pdf#page=1","Abrir facsímil")</f>
        <v>Abrir facsímil</v>
      </c>
      <c r="K3512" s="3" t="s">
        <v>22</v>
      </c>
    </row>
    <row r="3513" spans="1:11" ht="42" customHeight="1">
      <c r="A3513" s="2" t="s">
        <v>7561</v>
      </c>
      <c r="B3513" s="2" t="s">
        <v>7561</v>
      </c>
      <c r="C3513" s="2" t="s">
        <v>16</v>
      </c>
      <c r="D3513" s="2" t="s">
        <v>17</v>
      </c>
      <c r="E3513" s="5">
        <v>-31771</v>
      </c>
      <c r="F3513" s="3" t="s">
        <v>1976</v>
      </c>
      <c r="G3513" s="3" t="s">
        <v>65</v>
      </c>
      <c r="H3513" s="2" t="s">
        <v>20</v>
      </c>
      <c r="I3513" s="2" t="s">
        <v>7562</v>
      </c>
      <c r="J3513" s="3" t="str">
        <f>HYPERLINK("https://www.boe.es/gazeta/dias/1813/01/04/pdfs/GMD-1813-4.pdf#page=1","Abrir facsímil")</f>
        <v>Abrir facsímil</v>
      </c>
      <c r="K3513" s="3" t="s">
        <v>22</v>
      </c>
    </row>
    <row r="3514" spans="1:11" ht="42" customHeight="1">
      <c r="A3514" s="2" t="s">
        <v>7563</v>
      </c>
      <c r="B3514" s="2" t="s">
        <v>7563</v>
      </c>
      <c r="C3514" s="2" t="s">
        <v>16</v>
      </c>
      <c r="D3514" s="2" t="s">
        <v>17</v>
      </c>
      <c r="E3514" s="5">
        <v>-31616</v>
      </c>
      <c r="F3514" s="3" t="s">
        <v>545</v>
      </c>
      <c r="G3514" s="3" t="s">
        <v>19</v>
      </c>
      <c r="H3514" s="2" t="s">
        <v>20</v>
      </c>
      <c r="I3514" s="2" t="s">
        <v>7564</v>
      </c>
      <c r="J3514" s="3" t="str">
        <f>HYPERLINK("https://www.boe.es/gazeta/dias/1813/06/08/pdfs/GRE-1813-71.pdf#page=4","Abrir facsímil")</f>
        <v>Abrir facsímil</v>
      </c>
      <c r="K3514" s="3" t="s">
        <v>22</v>
      </c>
    </row>
    <row r="3515" spans="1:11" ht="42" customHeight="1">
      <c r="A3515" s="2" t="s">
        <v>7565</v>
      </c>
      <c r="B3515" s="2" t="s">
        <v>7565</v>
      </c>
      <c r="C3515" s="2" t="s">
        <v>16</v>
      </c>
      <c r="D3515" s="2" t="s">
        <v>17</v>
      </c>
      <c r="E3515" s="5">
        <v>-31703</v>
      </c>
      <c r="F3515" s="3" t="s">
        <v>526</v>
      </c>
      <c r="G3515" s="3" t="s">
        <v>58</v>
      </c>
      <c r="H3515" s="2" t="s">
        <v>20</v>
      </c>
      <c r="I3515" s="2" t="s">
        <v>7566</v>
      </c>
      <c r="J3515" s="3" t="str">
        <f>HYPERLINK("https://www.boe.es/gazeta/dias/1813/03/13/pdfs/GMD-1813-72.pdf#page=2","Abrir facsímil")</f>
        <v>Abrir facsímil</v>
      </c>
      <c r="K3515" s="3" t="s">
        <v>22</v>
      </c>
    </row>
    <row r="3516" spans="1:11" ht="42" customHeight="1">
      <c r="A3516" s="2" t="s">
        <v>7567</v>
      </c>
      <c r="B3516" s="2" t="s">
        <v>7567</v>
      </c>
      <c r="C3516" s="2" t="s">
        <v>16</v>
      </c>
      <c r="D3516" s="2" t="s">
        <v>17</v>
      </c>
      <c r="E3516" s="5">
        <v>-31511</v>
      </c>
      <c r="F3516" s="3" t="s">
        <v>935</v>
      </c>
      <c r="G3516" s="3" t="s">
        <v>178</v>
      </c>
      <c r="H3516" s="2" t="s">
        <v>20</v>
      </c>
      <c r="I3516" s="2" t="s">
        <v>7568</v>
      </c>
      <c r="J3516" s="3" t="str">
        <f>HYPERLINK("https://www.boe.es/gazeta/dias/1813/09/21/pdfs/GMR-1813-46.pdf#page=11","Abrir facsímil")</f>
        <v>Abrir facsímil</v>
      </c>
      <c r="K3516" s="3" t="s">
        <v>22</v>
      </c>
    </row>
    <row r="3517" spans="1:11" ht="42" customHeight="1">
      <c r="A3517" s="2" t="s">
        <v>7569</v>
      </c>
      <c r="B3517" s="2" t="s">
        <v>7569</v>
      </c>
      <c r="C3517" s="2" t="s">
        <v>16</v>
      </c>
      <c r="D3517" s="2" t="s">
        <v>17</v>
      </c>
      <c r="E3517" s="5">
        <v>-31483</v>
      </c>
      <c r="F3517" s="3" t="s">
        <v>1292</v>
      </c>
      <c r="G3517" s="3" t="s">
        <v>1476</v>
      </c>
      <c r="H3517" s="2" t="s">
        <v>20</v>
      </c>
      <c r="I3517" s="2" t="s">
        <v>7570</v>
      </c>
      <c r="J3517" s="3" t="str">
        <f>HYPERLINK("https://www.boe.es/gazeta/dias/1813/10/19/pdfs/GMR-1813-61.pdf#page=6","Abrir facsímil")</f>
        <v>Abrir facsímil</v>
      </c>
      <c r="K3517" s="3" t="s">
        <v>22</v>
      </c>
    </row>
    <row r="3518" spans="1:11" ht="42" customHeight="1">
      <c r="A3518" s="2" t="s">
        <v>7571</v>
      </c>
      <c r="B3518" s="2" t="s">
        <v>7571</v>
      </c>
      <c r="C3518" s="2" t="s">
        <v>16</v>
      </c>
      <c r="D3518" s="2" t="s">
        <v>17</v>
      </c>
      <c r="E3518" s="5">
        <v>-31542</v>
      </c>
      <c r="F3518" s="3" t="s">
        <v>347</v>
      </c>
      <c r="G3518" s="3" t="s">
        <v>54</v>
      </c>
      <c r="H3518" s="2" t="s">
        <v>20</v>
      </c>
      <c r="I3518" s="2" t="s">
        <v>7572</v>
      </c>
      <c r="J3518" s="3" t="str">
        <f>HYPERLINK("https://www.boe.es/gazeta/dias/1813/08/21/pdfs/GMR-1813-31.pdf#page=3","Abrir facsímil")</f>
        <v>Abrir facsímil</v>
      </c>
      <c r="K3518" s="3" t="s">
        <v>22</v>
      </c>
    </row>
    <row r="3519" spans="1:11" ht="42" customHeight="1">
      <c r="A3519" s="2" t="s">
        <v>7571</v>
      </c>
      <c r="B3519" s="2" t="s">
        <v>7571</v>
      </c>
      <c r="C3519" s="2" t="s">
        <v>16</v>
      </c>
      <c r="D3519" s="2" t="s">
        <v>17</v>
      </c>
      <c r="E3519" s="5">
        <v>-31542</v>
      </c>
      <c r="F3519" s="3" t="s">
        <v>347</v>
      </c>
      <c r="G3519" s="3" t="s">
        <v>19</v>
      </c>
      <c r="H3519" s="2" t="s">
        <v>20</v>
      </c>
      <c r="I3519" s="2" t="s">
        <v>7573</v>
      </c>
      <c r="J3519" s="3" t="str">
        <f>HYPERLINK("https://www.boe.es/gazeta/dias/1813/08/21/pdfs/GMR-1813-31.pdf#page=4","Abrir facsímil")</f>
        <v>Abrir facsímil</v>
      </c>
      <c r="K3519" s="3" t="s">
        <v>22</v>
      </c>
    </row>
    <row r="3520" spans="1:11" ht="42" customHeight="1">
      <c r="A3520" s="2" t="s">
        <v>7571</v>
      </c>
      <c r="B3520" s="2" t="s">
        <v>7571</v>
      </c>
      <c r="C3520" s="2" t="s">
        <v>16</v>
      </c>
      <c r="D3520" s="2" t="s">
        <v>17</v>
      </c>
      <c r="E3520" s="5">
        <v>-31516</v>
      </c>
      <c r="F3520" s="3" t="s">
        <v>1685</v>
      </c>
      <c r="G3520" s="3" t="s">
        <v>1686</v>
      </c>
      <c r="H3520" s="2" t="s">
        <v>20</v>
      </c>
      <c r="I3520" s="2" t="s">
        <v>7574</v>
      </c>
      <c r="J3520" s="3" t="str">
        <f>HYPERLINK("https://www.boe.es/gazeta/dias/1813/09/16/pdfs/GRE-1813-120.pdf#page=7","Abrir facsímil")</f>
        <v>Abrir facsímil</v>
      </c>
      <c r="K3520" s="3" t="s">
        <v>22</v>
      </c>
    </row>
    <row r="3521" spans="1:11" ht="42" customHeight="1">
      <c r="A3521" s="2" t="s">
        <v>7571</v>
      </c>
      <c r="B3521" s="2" t="s">
        <v>7571</v>
      </c>
      <c r="C3521" s="2" t="s">
        <v>16</v>
      </c>
      <c r="D3521" s="2" t="s">
        <v>17</v>
      </c>
      <c r="E3521" s="5">
        <v>-31516</v>
      </c>
      <c r="F3521" s="3" t="s">
        <v>1685</v>
      </c>
      <c r="G3521" s="3" t="s">
        <v>19</v>
      </c>
      <c r="H3521" s="2" t="s">
        <v>20</v>
      </c>
      <c r="I3521" s="2" t="s">
        <v>7575</v>
      </c>
      <c r="J3521" s="3" t="str">
        <f>HYPERLINK("https://www.boe.es/gazeta/dias/1813/09/16/pdfs/GRE-1813-120.pdf#page=4","Abrir facsímil")</f>
        <v>Abrir facsímil</v>
      </c>
      <c r="K3521" s="3" t="s">
        <v>22</v>
      </c>
    </row>
    <row r="3522" spans="1:11" ht="42" customHeight="1">
      <c r="A3522" s="2" t="s">
        <v>7571</v>
      </c>
      <c r="B3522" s="2" t="s">
        <v>7571</v>
      </c>
      <c r="C3522" s="2" t="s">
        <v>16</v>
      </c>
      <c r="D3522" s="2" t="s">
        <v>17</v>
      </c>
      <c r="E3522" s="5">
        <v>-31516</v>
      </c>
      <c r="F3522" s="3" t="s">
        <v>1685</v>
      </c>
      <c r="G3522" s="3" t="s">
        <v>95</v>
      </c>
      <c r="H3522" s="2" t="s">
        <v>20</v>
      </c>
      <c r="I3522" s="2" t="s">
        <v>7576</v>
      </c>
      <c r="J3522" s="3" t="str">
        <f>HYPERLINK("https://www.boe.es/gazeta/dias/1813/09/16/pdfs/GRE-1813-120.pdf#page=6","Abrir facsímil")</f>
        <v>Abrir facsímil</v>
      </c>
      <c r="K3522" s="3" t="s">
        <v>22</v>
      </c>
    </row>
    <row r="3523" spans="1:11" ht="42" customHeight="1">
      <c r="A3523" s="2" t="s">
        <v>7571</v>
      </c>
      <c r="B3523" s="2" t="s">
        <v>7571</v>
      </c>
      <c r="C3523" s="2" t="s">
        <v>16</v>
      </c>
      <c r="D3523" s="2" t="s">
        <v>17</v>
      </c>
      <c r="E3523" s="5">
        <v>-31511</v>
      </c>
      <c r="F3523" s="3" t="s">
        <v>2149</v>
      </c>
      <c r="G3523" s="3" t="s">
        <v>95</v>
      </c>
      <c r="H3523" s="2" t="s">
        <v>20</v>
      </c>
      <c r="I3523" s="2" t="s">
        <v>7577</v>
      </c>
      <c r="J3523" s="3" t="str">
        <f>HYPERLINK("https://www.boe.es/gazeta/dias/1813/09/21/pdfs/GRE-1813-122.pdf#page=6","Abrir facsímil")</f>
        <v>Abrir facsímil</v>
      </c>
      <c r="K3523" s="3" t="s">
        <v>22</v>
      </c>
    </row>
    <row r="3524" spans="1:11" ht="42" customHeight="1">
      <c r="A3524" s="2" t="s">
        <v>7578</v>
      </c>
      <c r="B3524" s="2" t="s">
        <v>7578</v>
      </c>
      <c r="C3524" s="2" t="s">
        <v>34</v>
      </c>
      <c r="D3524" s="2" t="s">
        <v>35</v>
      </c>
      <c r="E3524" s="5">
        <v>-31504</v>
      </c>
      <c r="F3524" s="3" t="s">
        <v>1361</v>
      </c>
      <c r="G3524" s="3" t="s">
        <v>58</v>
      </c>
      <c r="H3524" s="2" t="s">
        <v>20</v>
      </c>
      <c r="I3524" s="2" t="s">
        <v>7579</v>
      </c>
      <c r="J3524" s="3" t="str">
        <f>HYPERLINK("https://www.boe.es/gazeta/dias/1813/09/28/pdfs/GMR-1813-50.pdf#page=2","Abrir facsímil")</f>
        <v>Abrir facsímil</v>
      </c>
      <c r="K3524" s="3" t="s">
        <v>22</v>
      </c>
    </row>
    <row r="3525" spans="1:11" ht="42" customHeight="1">
      <c r="A3525" s="2" t="s">
        <v>7580</v>
      </c>
      <c r="B3525" s="2" t="s">
        <v>7580</v>
      </c>
      <c r="C3525" s="2" t="s">
        <v>16</v>
      </c>
      <c r="D3525" s="2" t="s">
        <v>17</v>
      </c>
      <c r="E3525" s="5">
        <v>-31542</v>
      </c>
      <c r="F3525" s="3" t="s">
        <v>347</v>
      </c>
      <c r="G3525" s="3" t="s">
        <v>19</v>
      </c>
      <c r="H3525" s="2" t="s">
        <v>20</v>
      </c>
      <c r="I3525" s="2" t="s">
        <v>7581</v>
      </c>
      <c r="J3525" s="3" t="str">
        <f>HYPERLINK("https://www.boe.es/gazeta/dias/1813/08/21/pdfs/GMR-1813-31.pdf#page=4","Abrir facsímil")</f>
        <v>Abrir facsímil</v>
      </c>
      <c r="K3525" s="3" t="s">
        <v>22</v>
      </c>
    </row>
    <row r="3526" spans="1:11" ht="42" customHeight="1">
      <c r="A3526" s="2" t="s">
        <v>7580</v>
      </c>
      <c r="B3526" s="2" t="s">
        <v>7580</v>
      </c>
      <c r="C3526" s="2" t="s">
        <v>16</v>
      </c>
      <c r="D3526" s="2" t="s">
        <v>17</v>
      </c>
      <c r="E3526" s="5">
        <v>-31516</v>
      </c>
      <c r="F3526" s="3" t="s">
        <v>1685</v>
      </c>
      <c r="G3526" s="3" t="s">
        <v>2625</v>
      </c>
      <c r="H3526" s="2" t="s">
        <v>20</v>
      </c>
      <c r="I3526" s="2" t="s">
        <v>7582</v>
      </c>
      <c r="J3526" s="3" t="str">
        <f>HYPERLINK("https://www.boe.es/gazeta/dias/1813/09/16/pdfs/GRE-1813-120.pdf#page=8","Abrir facsímil")</f>
        <v>Abrir facsímil</v>
      </c>
      <c r="K3526" s="3" t="s">
        <v>22</v>
      </c>
    </row>
    <row r="3527" spans="1:11" ht="42" customHeight="1">
      <c r="A3527" s="2" t="s">
        <v>7583</v>
      </c>
      <c r="B3527" s="2" t="s">
        <v>7583</v>
      </c>
      <c r="C3527" s="2" t="s">
        <v>16</v>
      </c>
      <c r="D3527" s="2" t="s">
        <v>17</v>
      </c>
      <c r="E3527" s="5">
        <v>-31509</v>
      </c>
      <c r="F3527" s="3" t="s">
        <v>2007</v>
      </c>
      <c r="G3527" s="3" t="s">
        <v>87</v>
      </c>
      <c r="H3527" s="2" t="s">
        <v>20</v>
      </c>
      <c r="I3527" s="2" t="s">
        <v>7584</v>
      </c>
      <c r="J3527" s="3" t="str">
        <f>HYPERLINK("https://www.boe.es/gazeta/dias/1813/09/23/pdfs/GRE-1813-125.pdf#page=7","Abrir facsímil")</f>
        <v>Abrir facsímil</v>
      </c>
      <c r="K3527" s="3" t="s">
        <v>22</v>
      </c>
    </row>
    <row r="3528" spans="1:11" ht="42" customHeight="1">
      <c r="A3528" s="2" t="s">
        <v>7585</v>
      </c>
      <c r="B3528" s="2" t="s">
        <v>7585</v>
      </c>
      <c r="C3528" s="2" t="s">
        <v>34</v>
      </c>
      <c r="D3528" s="2" t="s">
        <v>35</v>
      </c>
      <c r="E3528" s="5">
        <v>-31758</v>
      </c>
      <c r="F3528" s="3" t="s">
        <v>5810</v>
      </c>
      <c r="G3528" s="3" t="s">
        <v>65</v>
      </c>
      <c r="H3528" s="2" t="s">
        <v>20</v>
      </c>
      <c r="I3528" s="2" t="s">
        <v>7586</v>
      </c>
      <c r="J3528" s="3" t="str">
        <f>HYPERLINK("https://www.boe.es/gazeta/dias/1813/01/17/pdfs/GMD-1813-17.pdf#page=1","Abrir facsímil")</f>
        <v>Abrir facsímil</v>
      </c>
      <c r="K3528" s="3" t="s">
        <v>22</v>
      </c>
    </row>
    <row r="3529" spans="1:11" ht="42" customHeight="1">
      <c r="A3529" s="2" t="s">
        <v>7587</v>
      </c>
      <c r="B3529" s="2" t="s">
        <v>7587</v>
      </c>
      <c r="C3529" s="2" t="s">
        <v>16</v>
      </c>
      <c r="D3529" s="2" t="s">
        <v>17</v>
      </c>
      <c r="E3529" s="5">
        <v>-31532</v>
      </c>
      <c r="F3529" s="3" t="s">
        <v>215</v>
      </c>
      <c r="G3529" s="3" t="s">
        <v>19</v>
      </c>
      <c r="H3529" s="2" t="s">
        <v>20</v>
      </c>
      <c r="I3529" s="2" t="s">
        <v>7588</v>
      </c>
      <c r="J3529" s="3" t="str">
        <f>HYPERLINK("https://www.boe.es/gazeta/dias/1813/08/31/pdfs/GRE-1813-111.pdf#page=4","Abrir facsímil")</f>
        <v>Abrir facsímil</v>
      </c>
      <c r="K3529" s="3" t="s">
        <v>22</v>
      </c>
    </row>
    <row r="3530" spans="1:11" ht="42" customHeight="1">
      <c r="A3530" s="2" t="s">
        <v>7589</v>
      </c>
      <c r="B3530" s="2" t="s">
        <v>7589</v>
      </c>
      <c r="C3530" s="2" t="s">
        <v>16</v>
      </c>
      <c r="D3530" s="2" t="s">
        <v>17</v>
      </c>
      <c r="E3530" s="5">
        <v>-31659</v>
      </c>
      <c r="F3530" s="3" t="s">
        <v>3041</v>
      </c>
      <c r="G3530" s="3" t="s">
        <v>1304</v>
      </c>
      <c r="H3530" s="2" t="s">
        <v>20</v>
      </c>
      <c r="I3530" s="2" t="s">
        <v>7590</v>
      </c>
      <c r="J3530" s="3" t="str">
        <f>HYPERLINK("https://www.boe.es/gazeta/dias/1813/04/26/pdfs/GMD-1813-116.pdf#page=2","Abrir facsímil")</f>
        <v>Abrir facsímil</v>
      </c>
      <c r="K3530" s="3" t="s">
        <v>22</v>
      </c>
    </row>
    <row r="3531" spans="1:11" ht="42" customHeight="1">
      <c r="A3531" s="2" t="s">
        <v>7591</v>
      </c>
      <c r="B3531" s="2" t="s">
        <v>7591</v>
      </c>
      <c r="C3531" s="2" t="s">
        <v>16</v>
      </c>
      <c r="D3531" s="2" t="s">
        <v>17</v>
      </c>
      <c r="E3531" s="5">
        <v>-31698</v>
      </c>
      <c r="F3531" s="3" t="s">
        <v>470</v>
      </c>
      <c r="G3531" s="3" t="s">
        <v>54</v>
      </c>
      <c r="H3531" s="2" t="s">
        <v>20</v>
      </c>
      <c r="I3531" s="2" t="s">
        <v>7592</v>
      </c>
      <c r="J3531" s="3" t="str">
        <f>HYPERLINK("https://www.boe.es/gazeta/dias/1813/03/18/pdfs/GRE-1813-34.pdf#page=3","Abrir facsímil")</f>
        <v>Abrir facsímil</v>
      </c>
      <c r="K3531" s="3" t="s">
        <v>22</v>
      </c>
    </row>
    <row r="3532" spans="1:11" ht="42" customHeight="1">
      <c r="A3532" s="2" t="s">
        <v>7593</v>
      </c>
      <c r="B3532" s="2" t="s">
        <v>7593</v>
      </c>
      <c r="C3532" s="2" t="s">
        <v>16</v>
      </c>
      <c r="D3532" s="2" t="s">
        <v>17</v>
      </c>
      <c r="E3532" s="5">
        <v>-31592</v>
      </c>
      <c r="F3532" s="3" t="s">
        <v>175</v>
      </c>
      <c r="G3532" s="3" t="s">
        <v>95</v>
      </c>
      <c r="H3532" s="2" t="s">
        <v>20</v>
      </c>
      <c r="I3532" s="2" t="s">
        <v>7594</v>
      </c>
      <c r="J3532" s="3" t="str">
        <f>HYPERLINK("https://www.boe.es/gazeta/dias/1813/07/02/pdfs/GRE-1813-82.pdf#page=6","Abrir facsímil")</f>
        <v>Abrir facsímil</v>
      </c>
      <c r="K3532" s="3" t="s">
        <v>22</v>
      </c>
    </row>
    <row r="3533" spans="1:11" ht="42" customHeight="1">
      <c r="A3533" s="2" t="s">
        <v>7595</v>
      </c>
      <c r="B3533" s="2" t="s">
        <v>7596</v>
      </c>
      <c r="C3533" s="2" t="s">
        <v>16</v>
      </c>
      <c r="D3533" s="2" t="s">
        <v>17</v>
      </c>
      <c r="E3533" s="5">
        <v>-31663</v>
      </c>
      <c r="F3533" s="3" t="s">
        <v>2638</v>
      </c>
      <c r="G3533" s="3" t="s">
        <v>7597</v>
      </c>
      <c r="H3533" s="2" t="s">
        <v>20</v>
      </c>
      <c r="I3533" s="2" t="s">
        <v>7598</v>
      </c>
      <c r="J3533" s="3" t="str">
        <f>HYPERLINK("https://www.boe.es/gazeta/dias/1813/04/22/pdfs/GRE-1813-50.pdf#page=8","Abrir facsímil")</f>
        <v>Abrir facsímil</v>
      </c>
      <c r="K3533" s="3" t="s">
        <v>22</v>
      </c>
    </row>
    <row r="3534" spans="1:11" ht="42" customHeight="1">
      <c r="A3534" s="2" t="s">
        <v>7599</v>
      </c>
      <c r="B3534" s="2" t="s">
        <v>7599</v>
      </c>
      <c r="C3534" s="2" t="s">
        <v>16</v>
      </c>
      <c r="D3534" s="2" t="s">
        <v>17</v>
      </c>
      <c r="E3534" s="5">
        <v>-31516</v>
      </c>
      <c r="F3534" s="3" t="s">
        <v>1685</v>
      </c>
      <c r="G3534" s="3" t="s">
        <v>1686</v>
      </c>
      <c r="H3534" s="2" t="s">
        <v>20</v>
      </c>
      <c r="I3534" s="2" t="s">
        <v>7600</v>
      </c>
      <c r="J3534" s="3" t="str">
        <f>HYPERLINK("https://www.boe.es/gazeta/dias/1813/09/16/pdfs/GRE-1813-120.pdf#page=7","Abrir facsímil")</f>
        <v>Abrir facsímil</v>
      </c>
      <c r="K3534" s="3" t="s">
        <v>22</v>
      </c>
    </row>
    <row r="3535" spans="1:11" ht="42" customHeight="1">
      <c r="A3535" s="2" t="s">
        <v>7601</v>
      </c>
      <c r="B3535" s="2" t="s">
        <v>7601</v>
      </c>
      <c r="C3535" s="2" t="s">
        <v>16</v>
      </c>
      <c r="D3535" s="2" t="s">
        <v>17</v>
      </c>
      <c r="E3535" s="5">
        <v>-31585</v>
      </c>
      <c r="F3535" s="3" t="s">
        <v>177</v>
      </c>
      <c r="G3535" s="3" t="s">
        <v>258</v>
      </c>
      <c r="H3535" s="2" t="s">
        <v>20</v>
      </c>
      <c r="I3535" s="2" t="s">
        <v>7602</v>
      </c>
      <c r="J3535" s="3" t="str">
        <f>HYPERLINK("https://www.boe.es/gazeta/dias/1813/07/09/pdfs/GMR-1813-16.pdf#page=12","Abrir facsímil")</f>
        <v>Abrir facsímil</v>
      </c>
      <c r="K3535" s="3" t="s">
        <v>22</v>
      </c>
    </row>
    <row r="3536" spans="1:11" ht="42" customHeight="1">
      <c r="A3536" s="2" t="s">
        <v>7603</v>
      </c>
      <c r="B3536" s="2" t="s">
        <v>7603</v>
      </c>
      <c r="C3536" s="2" t="s">
        <v>16</v>
      </c>
      <c r="D3536" s="2" t="s">
        <v>17</v>
      </c>
      <c r="E3536" s="5">
        <v>-31592</v>
      </c>
      <c r="F3536" s="3" t="s">
        <v>175</v>
      </c>
      <c r="G3536" s="3" t="s">
        <v>471</v>
      </c>
      <c r="H3536" s="2" t="s">
        <v>20</v>
      </c>
      <c r="I3536" s="2" t="s">
        <v>7604</v>
      </c>
      <c r="J3536" s="3" t="str">
        <f>HYPERLINK("https://www.boe.es/gazeta/dias/1813/07/02/pdfs/GRE-1813-82.pdf#page=7","Abrir facsímil")</f>
        <v>Abrir facsímil</v>
      </c>
      <c r="K3536" s="3" t="s">
        <v>22</v>
      </c>
    </row>
    <row r="3537" spans="1:11" ht="42" customHeight="1">
      <c r="A3537" s="2" t="s">
        <v>7605</v>
      </c>
      <c r="B3537" s="2" t="s">
        <v>7606</v>
      </c>
      <c r="C3537" s="2" t="s">
        <v>16</v>
      </c>
      <c r="D3537" s="2" t="s">
        <v>17</v>
      </c>
      <c r="E3537" s="5">
        <v>-31619</v>
      </c>
      <c r="F3537" s="3" t="s">
        <v>1350</v>
      </c>
      <c r="G3537" s="3" t="s">
        <v>2984</v>
      </c>
      <c r="H3537" s="2" t="s">
        <v>20</v>
      </c>
      <c r="I3537" s="2" t="s">
        <v>7607</v>
      </c>
      <c r="J3537" s="3" t="str">
        <f>HYPERLINK("https://www.boe.es/gazeta/dias/1813/06/05/pdfs/GMR-1813-2.pdf#page=4","Abrir facsímil")</f>
        <v>Abrir facsímil</v>
      </c>
      <c r="K3537" s="3" t="s">
        <v>22</v>
      </c>
    </row>
    <row r="3538" spans="1:11" ht="42" customHeight="1">
      <c r="A3538" s="2" t="s">
        <v>7608</v>
      </c>
      <c r="B3538" s="2" t="s">
        <v>7608</v>
      </c>
      <c r="C3538" s="2" t="s">
        <v>16</v>
      </c>
      <c r="D3538" s="2" t="s">
        <v>17</v>
      </c>
      <c r="E3538" s="5">
        <v>-31551</v>
      </c>
      <c r="F3538" s="3" t="s">
        <v>4349</v>
      </c>
      <c r="G3538" s="3" t="s">
        <v>82</v>
      </c>
      <c r="H3538" s="2" t="s">
        <v>20</v>
      </c>
      <c r="I3538" s="2" t="s">
        <v>7609</v>
      </c>
      <c r="J3538" s="3" t="str">
        <f>HYPERLINK("https://www.boe.es/gazeta/dias/1813/08/12/pdfs/GRE-1813-102.pdf#page=5","Abrir facsímil")</f>
        <v>Abrir facsímil</v>
      </c>
      <c r="K3538" s="3" t="s">
        <v>22</v>
      </c>
    </row>
    <row r="3539" spans="1:11" ht="42" customHeight="1">
      <c r="A3539" s="2" t="s">
        <v>7610</v>
      </c>
      <c r="B3539" s="2" t="s">
        <v>7610</v>
      </c>
      <c r="C3539" s="2" t="s">
        <v>16</v>
      </c>
      <c r="D3539" s="2" t="s">
        <v>17</v>
      </c>
      <c r="E3539" s="5">
        <v>-31423</v>
      </c>
      <c r="F3539" s="3" t="s">
        <v>2465</v>
      </c>
      <c r="G3539" s="3" t="s">
        <v>58</v>
      </c>
      <c r="H3539" s="2" t="s">
        <v>20</v>
      </c>
      <c r="I3539" s="2" t="s">
        <v>7611</v>
      </c>
      <c r="J3539" s="3" t="str">
        <f>HYPERLINK("https://www.boe.es/gazeta/dias/1813/12/18/pdfs/GMR-1813-89.pdf#page=2","Abrir facsímil")</f>
        <v>Abrir facsímil</v>
      </c>
      <c r="K3539" s="3" t="s">
        <v>22</v>
      </c>
    </row>
    <row r="3540" spans="1:11" ht="42" customHeight="1">
      <c r="A3540" s="2" t="s">
        <v>7612</v>
      </c>
      <c r="B3540" s="2" t="s">
        <v>7613</v>
      </c>
      <c r="C3540" s="2" t="s">
        <v>16</v>
      </c>
      <c r="D3540" s="2" t="s">
        <v>97</v>
      </c>
      <c r="E3540" s="5">
        <v>-31479</v>
      </c>
      <c r="F3540" s="3" t="s">
        <v>290</v>
      </c>
      <c r="G3540" s="3" t="s">
        <v>87</v>
      </c>
      <c r="H3540" s="2" t="s">
        <v>20</v>
      </c>
      <c r="I3540" s="2" t="s">
        <v>7614</v>
      </c>
      <c r="J3540" s="3" t="str">
        <f>HYPERLINK("https://www.boe.es/gazeta/dias/1813/10/23/pdfs/GRE-1813-139E.pdf#page=7","Abrir facsímil")</f>
        <v>Abrir facsímil</v>
      </c>
      <c r="K3540" s="3" t="s">
        <v>22</v>
      </c>
    </row>
    <row r="3541" spans="1:11" ht="42" customHeight="1">
      <c r="A3541" s="2" t="s">
        <v>7615</v>
      </c>
      <c r="B3541" s="2" t="s">
        <v>7616</v>
      </c>
      <c r="C3541" s="2" t="s">
        <v>16</v>
      </c>
      <c r="D3541" s="2" t="s">
        <v>17</v>
      </c>
      <c r="E3541" s="5">
        <v>-31465</v>
      </c>
      <c r="F3541" s="3" t="s">
        <v>407</v>
      </c>
      <c r="G3541" s="3" t="s">
        <v>3112</v>
      </c>
      <c r="H3541" s="2" t="s">
        <v>20</v>
      </c>
      <c r="I3541" s="2" t="s">
        <v>7617</v>
      </c>
      <c r="J3541" s="3" t="str">
        <f>HYPERLINK("https://www.boe.es/gazeta/dias/1813/11/06/pdfs/GMR-1813-70.pdf#page=6","Abrir facsímil")</f>
        <v>Abrir facsímil</v>
      </c>
      <c r="K3541" s="3" t="s">
        <v>22</v>
      </c>
    </row>
    <row r="3542" spans="1:11" ht="42" customHeight="1">
      <c r="A3542" s="2" t="s">
        <v>7618</v>
      </c>
      <c r="B3542" s="2" t="s">
        <v>7618</v>
      </c>
      <c r="C3542" s="2" t="s">
        <v>25</v>
      </c>
      <c r="D3542" s="2" t="s">
        <v>26</v>
      </c>
      <c r="E3542" s="5">
        <v>-31551</v>
      </c>
      <c r="F3542" s="3" t="s">
        <v>4349</v>
      </c>
      <c r="G3542" s="3" t="s">
        <v>95</v>
      </c>
      <c r="H3542" s="2" t="s">
        <v>20</v>
      </c>
      <c r="I3542" s="2" t="s">
        <v>7619</v>
      </c>
      <c r="J3542" s="3" t="str">
        <f>HYPERLINK("https://www.boe.es/gazeta/dias/1813/08/12/pdfs/GRE-1813-102.pdf#page=6","Abrir facsímil")</f>
        <v>Abrir facsímil</v>
      </c>
      <c r="K3542" s="3" t="s">
        <v>22</v>
      </c>
    </row>
    <row r="3543" spans="1:11" ht="42" customHeight="1">
      <c r="A3543" s="2" t="s">
        <v>7620</v>
      </c>
      <c r="B3543" s="2" t="s">
        <v>7621</v>
      </c>
      <c r="C3543" s="2" t="s">
        <v>16</v>
      </c>
      <c r="D3543" s="2" t="s">
        <v>97</v>
      </c>
      <c r="E3543" s="5">
        <v>-31479</v>
      </c>
      <c r="F3543" s="3" t="s">
        <v>290</v>
      </c>
      <c r="G3543" s="3" t="s">
        <v>3006</v>
      </c>
      <c r="H3543" s="2" t="s">
        <v>20</v>
      </c>
      <c r="I3543" s="2" t="s">
        <v>7622</v>
      </c>
      <c r="J3543" s="3" t="str">
        <f>HYPERLINK("https://www.boe.es/gazeta/dias/1813/10/23/pdfs/GRE-1813-139E.pdf#page=15","Abrir facsímil")</f>
        <v>Abrir facsímil</v>
      </c>
      <c r="K3543" s="3" t="s">
        <v>22</v>
      </c>
    </row>
    <row r="3544" spans="1:11" ht="42" customHeight="1">
      <c r="A3544" s="2" t="s">
        <v>7623</v>
      </c>
      <c r="B3544" s="2" t="s">
        <v>7623</v>
      </c>
      <c r="C3544" s="2" t="s">
        <v>16</v>
      </c>
      <c r="D3544" s="2" t="s">
        <v>17</v>
      </c>
      <c r="E3544" s="5">
        <v>-31764</v>
      </c>
      <c r="F3544" s="3" t="s">
        <v>2677</v>
      </c>
      <c r="G3544" s="3" t="s">
        <v>54</v>
      </c>
      <c r="H3544" s="2" t="s">
        <v>20</v>
      </c>
      <c r="I3544" s="2" t="s">
        <v>7624</v>
      </c>
      <c r="J3544" s="3" t="str">
        <f>HYPERLINK("https://www.boe.es/gazeta/dias/1813/01/11/pdfs/GMD-1813-11.pdf#page=3","Abrir facsímil")</f>
        <v>Abrir facsímil</v>
      </c>
      <c r="K3544" s="3" t="s">
        <v>22</v>
      </c>
    </row>
    <row r="3545" spans="1:11" ht="42" customHeight="1">
      <c r="A3545" s="2" t="s">
        <v>7623</v>
      </c>
      <c r="B3545" s="2" t="s">
        <v>7623</v>
      </c>
      <c r="C3545" s="2" t="s">
        <v>16</v>
      </c>
      <c r="D3545" s="2" t="s">
        <v>17</v>
      </c>
      <c r="E3545" s="5">
        <v>-31727</v>
      </c>
      <c r="F3545" s="3" t="s">
        <v>3767</v>
      </c>
      <c r="G3545" s="3" t="s">
        <v>19</v>
      </c>
      <c r="H3545" s="2" t="s">
        <v>20</v>
      </c>
      <c r="I3545" s="2" t="s">
        <v>7625</v>
      </c>
      <c r="J3545" s="3" t="str">
        <f>HYPERLINK("https://www.boe.es/gazeta/dias/1813/02/17/pdfs/GMD-1813-48.pdf#page=4","Abrir facsímil")</f>
        <v>Abrir facsímil</v>
      </c>
      <c r="K3545" s="3" t="s">
        <v>22</v>
      </c>
    </row>
    <row r="3546" spans="1:11" ht="42" customHeight="1">
      <c r="A3546" s="2" t="s">
        <v>7623</v>
      </c>
      <c r="B3546" s="2" t="s">
        <v>7623</v>
      </c>
      <c r="C3546" s="2" t="s">
        <v>16</v>
      </c>
      <c r="D3546" s="2" t="s">
        <v>17</v>
      </c>
      <c r="E3546" s="5">
        <v>-31544</v>
      </c>
      <c r="F3546" s="3" t="s">
        <v>44</v>
      </c>
      <c r="G3546" s="3" t="s">
        <v>58</v>
      </c>
      <c r="H3546" s="2" t="s">
        <v>20</v>
      </c>
      <c r="I3546" s="2" t="s">
        <v>7626</v>
      </c>
      <c r="J3546" s="3" t="str">
        <f>HYPERLINK("https://www.boe.es/gazeta/dias/1813/08/19/pdfs/GMR-1813-30.pdf#page=2","Abrir facsímil")</f>
        <v>Abrir facsímil</v>
      </c>
      <c r="K3546" s="3" t="s">
        <v>22</v>
      </c>
    </row>
    <row r="3547" spans="1:11" ht="42" customHeight="1">
      <c r="A3547" s="2" t="s">
        <v>7627</v>
      </c>
      <c r="B3547" s="2" t="s">
        <v>7628</v>
      </c>
      <c r="C3547" s="2" t="s">
        <v>34</v>
      </c>
      <c r="D3547" s="2" t="s">
        <v>35</v>
      </c>
      <c r="E3547" s="5">
        <v>-31516</v>
      </c>
      <c r="F3547" s="3" t="s">
        <v>246</v>
      </c>
      <c r="G3547" s="3" t="s">
        <v>54</v>
      </c>
      <c r="H3547" s="2" t="s">
        <v>20</v>
      </c>
      <c r="I3547" s="2" t="s">
        <v>7629</v>
      </c>
      <c r="J3547" s="3" t="str">
        <f>HYPERLINK("https://www.boe.es/gazeta/dias/1813/09/16/pdfs/GMR-1813-43.pdf#page=3","Abrir facsímil")</f>
        <v>Abrir facsímil</v>
      </c>
      <c r="K3547" s="3" t="s">
        <v>22</v>
      </c>
    </row>
    <row r="3548" spans="1:11" ht="42" customHeight="1">
      <c r="A3548" s="2" t="s">
        <v>7630</v>
      </c>
      <c r="B3548" s="2" t="s">
        <v>7631</v>
      </c>
      <c r="C3548" s="2" t="s">
        <v>25</v>
      </c>
      <c r="D3548" s="2" t="s">
        <v>26</v>
      </c>
      <c r="E3548" s="5">
        <v>-31420</v>
      </c>
      <c r="F3548" s="3" t="s">
        <v>145</v>
      </c>
      <c r="G3548" s="3" t="s">
        <v>5339</v>
      </c>
      <c r="H3548" s="2" t="s">
        <v>20</v>
      </c>
      <c r="I3548" s="2" t="s">
        <v>7632</v>
      </c>
      <c r="J3548" s="3" t="str">
        <f>HYPERLINK("https://www.boe.es/gazeta/dias/1813/12/21/pdfs/GMR-1813-90.pdf#page=12","Abrir facsímil")</f>
        <v>Abrir facsímil</v>
      </c>
      <c r="K3548" s="3" t="s">
        <v>22</v>
      </c>
    </row>
    <row r="3549" spans="1:11" ht="42" customHeight="1">
      <c r="A3549" s="2" t="s">
        <v>7633</v>
      </c>
      <c r="B3549" s="2" t="s">
        <v>7634</v>
      </c>
      <c r="C3549" s="2" t="s">
        <v>16</v>
      </c>
      <c r="D3549" s="2" t="s">
        <v>17</v>
      </c>
      <c r="E3549" s="5">
        <v>-31420</v>
      </c>
      <c r="F3549" s="3" t="s">
        <v>145</v>
      </c>
      <c r="G3549" s="3" t="s">
        <v>5339</v>
      </c>
      <c r="H3549" s="2" t="s">
        <v>20</v>
      </c>
      <c r="I3549" s="2" t="s">
        <v>7635</v>
      </c>
      <c r="J3549" s="3" t="str">
        <f>HYPERLINK("https://www.boe.es/gazeta/dias/1813/12/21/pdfs/GMR-1813-90.pdf#page=12","Abrir facsímil")</f>
        <v>Abrir facsímil</v>
      </c>
      <c r="K3549" s="3" t="s">
        <v>22</v>
      </c>
    </row>
    <row r="3550" spans="1:11" ht="42" customHeight="1">
      <c r="A3550" s="2" t="s">
        <v>7636</v>
      </c>
      <c r="B3550" s="2" t="s">
        <v>7636</v>
      </c>
      <c r="C3550" s="2" t="s">
        <v>16</v>
      </c>
      <c r="D3550" s="2" t="s">
        <v>17</v>
      </c>
      <c r="E3550" s="5">
        <v>-31446</v>
      </c>
      <c r="F3550" s="3" t="s">
        <v>1078</v>
      </c>
      <c r="G3550" s="3" t="s">
        <v>58</v>
      </c>
      <c r="H3550" s="2" t="s">
        <v>20</v>
      </c>
      <c r="I3550" s="2" t="s">
        <v>7637</v>
      </c>
      <c r="J3550" s="3" t="str">
        <f>HYPERLINK("https://www.boe.es/gazeta/dias/1813/11/25/pdfs/GRE-1813-154.pdf#page=2","Abrir facsímil")</f>
        <v>Abrir facsímil</v>
      </c>
      <c r="K3550" s="3" t="s">
        <v>22</v>
      </c>
    </row>
    <row r="3551" spans="1:11" ht="42" customHeight="1">
      <c r="A3551" s="2" t="s">
        <v>7638</v>
      </c>
      <c r="B3551" s="2" t="s">
        <v>7638</v>
      </c>
      <c r="C3551" s="2" t="s">
        <v>16</v>
      </c>
      <c r="D3551" s="2" t="s">
        <v>17</v>
      </c>
      <c r="E3551" s="5">
        <v>-31451</v>
      </c>
      <c r="F3551" s="3" t="s">
        <v>2325</v>
      </c>
      <c r="G3551" s="3" t="s">
        <v>58</v>
      </c>
      <c r="H3551" s="2" t="s">
        <v>20</v>
      </c>
      <c r="I3551" s="2" t="s">
        <v>7639</v>
      </c>
      <c r="J3551" s="3" t="str">
        <f>HYPERLINK("https://www.boe.es/gazeta/dias/1813/11/20/pdfs/GMR-1813-77.pdf#page=2","Abrir facsímil")</f>
        <v>Abrir facsímil</v>
      </c>
      <c r="K3551" s="3" t="s">
        <v>22</v>
      </c>
    </row>
    <row r="3552" spans="1:11" ht="42" customHeight="1">
      <c r="A3552" s="2" t="s">
        <v>7640</v>
      </c>
      <c r="B3552" s="2" t="s">
        <v>7641</v>
      </c>
      <c r="C3552" s="2" t="s">
        <v>25</v>
      </c>
      <c r="D3552" s="2" t="s">
        <v>26</v>
      </c>
      <c r="E3552" s="5">
        <v>-31752</v>
      </c>
      <c r="F3552" s="3" t="s">
        <v>7642</v>
      </c>
      <c r="G3552" s="3" t="s">
        <v>54</v>
      </c>
      <c r="H3552" s="2" t="s">
        <v>20</v>
      </c>
      <c r="I3552" s="2" t="s">
        <v>7643</v>
      </c>
      <c r="J3552" s="3" t="str">
        <f>HYPERLINK("https://www.boe.es/gazeta/dias/1813/01/23/pdfs/GMD-1813-23.pdf#page=3","Abrir facsímil")</f>
        <v>Abrir facsímil</v>
      </c>
      <c r="K3552" s="3" t="s">
        <v>22</v>
      </c>
    </row>
    <row r="3553" spans="1:11" ht="42" customHeight="1">
      <c r="A3553" s="2" t="s">
        <v>7644</v>
      </c>
      <c r="B3553" s="2" t="s">
        <v>7644</v>
      </c>
      <c r="C3553" s="2" t="s">
        <v>435</v>
      </c>
      <c r="D3553" s="2" t="s">
        <v>26</v>
      </c>
      <c r="E3553" s="5">
        <v>-31629</v>
      </c>
      <c r="F3553" s="3" t="s">
        <v>1146</v>
      </c>
      <c r="G3553" s="3" t="s">
        <v>19</v>
      </c>
      <c r="H3553" s="2" t="s">
        <v>20</v>
      </c>
      <c r="I3553" s="2" t="s">
        <v>7645</v>
      </c>
      <c r="J3553" s="3" t="str">
        <f>HYPERLINK("https://www.boe.es/gazeta/dias/1813/05/26/pdfs/GMD-1813-146.pdf#page=4","Abrir facsímil")</f>
        <v>Abrir facsímil</v>
      </c>
      <c r="K3553" s="3" t="s">
        <v>22</v>
      </c>
    </row>
    <row r="3554" spans="1:11" ht="42" customHeight="1">
      <c r="A3554" s="2" t="s">
        <v>7646</v>
      </c>
      <c r="B3554" s="2" t="s">
        <v>7647</v>
      </c>
      <c r="C3554" s="2" t="s">
        <v>16</v>
      </c>
      <c r="D3554" s="2" t="s">
        <v>17</v>
      </c>
      <c r="E3554" s="5">
        <v>-31631</v>
      </c>
      <c r="F3554" s="3" t="s">
        <v>2792</v>
      </c>
      <c r="G3554" s="3" t="s">
        <v>19</v>
      </c>
      <c r="H3554" s="2" t="s">
        <v>20</v>
      </c>
      <c r="I3554" s="2" t="s">
        <v>7648</v>
      </c>
      <c r="J3554" s="3" t="str">
        <f>HYPERLINK("https://www.boe.es/gazeta/dias/1813/05/24/pdfs/GMD-1813-144.pdf#page=4","Abrir facsímil")</f>
        <v>Abrir facsímil</v>
      </c>
      <c r="K3554" s="3" t="s">
        <v>22</v>
      </c>
    </row>
    <row r="3555" spans="1:11" ht="42" customHeight="1">
      <c r="A3555" s="2" t="s">
        <v>7649</v>
      </c>
      <c r="B3555" s="2" t="s">
        <v>7650</v>
      </c>
      <c r="C3555" s="2" t="s">
        <v>16</v>
      </c>
      <c r="D3555" s="2" t="s">
        <v>17</v>
      </c>
      <c r="E3555" s="5">
        <v>-31500</v>
      </c>
      <c r="F3555" s="3" t="s">
        <v>938</v>
      </c>
      <c r="G3555" s="3" t="s">
        <v>28</v>
      </c>
      <c r="H3555" s="2" t="s">
        <v>20</v>
      </c>
      <c r="I3555" s="2" t="s">
        <v>7651</v>
      </c>
      <c r="J3555" s="3" t="str">
        <f>HYPERLINK("https://www.boe.es/gazeta/dias/1813/10/02/pdfs/GMR-1813-52.pdf#page=8","Abrir facsímil")</f>
        <v>Abrir facsímil</v>
      </c>
      <c r="K3555" s="3" t="s">
        <v>22</v>
      </c>
    </row>
    <row r="3556" spans="1:11" ht="42" customHeight="1">
      <c r="A3556" s="2" t="s">
        <v>7652</v>
      </c>
      <c r="B3556" s="2" t="s">
        <v>7653</v>
      </c>
      <c r="C3556" s="2" t="s">
        <v>16</v>
      </c>
      <c r="D3556" s="2" t="s">
        <v>17</v>
      </c>
      <c r="E3556" s="5">
        <v>-31551</v>
      </c>
      <c r="F3556" s="3" t="s">
        <v>4349</v>
      </c>
      <c r="G3556" s="3" t="s">
        <v>82</v>
      </c>
      <c r="H3556" s="2" t="s">
        <v>20</v>
      </c>
      <c r="I3556" s="2" t="s">
        <v>7654</v>
      </c>
      <c r="J3556" s="3" t="str">
        <f>HYPERLINK("https://www.boe.es/gazeta/dias/1813/08/12/pdfs/GRE-1813-102.pdf#page=5","Abrir facsímil")</f>
        <v>Abrir facsímil</v>
      </c>
      <c r="K3556" s="3" t="s">
        <v>22</v>
      </c>
    </row>
    <row r="3557" spans="1:11" ht="42" customHeight="1">
      <c r="A3557" s="2" t="s">
        <v>7652</v>
      </c>
      <c r="B3557" s="2" t="s">
        <v>7653</v>
      </c>
      <c r="C3557" s="2" t="s">
        <v>25</v>
      </c>
      <c r="D3557" s="2" t="s">
        <v>26</v>
      </c>
      <c r="E3557" s="5">
        <v>-31551</v>
      </c>
      <c r="F3557" s="3" t="s">
        <v>4349</v>
      </c>
      <c r="G3557" s="3" t="s">
        <v>95</v>
      </c>
      <c r="H3557" s="2" t="s">
        <v>20</v>
      </c>
      <c r="I3557" s="2" t="s">
        <v>7655</v>
      </c>
      <c r="J3557" s="3" t="str">
        <f>HYPERLINK("https://www.boe.es/gazeta/dias/1813/08/12/pdfs/GRE-1813-102.pdf#page=6","Abrir facsímil")</f>
        <v>Abrir facsímil</v>
      </c>
      <c r="K3557" s="3" t="s">
        <v>22</v>
      </c>
    </row>
    <row r="3558" spans="1:11" ht="42" customHeight="1">
      <c r="A3558" s="2" t="s">
        <v>7656</v>
      </c>
      <c r="B3558" s="2" t="s">
        <v>7657</v>
      </c>
      <c r="C3558" s="2" t="s">
        <v>16</v>
      </c>
      <c r="D3558" s="2" t="s">
        <v>17</v>
      </c>
      <c r="E3558" s="5">
        <v>-31551</v>
      </c>
      <c r="F3558" s="3" t="s">
        <v>4349</v>
      </c>
      <c r="G3558" s="3" t="s">
        <v>87</v>
      </c>
      <c r="H3558" s="2" t="s">
        <v>20</v>
      </c>
      <c r="I3558" s="2" t="s">
        <v>7658</v>
      </c>
      <c r="J3558" s="3" t="str">
        <f>HYPERLINK("https://www.boe.es/gazeta/dias/1813/08/12/pdfs/GRE-1813-102.pdf#page=7","Abrir facsímil")</f>
        <v>Abrir facsímil</v>
      </c>
      <c r="K3558" s="3" t="s">
        <v>22</v>
      </c>
    </row>
    <row r="3559" spans="1:11" ht="42" customHeight="1">
      <c r="A3559" s="2" t="s">
        <v>7659</v>
      </c>
      <c r="B3559" s="2" t="s">
        <v>7660</v>
      </c>
      <c r="C3559" s="2" t="s">
        <v>25</v>
      </c>
      <c r="D3559" s="2" t="s">
        <v>26</v>
      </c>
      <c r="E3559" s="5">
        <v>-31745</v>
      </c>
      <c r="F3559" s="3" t="s">
        <v>445</v>
      </c>
      <c r="G3559" s="3" t="s">
        <v>475</v>
      </c>
      <c r="H3559" s="2" t="s">
        <v>20</v>
      </c>
      <c r="I3559" s="2" t="s">
        <v>7661</v>
      </c>
      <c r="J3559" s="3" t="str">
        <f>HYPERLINK("https://www.boe.es/gazeta/dias/1813/01/30/pdfs/GRE-1813-13.pdf#page=7","Abrir facsímil")</f>
        <v>Abrir facsímil</v>
      </c>
      <c r="K3559" s="3" t="s">
        <v>22</v>
      </c>
    </row>
    <row r="3560" spans="1:11" ht="42" customHeight="1">
      <c r="A3560" s="2" t="s">
        <v>7662</v>
      </c>
      <c r="B3560" s="2" t="s">
        <v>7663</v>
      </c>
      <c r="C3560" s="2" t="s">
        <v>16</v>
      </c>
      <c r="D3560" s="2" t="s">
        <v>97</v>
      </c>
      <c r="E3560" s="5">
        <v>-31519</v>
      </c>
      <c r="F3560" s="3" t="s">
        <v>312</v>
      </c>
      <c r="G3560" s="3" t="s">
        <v>28</v>
      </c>
      <c r="H3560" s="2" t="s">
        <v>20</v>
      </c>
      <c r="I3560" s="2" t="s">
        <v>7664</v>
      </c>
      <c r="J3560" s="3" t="str">
        <f>HYPERLINK("https://www.boe.es/gazeta/dias/1813/09/13/pdfs/GRE-1813-118E.pdf#page=8","Abrir facsímil")</f>
        <v>Abrir facsímil</v>
      </c>
      <c r="K3560" s="3" t="s">
        <v>22</v>
      </c>
    </row>
    <row r="3561" spans="1:11" ht="42" customHeight="1">
      <c r="A3561" s="2" t="s">
        <v>7665</v>
      </c>
      <c r="B3561" s="2" t="s">
        <v>7666</v>
      </c>
      <c r="C3561" s="2" t="s">
        <v>16</v>
      </c>
      <c r="D3561" s="2" t="s">
        <v>97</v>
      </c>
      <c r="E3561" s="5">
        <v>-31519</v>
      </c>
      <c r="F3561" s="3" t="s">
        <v>312</v>
      </c>
      <c r="G3561" s="3" t="s">
        <v>28</v>
      </c>
      <c r="H3561" s="2" t="s">
        <v>20</v>
      </c>
      <c r="I3561" s="2" t="s">
        <v>7667</v>
      </c>
      <c r="J3561" s="3" t="str">
        <f>HYPERLINK("https://www.boe.es/gazeta/dias/1813/09/13/pdfs/GRE-1813-118E.pdf#page=8","Abrir facsímil")</f>
        <v>Abrir facsímil</v>
      </c>
      <c r="K3561" s="3" t="s">
        <v>22</v>
      </c>
    </row>
    <row r="3562" spans="1:11" ht="42" customHeight="1">
      <c r="A3562" s="2" t="s">
        <v>7668</v>
      </c>
      <c r="B3562" s="2" t="s">
        <v>7669</v>
      </c>
      <c r="C3562" s="2" t="s">
        <v>16</v>
      </c>
      <c r="D3562" s="2" t="s">
        <v>17</v>
      </c>
      <c r="E3562" s="5">
        <v>-31507</v>
      </c>
      <c r="F3562" s="3" t="s">
        <v>61</v>
      </c>
      <c r="G3562" s="3" t="s">
        <v>28</v>
      </c>
      <c r="H3562" s="2" t="s">
        <v>20</v>
      </c>
      <c r="I3562" s="2" t="s">
        <v>7670</v>
      </c>
      <c r="J3562" s="3" t="str">
        <f>HYPERLINK("https://www.boe.es/gazeta/dias/1813/09/25/pdfs/GMR-1813-48.pdf#page=8","Abrir facsímil")</f>
        <v>Abrir facsímil</v>
      </c>
      <c r="K3562" s="3" t="s">
        <v>22</v>
      </c>
    </row>
    <row r="3563" spans="1:11" ht="42" customHeight="1">
      <c r="A3563" s="2" t="s">
        <v>7671</v>
      </c>
      <c r="B3563" s="2" t="s">
        <v>7672</v>
      </c>
      <c r="C3563" s="2" t="s">
        <v>25</v>
      </c>
      <c r="D3563" s="2" t="s">
        <v>26</v>
      </c>
      <c r="E3563" s="5">
        <v>-31559</v>
      </c>
      <c r="F3563" s="3" t="s">
        <v>1485</v>
      </c>
      <c r="G3563" s="3" t="s">
        <v>1486</v>
      </c>
      <c r="H3563" s="2" t="s">
        <v>20</v>
      </c>
      <c r="I3563" s="2" t="s">
        <v>7673</v>
      </c>
      <c r="J3563" s="3" t="str">
        <f>HYPERLINK("https://www.boe.es/gazeta/dias/1813/08/04/pdfs/GRE-1813-113.pdf#page=8","Abrir facsímil")</f>
        <v>Abrir facsímil</v>
      </c>
      <c r="K3563" s="3" t="s">
        <v>22</v>
      </c>
    </row>
    <row r="3564" spans="1:11" ht="42" customHeight="1">
      <c r="A3564" s="2" t="s">
        <v>7671</v>
      </c>
      <c r="B3564" s="2" t="s">
        <v>7672</v>
      </c>
      <c r="C3564" s="2" t="s">
        <v>25</v>
      </c>
      <c r="D3564" s="2" t="s">
        <v>26</v>
      </c>
      <c r="E3564" s="5">
        <v>-31528</v>
      </c>
      <c r="F3564" s="3" t="s">
        <v>1485</v>
      </c>
      <c r="G3564" s="3" t="s">
        <v>1486</v>
      </c>
      <c r="H3564" s="2" t="s">
        <v>20</v>
      </c>
      <c r="I3564" s="2" t="s">
        <v>7673</v>
      </c>
      <c r="J3564" s="3" t="str">
        <f>HYPERLINK("https://www.boe.es/gazeta/dias/1813/09/04/pdfs/GRE-1813-113.pdf#page=8","Abrir facsímil")</f>
        <v>Abrir facsímil</v>
      </c>
      <c r="K3564" s="3" t="s">
        <v>22</v>
      </c>
    </row>
    <row r="3565" spans="1:11" ht="42" customHeight="1">
      <c r="A3565" s="2" t="s">
        <v>7674</v>
      </c>
      <c r="B3565" s="2" t="s">
        <v>7675</v>
      </c>
      <c r="C3565" s="2" t="s">
        <v>34</v>
      </c>
      <c r="D3565" s="2" t="s">
        <v>35</v>
      </c>
      <c r="E3565" s="5">
        <v>-31709</v>
      </c>
      <c r="F3565" s="3" t="s">
        <v>36</v>
      </c>
      <c r="G3565" s="3" t="s">
        <v>303</v>
      </c>
      <c r="H3565" s="2" t="s">
        <v>20</v>
      </c>
      <c r="I3565" s="2" t="s">
        <v>7676</v>
      </c>
      <c r="J3565" s="3" t="str">
        <f>HYPERLINK("https://www.boe.es/gazeta/dias/1813/03/07/pdfs/GMD-1813-66.pdf#page=3","Abrir facsímil")</f>
        <v>Abrir facsímil</v>
      </c>
      <c r="K3565" s="3" t="s">
        <v>22</v>
      </c>
    </row>
    <row r="3566" spans="1:11" ht="42" customHeight="1">
      <c r="A3566" s="2" t="s">
        <v>7677</v>
      </c>
      <c r="B3566" s="2" t="s">
        <v>7677</v>
      </c>
      <c r="C3566" s="2" t="s">
        <v>16</v>
      </c>
      <c r="D3566" s="2" t="s">
        <v>17</v>
      </c>
      <c r="E3566" s="5">
        <v>-31614</v>
      </c>
      <c r="F3566" s="3" t="s">
        <v>498</v>
      </c>
      <c r="G3566" s="3" t="s">
        <v>95</v>
      </c>
      <c r="H3566" s="2" t="s">
        <v>20</v>
      </c>
      <c r="I3566" s="2" t="s">
        <v>7678</v>
      </c>
      <c r="J3566" s="3" t="str">
        <f>HYPERLINK("https://www.boe.es/gazeta/dias/1813/06/10/pdfs/GRE-1813-72.pdf#page=6","Abrir facsímil")</f>
        <v>Abrir facsímil</v>
      </c>
      <c r="K3566" s="3" t="s">
        <v>22</v>
      </c>
    </row>
    <row r="3567" spans="1:11" ht="42" customHeight="1">
      <c r="A3567" s="2" t="s">
        <v>7679</v>
      </c>
      <c r="B3567" s="2" t="s">
        <v>7680</v>
      </c>
      <c r="C3567" s="2" t="s">
        <v>16</v>
      </c>
      <c r="D3567" s="2" t="s">
        <v>17</v>
      </c>
      <c r="E3567" s="5">
        <v>-31567</v>
      </c>
      <c r="F3567" s="3" t="s">
        <v>820</v>
      </c>
      <c r="G3567" s="3" t="s">
        <v>7681</v>
      </c>
      <c r="H3567" s="2" t="s">
        <v>20</v>
      </c>
      <c r="I3567" s="2" t="s">
        <v>7682</v>
      </c>
      <c r="J3567" s="3" t="str">
        <f>HYPERLINK("https://www.boe.es/gazeta/dias/1813/07/27/pdfs/GMR-1813-21.pdf#page=11","Abrir facsímil")</f>
        <v>Abrir facsímil</v>
      </c>
      <c r="K3567" s="3" t="s">
        <v>22</v>
      </c>
    </row>
    <row r="3568" spans="1:11" ht="42" customHeight="1">
      <c r="A3568" s="2" t="s">
        <v>7683</v>
      </c>
      <c r="B3568" s="2" t="s">
        <v>7684</v>
      </c>
      <c r="C3568" s="2" t="s">
        <v>34</v>
      </c>
      <c r="D3568" s="2" t="s">
        <v>35</v>
      </c>
      <c r="E3568" s="5">
        <v>-31504</v>
      </c>
      <c r="F3568" s="3" t="s">
        <v>192</v>
      </c>
      <c r="G3568" s="3" t="s">
        <v>82</v>
      </c>
      <c r="H3568" s="2" t="s">
        <v>20</v>
      </c>
      <c r="I3568" s="2" t="s">
        <v>7685</v>
      </c>
      <c r="J3568" s="3" t="str">
        <f>HYPERLINK("https://www.boe.es/gazeta/dias/1813/09/28/pdfs/GRE-1813-127.pdf#page=5","Abrir facsímil")</f>
        <v>Abrir facsímil</v>
      </c>
      <c r="K3568" s="3" t="s">
        <v>22</v>
      </c>
    </row>
    <row r="3569" spans="1:11" ht="42" customHeight="1">
      <c r="A3569" s="2" t="s">
        <v>7683</v>
      </c>
      <c r="B3569" s="2" t="s">
        <v>7684</v>
      </c>
      <c r="C3569" s="2" t="s">
        <v>34</v>
      </c>
      <c r="D3569" s="2" t="s">
        <v>35</v>
      </c>
      <c r="E3569" s="5">
        <v>-31495</v>
      </c>
      <c r="F3569" s="3" t="s">
        <v>194</v>
      </c>
      <c r="G3569" s="3" t="s">
        <v>812</v>
      </c>
      <c r="H3569" s="2" t="s">
        <v>20</v>
      </c>
      <c r="I3569" s="2" t="s">
        <v>7686</v>
      </c>
      <c r="J3569" s="3" t="str">
        <f>HYPERLINK("https://www.boe.es/gazeta/dias/1813/10/07/pdfs/GMR-1813-55.pdf#page=4","Abrir facsímil")</f>
        <v>Abrir facsímil</v>
      </c>
      <c r="K3569" s="3" t="s">
        <v>22</v>
      </c>
    </row>
    <row r="3570" spans="1:11" ht="42" customHeight="1">
      <c r="A3570" s="2" t="s">
        <v>7687</v>
      </c>
      <c r="B3570" s="2" t="s">
        <v>7688</v>
      </c>
      <c r="C3570" s="2" t="s">
        <v>25</v>
      </c>
      <c r="D3570" s="2" t="s">
        <v>26</v>
      </c>
      <c r="E3570" s="5">
        <v>-31675</v>
      </c>
      <c r="F3570" s="3" t="s">
        <v>27</v>
      </c>
      <c r="G3570" s="3" t="s">
        <v>28</v>
      </c>
      <c r="H3570" s="2" t="s">
        <v>20</v>
      </c>
      <c r="I3570" s="2" t="s">
        <v>7689</v>
      </c>
      <c r="J3570" s="3" t="str">
        <f>HYPERLINK("https://www.boe.es/gazeta/dias/1813/04/10/pdfs/GRE-1813-44.pdf#page=8","Abrir facsímil")</f>
        <v>Abrir facsímil</v>
      </c>
      <c r="K3570" s="3" t="s">
        <v>22</v>
      </c>
    </row>
    <row r="3571" spans="1:11" ht="42" customHeight="1">
      <c r="A3571" s="2" t="s">
        <v>7690</v>
      </c>
      <c r="B3571" s="2" t="s">
        <v>7691</v>
      </c>
      <c r="C3571" s="2" t="s">
        <v>109</v>
      </c>
      <c r="D3571" s="2" t="s">
        <v>26</v>
      </c>
      <c r="E3571" s="5">
        <v>-31689</v>
      </c>
      <c r="F3571" s="3" t="s">
        <v>48</v>
      </c>
      <c r="G3571" s="3" t="s">
        <v>162</v>
      </c>
      <c r="H3571" s="2" t="s">
        <v>20</v>
      </c>
      <c r="I3571" s="2" t="s">
        <v>7692</v>
      </c>
      <c r="J3571" s="3" t="str">
        <f>HYPERLINK("https://www.boe.es/gazeta/dias/1813/03/27/pdfs/GRE-1813-38.pdf#page=8","Abrir facsímil")</f>
        <v>Abrir facsímil</v>
      </c>
      <c r="K3571" s="3" t="s">
        <v>22</v>
      </c>
    </row>
    <row r="3572" spans="1:11" ht="42" customHeight="1">
      <c r="A3572" s="2" t="s">
        <v>7693</v>
      </c>
      <c r="B3572" s="2" t="s">
        <v>7694</v>
      </c>
      <c r="C3572" s="2" t="s">
        <v>25</v>
      </c>
      <c r="D3572" s="2" t="s">
        <v>26</v>
      </c>
      <c r="E3572" s="5">
        <v>-31502</v>
      </c>
      <c r="F3572" s="3" t="s">
        <v>257</v>
      </c>
      <c r="G3572" s="3" t="s">
        <v>258</v>
      </c>
      <c r="H3572" s="2" t="s">
        <v>20</v>
      </c>
      <c r="I3572" s="2" t="s">
        <v>7695</v>
      </c>
      <c r="J3572" s="3" t="str">
        <f>HYPERLINK("https://www.boe.es/gazeta/dias/1813/09/30/pdfs/GMR-1813-51.pdf#page=12","Abrir facsímil")</f>
        <v>Abrir facsímil</v>
      </c>
      <c r="K3572" s="3" t="s">
        <v>22</v>
      </c>
    </row>
    <row r="3573" spans="1:11" ht="42" customHeight="1">
      <c r="A3573" s="2" t="s">
        <v>7696</v>
      </c>
      <c r="B3573" s="2" t="s">
        <v>7697</v>
      </c>
      <c r="C3573" s="2" t="s">
        <v>25</v>
      </c>
      <c r="D3573" s="2" t="s">
        <v>26</v>
      </c>
      <c r="E3573" s="5">
        <v>-31530</v>
      </c>
      <c r="F3573" s="3" t="s">
        <v>133</v>
      </c>
      <c r="G3573" s="3" t="s">
        <v>82</v>
      </c>
      <c r="H3573" s="2" t="s">
        <v>20</v>
      </c>
      <c r="I3573" s="2" t="s">
        <v>7698</v>
      </c>
      <c r="J3573" s="3" t="str">
        <f>HYPERLINK("https://www.boe.es/gazeta/dias/1813/09/02/pdfs/GMR-1813-36.pdf#page=5","Abrir facsímil")</f>
        <v>Abrir facsímil</v>
      </c>
      <c r="K3573" s="3" t="s">
        <v>22</v>
      </c>
    </row>
    <row r="3574" spans="1:11" ht="42" customHeight="1">
      <c r="A3574" s="2" t="s">
        <v>7699</v>
      </c>
      <c r="B3574" s="2" t="s">
        <v>7700</v>
      </c>
      <c r="C3574" s="2" t="s">
        <v>435</v>
      </c>
      <c r="D3574" s="2" t="s">
        <v>26</v>
      </c>
      <c r="E3574" s="5">
        <v>-31657</v>
      </c>
      <c r="F3574" s="3" t="s">
        <v>988</v>
      </c>
      <c r="G3574" s="3" t="s">
        <v>54</v>
      </c>
      <c r="H3574" s="2" t="s">
        <v>20</v>
      </c>
      <c r="I3574" s="2" t="s">
        <v>7701</v>
      </c>
      <c r="J3574" s="3" t="str">
        <f>HYPERLINK("https://www.boe.es/gazeta/dias/1813/04/28/pdfs/GMD-1813-118.pdf#page=3","Abrir facsímil")</f>
        <v>Abrir facsímil</v>
      </c>
      <c r="K3574" s="3" t="s">
        <v>22</v>
      </c>
    </row>
    <row r="3575" spans="1:11" ht="42" customHeight="1">
      <c r="A3575" s="2" t="s">
        <v>7702</v>
      </c>
      <c r="B3575" s="2" t="s">
        <v>7703</v>
      </c>
      <c r="C3575" s="2" t="s">
        <v>34</v>
      </c>
      <c r="D3575" s="2" t="s">
        <v>35</v>
      </c>
      <c r="E3575" s="5">
        <v>-31629</v>
      </c>
      <c r="F3575" s="3" t="s">
        <v>1146</v>
      </c>
      <c r="G3575" s="3" t="s">
        <v>19</v>
      </c>
      <c r="H3575" s="2" t="s">
        <v>20</v>
      </c>
      <c r="I3575" s="2" t="s">
        <v>7704</v>
      </c>
      <c r="J3575" s="3" t="str">
        <f>HYPERLINK("https://www.boe.es/gazeta/dias/1813/05/26/pdfs/GMD-1813-146.pdf#page=4","Abrir facsímil")</f>
        <v>Abrir facsímil</v>
      </c>
      <c r="K3575" s="3" t="s">
        <v>22</v>
      </c>
    </row>
    <row r="3576" spans="1:11" ht="42" customHeight="1">
      <c r="A3576" s="2" t="s">
        <v>7702</v>
      </c>
      <c r="B3576" s="2" t="s">
        <v>7703</v>
      </c>
      <c r="C3576" s="2" t="s">
        <v>435</v>
      </c>
      <c r="D3576" s="2" t="s">
        <v>26</v>
      </c>
      <c r="E3576" s="5">
        <v>-31511</v>
      </c>
      <c r="F3576" s="3" t="s">
        <v>935</v>
      </c>
      <c r="G3576" s="3" t="s">
        <v>95</v>
      </c>
      <c r="H3576" s="2" t="s">
        <v>20</v>
      </c>
      <c r="I3576" s="2" t="s">
        <v>7705</v>
      </c>
      <c r="J3576" s="3" t="str">
        <f>HYPERLINK("https://www.boe.es/gazeta/dias/1813/09/21/pdfs/GMR-1813-46.pdf#page=6","Abrir facsímil")</f>
        <v>Abrir facsímil</v>
      </c>
      <c r="K3576" s="3" t="s">
        <v>22</v>
      </c>
    </row>
    <row r="3577" spans="1:11" ht="42" customHeight="1">
      <c r="A3577" s="2" t="s">
        <v>7706</v>
      </c>
      <c r="B3577" s="2" t="s">
        <v>7707</v>
      </c>
      <c r="C3577" s="2" t="s">
        <v>34</v>
      </c>
      <c r="D3577" s="2" t="s">
        <v>35</v>
      </c>
      <c r="E3577" s="5">
        <v>-31483</v>
      </c>
      <c r="F3577" s="3" t="s">
        <v>1292</v>
      </c>
      <c r="G3577" s="3" t="s">
        <v>5984</v>
      </c>
      <c r="H3577" s="2" t="s">
        <v>20</v>
      </c>
      <c r="I3577" s="2" t="s">
        <v>7708</v>
      </c>
      <c r="J3577" s="3" t="str">
        <f>HYPERLINK("https://www.boe.es/gazeta/dias/1813/10/19/pdfs/GMR-1813-61.pdf#page=11","Abrir facsímil")</f>
        <v>Abrir facsímil</v>
      </c>
      <c r="K3577" s="3" t="s">
        <v>22</v>
      </c>
    </row>
    <row r="3578" spans="1:11" ht="42" customHeight="1">
      <c r="A3578" s="2" t="s">
        <v>7706</v>
      </c>
      <c r="B3578" s="2" t="s">
        <v>7707</v>
      </c>
      <c r="C3578" s="2" t="s">
        <v>25</v>
      </c>
      <c r="D3578" s="2" t="s">
        <v>26</v>
      </c>
      <c r="E3578" s="5">
        <v>-31423</v>
      </c>
      <c r="F3578" s="3" t="s">
        <v>340</v>
      </c>
      <c r="G3578" s="3" t="s">
        <v>28</v>
      </c>
      <c r="H3578" s="2" t="s">
        <v>20</v>
      </c>
      <c r="I3578" s="2" t="s">
        <v>7709</v>
      </c>
      <c r="J3578" s="3" t="str">
        <f>HYPERLINK("https://www.boe.es/gazeta/dias/1813/12/18/pdfs/GRE-1813-166.pdf#page=8","Abrir facsímil")</f>
        <v>Abrir facsímil</v>
      </c>
      <c r="K3578" s="3" t="s">
        <v>22</v>
      </c>
    </row>
    <row r="3579" spans="1:11" ht="42" customHeight="1">
      <c r="A3579" s="2" t="s">
        <v>7710</v>
      </c>
      <c r="B3579" s="2" t="s">
        <v>7710</v>
      </c>
      <c r="C3579" s="2" t="s">
        <v>16</v>
      </c>
      <c r="D3579" s="2" t="s">
        <v>17</v>
      </c>
      <c r="E3579" s="5">
        <v>-31507</v>
      </c>
      <c r="F3579" s="3" t="s">
        <v>61</v>
      </c>
      <c r="G3579" s="3" t="s">
        <v>65</v>
      </c>
      <c r="H3579" s="2" t="s">
        <v>20</v>
      </c>
      <c r="I3579" s="2" t="s">
        <v>7711</v>
      </c>
      <c r="J3579" s="3" t="str">
        <f>HYPERLINK("https://www.boe.es/gazeta/dias/1813/09/25/pdfs/GMR-1813-48.pdf#page=1","Abrir facsímil")</f>
        <v>Abrir facsímil</v>
      </c>
      <c r="K3579" s="3" t="s">
        <v>22</v>
      </c>
    </row>
    <row r="3580" spans="1:11" ht="42" customHeight="1">
      <c r="A3580" s="2" t="s">
        <v>7710</v>
      </c>
      <c r="B3580" s="2" t="s">
        <v>7710</v>
      </c>
      <c r="C3580" s="2" t="s">
        <v>16</v>
      </c>
      <c r="D3580" s="2" t="s">
        <v>17</v>
      </c>
      <c r="E3580" s="5">
        <v>-31427</v>
      </c>
      <c r="F3580" s="3" t="s">
        <v>489</v>
      </c>
      <c r="G3580" s="3" t="s">
        <v>2459</v>
      </c>
      <c r="H3580" s="2" t="s">
        <v>20</v>
      </c>
      <c r="I3580" s="2" t="s">
        <v>7712</v>
      </c>
      <c r="J3580" s="3" t="str">
        <f>HYPERLINK("https://www.boe.es/gazeta/dias/1813/12/14/pdfs/GMR-1813-87.pdf#page=2","Abrir facsímil")</f>
        <v>Abrir facsímil</v>
      </c>
      <c r="K3580" s="3" t="s">
        <v>22</v>
      </c>
    </row>
    <row r="3581" spans="1:11" ht="42" customHeight="1">
      <c r="A3581" s="2" t="s">
        <v>7713</v>
      </c>
      <c r="B3581" s="2" t="s">
        <v>7713</v>
      </c>
      <c r="C3581" s="2" t="s">
        <v>16</v>
      </c>
      <c r="D3581" s="2" t="s">
        <v>17</v>
      </c>
      <c r="E3581" s="5">
        <v>-31509</v>
      </c>
      <c r="F3581" s="3" t="s">
        <v>2007</v>
      </c>
      <c r="G3581" s="3" t="s">
        <v>87</v>
      </c>
      <c r="H3581" s="2" t="s">
        <v>20</v>
      </c>
      <c r="I3581" s="2" t="s">
        <v>7714</v>
      </c>
      <c r="J3581" s="3" t="str">
        <f>HYPERLINK("https://www.boe.es/gazeta/dias/1813/09/23/pdfs/GRE-1813-125.pdf#page=7","Abrir facsímil")</f>
        <v>Abrir facsímil</v>
      </c>
      <c r="K3581" s="3" t="s">
        <v>22</v>
      </c>
    </row>
    <row r="3582" spans="1:11" ht="42" customHeight="1">
      <c r="A3582" s="2" t="s">
        <v>7715</v>
      </c>
      <c r="B3582" s="2" t="s">
        <v>7716</v>
      </c>
      <c r="C3582" s="2" t="s">
        <v>25</v>
      </c>
      <c r="D3582" s="2" t="s">
        <v>97</v>
      </c>
      <c r="E3582" s="5">
        <v>-31479</v>
      </c>
      <c r="F3582" s="3" t="s">
        <v>290</v>
      </c>
      <c r="G3582" s="3" t="s">
        <v>3006</v>
      </c>
      <c r="H3582" s="2" t="s">
        <v>20</v>
      </c>
      <c r="I3582" s="2" t="s">
        <v>7717</v>
      </c>
      <c r="J3582" s="3" t="str">
        <f>HYPERLINK("https://www.boe.es/gazeta/dias/1813/10/23/pdfs/GRE-1813-139E.pdf#page=15","Abrir facsímil")</f>
        <v>Abrir facsímil</v>
      </c>
      <c r="K3582" s="3" t="s">
        <v>22</v>
      </c>
    </row>
    <row r="3583" spans="1:11" ht="42" customHeight="1">
      <c r="A3583" s="2" t="s">
        <v>7718</v>
      </c>
      <c r="B3583" s="2" t="s">
        <v>7719</v>
      </c>
      <c r="C3583" s="2" t="s">
        <v>25</v>
      </c>
      <c r="D3583" s="2" t="s">
        <v>26</v>
      </c>
      <c r="E3583" s="5">
        <v>-31518</v>
      </c>
      <c r="F3583" s="3" t="s">
        <v>1090</v>
      </c>
      <c r="G3583" s="3" t="s">
        <v>54</v>
      </c>
      <c r="H3583" s="2" t="s">
        <v>20</v>
      </c>
      <c r="I3583" s="2" t="s">
        <v>7720</v>
      </c>
      <c r="J3583" s="3" t="str">
        <f>HYPERLINK("https://www.boe.es/gazeta/dias/1813/09/14/pdfs/GMR-1813-42.pdf#page=3","Abrir facsímil")</f>
        <v>Abrir facsímil</v>
      </c>
      <c r="K3583" s="3" t="s">
        <v>22</v>
      </c>
    </row>
    <row r="3584" spans="1:11" ht="42" customHeight="1">
      <c r="A3584" s="2" t="s">
        <v>7721</v>
      </c>
      <c r="B3584" s="2" t="s">
        <v>7722</v>
      </c>
      <c r="C3584" s="2" t="s">
        <v>16</v>
      </c>
      <c r="D3584" s="2" t="s">
        <v>17</v>
      </c>
      <c r="E3584" s="5">
        <v>-31724</v>
      </c>
      <c r="F3584" s="3" t="s">
        <v>626</v>
      </c>
      <c r="G3584" s="3" t="s">
        <v>7723</v>
      </c>
      <c r="H3584" s="2" t="s">
        <v>20</v>
      </c>
      <c r="I3584" s="2" t="s">
        <v>7724</v>
      </c>
      <c r="J3584" s="3" t="str">
        <f>HYPERLINK("https://www.boe.es/gazeta/dias/1813/02/20/pdfs/GRE-1813-22.pdf#page=4","Abrir facsímil")</f>
        <v>Abrir facsímil</v>
      </c>
      <c r="K3584" s="3" t="s">
        <v>22</v>
      </c>
    </row>
    <row r="3585" spans="1:11" ht="42" customHeight="1">
      <c r="A3585" s="2" t="s">
        <v>7725</v>
      </c>
      <c r="B3585" s="2" t="s">
        <v>7726</v>
      </c>
      <c r="C3585" s="2" t="s">
        <v>16</v>
      </c>
      <c r="D3585" s="2" t="s">
        <v>97</v>
      </c>
      <c r="E3585" s="5">
        <v>-31445</v>
      </c>
      <c r="F3585" s="3" t="s">
        <v>299</v>
      </c>
      <c r="G3585" s="3" t="s">
        <v>19</v>
      </c>
      <c r="H3585" s="2" t="s">
        <v>20</v>
      </c>
      <c r="I3585" s="2" t="s">
        <v>7727</v>
      </c>
      <c r="J3585" s="3" t="str">
        <f>HYPERLINK("https://www.boe.es/gazeta/dias/1813/11/26/pdfs/GRE-1813-156E.pdf#page=4","Abrir facsímil")</f>
        <v>Abrir facsímil</v>
      </c>
      <c r="K3585" s="3" t="s">
        <v>22</v>
      </c>
    </row>
    <row r="3586" spans="1:11" ht="42" customHeight="1">
      <c r="A3586" s="2" t="s">
        <v>7728</v>
      </c>
      <c r="B3586" s="2" t="s">
        <v>7729</v>
      </c>
      <c r="C3586" s="2" t="s">
        <v>16</v>
      </c>
      <c r="D3586" s="2" t="s">
        <v>17</v>
      </c>
      <c r="E3586" s="5">
        <v>-31451</v>
      </c>
      <c r="F3586" s="3" t="s">
        <v>127</v>
      </c>
      <c r="G3586" s="3" t="s">
        <v>7730</v>
      </c>
      <c r="H3586" s="2" t="s">
        <v>20</v>
      </c>
      <c r="I3586" s="2" t="s">
        <v>7731</v>
      </c>
      <c r="J3586" s="3" t="str">
        <f>HYPERLINK("https://www.boe.es/gazeta/dias/1813/11/20/pdfs/GRE-1813-152.pdf#page=6","Abrir facsímil")</f>
        <v>Abrir facsímil</v>
      </c>
      <c r="K3586" s="3" t="s">
        <v>22</v>
      </c>
    </row>
    <row r="3587" spans="1:11" ht="42" customHeight="1">
      <c r="A3587" s="2" t="s">
        <v>7732</v>
      </c>
      <c r="B3587" s="2" t="s">
        <v>7733</v>
      </c>
      <c r="C3587" s="2" t="s">
        <v>16</v>
      </c>
      <c r="D3587" s="2" t="s">
        <v>17</v>
      </c>
      <c r="E3587" s="5">
        <v>-31598</v>
      </c>
      <c r="F3587" s="3" t="s">
        <v>286</v>
      </c>
      <c r="G3587" s="3" t="s">
        <v>28</v>
      </c>
      <c r="H3587" s="2" t="s">
        <v>20</v>
      </c>
      <c r="I3587" s="2" t="s">
        <v>7734</v>
      </c>
      <c r="J3587" s="3" t="str">
        <f>HYPERLINK("https://www.boe.es/gazeta/dias/1813/06/26/pdfs/GRE-1813-79.pdf#page=8","Abrir facsímil")</f>
        <v>Abrir facsímil</v>
      </c>
      <c r="K3587" s="3" t="s">
        <v>22</v>
      </c>
    </row>
    <row r="3588" spans="1:11" ht="42" customHeight="1">
      <c r="A3588" s="2" t="s">
        <v>7735</v>
      </c>
      <c r="B3588" s="2" t="s">
        <v>7736</v>
      </c>
      <c r="C3588" s="2" t="s">
        <v>16</v>
      </c>
      <c r="D3588" s="2" t="s">
        <v>97</v>
      </c>
      <c r="E3588" s="5">
        <v>-31519</v>
      </c>
      <c r="F3588" s="3" t="s">
        <v>312</v>
      </c>
      <c r="G3588" s="3" t="s">
        <v>313</v>
      </c>
      <c r="H3588" s="2" t="s">
        <v>20</v>
      </c>
      <c r="I3588" s="2" t="s">
        <v>7737</v>
      </c>
      <c r="J3588" s="3" t="str">
        <f>HYPERLINK("https://www.boe.es/gazeta/dias/1813/09/13/pdfs/GRE-1813-118E.pdf#page=9","Abrir facsímil")</f>
        <v>Abrir facsímil</v>
      </c>
      <c r="K3588" s="3" t="s">
        <v>22</v>
      </c>
    </row>
    <row r="3589" spans="1:11" ht="42" customHeight="1">
      <c r="A3589" s="2" t="s">
        <v>7735</v>
      </c>
      <c r="B3589" s="2" t="s">
        <v>7736</v>
      </c>
      <c r="C3589" s="2" t="s">
        <v>16</v>
      </c>
      <c r="D3589" s="2" t="s">
        <v>17</v>
      </c>
      <c r="E3589" s="5">
        <v>-31507</v>
      </c>
      <c r="F3589" s="3" t="s">
        <v>61</v>
      </c>
      <c r="G3589" s="3" t="s">
        <v>28</v>
      </c>
      <c r="H3589" s="2" t="s">
        <v>20</v>
      </c>
      <c r="I3589" s="2" t="s">
        <v>7738</v>
      </c>
      <c r="J3589" s="3" t="str">
        <f>HYPERLINK("https://www.boe.es/gazeta/dias/1813/09/25/pdfs/GMR-1813-48.pdf#page=8","Abrir facsímil")</f>
        <v>Abrir facsímil</v>
      </c>
      <c r="K3589" s="3" t="s">
        <v>22</v>
      </c>
    </row>
    <row r="3590" spans="1:11" ht="42" customHeight="1">
      <c r="A3590" s="2" t="s">
        <v>7739</v>
      </c>
      <c r="B3590" s="2" t="s">
        <v>7740</v>
      </c>
      <c r="C3590" s="2" t="s">
        <v>16</v>
      </c>
      <c r="D3590" s="2" t="s">
        <v>17</v>
      </c>
      <c r="E3590" s="5">
        <v>-31582</v>
      </c>
      <c r="F3590" s="3" t="s">
        <v>907</v>
      </c>
      <c r="G3590" s="3" t="s">
        <v>65</v>
      </c>
      <c r="H3590" s="2" t="s">
        <v>20</v>
      </c>
      <c r="I3590" s="2" t="s">
        <v>7741</v>
      </c>
      <c r="J3590" s="3" t="str">
        <f>HYPERLINK("https://www.boe.es/gazeta/dias/1813/07/12/pdfs/GRE-1813-87.pdf#page=1","Abrir facsímil")</f>
        <v>Abrir facsímil</v>
      </c>
      <c r="K3590" s="3" t="s">
        <v>22</v>
      </c>
    </row>
    <row r="3591" spans="1:11" ht="42" customHeight="1">
      <c r="A3591" s="2" t="s">
        <v>7742</v>
      </c>
      <c r="B3591" s="2" t="s">
        <v>7742</v>
      </c>
      <c r="C3591" s="2" t="s">
        <v>16</v>
      </c>
      <c r="D3591" s="2" t="s">
        <v>17</v>
      </c>
      <c r="E3591" s="5">
        <v>-31458</v>
      </c>
      <c r="F3591" s="3" t="s">
        <v>2315</v>
      </c>
      <c r="G3591" s="3" t="s">
        <v>58</v>
      </c>
      <c r="H3591" s="2" t="s">
        <v>20</v>
      </c>
      <c r="I3591" s="2" t="s">
        <v>7743</v>
      </c>
      <c r="J3591" s="3" t="str">
        <f>HYPERLINK("https://www.boe.es/gazeta/dias/1813/11/13/pdfs/GMR-1813-73.pdf#page=2","Abrir facsímil")</f>
        <v>Abrir facsímil</v>
      </c>
      <c r="K3591" s="3" t="s">
        <v>22</v>
      </c>
    </row>
    <row r="3592" spans="1:11" ht="42" customHeight="1">
      <c r="A3592" s="2" t="s">
        <v>7744</v>
      </c>
      <c r="B3592" s="2" t="s">
        <v>7744</v>
      </c>
      <c r="C3592" s="2" t="s">
        <v>16</v>
      </c>
      <c r="D3592" s="2" t="s">
        <v>17</v>
      </c>
      <c r="E3592" s="5">
        <v>-31542</v>
      </c>
      <c r="F3592" s="3" t="s">
        <v>337</v>
      </c>
      <c r="G3592" s="3" t="s">
        <v>95</v>
      </c>
      <c r="H3592" s="2" t="s">
        <v>20</v>
      </c>
      <c r="I3592" s="2" t="s">
        <v>7745</v>
      </c>
      <c r="J3592" s="3" t="str">
        <f>HYPERLINK("https://www.boe.es/gazeta/dias/1813/08/21/pdfs/GRE-1813-107.pdf#page=6","Abrir facsímil")</f>
        <v>Abrir facsímil</v>
      </c>
      <c r="K3592" s="3" t="s">
        <v>22</v>
      </c>
    </row>
    <row r="3593" spans="1:11" ht="42" customHeight="1">
      <c r="A3593" s="2" t="s">
        <v>7746</v>
      </c>
      <c r="B3593" s="2" t="s">
        <v>7747</v>
      </c>
      <c r="C3593" s="2" t="s">
        <v>16</v>
      </c>
      <c r="D3593" s="2" t="s">
        <v>17</v>
      </c>
      <c r="E3593" s="5">
        <v>-31542</v>
      </c>
      <c r="F3593" s="3" t="s">
        <v>337</v>
      </c>
      <c r="G3593" s="3" t="s">
        <v>95</v>
      </c>
      <c r="H3593" s="2" t="s">
        <v>20</v>
      </c>
      <c r="I3593" s="2" t="s">
        <v>7748</v>
      </c>
      <c r="J3593" s="3" t="str">
        <f>HYPERLINK("https://www.boe.es/gazeta/dias/1813/08/21/pdfs/GRE-1813-107.pdf#page=6","Abrir facsímil")</f>
        <v>Abrir facsímil</v>
      </c>
      <c r="K3593" s="3" t="s">
        <v>22</v>
      </c>
    </row>
    <row r="3594" spans="1:11" ht="42" customHeight="1">
      <c r="A3594" s="2" t="s">
        <v>7749</v>
      </c>
      <c r="B3594" s="2" t="s">
        <v>7749</v>
      </c>
      <c r="C3594" s="2" t="s">
        <v>16</v>
      </c>
      <c r="D3594" s="2" t="s">
        <v>17</v>
      </c>
      <c r="E3594" s="5">
        <v>-31497</v>
      </c>
      <c r="F3594" s="3" t="s">
        <v>1457</v>
      </c>
      <c r="G3594" s="3" t="s">
        <v>19</v>
      </c>
      <c r="H3594" s="2" t="s">
        <v>20</v>
      </c>
      <c r="I3594" s="2" t="s">
        <v>7750</v>
      </c>
      <c r="J3594" s="3" t="str">
        <f>HYPERLINK("https://www.boe.es/gazeta/dias/1813/10/05/pdfs/GMR-1813-54.pdf#page=4","Abrir facsímil")</f>
        <v>Abrir facsímil</v>
      </c>
      <c r="K3594" s="3" t="s">
        <v>22</v>
      </c>
    </row>
    <row r="3595" spans="1:11" ht="42" customHeight="1">
      <c r="A3595" s="2" t="s">
        <v>7751</v>
      </c>
      <c r="B3595" s="2" t="s">
        <v>7751</v>
      </c>
      <c r="C3595" s="2" t="s">
        <v>16</v>
      </c>
      <c r="D3595" s="2" t="s">
        <v>17</v>
      </c>
      <c r="E3595" s="5">
        <v>-31455</v>
      </c>
      <c r="F3595" s="3" t="s">
        <v>693</v>
      </c>
      <c r="G3595" s="3" t="s">
        <v>54</v>
      </c>
      <c r="H3595" s="2" t="s">
        <v>20</v>
      </c>
      <c r="I3595" s="2" t="s">
        <v>7752</v>
      </c>
      <c r="J3595" s="3" t="str">
        <f>HYPERLINK("https://www.boe.es/gazeta/dias/1813/11/16/pdfs/GRE-1813-150.pdf#page=3","Abrir facsímil")</f>
        <v>Abrir facsímil</v>
      </c>
      <c r="K3595" s="3" t="s">
        <v>22</v>
      </c>
    </row>
    <row r="3596" spans="1:11" ht="42" customHeight="1">
      <c r="A3596" s="2" t="s">
        <v>7749</v>
      </c>
      <c r="B3596" s="2" t="s">
        <v>7749</v>
      </c>
      <c r="C3596" s="2" t="s">
        <v>16</v>
      </c>
      <c r="D3596" s="2" t="s">
        <v>17</v>
      </c>
      <c r="E3596" s="5">
        <v>-31420</v>
      </c>
      <c r="F3596" s="3" t="s">
        <v>210</v>
      </c>
      <c r="G3596" s="3" t="s">
        <v>82</v>
      </c>
      <c r="H3596" s="2" t="s">
        <v>20</v>
      </c>
      <c r="I3596" s="2" t="s">
        <v>7753</v>
      </c>
      <c r="J3596" s="3" t="str">
        <f>HYPERLINK("https://www.boe.es/gazeta/dias/1813/12/21/pdfs/GRE-1813-167.pdf#page=5","Abrir facsímil")</f>
        <v>Abrir facsímil</v>
      </c>
      <c r="K3596" s="3" t="s">
        <v>22</v>
      </c>
    </row>
    <row r="3597" spans="1:11" ht="42" customHeight="1">
      <c r="A3597" s="2" t="s">
        <v>7754</v>
      </c>
      <c r="B3597" s="2" t="s">
        <v>7754</v>
      </c>
      <c r="C3597" s="2" t="s">
        <v>16</v>
      </c>
      <c r="D3597" s="2" t="s">
        <v>17</v>
      </c>
      <c r="E3597" s="5">
        <v>-31476</v>
      </c>
      <c r="F3597" s="3" t="s">
        <v>229</v>
      </c>
      <c r="G3597" s="3" t="s">
        <v>5989</v>
      </c>
      <c r="H3597" s="2" t="s">
        <v>20</v>
      </c>
      <c r="I3597" s="2" t="s">
        <v>7755</v>
      </c>
      <c r="J3597" s="3" t="str">
        <f>HYPERLINK("https://www.boe.es/gazeta/dias/1813/10/26/pdfs/GRE-1813-140.pdf#page=5","Abrir facsímil")</f>
        <v>Abrir facsímil</v>
      </c>
      <c r="K3597" s="3" t="s">
        <v>22</v>
      </c>
    </row>
    <row r="3598" spans="1:11" ht="42" customHeight="1">
      <c r="A3598" s="2" t="s">
        <v>7756</v>
      </c>
      <c r="B3598" s="2" t="s">
        <v>7756</v>
      </c>
      <c r="C3598" s="2" t="s">
        <v>34</v>
      </c>
      <c r="D3598" s="2" t="s">
        <v>35</v>
      </c>
      <c r="E3598" s="5">
        <v>-31744</v>
      </c>
      <c r="F3598" s="3" t="s">
        <v>5679</v>
      </c>
      <c r="G3598" s="3" t="s">
        <v>6427</v>
      </c>
      <c r="H3598" s="2" t="s">
        <v>20</v>
      </c>
      <c r="I3598" s="2" t="s">
        <v>7757</v>
      </c>
      <c r="J3598" s="3" t="str">
        <f>HYPERLINK("https://www.boe.es/gazeta/dias/1813/01/31/pdfs/GMD-1813-31.pdf#page=3","Abrir facsímil")</f>
        <v>Abrir facsímil</v>
      </c>
      <c r="K3598" s="3" t="s">
        <v>22</v>
      </c>
    </row>
    <row r="3599" spans="1:11" ht="42" customHeight="1">
      <c r="A3599" s="2" t="s">
        <v>7758</v>
      </c>
      <c r="B3599" s="2" t="s">
        <v>7759</v>
      </c>
      <c r="C3599" s="2" t="s">
        <v>25</v>
      </c>
      <c r="D3599" s="2" t="s">
        <v>26</v>
      </c>
      <c r="E3599" s="5">
        <v>-31675</v>
      </c>
      <c r="F3599" s="3" t="s">
        <v>27</v>
      </c>
      <c r="G3599" s="3" t="s">
        <v>28</v>
      </c>
      <c r="H3599" s="2" t="s">
        <v>20</v>
      </c>
      <c r="I3599" s="2" t="s">
        <v>7760</v>
      </c>
      <c r="J3599" s="3" t="str">
        <f>HYPERLINK("https://www.boe.es/gazeta/dias/1813/04/10/pdfs/GRE-1813-44.pdf#page=8","Abrir facsímil")</f>
        <v>Abrir facsímil</v>
      </c>
      <c r="K3599" s="3" t="s">
        <v>22</v>
      </c>
    </row>
    <row r="3600" spans="1:11" ht="42" customHeight="1">
      <c r="A3600" s="2" t="s">
        <v>7761</v>
      </c>
      <c r="B3600" s="2" t="s">
        <v>7762</v>
      </c>
      <c r="C3600" s="2" t="s">
        <v>277</v>
      </c>
      <c r="D3600" s="2" t="s">
        <v>26</v>
      </c>
      <c r="E3600" s="5">
        <v>-31703</v>
      </c>
      <c r="F3600" s="3" t="s">
        <v>526</v>
      </c>
      <c r="G3600" s="3" t="s">
        <v>54</v>
      </c>
      <c r="H3600" s="2" t="s">
        <v>20</v>
      </c>
      <c r="I3600" s="2" t="s">
        <v>7763</v>
      </c>
      <c r="J3600" s="3" t="str">
        <f>HYPERLINK("https://www.boe.es/gazeta/dias/1813/03/13/pdfs/GMD-1813-72.pdf#page=3","Abrir facsímil")</f>
        <v>Abrir facsímil</v>
      </c>
      <c r="K3600" s="3" t="s">
        <v>22</v>
      </c>
    </row>
    <row r="3601" spans="1:11" ht="42" customHeight="1">
      <c r="A3601" s="2" t="s">
        <v>7764</v>
      </c>
      <c r="B3601" s="2" t="s">
        <v>7764</v>
      </c>
      <c r="C3601" s="2" t="s">
        <v>16</v>
      </c>
      <c r="D3601" s="2" t="s">
        <v>17</v>
      </c>
      <c r="E3601" s="5">
        <v>-31483</v>
      </c>
      <c r="F3601" s="3" t="s">
        <v>308</v>
      </c>
      <c r="G3601" s="3" t="s">
        <v>95</v>
      </c>
      <c r="H3601" s="2" t="s">
        <v>20</v>
      </c>
      <c r="I3601" s="2" t="s">
        <v>7765</v>
      </c>
      <c r="J3601" s="3" t="str">
        <f>HYPERLINK("https://www.boe.es/gazeta/dias/1813/10/19/pdfs/GRE-1813-136.pdf#page=6","Abrir facsímil")</f>
        <v>Abrir facsímil</v>
      </c>
      <c r="K3601" s="3" t="s">
        <v>22</v>
      </c>
    </row>
    <row r="3602" spans="1:11" ht="42" customHeight="1">
      <c r="A3602" s="2" t="s">
        <v>7766</v>
      </c>
      <c r="B3602" s="2" t="s">
        <v>7766</v>
      </c>
      <c r="C3602" s="2" t="s">
        <v>16</v>
      </c>
      <c r="D3602" s="2" t="s">
        <v>17</v>
      </c>
      <c r="E3602" s="5">
        <v>-31425</v>
      </c>
      <c r="F3602" s="3" t="s">
        <v>1669</v>
      </c>
      <c r="G3602" s="3" t="s">
        <v>1670</v>
      </c>
      <c r="H3602" s="2" t="s">
        <v>20</v>
      </c>
      <c r="I3602" s="2" t="s">
        <v>7767</v>
      </c>
      <c r="J3602" s="3" t="str">
        <f>HYPERLINK("https://www.boe.es/gazeta/dias/1813/12/16/pdfs/GRE-1813-165.pdf#page=7","Abrir facsímil")</f>
        <v>Abrir facsímil</v>
      </c>
      <c r="K3602" s="3" t="s">
        <v>22</v>
      </c>
    </row>
    <row r="3603" spans="1:11" ht="42" customHeight="1">
      <c r="A3603" s="2" t="s">
        <v>7768</v>
      </c>
      <c r="B3603" s="2" t="s">
        <v>7768</v>
      </c>
      <c r="C3603" s="2" t="s">
        <v>16</v>
      </c>
      <c r="D3603" s="2" t="s">
        <v>17</v>
      </c>
      <c r="E3603" s="5">
        <v>-31766</v>
      </c>
      <c r="F3603" s="3" t="s">
        <v>6349</v>
      </c>
      <c r="G3603" s="3" t="s">
        <v>58</v>
      </c>
      <c r="H3603" s="2" t="s">
        <v>20</v>
      </c>
      <c r="I3603" s="2" t="s">
        <v>7769</v>
      </c>
      <c r="J3603" s="3" t="str">
        <f>HYPERLINK("https://www.boe.es/gazeta/dias/1813/01/09/pdfs/GMD-1813-9.pdf#page=2","Abrir facsímil")</f>
        <v>Abrir facsímil</v>
      </c>
      <c r="K3603" s="3" t="s">
        <v>22</v>
      </c>
    </row>
    <row r="3604" spans="1:11" ht="42" customHeight="1">
      <c r="A3604" s="2" t="s">
        <v>7768</v>
      </c>
      <c r="B3604" s="2" t="s">
        <v>7768</v>
      </c>
      <c r="C3604" s="2" t="s">
        <v>16</v>
      </c>
      <c r="D3604" s="2" t="s">
        <v>17</v>
      </c>
      <c r="E3604" s="5">
        <v>-31637</v>
      </c>
      <c r="F3604" s="3" t="s">
        <v>234</v>
      </c>
      <c r="G3604" s="3" t="s">
        <v>95</v>
      </c>
      <c r="H3604" s="2" t="s">
        <v>20</v>
      </c>
      <c r="I3604" s="2" t="s">
        <v>7770</v>
      </c>
      <c r="J3604" s="3" t="str">
        <f>HYPERLINK("https://www.boe.es/gazeta/dias/1813/05/18/pdfs/GRE-1813-61.pdf#page=6","Abrir facsímil")</f>
        <v>Abrir facsímil</v>
      </c>
      <c r="K3604" s="3" t="s">
        <v>22</v>
      </c>
    </row>
    <row r="3605" spans="1:11" ht="42" customHeight="1">
      <c r="A3605" s="2" t="s">
        <v>7768</v>
      </c>
      <c r="B3605" s="2" t="s">
        <v>7768</v>
      </c>
      <c r="C3605" s="2" t="s">
        <v>16</v>
      </c>
      <c r="D3605" s="2" t="s">
        <v>17</v>
      </c>
      <c r="E3605" s="5">
        <v>-31571</v>
      </c>
      <c r="F3605" s="3" t="s">
        <v>788</v>
      </c>
      <c r="G3605" s="3" t="s">
        <v>3575</v>
      </c>
      <c r="H3605" s="2" t="s">
        <v>20</v>
      </c>
      <c r="I3605" s="2" t="s">
        <v>7771</v>
      </c>
      <c r="J3605" s="3" t="str">
        <f>HYPERLINK("https://www.boe.es/gazeta/dias/1813/07/23/pdfs/GMR-1813-20.pdf#page=8","Abrir facsímil")</f>
        <v>Abrir facsímil</v>
      </c>
      <c r="K3605" s="3" t="s">
        <v>22</v>
      </c>
    </row>
    <row r="3606" spans="1:11" ht="42" customHeight="1">
      <c r="A3606" s="2" t="s">
        <v>7768</v>
      </c>
      <c r="B3606" s="2" t="s">
        <v>7768</v>
      </c>
      <c r="C3606" s="2" t="s">
        <v>16</v>
      </c>
      <c r="D3606" s="2" t="s">
        <v>17</v>
      </c>
      <c r="E3606" s="5">
        <v>-31564</v>
      </c>
      <c r="F3606" s="3" t="s">
        <v>206</v>
      </c>
      <c r="G3606" s="3" t="s">
        <v>2055</v>
      </c>
      <c r="H3606" s="2" t="s">
        <v>20</v>
      </c>
      <c r="I3606" s="2" t="s">
        <v>7772</v>
      </c>
      <c r="J3606" s="3" t="str">
        <f>HYPERLINK("https://www.boe.es/gazeta/dias/1813/07/30/pdfs/GMR-1813-22.pdf#page=7","Abrir facsímil")</f>
        <v>Abrir facsímil</v>
      </c>
      <c r="K3606" s="3" t="s">
        <v>22</v>
      </c>
    </row>
    <row r="3607" spans="1:11" ht="42" customHeight="1">
      <c r="A3607" s="2" t="s">
        <v>7768</v>
      </c>
      <c r="B3607" s="2" t="s">
        <v>7768</v>
      </c>
      <c r="C3607" s="2" t="s">
        <v>16</v>
      </c>
      <c r="D3607" s="2" t="s">
        <v>17</v>
      </c>
      <c r="E3607" s="5">
        <v>-31553</v>
      </c>
      <c r="F3607" s="3" t="s">
        <v>1853</v>
      </c>
      <c r="G3607" s="3" t="s">
        <v>82</v>
      </c>
      <c r="H3607" s="2" t="s">
        <v>20</v>
      </c>
      <c r="I3607" s="2" t="s">
        <v>7773</v>
      </c>
      <c r="J3607" s="3" t="str">
        <f>HYPERLINK("https://www.boe.es/gazeta/dias/1813/08/10/pdfs/GMR-1813-26.pdf#page=5","Abrir facsímil")</f>
        <v>Abrir facsímil</v>
      </c>
      <c r="K3607" s="3" t="s">
        <v>22</v>
      </c>
    </row>
    <row r="3608" spans="1:11" ht="42" customHeight="1">
      <c r="A3608" s="2" t="s">
        <v>7768</v>
      </c>
      <c r="B3608" s="2" t="s">
        <v>7768</v>
      </c>
      <c r="C3608" s="2" t="s">
        <v>16</v>
      </c>
      <c r="D3608" s="2" t="s">
        <v>17</v>
      </c>
      <c r="E3608" s="5">
        <v>-31523</v>
      </c>
      <c r="F3608" s="3" t="s">
        <v>81</v>
      </c>
      <c r="G3608" s="3" t="s">
        <v>7774</v>
      </c>
      <c r="H3608" s="2" t="s">
        <v>20</v>
      </c>
      <c r="I3608" s="2" t="s">
        <v>7775</v>
      </c>
      <c r="J3608" s="3" t="str">
        <f>HYPERLINK("https://www.boe.es/gazeta/dias/1813/09/09/pdfs/GRE-1813-115.pdf#page=7","Abrir facsímil")</f>
        <v>Abrir facsímil</v>
      </c>
      <c r="K3608" s="3" t="s">
        <v>22</v>
      </c>
    </row>
    <row r="3609" spans="1:11" ht="42" customHeight="1">
      <c r="A3609" s="2" t="s">
        <v>7768</v>
      </c>
      <c r="B3609" s="2" t="s">
        <v>7768</v>
      </c>
      <c r="C3609" s="2" t="s">
        <v>16</v>
      </c>
      <c r="D3609" s="2" t="s">
        <v>97</v>
      </c>
      <c r="E3609" s="5">
        <v>-31490</v>
      </c>
      <c r="F3609" s="3" t="s">
        <v>7776</v>
      </c>
      <c r="G3609" s="3" t="s">
        <v>65</v>
      </c>
      <c r="H3609" s="2" t="s">
        <v>20</v>
      </c>
      <c r="I3609" s="2" t="s">
        <v>7777</v>
      </c>
      <c r="J3609" s="3" t="str">
        <f>HYPERLINK("https://www.boe.es/gazeta/dias/1813/10/12/pdfs/GMR-1813-58E.pdf#page=1","Abrir facsímil")</f>
        <v>Abrir facsímil</v>
      </c>
      <c r="K3609" s="3" t="s">
        <v>22</v>
      </c>
    </row>
    <row r="3610" spans="1:11" ht="42" customHeight="1">
      <c r="A3610" s="2" t="s">
        <v>7768</v>
      </c>
      <c r="B3610" s="2" t="s">
        <v>7768</v>
      </c>
      <c r="C3610" s="2" t="s">
        <v>16</v>
      </c>
      <c r="D3610" s="2" t="s">
        <v>17</v>
      </c>
      <c r="E3610" s="5">
        <v>-31418</v>
      </c>
      <c r="F3610" s="3" t="s">
        <v>1529</v>
      </c>
      <c r="G3610" s="3" t="s">
        <v>82</v>
      </c>
      <c r="H3610" s="2" t="s">
        <v>20</v>
      </c>
      <c r="I3610" s="2" t="s">
        <v>7778</v>
      </c>
      <c r="J3610" s="3" t="str">
        <f>HYPERLINK("https://www.boe.es/gazeta/dias/1813/12/23/pdfs/GMR-1813-91.pdf#page=5","Abrir facsímil")</f>
        <v>Abrir facsímil</v>
      </c>
      <c r="K3610" s="3" t="s">
        <v>22</v>
      </c>
    </row>
    <row r="3611" spans="1:11" ht="42" customHeight="1">
      <c r="A3611" s="2" t="s">
        <v>7768</v>
      </c>
      <c r="B3611" s="2" t="s">
        <v>7768</v>
      </c>
      <c r="C3611" s="2" t="s">
        <v>16</v>
      </c>
      <c r="D3611" s="2" t="s">
        <v>17</v>
      </c>
      <c r="E3611" s="5">
        <v>-31418</v>
      </c>
      <c r="F3611" s="3" t="s">
        <v>1529</v>
      </c>
      <c r="G3611" s="3" t="s">
        <v>95</v>
      </c>
      <c r="H3611" s="2" t="s">
        <v>20</v>
      </c>
      <c r="I3611" s="2" t="s">
        <v>7779</v>
      </c>
      <c r="J3611" s="3" t="str">
        <f>HYPERLINK("https://www.boe.es/gazeta/dias/1813/12/23/pdfs/GMR-1813-91.pdf#page=6","Abrir facsímil")</f>
        <v>Abrir facsímil</v>
      </c>
      <c r="K3611" s="3" t="s">
        <v>22</v>
      </c>
    </row>
    <row r="3612" spans="1:11" ht="42" customHeight="1">
      <c r="A3612" s="2" t="s">
        <v>7768</v>
      </c>
      <c r="B3612" s="2" t="s">
        <v>7768</v>
      </c>
      <c r="C3612" s="2" t="s">
        <v>16</v>
      </c>
      <c r="D3612" s="2" t="s">
        <v>17</v>
      </c>
      <c r="E3612" s="5">
        <v>-31411</v>
      </c>
      <c r="F3612" s="3" t="s">
        <v>3702</v>
      </c>
      <c r="G3612" s="3" t="s">
        <v>95</v>
      </c>
      <c r="H3612" s="2" t="s">
        <v>20</v>
      </c>
      <c r="I3612" s="2" t="s">
        <v>7780</v>
      </c>
      <c r="J3612" s="3" t="str">
        <f>HYPERLINK("https://www.boe.es/gazeta/dias/1813/12/30/pdfs/GRE-1813-171.pdf#page=6","Abrir facsímil")</f>
        <v>Abrir facsímil</v>
      </c>
      <c r="K3612" s="3" t="s">
        <v>22</v>
      </c>
    </row>
    <row r="3613" spans="1:11" ht="42" customHeight="1">
      <c r="A3613" s="2" t="s">
        <v>7781</v>
      </c>
      <c r="B3613" s="2" t="s">
        <v>7782</v>
      </c>
      <c r="C3613" s="2" t="s">
        <v>16</v>
      </c>
      <c r="D3613" s="2" t="s">
        <v>97</v>
      </c>
      <c r="E3613" s="5">
        <v>-31445</v>
      </c>
      <c r="F3613" s="3" t="s">
        <v>299</v>
      </c>
      <c r="G3613" s="3" t="s">
        <v>6404</v>
      </c>
      <c r="H3613" s="2" t="s">
        <v>29</v>
      </c>
      <c r="I3613" s="2" t="s">
        <v>7783</v>
      </c>
      <c r="J3613" s="3" t="str">
        <f>HYPERLINK("https://www.boe.es/gazeta/dias/1813/11/26/pdfs/GRE-1813-156E.pdf#page=6","Abrir facsímil")</f>
        <v>Abrir facsímil</v>
      </c>
      <c r="K3613" s="3" t="s">
        <v>31</v>
      </c>
    </row>
    <row r="3614" spans="1:11" ht="42" customHeight="1">
      <c r="A3614" s="2" t="s">
        <v>7784</v>
      </c>
      <c r="B3614" s="2" t="s">
        <v>7785</v>
      </c>
      <c r="C3614" s="2" t="s">
        <v>16</v>
      </c>
      <c r="D3614" s="2" t="s">
        <v>17</v>
      </c>
      <c r="E3614" s="5">
        <v>-31707</v>
      </c>
      <c r="F3614" s="3" t="s">
        <v>1557</v>
      </c>
      <c r="G3614" s="3" t="s">
        <v>1558</v>
      </c>
      <c r="H3614" s="2" t="s">
        <v>20</v>
      </c>
      <c r="I3614" s="2" t="s">
        <v>7786</v>
      </c>
      <c r="J3614" s="3" t="str">
        <f>HYPERLINK("https://www.boe.es/gazeta/dias/1813/03/09/pdfs/GRE-1813-30.pdf#page=8","Abrir facsímil")</f>
        <v>Abrir facsímil</v>
      </c>
      <c r="K3614" s="3" t="s">
        <v>22</v>
      </c>
    </row>
    <row r="3615" spans="1:11" ht="42" customHeight="1">
      <c r="A3615" s="2" t="s">
        <v>7787</v>
      </c>
      <c r="B3615" s="2" t="s">
        <v>7788</v>
      </c>
      <c r="C3615" s="2" t="s">
        <v>16</v>
      </c>
      <c r="D3615" s="2" t="s">
        <v>17</v>
      </c>
      <c r="E3615" s="5">
        <v>-31598</v>
      </c>
      <c r="F3615" s="3" t="s">
        <v>286</v>
      </c>
      <c r="G3615" s="3" t="s">
        <v>87</v>
      </c>
      <c r="H3615" s="2" t="s">
        <v>20</v>
      </c>
      <c r="I3615" s="2" t="s">
        <v>7789</v>
      </c>
      <c r="J3615" s="3" t="str">
        <f>HYPERLINK("https://www.boe.es/gazeta/dias/1813/06/26/pdfs/GRE-1813-79.pdf#page=7","Abrir facsímil")</f>
        <v>Abrir facsímil</v>
      </c>
      <c r="K3615" s="3" t="s">
        <v>22</v>
      </c>
    </row>
    <row r="3616" spans="1:11" ht="42" customHeight="1">
      <c r="A3616" s="2" t="s">
        <v>7784</v>
      </c>
      <c r="B3616" s="2" t="s">
        <v>7785</v>
      </c>
      <c r="C3616" s="2" t="s">
        <v>16</v>
      </c>
      <c r="D3616" s="2" t="s">
        <v>97</v>
      </c>
      <c r="E3616" s="5">
        <v>-31548</v>
      </c>
      <c r="F3616" s="3" t="s">
        <v>1680</v>
      </c>
      <c r="G3616" s="3" t="s">
        <v>58</v>
      </c>
      <c r="H3616" s="2" t="s">
        <v>20</v>
      </c>
      <c r="I3616" s="2" t="s">
        <v>7790</v>
      </c>
      <c r="J3616" s="3" t="str">
        <f>HYPERLINK("https://www.boe.es/gazeta/dias/1813/08/15/pdfs/GRE-1813-104E.pdf#page=2","Abrir facsímil")</f>
        <v>Abrir facsímil</v>
      </c>
      <c r="K3616" s="3" t="s">
        <v>22</v>
      </c>
    </row>
    <row r="3617" spans="1:11" ht="42" customHeight="1">
      <c r="A3617" s="2" t="s">
        <v>7784</v>
      </c>
      <c r="B3617" s="2" t="s">
        <v>7785</v>
      </c>
      <c r="C3617" s="2" t="s">
        <v>16</v>
      </c>
      <c r="D3617" s="2" t="s">
        <v>97</v>
      </c>
      <c r="E3617" s="5">
        <v>-31548</v>
      </c>
      <c r="F3617" s="3" t="s">
        <v>1680</v>
      </c>
      <c r="G3617" s="3" t="s">
        <v>82</v>
      </c>
      <c r="H3617" s="2" t="s">
        <v>20</v>
      </c>
      <c r="I3617" s="2" t="s">
        <v>7791</v>
      </c>
      <c r="J3617" s="3" t="str">
        <f>HYPERLINK("https://www.boe.es/gazeta/dias/1813/08/15/pdfs/GRE-1813-104E.pdf#page=5","Abrir facsímil")</f>
        <v>Abrir facsímil</v>
      </c>
      <c r="K3617" s="3" t="s">
        <v>22</v>
      </c>
    </row>
    <row r="3618" spans="1:11" ht="42" customHeight="1">
      <c r="A3618" s="2" t="s">
        <v>7784</v>
      </c>
      <c r="B3618" s="2" t="s">
        <v>7785</v>
      </c>
      <c r="C3618" s="2" t="s">
        <v>16</v>
      </c>
      <c r="D3618" s="2" t="s">
        <v>97</v>
      </c>
      <c r="E3618" s="5">
        <v>-31445</v>
      </c>
      <c r="F3618" s="3" t="s">
        <v>299</v>
      </c>
      <c r="G3618" s="3" t="s">
        <v>58</v>
      </c>
      <c r="H3618" s="2" t="s">
        <v>20</v>
      </c>
      <c r="I3618" s="2" t="s">
        <v>7792</v>
      </c>
      <c r="J3618" s="3" t="str">
        <f>HYPERLINK("https://www.boe.es/gazeta/dias/1813/11/26/pdfs/GRE-1813-156E.pdf#page=2","Abrir facsímil")</f>
        <v>Abrir facsímil</v>
      </c>
      <c r="K3618" s="3" t="s">
        <v>22</v>
      </c>
    </row>
    <row r="3619" spans="1:11" ht="42" customHeight="1">
      <c r="A3619" s="2" t="s">
        <v>7784</v>
      </c>
      <c r="B3619" s="2" t="s">
        <v>7785</v>
      </c>
      <c r="C3619" s="2" t="s">
        <v>16</v>
      </c>
      <c r="D3619" s="2" t="s">
        <v>17</v>
      </c>
      <c r="E3619" s="5">
        <v>-31427</v>
      </c>
      <c r="F3619" s="3" t="s">
        <v>1822</v>
      </c>
      <c r="G3619" s="3" t="s">
        <v>28</v>
      </c>
      <c r="H3619" s="2" t="s">
        <v>20</v>
      </c>
      <c r="I3619" s="2" t="s">
        <v>7793</v>
      </c>
      <c r="J3619" s="3" t="str">
        <f>HYPERLINK("https://www.boe.es/gazeta/dias/1813/12/14/pdfs/GRE-1813-164.pdf#page=8","Abrir facsímil")</f>
        <v>Abrir facsímil</v>
      </c>
      <c r="K3619" s="3" t="s">
        <v>22</v>
      </c>
    </row>
    <row r="3620" spans="1:11" ht="42" customHeight="1">
      <c r="A3620" s="2" t="s">
        <v>7794</v>
      </c>
      <c r="B3620" s="2" t="s">
        <v>7794</v>
      </c>
      <c r="C3620" s="2" t="s">
        <v>16</v>
      </c>
      <c r="D3620" s="2" t="s">
        <v>17</v>
      </c>
      <c r="E3620" s="5">
        <v>-31467</v>
      </c>
      <c r="F3620" s="3" t="s">
        <v>1464</v>
      </c>
      <c r="G3620" s="3" t="s">
        <v>6318</v>
      </c>
      <c r="H3620" s="2" t="s">
        <v>20</v>
      </c>
      <c r="I3620" s="2" t="s">
        <v>7795</v>
      </c>
      <c r="J3620" s="3" t="str">
        <f>HYPERLINK("https://www.boe.es/gazeta/dias/1813/11/04/pdfs/GRE-1813-144.pdf#page=3","Abrir facsímil")</f>
        <v>Abrir facsímil</v>
      </c>
      <c r="K3620" s="3" t="s">
        <v>22</v>
      </c>
    </row>
    <row r="3621" spans="1:11" ht="42" customHeight="1">
      <c r="A3621" s="2" t="s">
        <v>7794</v>
      </c>
      <c r="B3621" s="2" t="s">
        <v>7794</v>
      </c>
      <c r="C3621" s="2" t="s">
        <v>16</v>
      </c>
      <c r="D3621" s="2" t="s">
        <v>17</v>
      </c>
      <c r="E3621" s="5">
        <v>-31462</v>
      </c>
      <c r="F3621" s="3" t="s">
        <v>1028</v>
      </c>
      <c r="G3621" s="3" t="s">
        <v>54</v>
      </c>
      <c r="H3621" s="2" t="s">
        <v>20</v>
      </c>
      <c r="I3621" s="2" t="s">
        <v>7796</v>
      </c>
      <c r="J3621" s="3" t="str">
        <f>HYPERLINK("https://www.boe.es/gazeta/dias/1813/11/09/pdfs/GMR-1813-71.pdf#page=3","Abrir facsímil")</f>
        <v>Abrir facsímil</v>
      </c>
      <c r="K3621" s="3" t="s">
        <v>22</v>
      </c>
    </row>
    <row r="3622" spans="1:11" ht="42" customHeight="1">
      <c r="A3622" s="2" t="s">
        <v>7794</v>
      </c>
      <c r="B3622" s="2" t="s">
        <v>7794</v>
      </c>
      <c r="C3622" s="2" t="s">
        <v>16</v>
      </c>
      <c r="D3622" s="2" t="s">
        <v>17</v>
      </c>
      <c r="E3622" s="5">
        <v>-31434</v>
      </c>
      <c r="F3622" s="3" t="s">
        <v>18</v>
      </c>
      <c r="G3622" s="3" t="s">
        <v>54</v>
      </c>
      <c r="H3622" s="2" t="s">
        <v>20</v>
      </c>
      <c r="I3622" s="2" t="s">
        <v>7797</v>
      </c>
      <c r="J3622" s="3" t="str">
        <f>HYPERLINK("https://www.boe.es/gazeta/dias/1813/12/07/pdfs/GRE-1813-161.pdf#page=3","Abrir facsímil")</f>
        <v>Abrir facsímil</v>
      </c>
      <c r="K3622" s="3" t="s">
        <v>22</v>
      </c>
    </row>
    <row r="3623" spans="1:11" ht="42" customHeight="1">
      <c r="A3623" s="2" t="s">
        <v>7798</v>
      </c>
      <c r="B3623" s="2" t="s">
        <v>7799</v>
      </c>
      <c r="C3623" s="2" t="s">
        <v>16</v>
      </c>
      <c r="D3623" s="2" t="s">
        <v>17</v>
      </c>
      <c r="E3623" s="5">
        <v>-31416</v>
      </c>
      <c r="F3623" s="3" t="s">
        <v>278</v>
      </c>
      <c r="G3623" s="3" t="s">
        <v>19</v>
      </c>
      <c r="H3623" s="2" t="s">
        <v>20</v>
      </c>
      <c r="I3623" s="2" t="s">
        <v>7800</v>
      </c>
      <c r="J3623" s="3" t="str">
        <f>HYPERLINK("https://www.boe.es/gazeta/dias/1813/12/25/pdfs/GMR-1813-92.pdf#page=4","Abrir facsímil")</f>
        <v>Abrir facsímil</v>
      </c>
      <c r="K3623" s="3" t="s">
        <v>22</v>
      </c>
    </row>
    <row r="3624" spans="1:11" ht="42" customHeight="1">
      <c r="A3624" s="2" t="s">
        <v>7801</v>
      </c>
      <c r="B3624" s="2" t="s">
        <v>7801</v>
      </c>
      <c r="C3624" s="2" t="s">
        <v>16</v>
      </c>
      <c r="D3624" s="2" t="s">
        <v>17</v>
      </c>
      <c r="E3624" s="5">
        <v>-31479</v>
      </c>
      <c r="F3624" s="3" t="s">
        <v>322</v>
      </c>
      <c r="G3624" s="3" t="s">
        <v>82</v>
      </c>
      <c r="H3624" s="2" t="s">
        <v>20</v>
      </c>
      <c r="I3624" s="2" t="s">
        <v>7802</v>
      </c>
      <c r="J3624" s="3" t="str">
        <f>HYPERLINK("https://www.boe.es/gazeta/dias/1813/10/23/pdfs/GMR-1813-63.pdf#page=5","Abrir facsímil")</f>
        <v>Abrir facsímil</v>
      </c>
      <c r="K3624" s="3" t="s">
        <v>22</v>
      </c>
    </row>
    <row r="3625" spans="1:11" ht="42" customHeight="1">
      <c r="A3625" s="2" t="s">
        <v>7801</v>
      </c>
      <c r="B3625" s="2" t="s">
        <v>7801</v>
      </c>
      <c r="C3625" s="2" t="s">
        <v>16</v>
      </c>
      <c r="D3625" s="2" t="s">
        <v>17</v>
      </c>
      <c r="E3625" s="5">
        <v>-31479</v>
      </c>
      <c r="F3625" s="3" t="s">
        <v>322</v>
      </c>
      <c r="G3625" s="3" t="s">
        <v>95</v>
      </c>
      <c r="H3625" s="2" t="s">
        <v>20</v>
      </c>
      <c r="I3625" s="2" t="s">
        <v>7803</v>
      </c>
      <c r="J3625" s="3" t="str">
        <f>HYPERLINK("https://www.boe.es/gazeta/dias/1813/10/23/pdfs/GMR-1813-63.pdf#page=6","Abrir facsímil")</f>
        <v>Abrir facsímil</v>
      </c>
      <c r="K3625" s="3" t="s">
        <v>22</v>
      </c>
    </row>
    <row r="3626" spans="1:11" ht="42" customHeight="1">
      <c r="A3626" s="2" t="s">
        <v>7804</v>
      </c>
      <c r="B3626" s="2" t="s">
        <v>7804</v>
      </c>
      <c r="C3626" s="2" t="s">
        <v>16</v>
      </c>
      <c r="D3626" s="2" t="s">
        <v>17</v>
      </c>
      <c r="E3626" s="5">
        <v>-31726</v>
      </c>
      <c r="F3626" s="3" t="s">
        <v>533</v>
      </c>
      <c r="G3626" s="3" t="s">
        <v>1377</v>
      </c>
      <c r="H3626" s="2" t="s">
        <v>20</v>
      </c>
      <c r="I3626" s="2" t="s">
        <v>7805</v>
      </c>
      <c r="J3626" s="3" t="str">
        <f>HYPERLINK("https://www.boe.es/gazeta/dias/1813/02/18/pdfs/GRE-1813-21.pdf#page=3","Abrir facsímil")</f>
        <v>Abrir facsímil</v>
      </c>
      <c r="K3626" s="3" t="s">
        <v>22</v>
      </c>
    </row>
    <row r="3627" spans="1:11" ht="42" customHeight="1">
      <c r="A3627" s="2" t="s">
        <v>7806</v>
      </c>
      <c r="B3627" s="2" t="s">
        <v>7806</v>
      </c>
      <c r="C3627" s="2" t="s">
        <v>16</v>
      </c>
      <c r="D3627" s="2" t="s">
        <v>97</v>
      </c>
      <c r="E3627" s="5">
        <v>-31499</v>
      </c>
      <c r="F3627" s="3" t="s">
        <v>220</v>
      </c>
      <c r="G3627" s="3" t="s">
        <v>65</v>
      </c>
      <c r="H3627" s="2" t="s">
        <v>20</v>
      </c>
      <c r="I3627" s="2" t="s">
        <v>7807</v>
      </c>
      <c r="J3627" s="3" t="str">
        <f>HYPERLINK("https://www.boe.es/gazeta/dias/1813/10/03/pdfs/GMR-1813-53E.pdf#page=1","Abrir facsímil")</f>
        <v>Abrir facsímil</v>
      </c>
      <c r="K3627" s="3" t="s">
        <v>22</v>
      </c>
    </row>
    <row r="3628" spans="1:11" ht="42" customHeight="1">
      <c r="A3628" s="2" t="s">
        <v>7808</v>
      </c>
      <c r="B3628" s="2" t="s">
        <v>7809</v>
      </c>
      <c r="C3628" s="2" t="s">
        <v>109</v>
      </c>
      <c r="D3628" s="2" t="s">
        <v>26</v>
      </c>
      <c r="E3628" s="5">
        <v>-31556</v>
      </c>
      <c r="F3628" s="3" t="s">
        <v>118</v>
      </c>
      <c r="G3628" s="3" t="s">
        <v>28</v>
      </c>
      <c r="H3628" s="2" t="s">
        <v>20</v>
      </c>
      <c r="I3628" s="2" t="s">
        <v>7810</v>
      </c>
      <c r="J3628" s="3" t="str">
        <f>HYPERLINK("https://www.boe.es/gazeta/dias/1813/08/07/pdfs/GMR-1813-25.pdf#page=8","Abrir facsímil")</f>
        <v>Abrir facsímil</v>
      </c>
      <c r="K3628" s="3" t="s">
        <v>22</v>
      </c>
    </row>
    <row r="3629" spans="1:11" ht="42" customHeight="1">
      <c r="A3629" s="2" t="s">
        <v>7811</v>
      </c>
      <c r="B3629" s="2" t="s">
        <v>7812</v>
      </c>
      <c r="C3629" s="2" t="s">
        <v>34</v>
      </c>
      <c r="D3629" s="2" t="s">
        <v>35</v>
      </c>
      <c r="E3629" s="5">
        <v>-31689</v>
      </c>
      <c r="F3629" s="3" t="s">
        <v>48</v>
      </c>
      <c r="G3629" s="3" t="s">
        <v>49</v>
      </c>
      <c r="H3629" s="2" t="s">
        <v>20</v>
      </c>
      <c r="I3629" s="2" t="s">
        <v>7813</v>
      </c>
      <c r="J3629" s="3" t="str">
        <f>HYPERLINK("https://www.boe.es/gazeta/dias/1813/03/27/pdfs/GRE-1813-38.pdf#page=7","Abrir facsímil")</f>
        <v>Abrir facsímil</v>
      </c>
      <c r="K3629" s="3" t="s">
        <v>22</v>
      </c>
    </row>
    <row r="3630" spans="1:11" ht="42" customHeight="1">
      <c r="A3630" s="2" t="s">
        <v>7814</v>
      </c>
      <c r="B3630" s="2" t="s">
        <v>7814</v>
      </c>
      <c r="C3630" s="2" t="s">
        <v>16</v>
      </c>
      <c r="D3630" s="2" t="s">
        <v>17</v>
      </c>
      <c r="E3630" s="5">
        <v>-31772</v>
      </c>
      <c r="F3630" s="3" t="s">
        <v>2361</v>
      </c>
      <c r="G3630" s="3" t="s">
        <v>65</v>
      </c>
      <c r="H3630" s="2" t="s">
        <v>20</v>
      </c>
      <c r="I3630" s="2" t="s">
        <v>7815</v>
      </c>
      <c r="J3630" s="3" t="str">
        <f>HYPERLINK("https://www.boe.es/gazeta/dias/1813/01/03/pdfs/GMD-1813-3.pdf#page=1","Abrir facsímil")</f>
        <v>Abrir facsímil</v>
      </c>
      <c r="K3630" s="3" t="s">
        <v>22</v>
      </c>
    </row>
    <row r="3631" spans="1:11" ht="42" customHeight="1">
      <c r="A3631" s="2" t="s">
        <v>7816</v>
      </c>
      <c r="B3631" s="2" t="s">
        <v>7816</v>
      </c>
      <c r="C3631" s="2" t="s">
        <v>16</v>
      </c>
      <c r="D3631" s="2" t="s">
        <v>17</v>
      </c>
      <c r="E3631" s="5">
        <v>-31497</v>
      </c>
      <c r="F3631" s="3" t="s">
        <v>223</v>
      </c>
      <c r="G3631" s="3" t="s">
        <v>95</v>
      </c>
      <c r="H3631" s="2" t="s">
        <v>20</v>
      </c>
      <c r="I3631" s="2" t="s">
        <v>7817</v>
      </c>
      <c r="J3631" s="3" t="str">
        <f>HYPERLINK("https://www.boe.es/gazeta/dias/1813/10/05/pdfs/GRE-1813-130.pdf#page=6","Abrir facsímil")</f>
        <v>Abrir facsímil</v>
      </c>
      <c r="K3631" s="3" t="s">
        <v>22</v>
      </c>
    </row>
    <row r="3632" spans="1:11" ht="42" customHeight="1">
      <c r="A3632" s="2" t="s">
        <v>7816</v>
      </c>
      <c r="B3632" s="2" t="s">
        <v>7816</v>
      </c>
      <c r="C3632" s="2" t="s">
        <v>16</v>
      </c>
      <c r="D3632" s="2" t="s">
        <v>17</v>
      </c>
      <c r="E3632" s="5">
        <v>-31472</v>
      </c>
      <c r="F3632" s="3" t="s">
        <v>1942</v>
      </c>
      <c r="G3632" s="3" t="s">
        <v>19</v>
      </c>
      <c r="H3632" s="2" t="s">
        <v>20</v>
      </c>
      <c r="I3632" s="2" t="s">
        <v>7818</v>
      </c>
      <c r="J3632" s="3" t="str">
        <f>HYPERLINK("https://www.boe.es/gazeta/dias/1813/10/30/pdfs/GRE-1813-142.pdf#page=4","Abrir facsímil")</f>
        <v>Abrir facsímil</v>
      </c>
      <c r="K3632" s="3" t="s">
        <v>22</v>
      </c>
    </row>
    <row r="3633" spans="1:11" ht="42" customHeight="1">
      <c r="A3633" s="2" t="s">
        <v>7819</v>
      </c>
      <c r="B3633" s="2" t="s">
        <v>7819</v>
      </c>
      <c r="C3633" s="2" t="s">
        <v>16</v>
      </c>
      <c r="D3633" s="2" t="s">
        <v>17</v>
      </c>
      <c r="E3633" s="5">
        <v>-31483</v>
      </c>
      <c r="F3633" s="3" t="s">
        <v>1292</v>
      </c>
      <c r="G3633" s="3" t="s">
        <v>65</v>
      </c>
      <c r="H3633" s="2" t="s">
        <v>20</v>
      </c>
      <c r="I3633" s="2" t="s">
        <v>7820</v>
      </c>
      <c r="J3633" s="3" t="str">
        <f>HYPERLINK("https://www.boe.es/gazeta/dias/1813/10/19/pdfs/GMR-1813-61.pdf#page=1","Abrir facsímil")</f>
        <v>Abrir facsímil</v>
      </c>
      <c r="K3633" s="3" t="s">
        <v>22</v>
      </c>
    </row>
    <row r="3634" spans="1:11" ht="42" customHeight="1">
      <c r="A3634" s="2" t="s">
        <v>7821</v>
      </c>
      <c r="B3634" s="2" t="s">
        <v>7821</v>
      </c>
      <c r="C3634" s="2" t="s">
        <v>16</v>
      </c>
      <c r="D3634" s="2" t="s">
        <v>97</v>
      </c>
      <c r="E3634" s="5">
        <v>-31499</v>
      </c>
      <c r="F3634" s="3" t="s">
        <v>220</v>
      </c>
      <c r="G3634" s="3" t="s">
        <v>58</v>
      </c>
      <c r="H3634" s="2" t="s">
        <v>20</v>
      </c>
      <c r="I3634" s="2" t="s">
        <v>7822</v>
      </c>
      <c r="J3634" s="3" t="str">
        <f>HYPERLINK("https://www.boe.es/gazeta/dias/1813/10/03/pdfs/GMR-1813-53E.pdf#page=2","Abrir facsímil")</f>
        <v>Abrir facsímil</v>
      </c>
      <c r="K3634" s="3" t="s">
        <v>22</v>
      </c>
    </row>
    <row r="3635" spans="1:11" ht="42" customHeight="1">
      <c r="A3635" s="2" t="s">
        <v>7823</v>
      </c>
      <c r="B3635" s="2" t="s">
        <v>7823</v>
      </c>
      <c r="C3635" s="2" t="s">
        <v>16</v>
      </c>
      <c r="D3635" s="2" t="s">
        <v>17</v>
      </c>
      <c r="E3635" s="5">
        <v>-31646</v>
      </c>
      <c r="F3635" s="3" t="s">
        <v>1523</v>
      </c>
      <c r="G3635" s="3" t="s">
        <v>65</v>
      </c>
      <c r="H3635" s="2" t="s">
        <v>20</v>
      </c>
      <c r="I3635" s="2" t="s">
        <v>7824</v>
      </c>
      <c r="J3635" s="3" t="str">
        <f>HYPERLINK("https://www.boe.es/gazeta/dias/1813/05/09/pdfs/GMD-1813-129.pdf#page=1","Abrir facsímil")</f>
        <v>Abrir facsímil</v>
      </c>
      <c r="K3635" s="3" t="s">
        <v>22</v>
      </c>
    </row>
    <row r="3636" spans="1:11" ht="42" customHeight="1">
      <c r="A3636" s="2" t="s">
        <v>7825</v>
      </c>
      <c r="B3636" s="2" t="s">
        <v>7826</v>
      </c>
      <c r="C3636" s="2" t="s">
        <v>16</v>
      </c>
      <c r="D3636" s="2" t="s">
        <v>17</v>
      </c>
      <c r="E3636" s="5">
        <v>-31724</v>
      </c>
      <c r="F3636" s="3" t="s">
        <v>626</v>
      </c>
      <c r="G3636" s="3" t="s">
        <v>627</v>
      </c>
      <c r="H3636" s="2" t="s">
        <v>20</v>
      </c>
      <c r="I3636" s="2" t="s">
        <v>7827</v>
      </c>
      <c r="J3636" s="3" t="str">
        <f>HYPERLINK("https://www.boe.es/gazeta/dias/1813/02/20/pdfs/GRE-1813-22.pdf#page=8","Abrir facsímil")</f>
        <v>Abrir facsímil</v>
      </c>
      <c r="K3636" s="3" t="s">
        <v>22</v>
      </c>
    </row>
    <row r="3637" spans="1:11" ht="42" customHeight="1">
      <c r="A3637" s="2" t="s">
        <v>7828</v>
      </c>
      <c r="B3637" s="2" t="s">
        <v>7829</v>
      </c>
      <c r="C3637" s="2" t="s">
        <v>16</v>
      </c>
      <c r="D3637" s="2" t="s">
        <v>17</v>
      </c>
      <c r="E3637" s="5">
        <v>-31453</v>
      </c>
      <c r="F3637" s="3" t="s">
        <v>887</v>
      </c>
      <c r="G3637" s="3" t="s">
        <v>19</v>
      </c>
      <c r="H3637" s="2" t="s">
        <v>20</v>
      </c>
      <c r="I3637" s="2" t="s">
        <v>7830</v>
      </c>
      <c r="J3637" s="3" t="str">
        <f>HYPERLINK("https://www.boe.es/gazeta/dias/1813/11/18/pdfs/GMR-1813-76.pdf#page=4","Abrir facsímil")</f>
        <v>Abrir facsímil</v>
      </c>
      <c r="K3637" s="3" t="s">
        <v>22</v>
      </c>
    </row>
    <row r="3638" spans="1:11" ht="42" customHeight="1">
      <c r="A3638" s="2" t="s">
        <v>7831</v>
      </c>
      <c r="B3638" s="2" t="s">
        <v>7831</v>
      </c>
      <c r="C3638" s="2" t="s">
        <v>16</v>
      </c>
      <c r="D3638" s="2" t="s">
        <v>17</v>
      </c>
      <c r="E3638" s="5">
        <v>-31599</v>
      </c>
      <c r="F3638" s="3" t="s">
        <v>2470</v>
      </c>
      <c r="G3638" s="3" t="s">
        <v>58</v>
      </c>
      <c r="H3638" s="2" t="s">
        <v>20</v>
      </c>
      <c r="I3638" s="2" t="s">
        <v>7832</v>
      </c>
      <c r="J3638" s="3" t="str">
        <f>HYPERLINK("https://www.boe.es/gazeta/dias/1813/06/25/pdfs/GMR-1813-11.pdf#page=2","Abrir facsímil")</f>
        <v>Abrir facsímil</v>
      </c>
      <c r="K3638" s="3" t="s">
        <v>22</v>
      </c>
    </row>
    <row r="3639" spans="1:11" ht="42" customHeight="1">
      <c r="A3639" s="2" t="s">
        <v>7833</v>
      </c>
      <c r="B3639" s="2" t="s">
        <v>7833</v>
      </c>
      <c r="C3639" s="2" t="s">
        <v>16</v>
      </c>
      <c r="D3639" s="2" t="s">
        <v>17</v>
      </c>
      <c r="E3639" s="5">
        <v>-31497</v>
      </c>
      <c r="F3639" s="3" t="s">
        <v>223</v>
      </c>
      <c r="G3639" s="3" t="s">
        <v>19</v>
      </c>
      <c r="H3639" s="2" t="s">
        <v>20</v>
      </c>
      <c r="I3639" s="2" t="s">
        <v>7834</v>
      </c>
      <c r="J3639" s="3" t="str">
        <f>HYPERLINK("https://www.boe.es/gazeta/dias/1813/10/05/pdfs/GRE-1813-130.pdf#page=4","Abrir facsímil")</f>
        <v>Abrir facsímil</v>
      </c>
      <c r="K3639" s="3" t="s">
        <v>22</v>
      </c>
    </row>
    <row r="3640" spans="1:11" ht="42" customHeight="1">
      <c r="A3640" s="2" t="s">
        <v>7835</v>
      </c>
      <c r="B3640" s="2" t="s">
        <v>7835</v>
      </c>
      <c r="C3640" s="2" t="s">
        <v>25</v>
      </c>
      <c r="D3640" s="2" t="s">
        <v>26</v>
      </c>
      <c r="E3640" s="5">
        <v>-31460</v>
      </c>
      <c r="F3640" s="3" t="s">
        <v>1468</v>
      </c>
      <c r="G3640" s="3" t="s">
        <v>4447</v>
      </c>
      <c r="H3640" s="2" t="s">
        <v>20</v>
      </c>
      <c r="I3640" s="2" t="s">
        <v>7836</v>
      </c>
      <c r="J3640" s="3" t="str">
        <f>HYPERLINK("https://www.boe.es/gazeta/dias/1813/11/11/pdfs/GRE-1813-147.pdf#page=6","Abrir facsímil")</f>
        <v>Abrir facsímil</v>
      </c>
      <c r="K3640" s="3" t="s">
        <v>22</v>
      </c>
    </row>
    <row r="3641" spans="1:11" ht="42" customHeight="1">
      <c r="A3641" s="2" t="s">
        <v>7837</v>
      </c>
      <c r="B3641" s="2" t="s">
        <v>7837</v>
      </c>
      <c r="C3641" s="2" t="s">
        <v>16</v>
      </c>
      <c r="D3641" s="2" t="s">
        <v>17</v>
      </c>
      <c r="E3641" s="5">
        <v>-31441</v>
      </c>
      <c r="F3641" s="3" t="s">
        <v>1933</v>
      </c>
      <c r="G3641" s="3" t="s">
        <v>82</v>
      </c>
      <c r="H3641" s="2" t="s">
        <v>20</v>
      </c>
      <c r="I3641" s="2" t="s">
        <v>7838</v>
      </c>
      <c r="J3641" s="3" t="str">
        <f>HYPERLINK("https://www.boe.es/gazeta/dias/1813/11/30/pdfs/GMR-1813-81.pdf#page=5","Abrir facsímil")</f>
        <v>Abrir facsímil</v>
      </c>
      <c r="K3641" s="3" t="s">
        <v>22</v>
      </c>
    </row>
    <row r="3642" spans="1:11" ht="42" customHeight="1">
      <c r="A3642" s="2" t="s">
        <v>7839</v>
      </c>
      <c r="B3642" s="2" t="s">
        <v>7840</v>
      </c>
      <c r="C3642" s="2" t="s">
        <v>187</v>
      </c>
      <c r="D3642" s="2" t="s">
        <v>26</v>
      </c>
      <c r="E3642" s="5">
        <v>-31532</v>
      </c>
      <c r="F3642" s="3" t="s">
        <v>1728</v>
      </c>
      <c r="G3642" s="3" t="s">
        <v>95</v>
      </c>
      <c r="H3642" s="2" t="s">
        <v>20</v>
      </c>
      <c r="I3642" s="2" t="s">
        <v>7841</v>
      </c>
      <c r="J3642" s="3" t="str">
        <f>HYPERLINK("https://www.boe.es/gazeta/dias/1813/08/31/pdfs/GMR-1813-35.pdf#page=6","Abrir facsímil")</f>
        <v>Abrir facsímil</v>
      </c>
      <c r="K3642" s="3" t="s">
        <v>22</v>
      </c>
    </row>
    <row r="3643" spans="1:11" ht="42" customHeight="1">
      <c r="A3643" s="2" t="s">
        <v>7842</v>
      </c>
      <c r="B3643" s="2" t="s">
        <v>7842</v>
      </c>
      <c r="C3643" s="2" t="s">
        <v>16</v>
      </c>
      <c r="D3643" s="2" t="s">
        <v>17</v>
      </c>
      <c r="E3643" s="5">
        <v>-31560</v>
      </c>
      <c r="F3643" s="3" t="s">
        <v>1233</v>
      </c>
      <c r="G3643" s="3" t="s">
        <v>58</v>
      </c>
      <c r="H3643" s="2" t="s">
        <v>20</v>
      </c>
      <c r="I3643" s="2" t="s">
        <v>7843</v>
      </c>
      <c r="J3643" s="3" t="str">
        <f>HYPERLINK("https://www.boe.es/gazeta/dias/1813/08/03/pdfs/GMR-1813-23.pdf#page=2","Abrir facsímil")</f>
        <v>Abrir facsímil</v>
      </c>
      <c r="K3643" s="3" t="s">
        <v>22</v>
      </c>
    </row>
    <row r="3644" spans="1:11" ht="42" customHeight="1">
      <c r="A3644" s="2" t="s">
        <v>7844</v>
      </c>
      <c r="B3644" s="2" t="s">
        <v>7844</v>
      </c>
      <c r="C3644" s="2" t="s">
        <v>34</v>
      </c>
      <c r="D3644" s="2" t="s">
        <v>35</v>
      </c>
      <c r="E3644" s="5">
        <v>-31702</v>
      </c>
      <c r="F3644" s="3" t="s">
        <v>6504</v>
      </c>
      <c r="G3644" s="3" t="s">
        <v>58</v>
      </c>
      <c r="H3644" s="2" t="s">
        <v>20</v>
      </c>
      <c r="I3644" s="2" t="s">
        <v>7845</v>
      </c>
      <c r="J3644" s="3" t="str">
        <f>HYPERLINK("https://www.boe.es/gazeta/dias/1813/03/14/pdfs/GMD-1813-73.pdf#page=2","Abrir facsímil")</f>
        <v>Abrir facsímil</v>
      </c>
      <c r="K3644" s="3" t="s">
        <v>22</v>
      </c>
    </row>
    <row r="3645" spans="1:11" ht="42" customHeight="1">
      <c r="A3645" s="2" t="s">
        <v>7846</v>
      </c>
      <c r="B3645" s="2" t="s">
        <v>7846</v>
      </c>
      <c r="C3645" s="2" t="s">
        <v>16</v>
      </c>
      <c r="D3645" s="2" t="s">
        <v>17</v>
      </c>
      <c r="E3645" s="5">
        <v>-31770</v>
      </c>
      <c r="F3645" s="3" t="s">
        <v>1738</v>
      </c>
      <c r="G3645" s="3" t="s">
        <v>2709</v>
      </c>
      <c r="H3645" s="2" t="s">
        <v>20</v>
      </c>
      <c r="I3645" s="2" t="s">
        <v>7847</v>
      </c>
      <c r="J3645" s="3" t="str">
        <f>HYPERLINK("https://www.boe.es/gazeta/dias/1813/01/05/pdfs/GRE-1813-2.pdf#page=3","Abrir facsímil")</f>
        <v>Abrir facsímil</v>
      </c>
      <c r="K3645" s="3" t="s">
        <v>22</v>
      </c>
    </row>
    <row r="3646" spans="1:11" ht="42" customHeight="1">
      <c r="A3646" s="2" t="s">
        <v>7848</v>
      </c>
      <c r="B3646" s="2" t="s">
        <v>7848</v>
      </c>
      <c r="C3646" s="2" t="s">
        <v>16</v>
      </c>
      <c r="D3646" s="2" t="s">
        <v>17</v>
      </c>
      <c r="E3646" s="5">
        <v>-31516</v>
      </c>
      <c r="F3646" s="3" t="s">
        <v>1685</v>
      </c>
      <c r="G3646" s="3" t="s">
        <v>1686</v>
      </c>
      <c r="H3646" s="2" t="s">
        <v>20</v>
      </c>
      <c r="I3646" s="2" t="s">
        <v>7849</v>
      </c>
      <c r="J3646" s="3" t="str">
        <f>HYPERLINK("https://www.boe.es/gazeta/dias/1813/09/16/pdfs/GRE-1813-120.pdf#page=7","Abrir facsímil")</f>
        <v>Abrir facsímil</v>
      </c>
      <c r="K3646" s="3" t="s">
        <v>22</v>
      </c>
    </row>
    <row r="3647" spans="1:11" ht="42" customHeight="1">
      <c r="A3647" s="2" t="s">
        <v>7850</v>
      </c>
      <c r="B3647" s="2" t="s">
        <v>7850</v>
      </c>
      <c r="C3647" s="2" t="s">
        <v>25</v>
      </c>
      <c r="D3647" s="2" t="s">
        <v>26</v>
      </c>
      <c r="E3647" s="5">
        <v>-31684</v>
      </c>
      <c r="F3647" s="3" t="s">
        <v>2053</v>
      </c>
      <c r="G3647" s="3" t="s">
        <v>65</v>
      </c>
      <c r="H3647" s="2" t="s">
        <v>20</v>
      </c>
      <c r="I3647" s="2" t="s">
        <v>7851</v>
      </c>
      <c r="J3647" s="3" t="str">
        <f>HYPERLINK("https://www.boe.es/gazeta/dias/1813/04/01/pdfs/GMD-1813-91.pdf#page=1","Abrir facsímil")</f>
        <v>Abrir facsímil</v>
      </c>
      <c r="K3647" s="3" t="s">
        <v>22</v>
      </c>
    </row>
    <row r="3648" spans="1:11" ht="42" customHeight="1">
      <c r="A3648" s="2" t="s">
        <v>7850</v>
      </c>
      <c r="B3648" s="2" t="s">
        <v>7850</v>
      </c>
      <c r="C3648" s="2" t="s">
        <v>34</v>
      </c>
      <c r="D3648" s="2" t="s">
        <v>35</v>
      </c>
      <c r="E3648" s="5">
        <v>-31633</v>
      </c>
      <c r="F3648" s="3" t="s">
        <v>6276</v>
      </c>
      <c r="G3648" s="3" t="s">
        <v>65</v>
      </c>
      <c r="H3648" s="2" t="s">
        <v>20</v>
      </c>
      <c r="I3648" s="2" t="s">
        <v>7852</v>
      </c>
      <c r="J3648" s="3" t="str">
        <f>HYPERLINK("https://www.boe.es/gazeta/dias/1813/05/22/pdfs/GMD-1813-142.pdf#page=1","Abrir facsímil")</f>
        <v>Abrir facsímil</v>
      </c>
      <c r="K3648" s="3" t="s">
        <v>22</v>
      </c>
    </row>
    <row r="3649" spans="1:11" ht="42" customHeight="1">
      <c r="A3649" s="2" t="s">
        <v>7853</v>
      </c>
      <c r="B3649" s="2" t="s">
        <v>7853</v>
      </c>
      <c r="C3649" s="2" t="s">
        <v>16</v>
      </c>
      <c r="D3649" s="2" t="s">
        <v>17</v>
      </c>
      <c r="E3649" s="5">
        <v>-31773</v>
      </c>
      <c r="F3649" s="3" t="s">
        <v>7854</v>
      </c>
      <c r="G3649" s="3" t="s">
        <v>65</v>
      </c>
      <c r="H3649" s="2" t="s">
        <v>20</v>
      </c>
      <c r="I3649" s="2" t="s">
        <v>7855</v>
      </c>
      <c r="J3649" s="3" t="str">
        <f>HYPERLINK("https://www.boe.es/gazeta/dias/1813/01/02/pdfs/GMD-1813-2.pdf#page=1","Abrir facsímil")</f>
        <v>Abrir facsímil</v>
      </c>
      <c r="K3649" s="3" t="s">
        <v>22</v>
      </c>
    </row>
    <row r="3650" spans="1:11" ht="42" customHeight="1">
      <c r="A3650" s="2" t="s">
        <v>7853</v>
      </c>
      <c r="B3650" s="2" t="s">
        <v>7853</v>
      </c>
      <c r="C3650" s="2" t="s">
        <v>16</v>
      </c>
      <c r="D3650" s="2" t="s">
        <v>17</v>
      </c>
      <c r="E3650" s="5">
        <v>-31744</v>
      </c>
      <c r="F3650" s="3" t="s">
        <v>5679</v>
      </c>
      <c r="G3650" s="3" t="s">
        <v>65</v>
      </c>
      <c r="H3650" s="2" t="s">
        <v>20</v>
      </c>
      <c r="I3650" s="2" t="s">
        <v>7856</v>
      </c>
      <c r="J3650" s="3" t="str">
        <f>HYPERLINK("https://www.boe.es/gazeta/dias/1813/01/31/pdfs/GMD-1813-31.pdf#page=1","Abrir facsímil")</f>
        <v>Abrir facsímil</v>
      </c>
      <c r="K3650" s="3" t="s">
        <v>22</v>
      </c>
    </row>
    <row r="3651" spans="1:11" ht="42" customHeight="1">
      <c r="A3651" s="2" t="s">
        <v>7857</v>
      </c>
      <c r="B3651" s="2" t="s">
        <v>7857</v>
      </c>
      <c r="C3651" s="2" t="s">
        <v>16</v>
      </c>
      <c r="D3651" s="2" t="s">
        <v>17</v>
      </c>
      <c r="E3651" s="5">
        <v>-31483</v>
      </c>
      <c r="F3651" s="3" t="s">
        <v>1292</v>
      </c>
      <c r="G3651" s="3" t="s">
        <v>58</v>
      </c>
      <c r="H3651" s="2" t="s">
        <v>20</v>
      </c>
      <c r="I3651" s="2" t="s">
        <v>7858</v>
      </c>
      <c r="J3651" s="3" t="str">
        <f>HYPERLINK("https://www.boe.es/gazeta/dias/1813/10/19/pdfs/GMR-1813-61.pdf#page=2","Abrir facsímil")</f>
        <v>Abrir facsímil</v>
      </c>
      <c r="K3651" s="3" t="s">
        <v>22</v>
      </c>
    </row>
    <row r="3652" spans="1:11" ht="42" customHeight="1">
      <c r="A3652" s="2" t="s">
        <v>7859</v>
      </c>
      <c r="B3652" s="2" t="s">
        <v>7859</v>
      </c>
      <c r="C3652" s="2" t="s">
        <v>16</v>
      </c>
      <c r="D3652" s="2" t="s">
        <v>17</v>
      </c>
      <c r="E3652" s="5">
        <v>-31516</v>
      </c>
      <c r="F3652" s="3" t="s">
        <v>1685</v>
      </c>
      <c r="G3652" s="3" t="s">
        <v>1686</v>
      </c>
      <c r="H3652" s="2" t="s">
        <v>20</v>
      </c>
      <c r="I3652" s="2" t="s">
        <v>7860</v>
      </c>
      <c r="J3652" s="3" t="str">
        <f>HYPERLINK("https://www.boe.es/gazeta/dias/1813/09/16/pdfs/GRE-1813-120.pdf#page=7","Abrir facsímil")</f>
        <v>Abrir facsímil</v>
      </c>
      <c r="K3652" s="3" t="s">
        <v>22</v>
      </c>
    </row>
    <row r="3653" spans="1:11" ht="42" customHeight="1">
      <c r="A3653" s="2" t="s">
        <v>7861</v>
      </c>
      <c r="B3653" s="2" t="s">
        <v>7861</v>
      </c>
      <c r="C3653" s="2" t="s">
        <v>25</v>
      </c>
      <c r="D3653" s="2" t="s">
        <v>26</v>
      </c>
      <c r="E3653" s="5">
        <v>-31425</v>
      </c>
      <c r="F3653" s="3" t="s">
        <v>1669</v>
      </c>
      <c r="G3653" s="3" t="s">
        <v>19</v>
      </c>
      <c r="H3653" s="2" t="s">
        <v>20</v>
      </c>
      <c r="I3653" s="2" t="s">
        <v>7862</v>
      </c>
      <c r="J3653" s="3" t="str">
        <f>HYPERLINK("https://www.boe.es/gazeta/dias/1813/12/16/pdfs/GRE-1813-165.pdf#page=4","Abrir facsímil")</f>
        <v>Abrir facsímil</v>
      </c>
      <c r="K3653" s="3" t="s">
        <v>22</v>
      </c>
    </row>
    <row r="3654" spans="1:11" ht="42" customHeight="1">
      <c r="A3654" s="2" t="s">
        <v>7863</v>
      </c>
      <c r="B3654" s="2" t="s">
        <v>7863</v>
      </c>
      <c r="C3654" s="2" t="s">
        <v>25</v>
      </c>
      <c r="D3654" s="2" t="s">
        <v>26</v>
      </c>
      <c r="E3654" s="5">
        <v>-31427</v>
      </c>
      <c r="F3654" s="3" t="s">
        <v>489</v>
      </c>
      <c r="G3654" s="3" t="s">
        <v>87</v>
      </c>
      <c r="H3654" s="2" t="s">
        <v>20</v>
      </c>
      <c r="I3654" s="2" t="s">
        <v>7864</v>
      </c>
      <c r="J3654" s="3" t="str">
        <f>HYPERLINK("https://www.boe.es/gazeta/dias/1813/12/14/pdfs/GMR-1813-87.pdf#page=7","Abrir facsímil")</f>
        <v>Abrir facsímil</v>
      </c>
      <c r="K3654" s="3" t="s">
        <v>22</v>
      </c>
    </row>
    <row r="3655" spans="1:11" ht="42" customHeight="1">
      <c r="A3655" s="2" t="s">
        <v>7865</v>
      </c>
      <c r="B3655" s="2" t="s">
        <v>7865</v>
      </c>
      <c r="C3655" s="2" t="s">
        <v>16</v>
      </c>
      <c r="D3655" s="2" t="s">
        <v>17</v>
      </c>
      <c r="E3655" s="5">
        <v>-31728</v>
      </c>
      <c r="F3655" s="3" t="s">
        <v>1434</v>
      </c>
      <c r="G3655" s="3" t="s">
        <v>95</v>
      </c>
      <c r="H3655" s="2" t="s">
        <v>20</v>
      </c>
      <c r="I3655" s="2" t="s">
        <v>7866</v>
      </c>
      <c r="J3655" s="3" t="str">
        <f>HYPERLINK("https://www.boe.es/gazeta/dias/1813/02/16/pdfs/GRE-1813-20.pdf#page=6","Abrir facsímil")</f>
        <v>Abrir facsímil</v>
      </c>
      <c r="K3655" s="3" t="s">
        <v>22</v>
      </c>
    </row>
    <row r="3656" spans="1:11" ht="42" customHeight="1">
      <c r="A3656" s="2" t="s">
        <v>7865</v>
      </c>
      <c r="B3656" s="2" t="s">
        <v>7865</v>
      </c>
      <c r="C3656" s="2" t="s">
        <v>16</v>
      </c>
      <c r="D3656" s="2" t="s">
        <v>17</v>
      </c>
      <c r="E3656" s="5">
        <v>-31567</v>
      </c>
      <c r="F3656" s="3" t="s">
        <v>820</v>
      </c>
      <c r="G3656" s="3" t="s">
        <v>19</v>
      </c>
      <c r="H3656" s="2" t="s">
        <v>20</v>
      </c>
      <c r="I3656" s="2" t="s">
        <v>7867</v>
      </c>
      <c r="J3656" s="3" t="str">
        <f>HYPERLINK("https://www.boe.es/gazeta/dias/1813/07/27/pdfs/GMR-1813-21.pdf#page=4","Abrir facsímil")</f>
        <v>Abrir facsímil</v>
      </c>
      <c r="K3656" s="3" t="s">
        <v>22</v>
      </c>
    </row>
    <row r="3657" spans="1:11" ht="42" customHeight="1">
      <c r="A3657" s="2" t="s">
        <v>7865</v>
      </c>
      <c r="B3657" s="2" t="s">
        <v>7865</v>
      </c>
      <c r="C3657" s="2" t="s">
        <v>16</v>
      </c>
      <c r="D3657" s="2" t="s">
        <v>17</v>
      </c>
      <c r="E3657" s="5">
        <v>-31418</v>
      </c>
      <c r="F3657" s="3" t="s">
        <v>1529</v>
      </c>
      <c r="G3657" s="3" t="s">
        <v>82</v>
      </c>
      <c r="H3657" s="2" t="s">
        <v>20</v>
      </c>
      <c r="I3657" s="2" t="s">
        <v>7868</v>
      </c>
      <c r="J3657" s="3" t="str">
        <f>HYPERLINK("https://www.boe.es/gazeta/dias/1813/12/23/pdfs/GMR-1813-91.pdf#page=5","Abrir facsímil")</f>
        <v>Abrir facsímil</v>
      </c>
      <c r="K3657" s="3" t="s">
        <v>22</v>
      </c>
    </row>
    <row r="3658" spans="1:11" ht="42" customHeight="1">
      <c r="A3658" s="2" t="s">
        <v>7865</v>
      </c>
      <c r="B3658" s="2" t="s">
        <v>7865</v>
      </c>
      <c r="C3658" s="2" t="s">
        <v>16</v>
      </c>
      <c r="D3658" s="2" t="s">
        <v>17</v>
      </c>
      <c r="E3658" s="5">
        <v>-31418</v>
      </c>
      <c r="F3658" s="3" t="s">
        <v>1529</v>
      </c>
      <c r="G3658" s="3" t="s">
        <v>95</v>
      </c>
      <c r="H3658" s="2" t="s">
        <v>20</v>
      </c>
      <c r="I3658" s="2" t="s">
        <v>7869</v>
      </c>
      <c r="J3658" s="3" t="str">
        <f>HYPERLINK("https://www.boe.es/gazeta/dias/1813/12/23/pdfs/GMR-1813-91.pdf#page=6","Abrir facsímil")</f>
        <v>Abrir facsímil</v>
      </c>
      <c r="K3658" s="3" t="s">
        <v>22</v>
      </c>
    </row>
    <row r="3659" spans="1:11" ht="42" customHeight="1">
      <c r="A3659" s="2" t="s">
        <v>7870</v>
      </c>
      <c r="B3659" s="2" t="s">
        <v>7871</v>
      </c>
      <c r="C3659" s="2" t="s">
        <v>16</v>
      </c>
      <c r="D3659" s="2" t="s">
        <v>17</v>
      </c>
      <c r="E3659" s="5">
        <v>-31701</v>
      </c>
      <c r="F3659" s="3" t="s">
        <v>1561</v>
      </c>
      <c r="G3659" s="3" t="s">
        <v>1562</v>
      </c>
      <c r="H3659" s="2" t="s">
        <v>20</v>
      </c>
      <c r="I3659" s="2" t="s">
        <v>7872</v>
      </c>
      <c r="J3659" s="3" t="str">
        <f>HYPERLINK("https://www.boe.es/gazeta/dias/1813/03/15/pdfs/GMD-1813-74.pdf#page=2","Abrir facsímil")</f>
        <v>Abrir facsímil</v>
      </c>
      <c r="K3659" s="3" t="s">
        <v>22</v>
      </c>
    </row>
    <row r="3660" spans="1:11" ht="42" customHeight="1">
      <c r="A3660" s="2" t="s">
        <v>7873</v>
      </c>
      <c r="B3660" s="2" t="s">
        <v>7874</v>
      </c>
      <c r="C3660" s="2" t="s">
        <v>16</v>
      </c>
      <c r="D3660" s="2" t="s">
        <v>97</v>
      </c>
      <c r="E3660" s="5">
        <v>-31479</v>
      </c>
      <c r="F3660" s="3" t="s">
        <v>290</v>
      </c>
      <c r="G3660" s="3" t="s">
        <v>58</v>
      </c>
      <c r="H3660" s="2" t="s">
        <v>20</v>
      </c>
      <c r="I3660" s="2" t="s">
        <v>7875</v>
      </c>
      <c r="J3660" s="3" t="str">
        <f>HYPERLINK("https://www.boe.es/gazeta/dias/1813/10/23/pdfs/GRE-1813-139E.pdf#page=2","Abrir facsímil")</f>
        <v>Abrir facsímil</v>
      </c>
      <c r="K3660" s="3" t="s">
        <v>22</v>
      </c>
    </row>
    <row r="3661" spans="1:11" ht="42" customHeight="1">
      <c r="A3661" s="2" t="s">
        <v>7873</v>
      </c>
      <c r="B3661" s="2" t="s">
        <v>7874</v>
      </c>
      <c r="C3661" s="2" t="s">
        <v>16</v>
      </c>
      <c r="D3661" s="2" t="s">
        <v>97</v>
      </c>
      <c r="E3661" s="5">
        <v>-31445</v>
      </c>
      <c r="F3661" s="3" t="s">
        <v>299</v>
      </c>
      <c r="G3661" s="3" t="s">
        <v>82</v>
      </c>
      <c r="H3661" s="2" t="s">
        <v>20</v>
      </c>
      <c r="I3661" s="2" t="s">
        <v>7876</v>
      </c>
      <c r="J3661" s="3" t="str">
        <f>HYPERLINK("https://www.boe.es/gazeta/dias/1813/11/26/pdfs/GRE-1813-156E.pdf#page=5","Abrir facsímil")</f>
        <v>Abrir facsímil</v>
      </c>
      <c r="K3661" s="3" t="s">
        <v>22</v>
      </c>
    </row>
    <row r="3662" spans="1:11" ht="42" customHeight="1">
      <c r="A3662" s="2" t="s">
        <v>7877</v>
      </c>
      <c r="B3662" s="2" t="s">
        <v>7877</v>
      </c>
      <c r="C3662" s="2" t="s">
        <v>16</v>
      </c>
      <c r="D3662" s="2" t="s">
        <v>17</v>
      </c>
      <c r="E3662" s="5">
        <v>-31716</v>
      </c>
      <c r="F3662" s="3" t="s">
        <v>1652</v>
      </c>
      <c r="G3662" s="3" t="s">
        <v>65</v>
      </c>
      <c r="H3662" s="2" t="s">
        <v>20</v>
      </c>
      <c r="I3662" s="2" t="s">
        <v>7878</v>
      </c>
      <c r="J3662" s="3" t="str">
        <f>HYPERLINK("https://www.boe.es/gazeta/dias/1813/02/28/pdfs/GMD-1813-59.pdf#page=1","Abrir facsímil")</f>
        <v>Abrir facsímil</v>
      </c>
      <c r="K3662" s="3" t="s">
        <v>22</v>
      </c>
    </row>
    <row r="3663" spans="1:11" ht="42" customHeight="1">
      <c r="A3663" s="2" t="s">
        <v>7879</v>
      </c>
      <c r="B3663" s="2" t="s">
        <v>7879</v>
      </c>
      <c r="C3663" s="2" t="s">
        <v>16</v>
      </c>
      <c r="D3663" s="2" t="s">
        <v>17</v>
      </c>
      <c r="E3663" s="5">
        <v>-31474</v>
      </c>
      <c r="F3663" s="3" t="s">
        <v>130</v>
      </c>
      <c r="G3663" s="3" t="s">
        <v>19</v>
      </c>
      <c r="H3663" s="2" t="s">
        <v>20</v>
      </c>
      <c r="I3663" s="2" t="s">
        <v>7880</v>
      </c>
      <c r="J3663" s="3" t="str">
        <f>HYPERLINK("https://www.boe.es/gazeta/dias/1813/10/28/pdfs/GRE-1813-141.pdf#page=4","Abrir facsímil")</f>
        <v>Abrir facsímil</v>
      </c>
      <c r="K3663" s="3" t="s">
        <v>22</v>
      </c>
    </row>
    <row r="3664" spans="1:11" ht="42" customHeight="1">
      <c r="A3664" s="2" t="s">
        <v>7881</v>
      </c>
      <c r="B3664" s="2" t="s">
        <v>7882</v>
      </c>
      <c r="C3664" s="2" t="s">
        <v>16</v>
      </c>
      <c r="D3664" s="2" t="s">
        <v>17</v>
      </c>
      <c r="E3664" s="5">
        <v>-31427</v>
      </c>
      <c r="F3664" s="3" t="s">
        <v>1822</v>
      </c>
      <c r="G3664" s="3" t="s">
        <v>28</v>
      </c>
      <c r="H3664" s="2" t="s">
        <v>20</v>
      </c>
      <c r="I3664" s="2" t="s">
        <v>7883</v>
      </c>
      <c r="J3664" s="3" t="str">
        <f>HYPERLINK("https://www.boe.es/gazeta/dias/1813/12/14/pdfs/GRE-1813-164.pdf#page=8","Abrir facsímil")</f>
        <v>Abrir facsímil</v>
      </c>
      <c r="K3664" s="3" t="s">
        <v>22</v>
      </c>
    </row>
    <row r="3665" spans="1:11" ht="42" customHeight="1">
      <c r="A3665" s="2" t="s">
        <v>7884</v>
      </c>
      <c r="B3665" s="2" t="s">
        <v>7884</v>
      </c>
      <c r="C3665" s="2" t="s">
        <v>16</v>
      </c>
      <c r="D3665" s="2" t="s">
        <v>97</v>
      </c>
      <c r="E3665" s="5">
        <v>-31479</v>
      </c>
      <c r="F3665" s="3" t="s">
        <v>290</v>
      </c>
      <c r="G3665" s="3" t="s">
        <v>178</v>
      </c>
      <c r="H3665" s="2" t="s">
        <v>20</v>
      </c>
      <c r="I3665" s="2" t="s">
        <v>7885</v>
      </c>
      <c r="J3665" s="3" t="str">
        <f>HYPERLINK("https://www.boe.es/gazeta/dias/1813/10/23/pdfs/GRE-1813-139E.pdf#page=11","Abrir facsímil")</f>
        <v>Abrir facsímil</v>
      </c>
      <c r="K3665" s="3" t="s">
        <v>22</v>
      </c>
    </row>
    <row r="3666" spans="1:11" ht="42" customHeight="1">
      <c r="A3666" s="2" t="s">
        <v>7884</v>
      </c>
      <c r="B3666" s="2" t="s">
        <v>7884</v>
      </c>
      <c r="C3666" s="2" t="s">
        <v>16</v>
      </c>
      <c r="D3666" s="2" t="s">
        <v>17</v>
      </c>
      <c r="E3666" s="5">
        <v>-31460</v>
      </c>
      <c r="F3666" s="3" t="s">
        <v>599</v>
      </c>
      <c r="G3666" s="3" t="s">
        <v>28</v>
      </c>
      <c r="H3666" s="2" t="s">
        <v>20</v>
      </c>
      <c r="I3666" s="2" t="s">
        <v>7886</v>
      </c>
      <c r="J3666" s="3" t="str">
        <f>HYPERLINK("https://www.boe.es/gazeta/dias/1813/11/11/pdfs/GMR-1813-72.pdf#page=8","Abrir facsímil")</f>
        <v>Abrir facsímil</v>
      </c>
      <c r="K3666" s="3" t="s">
        <v>22</v>
      </c>
    </row>
    <row r="3667" spans="1:11" ht="42" customHeight="1">
      <c r="A3667" s="2" t="s">
        <v>7887</v>
      </c>
      <c r="B3667" s="2" t="s">
        <v>7888</v>
      </c>
      <c r="C3667" s="2" t="s">
        <v>16</v>
      </c>
      <c r="D3667" s="2" t="s">
        <v>17</v>
      </c>
      <c r="E3667" s="5">
        <v>-31465</v>
      </c>
      <c r="F3667" s="3" t="s">
        <v>407</v>
      </c>
      <c r="G3667" s="3" t="s">
        <v>87</v>
      </c>
      <c r="H3667" s="2" t="s">
        <v>20</v>
      </c>
      <c r="I3667" s="2" t="s">
        <v>7889</v>
      </c>
      <c r="J3667" s="3" t="str">
        <f>HYPERLINK("https://www.boe.es/gazeta/dias/1813/11/06/pdfs/GMR-1813-70.pdf#page=7","Abrir facsímil")</f>
        <v>Abrir facsímil</v>
      </c>
      <c r="K3667" s="3" t="s">
        <v>22</v>
      </c>
    </row>
    <row r="3668" spans="1:11" ht="42" customHeight="1">
      <c r="A3668" s="2" t="s">
        <v>7890</v>
      </c>
      <c r="B3668" s="2" t="s">
        <v>7891</v>
      </c>
      <c r="C3668" s="2" t="s">
        <v>16</v>
      </c>
      <c r="D3668" s="2" t="s">
        <v>97</v>
      </c>
      <c r="E3668" s="5">
        <v>-31479</v>
      </c>
      <c r="F3668" s="3" t="s">
        <v>290</v>
      </c>
      <c r="G3668" s="3" t="s">
        <v>54</v>
      </c>
      <c r="H3668" s="2" t="s">
        <v>20</v>
      </c>
      <c r="I3668" s="2" t="s">
        <v>7892</v>
      </c>
      <c r="J3668" s="3" t="str">
        <f>HYPERLINK("https://www.boe.es/gazeta/dias/1813/10/23/pdfs/GRE-1813-139E.pdf#page=3","Abrir facsímil")</f>
        <v>Abrir facsímil</v>
      </c>
      <c r="K3668" s="3" t="s">
        <v>22</v>
      </c>
    </row>
    <row r="3669" spans="1:11" ht="42" customHeight="1">
      <c r="A3669" s="2" t="s">
        <v>7890</v>
      </c>
      <c r="B3669" s="2" t="s">
        <v>7891</v>
      </c>
      <c r="C3669" s="2" t="s">
        <v>16</v>
      </c>
      <c r="D3669" s="2" t="s">
        <v>97</v>
      </c>
      <c r="E3669" s="5">
        <v>-31479</v>
      </c>
      <c r="F3669" s="3" t="s">
        <v>290</v>
      </c>
      <c r="G3669" s="3" t="s">
        <v>82</v>
      </c>
      <c r="H3669" s="2" t="s">
        <v>20</v>
      </c>
      <c r="I3669" s="2" t="s">
        <v>7893</v>
      </c>
      <c r="J3669" s="3" t="str">
        <f>HYPERLINK("https://www.boe.es/gazeta/dias/1813/10/23/pdfs/GRE-1813-139E.pdf#page=5","Abrir facsímil")</f>
        <v>Abrir facsímil</v>
      </c>
      <c r="K3669" s="3" t="s">
        <v>22</v>
      </c>
    </row>
    <row r="3670" spans="1:11" ht="42" customHeight="1">
      <c r="A3670" s="2" t="s">
        <v>7890</v>
      </c>
      <c r="B3670" s="2" t="s">
        <v>7891</v>
      </c>
      <c r="C3670" s="2" t="s">
        <v>16</v>
      </c>
      <c r="D3670" s="2" t="s">
        <v>97</v>
      </c>
      <c r="E3670" s="5">
        <v>-31479</v>
      </c>
      <c r="F3670" s="3" t="s">
        <v>290</v>
      </c>
      <c r="G3670" s="3" t="s">
        <v>95</v>
      </c>
      <c r="H3670" s="2" t="s">
        <v>20</v>
      </c>
      <c r="I3670" s="2" t="s">
        <v>7894</v>
      </c>
      <c r="J3670" s="3" t="str">
        <f>HYPERLINK("https://www.boe.es/gazeta/dias/1813/10/23/pdfs/GRE-1813-139E.pdf#page=6","Abrir facsímil")</f>
        <v>Abrir facsímil</v>
      </c>
      <c r="K3670" s="3" t="s">
        <v>22</v>
      </c>
    </row>
    <row r="3671" spans="1:11" ht="42" customHeight="1">
      <c r="A3671" s="2" t="s">
        <v>7890</v>
      </c>
      <c r="B3671" s="2" t="s">
        <v>7891</v>
      </c>
      <c r="C3671" s="2" t="s">
        <v>16</v>
      </c>
      <c r="D3671" s="2" t="s">
        <v>97</v>
      </c>
      <c r="E3671" s="5">
        <v>-31479</v>
      </c>
      <c r="F3671" s="3" t="s">
        <v>290</v>
      </c>
      <c r="G3671" s="3" t="s">
        <v>87</v>
      </c>
      <c r="H3671" s="2" t="s">
        <v>20</v>
      </c>
      <c r="I3671" s="2" t="s">
        <v>7895</v>
      </c>
      <c r="J3671" s="3" t="str">
        <f>HYPERLINK("https://www.boe.es/gazeta/dias/1813/10/23/pdfs/GRE-1813-139E.pdf#page=7","Abrir facsímil")</f>
        <v>Abrir facsímil</v>
      </c>
      <c r="K3671" s="3" t="s">
        <v>22</v>
      </c>
    </row>
    <row r="3672" spans="1:11" ht="42" customHeight="1">
      <c r="A3672" s="2" t="s">
        <v>7890</v>
      </c>
      <c r="B3672" s="2" t="s">
        <v>7891</v>
      </c>
      <c r="C3672" s="2" t="s">
        <v>16</v>
      </c>
      <c r="D3672" s="2" t="s">
        <v>17</v>
      </c>
      <c r="E3672" s="5">
        <v>-31465</v>
      </c>
      <c r="F3672" s="3" t="s">
        <v>407</v>
      </c>
      <c r="G3672" s="3" t="s">
        <v>3112</v>
      </c>
      <c r="H3672" s="2" t="s">
        <v>20</v>
      </c>
      <c r="I3672" s="2" t="s">
        <v>7896</v>
      </c>
      <c r="J3672" s="3" t="str">
        <f>HYPERLINK("https://www.boe.es/gazeta/dias/1813/11/06/pdfs/GMR-1813-70.pdf#page=6","Abrir facsímil")</f>
        <v>Abrir facsímil</v>
      </c>
      <c r="K3672" s="3" t="s">
        <v>22</v>
      </c>
    </row>
    <row r="3673" spans="1:11" ht="42" customHeight="1">
      <c r="A3673" s="2" t="s">
        <v>7897</v>
      </c>
      <c r="B3673" s="2" t="s">
        <v>7898</v>
      </c>
      <c r="C3673" s="2" t="s">
        <v>16</v>
      </c>
      <c r="D3673" s="2" t="s">
        <v>97</v>
      </c>
      <c r="E3673" s="5">
        <v>-31479</v>
      </c>
      <c r="F3673" s="3" t="s">
        <v>290</v>
      </c>
      <c r="G3673" s="3" t="s">
        <v>178</v>
      </c>
      <c r="H3673" s="2" t="s">
        <v>20</v>
      </c>
      <c r="I3673" s="2" t="s">
        <v>7899</v>
      </c>
      <c r="J3673" s="3" t="str">
        <f>HYPERLINK("https://www.boe.es/gazeta/dias/1813/10/23/pdfs/GRE-1813-139E.pdf#page=11","Abrir facsímil")</f>
        <v>Abrir facsímil</v>
      </c>
      <c r="K3673" s="3" t="s">
        <v>22</v>
      </c>
    </row>
    <row r="3674" spans="1:11" ht="42" customHeight="1">
      <c r="A3674" s="2" t="s">
        <v>7897</v>
      </c>
      <c r="B3674" s="2" t="s">
        <v>7898</v>
      </c>
      <c r="C3674" s="2" t="s">
        <v>16</v>
      </c>
      <c r="D3674" s="2" t="s">
        <v>97</v>
      </c>
      <c r="E3674" s="5">
        <v>-31479</v>
      </c>
      <c r="F3674" s="3" t="s">
        <v>290</v>
      </c>
      <c r="G3674" s="3" t="s">
        <v>258</v>
      </c>
      <c r="H3674" s="2" t="s">
        <v>20</v>
      </c>
      <c r="I3674" s="2" t="s">
        <v>7900</v>
      </c>
      <c r="J3674" s="3" t="str">
        <f>HYPERLINK("https://www.boe.es/gazeta/dias/1813/10/23/pdfs/GRE-1813-139E.pdf#page=12","Abrir facsímil")</f>
        <v>Abrir facsímil</v>
      </c>
      <c r="K3674" s="3" t="s">
        <v>22</v>
      </c>
    </row>
    <row r="3675" spans="1:11" ht="42" customHeight="1">
      <c r="A3675" s="2" t="s">
        <v>7897</v>
      </c>
      <c r="B3675" s="2" t="s">
        <v>7898</v>
      </c>
      <c r="C3675" s="2" t="s">
        <v>16</v>
      </c>
      <c r="D3675" s="2" t="s">
        <v>17</v>
      </c>
      <c r="E3675" s="5">
        <v>-31460</v>
      </c>
      <c r="F3675" s="3" t="s">
        <v>599</v>
      </c>
      <c r="G3675" s="3" t="s">
        <v>87</v>
      </c>
      <c r="H3675" s="2" t="s">
        <v>20</v>
      </c>
      <c r="I3675" s="2" t="s">
        <v>7901</v>
      </c>
      <c r="J3675" s="3" t="str">
        <f>HYPERLINK("https://www.boe.es/gazeta/dias/1813/11/11/pdfs/GMR-1813-72.pdf#page=7","Abrir facsímil")</f>
        <v>Abrir facsímil</v>
      </c>
      <c r="K3675" s="3" t="s">
        <v>22</v>
      </c>
    </row>
    <row r="3676" spans="1:11" ht="42" customHeight="1">
      <c r="A3676" s="2" t="s">
        <v>7897</v>
      </c>
      <c r="B3676" s="2" t="s">
        <v>7898</v>
      </c>
      <c r="C3676" s="2" t="s">
        <v>16</v>
      </c>
      <c r="D3676" s="2" t="s">
        <v>17</v>
      </c>
      <c r="E3676" s="5">
        <v>-31460</v>
      </c>
      <c r="F3676" s="3" t="s">
        <v>599</v>
      </c>
      <c r="G3676" s="3" t="s">
        <v>28</v>
      </c>
      <c r="H3676" s="2" t="s">
        <v>20</v>
      </c>
      <c r="I3676" s="2" t="s">
        <v>7902</v>
      </c>
      <c r="J3676" s="3" t="str">
        <f>HYPERLINK("https://www.boe.es/gazeta/dias/1813/11/11/pdfs/GMR-1813-72.pdf#page=8","Abrir facsímil")</f>
        <v>Abrir facsímil</v>
      </c>
      <c r="K3676" s="3" t="s">
        <v>22</v>
      </c>
    </row>
    <row r="3677" spans="1:11" ht="42" customHeight="1">
      <c r="A3677" s="2" t="s">
        <v>7903</v>
      </c>
      <c r="B3677" s="2" t="s">
        <v>7904</v>
      </c>
      <c r="C3677" s="2" t="s">
        <v>16</v>
      </c>
      <c r="D3677" s="2" t="s">
        <v>17</v>
      </c>
      <c r="E3677" s="5">
        <v>-31467</v>
      </c>
      <c r="F3677" s="3" t="s">
        <v>1464</v>
      </c>
      <c r="G3677" s="3" t="s">
        <v>87</v>
      </c>
      <c r="H3677" s="2" t="s">
        <v>20</v>
      </c>
      <c r="I3677" s="2" t="s">
        <v>7905</v>
      </c>
      <c r="J3677" s="3" t="str">
        <f>HYPERLINK("https://www.boe.es/gazeta/dias/1813/11/04/pdfs/GRE-1813-144.pdf#page=7","Abrir facsímil")</f>
        <v>Abrir facsímil</v>
      </c>
      <c r="K3677" s="3" t="s">
        <v>22</v>
      </c>
    </row>
    <row r="3678" spans="1:11" ht="42" customHeight="1">
      <c r="A3678" s="2" t="s">
        <v>7906</v>
      </c>
      <c r="B3678" s="2" t="s">
        <v>7906</v>
      </c>
      <c r="C3678" s="2" t="s">
        <v>16</v>
      </c>
      <c r="D3678" s="2" t="s">
        <v>17</v>
      </c>
      <c r="E3678" s="5">
        <v>-31483</v>
      </c>
      <c r="F3678" s="3" t="s">
        <v>1292</v>
      </c>
      <c r="G3678" s="3" t="s">
        <v>87</v>
      </c>
      <c r="H3678" s="2" t="s">
        <v>20</v>
      </c>
      <c r="I3678" s="2" t="s">
        <v>7907</v>
      </c>
      <c r="J3678" s="3" t="str">
        <f>HYPERLINK("https://www.boe.es/gazeta/dias/1813/10/19/pdfs/GMR-1813-61.pdf#page=7","Abrir facsímil")</f>
        <v>Abrir facsímil</v>
      </c>
      <c r="K3678" s="3" t="s">
        <v>22</v>
      </c>
    </row>
    <row r="3679" spans="1:11" ht="42" customHeight="1">
      <c r="A3679" s="2" t="s">
        <v>7906</v>
      </c>
      <c r="B3679" s="2" t="s">
        <v>7906</v>
      </c>
      <c r="C3679" s="2" t="s">
        <v>16</v>
      </c>
      <c r="D3679" s="2" t="s">
        <v>17</v>
      </c>
      <c r="E3679" s="5">
        <v>-31481</v>
      </c>
      <c r="F3679" s="3" t="s">
        <v>380</v>
      </c>
      <c r="G3679" s="3" t="s">
        <v>794</v>
      </c>
      <c r="H3679" s="2" t="s">
        <v>20</v>
      </c>
      <c r="I3679" s="2" t="s">
        <v>7908</v>
      </c>
      <c r="J3679" s="3" t="str">
        <f>HYPERLINK("https://www.boe.es/gazeta/dias/1813/10/21/pdfs/GRE-1813-137.pdf#page=7","Abrir facsímil")</f>
        <v>Abrir facsímil</v>
      </c>
      <c r="K3679" s="3" t="s">
        <v>22</v>
      </c>
    </row>
    <row r="3680" spans="1:11" ht="42" customHeight="1">
      <c r="A3680" s="2" t="s">
        <v>7909</v>
      </c>
      <c r="B3680" s="2" t="s">
        <v>7910</v>
      </c>
      <c r="C3680" s="2" t="s">
        <v>16</v>
      </c>
      <c r="D3680" s="2" t="s">
        <v>17</v>
      </c>
      <c r="E3680" s="5">
        <v>-31711</v>
      </c>
      <c r="F3680" s="3" t="s">
        <v>385</v>
      </c>
      <c r="G3680" s="3" t="s">
        <v>747</v>
      </c>
      <c r="H3680" s="2" t="s">
        <v>20</v>
      </c>
      <c r="I3680" s="2" t="s">
        <v>7911</v>
      </c>
      <c r="J3680" s="3" t="str">
        <f>HYPERLINK("https://www.boe.es/gazeta/dias/1813/03/05/pdfs/GRE-1813-99.pdf#page=2","Abrir facsímil")</f>
        <v>Abrir facsímil</v>
      </c>
      <c r="K3680" s="3" t="s">
        <v>22</v>
      </c>
    </row>
    <row r="3681" spans="1:11" ht="42" customHeight="1">
      <c r="A3681" s="2" t="s">
        <v>7909</v>
      </c>
      <c r="B3681" s="2" t="s">
        <v>7910</v>
      </c>
      <c r="C3681" s="2" t="s">
        <v>16</v>
      </c>
      <c r="D3681" s="2" t="s">
        <v>17</v>
      </c>
      <c r="E3681" s="5">
        <v>-31558</v>
      </c>
      <c r="F3681" s="3" t="s">
        <v>385</v>
      </c>
      <c r="G3681" s="3" t="s">
        <v>747</v>
      </c>
      <c r="H3681" s="2" t="s">
        <v>20</v>
      </c>
      <c r="I3681" s="2" t="s">
        <v>7911</v>
      </c>
      <c r="J3681" s="3" t="str">
        <f>HYPERLINK("https://www.boe.es/gazeta/dias/1813/08/05/pdfs/GRE-1813-99.pdf#page=2","Abrir facsímil")</f>
        <v>Abrir facsímil</v>
      </c>
      <c r="K3681" s="3" t="s">
        <v>22</v>
      </c>
    </row>
    <row r="3682" spans="1:11" ht="42" customHeight="1">
      <c r="A3682" s="2" t="s">
        <v>7912</v>
      </c>
      <c r="B3682" s="2" t="s">
        <v>7912</v>
      </c>
      <c r="C3682" s="2" t="s">
        <v>16</v>
      </c>
      <c r="D3682" s="2" t="s">
        <v>97</v>
      </c>
      <c r="E3682" s="5">
        <v>-31499</v>
      </c>
      <c r="F3682" s="3" t="s">
        <v>220</v>
      </c>
      <c r="G3682" s="3" t="s">
        <v>1788</v>
      </c>
      <c r="H3682" s="2" t="s">
        <v>20</v>
      </c>
      <c r="I3682" s="2" t="s">
        <v>7913</v>
      </c>
      <c r="J3682" s="3" t="str">
        <f>HYPERLINK("https://www.boe.es/gazeta/dias/1813/10/03/pdfs/GMR-1813-53E.pdf#page=4","Abrir facsímil")</f>
        <v>Abrir facsímil</v>
      </c>
      <c r="K3682" s="3" t="s">
        <v>22</v>
      </c>
    </row>
    <row r="3683" spans="1:11" ht="42" customHeight="1">
      <c r="A3683" s="2" t="s">
        <v>7914</v>
      </c>
      <c r="B3683" s="2" t="s">
        <v>7914</v>
      </c>
      <c r="C3683" s="2" t="s">
        <v>16</v>
      </c>
      <c r="D3683" s="2" t="s">
        <v>17</v>
      </c>
      <c r="E3683" s="5">
        <v>-31728</v>
      </c>
      <c r="F3683" s="3" t="s">
        <v>1434</v>
      </c>
      <c r="G3683" s="3" t="s">
        <v>65</v>
      </c>
      <c r="H3683" s="2" t="s">
        <v>20</v>
      </c>
      <c r="I3683" s="2" t="s">
        <v>7915</v>
      </c>
      <c r="J3683" s="3" t="str">
        <f>HYPERLINK("https://www.boe.es/gazeta/dias/1813/02/16/pdfs/GRE-1813-20.pdf#page=1","Abrir facsímil")</f>
        <v>Abrir facsímil</v>
      </c>
      <c r="K3683" s="3" t="s">
        <v>22</v>
      </c>
    </row>
    <row r="3684" spans="1:11" ht="42" customHeight="1">
      <c r="A3684" s="2" t="s">
        <v>7916</v>
      </c>
      <c r="B3684" s="2" t="s">
        <v>7916</v>
      </c>
      <c r="C3684" s="2" t="s">
        <v>34</v>
      </c>
      <c r="D3684" s="2" t="s">
        <v>35</v>
      </c>
      <c r="E3684" s="5">
        <v>-31649</v>
      </c>
      <c r="F3684" s="3" t="s">
        <v>3961</v>
      </c>
      <c r="G3684" s="3" t="s">
        <v>54</v>
      </c>
      <c r="H3684" s="2" t="s">
        <v>20</v>
      </c>
      <c r="I3684" s="2" t="s">
        <v>7917</v>
      </c>
      <c r="J3684" s="3" t="str">
        <f>HYPERLINK("https://www.boe.es/gazeta/dias/1813/05/06/pdfs/GMD-1813-126.pdf#page=3","Abrir facsímil")</f>
        <v>Abrir facsímil</v>
      </c>
      <c r="K3684" s="3" t="s">
        <v>22</v>
      </c>
    </row>
    <row r="3685" spans="1:11" ht="42" customHeight="1">
      <c r="A3685" s="2" t="s">
        <v>7918</v>
      </c>
      <c r="B3685" s="2" t="s">
        <v>7918</v>
      </c>
      <c r="C3685" s="2" t="s">
        <v>16</v>
      </c>
      <c r="D3685" s="2" t="s">
        <v>17</v>
      </c>
      <c r="E3685" s="5">
        <v>-31453</v>
      </c>
      <c r="F3685" s="3" t="s">
        <v>695</v>
      </c>
      <c r="G3685" s="3" t="s">
        <v>65</v>
      </c>
      <c r="H3685" s="2" t="s">
        <v>20</v>
      </c>
      <c r="I3685" s="2" t="s">
        <v>7919</v>
      </c>
      <c r="J3685" s="3" t="str">
        <f>HYPERLINK("https://www.boe.es/gazeta/dias/1813/11/18/pdfs/GRE-1813-151.pdf#page=1","Abrir facsímil")</f>
        <v>Abrir facsímil</v>
      </c>
      <c r="K3685" s="3" t="s">
        <v>22</v>
      </c>
    </row>
    <row r="3686" spans="1:11" ht="42" customHeight="1">
      <c r="A3686" s="2" t="s">
        <v>7920</v>
      </c>
      <c r="B3686" s="2" t="s">
        <v>7921</v>
      </c>
      <c r="C3686" s="2" t="s">
        <v>25</v>
      </c>
      <c r="D3686" s="2" t="s">
        <v>26</v>
      </c>
      <c r="E3686" s="5">
        <v>-31659</v>
      </c>
      <c r="F3686" s="3" t="s">
        <v>3041</v>
      </c>
      <c r="G3686" s="3" t="s">
        <v>54</v>
      </c>
      <c r="H3686" s="2" t="s">
        <v>20</v>
      </c>
      <c r="I3686" s="2" t="s">
        <v>7922</v>
      </c>
      <c r="J3686" s="3" t="str">
        <f>HYPERLINK("https://www.boe.es/gazeta/dias/1813/04/26/pdfs/GMD-1813-116.pdf#page=3","Abrir facsímil")</f>
        <v>Abrir facsímil</v>
      </c>
      <c r="K3686" s="3" t="s">
        <v>22</v>
      </c>
    </row>
    <row r="3687" spans="1:11" ht="42" customHeight="1">
      <c r="A3687" s="2" t="s">
        <v>7923</v>
      </c>
      <c r="B3687" s="2" t="s">
        <v>7924</v>
      </c>
      <c r="C3687" s="2" t="s">
        <v>109</v>
      </c>
      <c r="D3687" s="2" t="s">
        <v>26</v>
      </c>
      <c r="E3687" s="5">
        <v>-31642</v>
      </c>
      <c r="F3687" s="3" t="s">
        <v>2091</v>
      </c>
      <c r="G3687" s="3" t="s">
        <v>54</v>
      </c>
      <c r="H3687" s="2" t="s">
        <v>20</v>
      </c>
      <c r="I3687" s="2" t="s">
        <v>7925</v>
      </c>
      <c r="J3687" s="3" t="str">
        <f>HYPERLINK("https://www.boe.es/gazeta/dias/1813/05/13/pdfs/GMD-1813-133.pdf#page=3","Abrir facsímil")</f>
        <v>Abrir facsímil</v>
      </c>
      <c r="K3687" s="3" t="s">
        <v>22</v>
      </c>
    </row>
    <row r="3688" spans="1:11" ht="42" customHeight="1">
      <c r="A3688" s="2" t="s">
        <v>7926</v>
      </c>
      <c r="B3688" s="2" t="s">
        <v>7927</v>
      </c>
      <c r="C3688" s="2" t="s">
        <v>16</v>
      </c>
      <c r="D3688" s="2" t="s">
        <v>17</v>
      </c>
      <c r="E3688" s="5">
        <v>-31628</v>
      </c>
      <c r="F3688" s="3" t="s">
        <v>358</v>
      </c>
      <c r="G3688" s="3" t="s">
        <v>359</v>
      </c>
      <c r="H3688" s="2" t="s">
        <v>20</v>
      </c>
      <c r="I3688" s="2" t="s">
        <v>7928</v>
      </c>
      <c r="J3688" s="3" t="str">
        <f>HYPERLINK("https://www.boe.es/gazeta/dias/1813/05/27/pdfs/GRE-1813-65.pdf#page=6","Abrir facsímil")</f>
        <v>Abrir facsímil</v>
      </c>
      <c r="K3688" s="3" t="s">
        <v>22</v>
      </c>
    </row>
    <row r="3689" spans="1:11" ht="42" customHeight="1">
      <c r="A3689" s="2" t="s">
        <v>7929</v>
      </c>
      <c r="B3689" s="2" t="s">
        <v>7929</v>
      </c>
      <c r="C3689" s="2" t="s">
        <v>16</v>
      </c>
      <c r="D3689" s="2" t="s">
        <v>17</v>
      </c>
      <c r="E3689" s="5">
        <v>-31629</v>
      </c>
      <c r="F3689" s="3" t="s">
        <v>1146</v>
      </c>
      <c r="G3689" s="3" t="s">
        <v>65</v>
      </c>
      <c r="H3689" s="2" t="s">
        <v>20</v>
      </c>
      <c r="I3689" s="2" t="s">
        <v>7930</v>
      </c>
      <c r="J3689" s="3" t="str">
        <f>HYPERLINK("https://www.boe.es/gazeta/dias/1813/05/26/pdfs/GMD-1813-146.pdf#page=1","Abrir facsímil")</f>
        <v>Abrir facsímil</v>
      </c>
      <c r="K3689" s="3" t="s">
        <v>22</v>
      </c>
    </row>
    <row r="3690" spans="1:11" ht="42" customHeight="1">
      <c r="A3690" s="2" t="s">
        <v>7931</v>
      </c>
      <c r="B3690" s="2" t="s">
        <v>7931</v>
      </c>
      <c r="C3690" s="2" t="s">
        <v>16</v>
      </c>
      <c r="D3690" s="2" t="s">
        <v>17</v>
      </c>
      <c r="E3690" s="5">
        <v>-31411</v>
      </c>
      <c r="F3690" s="3" t="s">
        <v>3702</v>
      </c>
      <c r="G3690" s="3" t="s">
        <v>95</v>
      </c>
      <c r="H3690" s="2" t="s">
        <v>20</v>
      </c>
      <c r="I3690" s="2" t="s">
        <v>7932</v>
      </c>
      <c r="J3690" s="3" t="str">
        <f>HYPERLINK("https://www.boe.es/gazeta/dias/1813/12/30/pdfs/GRE-1813-171.pdf#page=6","Abrir facsímil")</f>
        <v>Abrir facsímil</v>
      </c>
      <c r="K3690" s="3" t="s">
        <v>22</v>
      </c>
    </row>
    <row r="3691" spans="1:11" ht="42" customHeight="1">
      <c r="A3691" s="2" t="s">
        <v>7933</v>
      </c>
      <c r="B3691" s="2" t="s">
        <v>7934</v>
      </c>
      <c r="C3691" s="2" t="s">
        <v>16</v>
      </c>
      <c r="D3691" s="2" t="s">
        <v>17</v>
      </c>
      <c r="E3691" s="5">
        <v>-31416</v>
      </c>
      <c r="F3691" s="3" t="s">
        <v>278</v>
      </c>
      <c r="G3691" s="3" t="s">
        <v>54</v>
      </c>
      <c r="H3691" s="2" t="s">
        <v>20</v>
      </c>
      <c r="I3691" s="2" t="s">
        <v>7935</v>
      </c>
      <c r="J3691" s="3" t="str">
        <f>HYPERLINK("https://www.boe.es/gazeta/dias/1813/12/25/pdfs/GMR-1813-92.pdf#page=3","Abrir facsímil")</f>
        <v>Abrir facsímil</v>
      </c>
      <c r="K3691" s="3" t="s">
        <v>22</v>
      </c>
    </row>
    <row r="3692" spans="1:11" ht="42" customHeight="1">
      <c r="A3692" s="2" t="s">
        <v>7936</v>
      </c>
      <c r="B3692" s="2" t="s">
        <v>7937</v>
      </c>
      <c r="C3692" s="2" t="s">
        <v>16</v>
      </c>
      <c r="D3692" s="2" t="s">
        <v>17</v>
      </c>
      <c r="E3692" s="5">
        <v>-31738</v>
      </c>
      <c r="F3692" s="3" t="s">
        <v>556</v>
      </c>
      <c r="G3692" s="3" t="s">
        <v>28</v>
      </c>
      <c r="H3692" s="2" t="s">
        <v>20</v>
      </c>
      <c r="I3692" s="2" t="s">
        <v>7938</v>
      </c>
      <c r="J3692" s="3" t="str">
        <f>HYPERLINK("https://www.boe.es/gazeta/dias/1813/02/06/pdfs/GRE-1813-16.pdf#page=8","Abrir facsímil")</f>
        <v>Abrir facsímil</v>
      </c>
      <c r="K3692" s="3" t="s">
        <v>22</v>
      </c>
    </row>
    <row r="3693" spans="1:11" ht="42" customHeight="1">
      <c r="A3693" s="2" t="s">
        <v>7939</v>
      </c>
      <c r="B3693" s="2" t="s">
        <v>7939</v>
      </c>
      <c r="C3693" s="2" t="s">
        <v>16</v>
      </c>
      <c r="D3693" s="2" t="s">
        <v>17</v>
      </c>
      <c r="E3693" s="5">
        <v>-31592</v>
      </c>
      <c r="F3693" s="3" t="s">
        <v>175</v>
      </c>
      <c r="G3693" s="3" t="s">
        <v>19</v>
      </c>
      <c r="H3693" s="2" t="s">
        <v>20</v>
      </c>
      <c r="I3693" s="2" t="s">
        <v>7940</v>
      </c>
      <c r="J3693" s="3" t="str">
        <f>HYPERLINK("https://www.boe.es/gazeta/dias/1813/07/02/pdfs/GRE-1813-82.pdf#page=4","Abrir facsímil")</f>
        <v>Abrir facsímil</v>
      </c>
      <c r="K3693" s="3" t="s">
        <v>22</v>
      </c>
    </row>
    <row r="3694" spans="1:11" ht="42" customHeight="1">
      <c r="A3694" s="2" t="s">
        <v>7939</v>
      </c>
      <c r="B3694" s="2" t="s">
        <v>7939</v>
      </c>
      <c r="C3694" s="2" t="s">
        <v>16</v>
      </c>
      <c r="D3694" s="2" t="s">
        <v>17</v>
      </c>
      <c r="E3694" s="5">
        <v>-31585</v>
      </c>
      <c r="F3694" s="3" t="s">
        <v>177</v>
      </c>
      <c r="G3694" s="3" t="s">
        <v>207</v>
      </c>
      <c r="H3694" s="2" t="s">
        <v>20</v>
      </c>
      <c r="I3694" s="2" t="s">
        <v>7941</v>
      </c>
      <c r="J3694" s="3" t="str">
        <f>HYPERLINK("https://www.boe.es/gazeta/dias/1813/07/09/pdfs/GMR-1813-16.pdf#page=10","Abrir facsímil")</f>
        <v>Abrir facsímil</v>
      </c>
      <c r="K3694" s="3" t="s">
        <v>22</v>
      </c>
    </row>
    <row r="3695" spans="1:11" ht="42" customHeight="1">
      <c r="A3695" s="2" t="s">
        <v>7942</v>
      </c>
      <c r="B3695" s="2" t="s">
        <v>7942</v>
      </c>
      <c r="C3695" s="2" t="s">
        <v>16</v>
      </c>
      <c r="D3695" s="2" t="s">
        <v>17</v>
      </c>
      <c r="E3695" s="5">
        <v>-31582</v>
      </c>
      <c r="F3695" s="3" t="s">
        <v>907</v>
      </c>
      <c r="G3695" s="3" t="s">
        <v>19</v>
      </c>
      <c r="H3695" s="2" t="s">
        <v>20</v>
      </c>
      <c r="I3695" s="2" t="s">
        <v>7943</v>
      </c>
      <c r="J3695" s="3" t="str">
        <f>HYPERLINK("https://www.boe.es/gazeta/dias/1813/07/12/pdfs/GRE-1813-87.pdf#page=4","Abrir facsímil")</f>
        <v>Abrir facsímil</v>
      </c>
      <c r="K3695" s="3" t="s">
        <v>22</v>
      </c>
    </row>
    <row r="3696" spans="1:11" ht="42" customHeight="1">
      <c r="A3696" s="2" t="s">
        <v>7944</v>
      </c>
      <c r="B3696" s="2" t="s">
        <v>7945</v>
      </c>
      <c r="C3696" s="2" t="s">
        <v>34</v>
      </c>
      <c r="D3696" s="2" t="s">
        <v>35</v>
      </c>
      <c r="E3696" s="5">
        <v>-31719</v>
      </c>
      <c r="F3696" s="3" t="s">
        <v>251</v>
      </c>
      <c r="G3696" s="3" t="s">
        <v>19</v>
      </c>
      <c r="H3696" s="2" t="s">
        <v>20</v>
      </c>
      <c r="I3696" s="2" t="s">
        <v>7946</v>
      </c>
      <c r="J3696" s="3" t="str">
        <f>HYPERLINK("https://www.boe.es/gazeta/dias/1813/02/25/pdfs/GMD-1813-56.pdf#page=4","Abrir facsímil")</f>
        <v>Abrir facsímil</v>
      </c>
      <c r="K3696" s="3" t="s">
        <v>22</v>
      </c>
    </row>
    <row r="3697" spans="1:11" ht="42" customHeight="1">
      <c r="A3697" s="2" t="s">
        <v>7947</v>
      </c>
      <c r="B3697" s="2" t="s">
        <v>7948</v>
      </c>
      <c r="C3697" s="2" t="s">
        <v>16</v>
      </c>
      <c r="D3697" s="2" t="s">
        <v>17</v>
      </c>
      <c r="E3697" s="5">
        <v>-31509</v>
      </c>
      <c r="F3697" s="3" t="s">
        <v>2007</v>
      </c>
      <c r="G3697" s="3" t="s">
        <v>19</v>
      </c>
      <c r="H3697" s="2" t="s">
        <v>29</v>
      </c>
      <c r="I3697" s="2" t="s">
        <v>7949</v>
      </c>
      <c r="J3697" s="3" t="str">
        <f>HYPERLINK("https://www.boe.es/gazeta/dias/1813/09/23/pdfs/GRE-1813-125.pdf#page=4","Abrir facsímil")</f>
        <v>Abrir facsímil</v>
      </c>
      <c r="K3697" s="3" t="s">
        <v>31</v>
      </c>
    </row>
    <row r="3698" spans="1:11" ht="42" customHeight="1">
      <c r="A3698" s="2" t="s">
        <v>7950</v>
      </c>
      <c r="B3698" s="2" t="s">
        <v>7950</v>
      </c>
      <c r="C3698" s="2" t="s">
        <v>16</v>
      </c>
      <c r="D3698" s="2" t="s">
        <v>17</v>
      </c>
      <c r="E3698" s="5">
        <v>-31654</v>
      </c>
      <c r="F3698" s="3" t="s">
        <v>1519</v>
      </c>
      <c r="G3698" s="3" t="s">
        <v>2146</v>
      </c>
      <c r="H3698" s="2" t="s">
        <v>20</v>
      </c>
      <c r="I3698" s="2" t="s">
        <v>7951</v>
      </c>
      <c r="J3698" s="3" t="str">
        <f>HYPERLINK("https://www.boe.es/gazeta/dias/1813/05/01/pdfs/GRE-1813-54.pdf#page=7","Abrir facsímil")</f>
        <v>Abrir facsímil</v>
      </c>
      <c r="K3698" s="3" t="s">
        <v>22</v>
      </c>
    </row>
    <row r="3699" spans="1:11" ht="42" customHeight="1">
      <c r="A3699" s="2" t="s">
        <v>7950</v>
      </c>
      <c r="B3699" s="2" t="s">
        <v>7950</v>
      </c>
      <c r="C3699" s="2" t="s">
        <v>16</v>
      </c>
      <c r="D3699" s="2" t="s">
        <v>17</v>
      </c>
      <c r="E3699" s="5">
        <v>-31654</v>
      </c>
      <c r="F3699" s="3" t="s">
        <v>1519</v>
      </c>
      <c r="G3699" s="3" t="s">
        <v>7549</v>
      </c>
      <c r="H3699" s="2" t="s">
        <v>20</v>
      </c>
      <c r="I3699" s="2" t="s">
        <v>7952</v>
      </c>
      <c r="J3699" s="3" t="str">
        <f>HYPERLINK("https://www.boe.es/gazeta/dias/1813/05/01/pdfs/GRE-1813-54.pdf#page=8","Abrir facsímil")</f>
        <v>Abrir facsímil</v>
      </c>
      <c r="K3699" s="3" t="s">
        <v>22</v>
      </c>
    </row>
    <row r="3700" spans="1:11" ht="42" customHeight="1">
      <c r="A3700" s="2" t="s">
        <v>7950</v>
      </c>
      <c r="B3700" s="2" t="s">
        <v>7950</v>
      </c>
      <c r="C3700" s="2" t="s">
        <v>16</v>
      </c>
      <c r="D3700" s="2" t="s">
        <v>17</v>
      </c>
      <c r="E3700" s="5">
        <v>-31649</v>
      </c>
      <c r="F3700" s="3" t="s">
        <v>1057</v>
      </c>
      <c r="G3700" s="3" t="s">
        <v>7953</v>
      </c>
      <c r="H3700" s="2" t="s">
        <v>20</v>
      </c>
      <c r="I3700" s="2" t="s">
        <v>7954</v>
      </c>
      <c r="J3700" s="3" t="str">
        <f>HYPERLINK("https://www.boe.es/gazeta/dias/1813/05/06/pdfs/GRE-1813-56.pdf#page=4","Abrir facsímil")</f>
        <v>Abrir facsímil</v>
      </c>
      <c r="K3700" s="3" t="s">
        <v>22</v>
      </c>
    </row>
    <row r="3701" spans="1:11" ht="42" customHeight="1">
      <c r="A3701" s="2" t="s">
        <v>7950</v>
      </c>
      <c r="B3701" s="2" t="s">
        <v>7950</v>
      </c>
      <c r="C3701" s="2" t="s">
        <v>16</v>
      </c>
      <c r="D3701" s="2" t="s">
        <v>17</v>
      </c>
      <c r="E3701" s="5">
        <v>-31618</v>
      </c>
      <c r="F3701" s="3" t="s">
        <v>1057</v>
      </c>
      <c r="G3701" s="3" t="s">
        <v>7953</v>
      </c>
      <c r="H3701" s="2" t="s">
        <v>20</v>
      </c>
      <c r="I3701" s="2" t="s">
        <v>7954</v>
      </c>
      <c r="J3701" s="3" t="str">
        <f>HYPERLINK("https://www.boe.es/gazeta/dias/1813/06/06/pdfs/GRE-1813-56.pdf#page=4","Abrir facsímil")</f>
        <v>Abrir facsímil</v>
      </c>
      <c r="K3701" s="3" t="s">
        <v>22</v>
      </c>
    </row>
    <row r="3702" spans="1:11" ht="42" customHeight="1">
      <c r="A3702" s="2" t="s">
        <v>7955</v>
      </c>
      <c r="B3702" s="2" t="s">
        <v>7956</v>
      </c>
      <c r="C3702" s="2" t="s">
        <v>16</v>
      </c>
      <c r="D3702" s="2" t="s">
        <v>17</v>
      </c>
      <c r="E3702" s="5">
        <v>-31532</v>
      </c>
      <c r="F3702" s="3" t="s">
        <v>215</v>
      </c>
      <c r="G3702" s="3" t="s">
        <v>58</v>
      </c>
      <c r="H3702" s="2" t="s">
        <v>20</v>
      </c>
      <c r="I3702" s="2" t="s">
        <v>7957</v>
      </c>
      <c r="J3702" s="3" t="str">
        <f>HYPERLINK("https://www.boe.es/gazeta/dias/1813/08/31/pdfs/GRE-1813-111.pdf#page=2","Abrir facsímil")</f>
        <v>Abrir facsímil</v>
      </c>
      <c r="K3702" s="3" t="s">
        <v>22</v>
      </c>
    </row>
    <row r="3703" spans="1:11" ht="42" customHeight="1">
      <c r="A3703" s="2" t="s">
        <v>7958</v>
      </c>
      <c r="B3703" s="2" t="s">
        <v>7959</v>
      </c>
      <c r="C3703" s="2" t="s">
        <v>16</v>
      </c>
      <c r="D3703" s="2" t="s">
        <v>17</v>
      </c>
      <c r="E3703" s="5">
        <v>-31592</v>
      </c>
      <c r="F3703" s="3" t="s">
        <v>175</v>
      </c>
      <c r="G3703" s="3" t="s">
        <v>65</v>
      </c>
      <c r="H3703" s="2" t="s">
        <v>20</v>
      </c>
      <c r="I3703" s="2" t="s">
        <v>7960</v>
      </c>
      <c r="J3703" s="3" t="str">
        <f>HYPERLINK("https://www.boe.es/gazeta/dias/1813/07/02/pdfs/GRE-1813-82.pdf#page=1","Abrir facsímil")</f>
        <v>Abrir facsímil</v>
      </c>
      <c r="K3703" s="3" t="s">
        <v>22</v>
      </c>
    </row>
    <row r="3704" spans="1:11" ht="42" customHeight="1">
      <c r="A3704" s="2" t="s">
        <v>7958</v>
      </c>
      <c r="B3704" s="2" t="s">
        <v>7959</v>
      </c>
      <c r="C3704" s="2" t="s">
        <v>16</v>
      </c>
      <c r="D3704" s="2" t="s">
        <v>17</v>
      </c>
      <c r="E3704" s="5">
        <v>-31570</v>
      </c>
      <c r="F3704" s="3" t="s">
        <v>1803</v>
      </c>
      <c r="G3704" s="3" t="s">
        <v>28</v>
      </c>
      <c r="H3704" s="2" t="s">
        <v>20</v>
      </c>
      <c r="I3704" s="2" t="s">
        <v>7961</v>
      </c>
      <c r="J3704" s="3" t="str">
        <f>HYPERLINK("https://www.boe.es/gazeta/dias/1813/07/24/pdfs/GRE-1813-94.pdf#page=8","Abrir facsímil")</f>
        <v>Abrir facsímil</v>
      </c>
      <c r="K3704" s="3" t="s">
        <v>22</v>
      </c>
    </row>
    <row r="3705" spans="1:11" ht="42" customHeight="1">
      <c r="A3705" s="2" t="s">
        <v>7962</v>
      </c>
      <c r="B3705" s="2" t="s">
        <v>7963</v>
      </c>
      <c r="C3705" s="2" t="s">
        <v>16</v>
      </c>
      <c r="D3705" s="2" t="s">
        <v>17</v>
      </c>
      <c r="E3705" s="5">
        <v>-31747</v>
      </c>
      <c r="F3705" s="3" t="s">
        <v>86</v>
      </c>
      <c r="G3705" s="3" t="s">
        <v>19</v>
      </c>
      <c r="H3705" s="2" t="s">
        <v>20</v>
      </c>
      <c r="I3705" s="2" t="s">
        <v>7964</v>
      </c>
      <c r="J3705" s="3" t="str">
        <f>HYPERLINK("https://www.boe.es/gazeta/dias/1813/01/28/pdfs/GRE-1813-12.pdf#page=4","Abrir facsímil")</f>
        <v>Abrir facsímil</v>
      </c>
      <c r="K3705" s="3" t="s">
        <v>22</v>
      </c>
    </row>
    <row r="3706" spans="1:11" ht="42" customHeight="1">
      <c r="A3706" s="2" t="s">
        <v>7965</v>
      </c>
      <c r="B3706" s="2" t="s">
        <v>7965</v>
      </c>
      <c r="C3706" s="2" t="s">
        <v>16</v>
      </c>
      <c r="D3706" s="2" t="s">
        <v>17</v>
      </c>
      <c r="E3706" s="5">
        <v>-31703</v>
      </c>
      <c r="F3706" s="3" t="s">
        <v>526</v>
      </c>
      <c r="G3706" s="3" t="s">
        <v>65</v>
      </c>
      <c r="H3706" s="2" t="s">
        <v>20</v>
      </c>
      <c r="I3706" s="2" t="s">
        <v>7966</v>
      </c>
      <c r="J3706" s="3" t="str">
        <f>HYPERLINK("https://www.boe.es/gazeta/dias/1813/03/13/pdfs/GMD-1813-72.pdf#page=1","Abrir facsímil")</f>
        <v>Abrir facsímil</v>
      </c>
      <c r="K3706" s="3" t="s">
        <v>22</v>
      </c>
    </row>
    <row r="3707" spans="1:11" ht="42" customHeight="1">
      <c r="A3707" s="2" t="s">
        <v>7967</v>
      </c>
      <c r="B3707" s="2" t="s">
        <v>7967</v>
      </c>
      <c r="C3707" s="2" t="s">
        <v>16</v>
      </c>
      <c r="D3707" s="2" t="s">
        <v>17</v>
      </c>
      <c r="E3707" s="5">
        <v>-31742</v>
      </c>
      <c r="F3707" s="3" t="s">
        <v>2051</v>
      </c>
      <c r="G3707" s="3" t="s">
        <v>58</v>
      </c>
      <c r="H3707" s="2" t="s">
        <v>20</v>
      </c>
      <c r="I3707" s="2" t="s">
        <v>7968</v>
      </c>
      <c r="J3707" s="3" t="str">
        <f>HYPERLINK("https://www.boe.es/gazeta/dias/1813/02/02/pdfs/GMD-1813-33.pdf#page=2","Abrir facsímil")</f>
        <v>Abrir facsímil</v>
      </c>
      <c r="K3707" s="3" t="s">
        <v>22</v>
      </c>
    </row>
    <row r="3708" spans="1:11" ht="42" customHeight="1">
      <c r="A3708" s="2" t="s">
        <v>7967</v>
      </c>
      <c r="B3708" s="2" t="s">
        <v>7967</v>
      </c>
      <c r="C3708" s="2" t="s">
        <v>16</v>
      </c>
      <c r="D3708" s="2" t="s">
        <v>17</v>
      </c>
      <c r="E3708" s="5">
        <v>-31712</v>
      </c>
      <c r="F3708" s="3" t="s">
        <v>719</v>
      </c>
      <c r="G3708" s="3" t="s">
        <v>65</v>
      </c>
      <c r="H3708" s="2" t="s">
        <v>20</v>
      </c>
      <c r="I3708" s="2" t="s">
        <v>7969</v>
      </c>
      <c r="J3708" s="3" t="str">
        <f>HYPERLINK("https://www.boe.es/gazeta/dias/1813/03/04/pdfs/GMD-1813-63.pdf#page=1","Abrir facsímil")</f>
        <v>Abrir facsímil</v>
      </c>
      <c r="K3708" s="3" t="s">
        <v>22</v>
      </c>
    </row>
    <row r="3709" spans="1:11" ht="42" customHeight="1">
      <c r="A3709" s="2" t="s">
        <v>7967</v>
      </c>
      <c r="B3709" s="2" t="s">
        <v>7967</v>
      </c>
      <c r="C3709" s="2" t="s">
        <v>16</v>
      </c>
      <c r="D3709" s="2" t="s">
        <v>17</v>
      </c>
      <c r="E3709" s="5">
        <v>-31683</v>
      </c>
      <c r="F3709" s="3" t="s">
        <v>1213</v>
      </c>
      <c r="G3709" s="3" t="s">
        <v>65</v>
      </c>
      <c r="H3709" s="2" t="s">
        <v>20</v>
      </c>
      <c r="I3709" s="2" t="s">
        <v>7970</v>
      </c>
      <c r="J3709" s="3" t="str">
        <f>HYPERLINK("https://www.boe.es/gazeta/dias/1813/04/02/pdfs/GMD-1813-92.pdf#page=1","Abrir facsímil")</f>
        <v>Abrir facsímil</v>
      </c>
      <c r="K3709" s="3" t="s">
        <v>22</v>
      </c>
    </row>
    <row r="3710" spans="1:11" ht="42" customHeight="1">
      <c r="A3710" s="2" t="s">
        <v>7971</v>
      </c>
      <c r="B3710" s="2" t="s">
        <v>7972</v>
      </c>
      <c r="C3710" s="2" t="s">
        <v>16</v>
      </c>
      <c r="D3710" s="2" t="s">
        <v>17</v>
      </c>
      <c r="E3710" s="5">
        <v>-31712</v>
      </c>
      <c r="F3710" s="3" t="s">
        <v>719</v>
      </c>
      <c r="G3710" s="3" t="s">
        <v>65</v>
      </c>
      <c r="H3710" s="2" t="s">
        <v>20</v>
      </c>
      <c r="I3710" s="2" t="s">
        <v>7973</v>
      </c>
      <c r="J3710" s="3" t="str">
        <f>HYPERLINK("https://www.boe.es/gazeta/dias/1813/03/04/pdfs/GMD-1813-63.pdf#page=1","Abrir facsímil")</f>
        <v>Abrir facsímil</v>
      </c>
      <c r="K3710" s="3" t="s">
        <v>22</v>
      </c>
    </row>
    <row r="3711" spans="1:11" ht="42" customHeight="1">
      <c r="A3711" s="2" t="s">
        <v>7974</v>
      </c>
      <c r="B3711" s="2" t="s">
        <v>7974</v>
      </c>
      <c r="C3711" s="2" t="s">
        <v>16</v>
      </c>
      <c r="D3711" s="2" t="s">
        <v>17</v>
      </c>
      <c r="E3711" s="5">
        <v>-31713</v>
      </c>
      <c r="F3711" s="3" t="s">
        <v>3677</v>
      </c>
      <c r="G3711" s="3" t="s">
        <v>65</v>
      </c>
      <c r="H3711" s="2" t="s">
        <v>20</v>
      </c>
      <c r="I3711" s="2" t="s">
        <v>7975</v>
      </c>
      <c r="J3711" s="3" t="str">
        <f>HYPERLINK("https://www.boe.es/gazeta/dias/1813/03/03/pdfs/GMD-1813-62.pdf#page=1","Abrir facsímil")</f>
        <v>Abrir facsímil</v>
      </c>
      <c r="K3711" s="3" t="s">
        <v>22</v>
      </c>
    </row>
    <row r="3712" spans="1:11" ht="42" customHeight="1">
      <c r="A3712" s="2" t="s">
        <v>7976</v>
      </c>
      <c r="B3712" s="2" t="s">
        <v>7976</v>
      </c>
      <c r="C3712" s="2" t="s">
        <v>16</v>
      </c>
      <c r="D3712" s="2" t="s">
        <v>17</v>
      </c>
      <c r="E3712" s="5">
        <v>-31742</v>
      </c>
      <c r="F3712" s="3" t="s">
        <v>2051</v>
      </c>
      <c r="G3712" s="3" t="s">
        <v>19</v>
      </c>
      <c r="H3712" s="2" t="s">
        <v>20</v>
      </c>
      <c r="I3712" s="2" t="s">
        <v>7977</v>
      </c>
      <c r="J3712" s="3" t="str">
        <f>HYPERLINK("https://www.boe.es/gazeta/dias/1813/02/02/pdfs/GMD-1813-33.pdf#page=4","Abrir facsímil")</f>
        <v>Abrir facsímil</v>
      </c>
      <c r="K3712" s="3" t="s">
        <v>22</v>
      </c>
    </row>
    <row r="3713" spans="1:11" ht="42" customHeight="1">
      <c r="A3713" s="2" t="s">
        <v>7978</v>
      </c>
      <c r="B3713" s="2" t="s">
        <v>7978</v>
      </c>
      <c r="C3713" s="2" t="s">
        <v>16</v>
      </c>
      <c r="D3713" s="2" t="s">
        <v>17</v>
      </c>
      <c r="E3713" s="5">
        <v>-31742</v>
      </c>
      <c r="F3713" s="3" t="s">
        <v>2051</v>
      </c>
      <c r="G3713" s="3" t="s">
        <v>19</v>
      </c>
      <c r="H3713" s="2" t="s">
        <v>20</v>
      </c>
      <c r="I3713" s="2" t="s">
        <v>7979</v>
      </c>
      <c r="J3713" s="3" t="str">
        <f>HYPERLINK("https://www.boe.es/gazeta/dias/1813/02/02/pdfs/GMD-1813-33.pdf#page=4","Abrir facsímil")</f>
        <v>Abrir facsímil</v>
      </c>
      <c r="K3713" s="3" t="s">
        <v>22</v>
      </c>
    </row>
    <row r="3714" spans="1:11" ht="42" customHeight="1">
      <c r="A3714" s="2" t="s">
        <v>7980</v>
      </c>
      <c r="B3714" s="2" t="s">
        <v>7980</v>
      </c>
      <c r="C3714" s="2" t="s">
        <v>435</v>
      </c>
      <c r="D3714" s="2" t="s">
        <v>26</v>
      </c>
      <c r="E3714" s="5">
        <v>-31532</v>
      </c>
      <c r="F3714" s="3" t="s">
        <v>1728</v>
      </c>
      <c r="G3714" s="3" t="s">
        <v>58</v>
      </c>
      <c r="H3714" s="2" t="s">
        <v>20</v>
      </c>
      <c r="I3714" s="2" t="s">
        <v>7981</v>
      </c>
      <c r="J3714" s="3" t="str">
        <f>HYPERLINK("https://www.boe.es/gazeta/dias/1813/08/31/pdfs/GMR-1813-35.pdf#page=2","Abrir facsímil")</f>
        <v>Abrir facsímil</v>
      </c>
      <c r="K3714" s="3" t="s">
        <v>22</v>
      </c>
    </row>
    <row r="3715" spans="1:11" ht="42" customHeight="1">
      <c r="A3715" s="2" t="s">
        <v>7982</v>
      </c>
      <c r="B3715" s="2" t="s">
        <v>7982</v>
      </c>
      <c r="C3715" s="2" t="s">
        <v>16</v>
      </c>
      <c r="D3715" s="2" t="s">
        <v>17</v>
      </c>
      <c r="E3715" s="5">
        <v>-31413</v>
      </c>
      <c r="F3715" s="3" t="s">
        <v>149</v>
      </c>
      <c r="G3715" s="3" t="s">
        <v>54</v>
      </c>
      <c r="H3715" s="2" t="s">
        <v>20</v>
      </c>
      <c r="I3715" s="2" t="s">
        <v>7983</v>
      </c>
      <c r="J3715" s="3" t="str">
        <f>HYPERLINK("https://www.boe.es/gazeta/dias/1813/12/28/pdfs/GMR-1813-93.pdf#page=3","Abrir facsímil")</f>
        <v>Abrir facsímil</v>
      </c>
      <c r="K3715" s="3" t="s">
        <v>22</v>
      </c>
    </row>
    <row r="3716" spans="1:11" ht="42" customHeight="1">
      <c r="A3716" s="2" t="s">
        <v>7984</v>
      </c>
      <c r="B3716" s="2" t="s">
        <v>7984</v>
      </c>
      <c r="C3716" s="2" t="s">
        <v>16</v>
      </c>
      <c r="D3716" s="2" t="s">
        <v>17</v>
      </c>
      <c r="E3716" s="5">
        <v>-31616</v>
      </c>
      <c r="F3716" s="3" t="s">
        <v>545</v>
      </c>
      <c r="G3716" s="3" t="s">
        <v>82</v>
      </c>
      <c r="H3716" s="2" t="s">
        <v>20</v>
      </c>
      <c r="I3716" s="2" t="s">
        <v>7985</v>
      </c>
      <c r="J3716" s="3" t="str">
        <f>HYPERLINK("https://www.boe.es/gazeta/dias/1813/06/08/pdfs/GRE-1813-71.pdf#page=5","Abrir facsímil")</f>
        <v>Abrir facsímil</v>
      </c>
      <c r="K3716" s="3" t="s">
        <v>22</v>
      </c>
    </row>
    <row r="3717" spans="1:11" ht="42" customHeight="1">
      <c r="A3717" s="2" t="s">
        <v>7986</v>
      </c>
      <c r="B3717" s="2" t="s">
        <v>7986</v>
      </c>
      <c r="C3717" s="2" t="s">
        <v>16</v>
      </c>
      <c r="D3717" s="2" t="s">
        <v>17</v>
      </c>
      <c r="E3717" s="5">
        <v>-31595</v>
      </c>
      <c r="F3717" s="3" t="s">
        <v>70</v>
      </c>
      <c r="G3717" s="3" t="s">
        <v>95</v>
      </c>
      <c r="H3717" s="2" t="s">
        <v>20</v>
      </c>
      <c r="I3717" s="2" t="s">
        <v>7987</v>
      </c>
      <c r="J3717" s="3" t="str">
        <f>HYPERLINK("https://www.boe.es/gazeta/dias/1813/06/29/pdfs/GMR-1813-13.pdf#page=6","Abrir facsímil")</f>
        <v>Abrir facsímil</v>
      </c>
      <c r="K3717" s="3" t="s">
        <v>22</v>
      </c>
    </row>
    <row r="3718" spans="1:11" ht="42" customHeight="1">
      <c r="A3718" s="2" t="s">
        <v>7988</v>
      </c>
      <c r="B3718" s="2" t="s">
        <v>7988</v>
      </c>
      <c r="C3718" s="2" t="s">
        <v>16</v>
      </c>
      <c r="D3718" s="2" t="s">
        <v>17</v>
      </c>
      <c r="E3718" s="5">
        <v>-31729</v>
      </c>
      <c r="F3718" s="3" t="s">
        <v>1650</v>
      </c>
      <c r="G3718" s="3" t="s">
        <v>65</v>
      </c>
      <c r="H3718" s="2" t="s">
        <v>20</v>
      </c>
      <c r="I3718" s="2" t="s">
        <v>7989</v>
      </c>
      <c r="J3718" s="3" t="str">
        <f>HYPERLINK("https://www.boe.es/gazeta/dias/1813/02/15/pdfs/GMD-1813-46.pdf#page=1","Abrir facsímil")</f>
        <v>Abrir facsímil</v>
      </c>
      <c r="K3718" s="3" t="s">
        <v>22</v>
      </c>
    </row>
    <row r="3719" spans="1:11" ht="42" customHeight="1">
      <c r="A3719" s="2" t="s">
        <v>7990</v>
      </c>
      <c r="B3719" s="2" t="s">
        <v>7990</v>
      </c>
      <c r="C3719" s="2" t="s">
        <v>16</v>
      </c>
      <c r="D3719" s="2" t="s">
        <v>17</v>
      </c>
      <c r="E3719" s="5">
        <v>-31647</v>
      </c>
      <c r="F3719" s="3" t="s">
        <v>1972</v>
      </c>
      <c r="G3719" s="3" t="s">
        <v>3167</v>
      </c>
      <c r="H3719" s="2" t="s">
        <v>20</v>
      </c>
      <c r="I3719" s="2" t="s">
        <v>7991</v>
      </c>
      <c r="J3719" s="3" t="str">
        <f>HYPERLINK("https://www.boe.es/gazeta/dias/1813/05/08/pdfs/GRE-1813-57.pdf#page=3","Abrir facsímil")</f>
        <v>Abrir facsímil</v>
      </c>
      <c r="K3719" s="3" t="s">
        <v>22</v>
      </c>
    </row>
    <row r="3720" spans="1:11" ht="42" customHeight="1">
      <c r="A3720" s="2" t="s">
        <v>7992</v>
      </c>
      <c r="B3720" s="2" t="s">
        <v>7992</v>
      </c>
      <c r="C3720" s="2" t="s">
        <v>16</v>
      </c>
      <c r="D3720" s="2" t="s">
        <v>17</v>
      </c>
      <c r="E3720" s="5">
        <v>-31682</v>
      </c>
      <c r="F3720" s="3" t="s">
        <v>6815</v>
      </c>
      <c r="G3720" s="3" t="s">
        <v>65</v>
      </c>
      <c r="H3720" s="2" t="s">
        <v>20</v>
      </c>
      <c r="I3720" s="2" t="s">
        <v>7993</v>
      </c>
      <c r="J3720" s="3" t="str">
        <f>HYPERLINK("https://www.boe.es/gazeta/dias/1813/04/03/pdfs/GMD-1813-93.pdf#page=1","Abrir facsímil")</f>
        <v>Abrir facsímil</v>
      </c>
      <c r="K3720" s="3" t="s">
        <v>22</v>
      </c>
    </row>
    <row r="3721" spans="1:11" ht="42" customHeight="1">
      <c r="A3721" s="2" t="s">
        <v>7994</v>
      </c>
      <c r="B3721" s="2" t="s">
        <v>7995</v>
      </c>
      <c r="C3721" s="2" t="s">
        <v>16</v>
      </c>
      <c r="D3721" s="2" t="s">
        <v>17</v>
      </c>
      <c r="E3721" s="5">
        <v>-31537</v>
      </c>
      <c r="F3721" s="3" t="s">
        <v>138</v>
      </c>
      <c r="G3721" s="3" t="s">
        <v>71</v>
      </c>
      <c r="H3721" s="2" t="s">
        <v>20</v>
      </c>
      <c r="I3721" s="2" t="s">
        <v>7996</v>
      </c>
      <c r="J3721" s="3" t="str">
        <f>HYPERLINK("https://www.boe.es/gazeta/dias/1813/08/26/pdfs/GMR-1813-33.pdf#page=16","Abrir facsímil")</f>
        <v>Abrir facsímil</v>
      </c>
      <c r="K3721" s="3" t="s">
        <v>22</v>
      </c>
    </row>
    <row r="3722" spans="1:11" ht="42" customHeight="1">
      <c r="A3722" s="2" t="s">
        <v>7997</v>
      </c>
      <c r="B3722" s="2" t="s">
        <v>7997</v>
      </c>
      <c r="C3722" s="2" t="s">
        <v>16</v>
      </c>
      <c r="D3722" s="2" t="s">
        <v>17</v>
      </c>
      <c r="E3722" s="5">
        <v>-31460</v>
      </c>
      <c r="F3722" s="3" t="s">
        <v>1468</v>
      </c>
      <c r="G3722" s="3" t="s">
        <v>82</v>
      </c>
      <c r="H3722" s="2" t="s">
        <v>20</v>
      </c>
      <c r="I3722" s="2" t="s">
        <v>7998</v>
      </c>
      <c r="J3722" s="3" t="str">
        <f>HYPERLINK("https://www.boe.es/gazeta/dias/1813/11/11/pdfs/GRE-1813-147.pdf#page=5","Abrir facsímil")</f>
        <v>Abrir facsímil</v>
      </c>
      <c r="K3722" s="3" t="s">
        <v>22</v>
      </c>
    </row>
    <row r="3723" spans="1:11" ht="42" customHeight="1">
      <c r="A3723" s="2" t="s">
        <v>7999</v>
      </c>
      <c r="B3723" s="2" t="s">
        <v>8000</v>
      </c>
      <c r="C3723" s="2" t="s">
        <v>109</v>
      </c>
      <c r="D3723" s="2" t="s">
        <v>26</v>
      </c>
      <c r="E3723" s="5">
        <v>-31434</v>
      </c>
      <c r="F3723" s="3" t="s">
        <v>948</v>
      </c>
      <c r="G3723" s="3" t="s">
        <v>87</v>
      </c>
      <c r="H3723" s="2" t="s">
        <v>29</v>
      </c>
      <c r="I3723" s="2" t="s">
        <v>8001</v>
      </c>
      <c r="J3723" s="3" t="str">
        <f>HYPERLINK("https://www.boe.es/gazeta/dias/1813/12/07/pdfs/GMR-1813-84.pdf#page=7","Abrir facsímil")</f>
        <v>Abrir facsímil</v>
      </c>
      <c r="K3723" s="3" t="s">
        <v>31</v>
      </c>
    </row>
    <row r="3724" spans="1:11" ht="42" customHeight="1">
      <c r="A3724" s="2" t="s">
        <v>8002</v>
      </c>
      <c r="B3724" s="2" t="s">
        <v>8003</v>
      </c>
      <c r="C3724" s="2" t="s">
        <v>16</v>
      </c>
      <c r="D3724" s="2" t="s">
        <v>17</v>
      </c>
      <c r="E3724" s="5">
        <v>-31465</v>
      </c>
      <c r="F3724" s="3" t="s">
        <v>407</v>
      </c>
      <c r="G3724" s="3" t="s">
        <v>3112</v>
      </c>
      <c r="H3724" s="2" t="s">
        <v>29</v>
      </c>
      <c r="I3724" s="2" t="s">
        <v>8004</v>
      </c>
      <c r="J3724" s="3" t="str">
        <f>HYPERLINK("https://www.boe.es/gazeta/dias/1813/11/06/pdfs/GMR-1813-70.pdf#page=6","Abrir facsímil")</f>
        <v>Abrir facsímil</v>
      </c>
      <c r="K3724" s="3" t="s">
        <v>31</v>
      </c>
    </row>
    <row r="3725" spans="1:11" ht="42" customHeight="1">
      <c r="A3725" s="2" t="s">
        <v>8005</v>
      </c>
      <c r="B3725" s="2" t="s">
        <v>8006</v>
      </c>
      <c r="C3725" s="2" t="s">
        <v>34</v>
      </c>
      <c r="D3725" s="2" t="s">
        <v>35</v>
      </c>
      <c r="E3725" s="5">
        <v>-31567</v>
      </c>
      <c r="F3725" s="3" t="s">
        <v>820</v>
      </c>
      <c r="G3725" s="3" t="s">
        <v>313</v>
      </c>
      <c r="H3725" s="2" t="s">
        <v>20</v>
      </c>
      <c r="I3725" s="2" t="s">
        <v>8007</v>
      </c>
      <c r="J3725" s="3" t="str">
        <f>HYPERLINK("https://www.boe.es/gazeta/dias/1813/07/27/pdfs/GMR-1813-21.pdf#page=9","Abrir facsímil")</f>
        <v>Abrir facsímil</v>
      </c>
      <c r="K3725" s="3" t="s">
        <v>22</v>
      </c>
    </row>
    <row r="3726" spans="1:11" ht="42" customHeight="1">
      <c r="A3726" s="2" t="s">
        <v>8008</v>
      </c>
      <c r="B3726" s="2" t="s">
        <v>8009</v>
      </c>
      <c r="C3726" s="2" t="s">
        <v>16</v>
      </c>
      <c r="D3726" s="2" t="s">
        <v>17</v>
      </c>
      <c r="E3726" s="5">
        <v>-31623</v>
      </c>
      <c r="F3726" s="3" t="s">
        <v>267</v>
      </c>
      <c r="G3726" s="3" t="s">
        <v>676</v>
      </c>
      <c r="H3726" s="2" t="s">
        <v>20</v>
      </c>
      <c r="I3726" s="2" t="s">
        <v>8010</v>
      </c>
      <c r="J3726" s="3" t="str">
        <f>HYPERLINK("https://www.boe.es/gazeta/dias/1813/06/01/pdfs/GRE-1813-67.pdf#page=4","Abrir facsímil")</f>
        <v>Abrir facsímil</v>
      </c>
      <c r="K3726" s="3" t="s">
        <v>22</v>
      </c>
    </row>
    <row r="3727" spans="1:11" ht="42" customHeight="1">
      <c r="A3727" s="2" t="s">
        <v>8011</v>
      </c>
      <c r="B3727" s="2" t="s">
        <v>8012</v>
      </c>
      <c r="C3727" s="2" t="s">
        <v>109</v>
      </c>
      <c r="D3727" s="2" t="s">
        <v>26</v>
      </c>
      <c r="E3727" s="5">
        <v>-31689</v>
      </c>
      <c r="F3727" s="3" t="s">
        <v>48</v>
      </c>
      <c r="G3727" s="3" t="s">
        <v>162</v>
      </c>
      <c r="H3727" s="2" t="s">
        <v>20</v>
      </c>
      <c r="I3727" s="2" t="s">
        <v>8013</v>
      </c>
      <c r="J3727" s="3" t="str">
        <f>HYPERLINK("https://www.boe.es/gazeta/dias/1813/03/27/pdfs/GRE-1813-38.pdf#page=8","Abrir facsímil")</f>
        <v>Abrir facsímil</v>
      </c>
      <c r="K3727" s="3" t="s">
        <v>22</v>
      </c>
    </row>
    <row r="3728" spans="1:11" ht="42" customHeight="1">
      <c r="A3728" s="2" t="s">
        <v>8014</v>
      </c>
      <c r="B3728" s="2" t="s">
        <v>8015</v>
      </c>
      <c r="C3728" s="2" t="s">
        <v>25</v>
      </c>
      <c r="D3728" s="2" t="s">
        <v>26</v>
      </c>
      <c r="E3728" s="5">
        <v>-31745</v>
      </c>
      <c r="F3728" s="3" t="s">
        <v>445</v>
      </c>
      <c r="G3728" s="3" t="s">
        <v>28</v>
      </c>
      <c r="H3728" s="2" t="s">
        <v>20</v>
      </c>
      <c r="I3728" s="2" t="s">
        <v>8016</v>
      </c>
      <c r="J3728" s="3" t="str">
        <f>HYPERLINK("https://www.boe.es/gazeta/dias/1813/01/30/pdfs/GRE-1813-13.pdf#page=8","Abrir facsímil")</f>
        <v>Abrir facsímil</v>
      </c>
      <c r="K3728" s="3" t="s">
        <v>22</v>
      </c>
    </row>
    <row r="3729" spans="1:11" ht="42" customHeight="1">
      <c r="A3729" s="2" t="s">
        <v>8014</v>
      </c>
      <c r="B3729" s="2" t="s">
        <v>8015</v>
      </c>
      <c r="C3729" s="2" t="s">
        <v>109</v>
      </c>
      <c r="D3729" s="2" t="s">
        <v>26</v>
      </c>
      <c r="E3729" s="5">
        <v>-31578</v>
      </c>
      <c r="F3729" s="3" t="s">
        <v>974</v>
      </c>
      <c r="G3729" s="3" t="s">
        <v>178</v>
      </c>
      <c r="H3729" s="2" t="s">
        <v>20</v>
      </c>
      <c r="I3729" s="2" t="s">
        <v>8017</v>
      </c>
      <c r="J3729" s="3" t="str">
        <f>HYPERLINK("https://www.boe.es/gazeta/dias/1813/07/16/pdfs/GMR-1813-18.pdf#page=11","Abrir facsímil")</f>
        <v>Abrir facsímil</v>
      </c>
      <c r="K3729" s="3" t="s">
        <v>22</v>
      </c>
    </row>
    <row r="3730" spans="1:11" ht="42" customHeight="1">
      <c r="A3730" s="2" t="s">
        <v>8018</v>
      </c>
      <c r="B3730" s="2" t="s">
        <v>8019</v>
      </c>
      <c r="C3730" s="2" t="s">
        <v>16</v>
      </c>
      <c r="D3730" s="2" t="s">
        <v>17</v>
      </c>
      <c r="E3730" s="5">
        <v>-31467</v>
      </c>
      <c r="F3730" s="3" t="s">
        <v>120</v>
      </c>
      <c r="G3730" s="3" t="s">
        <v>82</v>
      </c>
      <c r="H3730" s="2" t="s">
        <v>20</v>
      </c>
      <c r="I3730" s="2" t="s">
        <v>8020</v>
      </c>
      <c r="J3730" s="3" t="str">
        <f>HYPERLINK("https://www.boe.es/gazeta/dias/1813/11/04/pdfs/GMR-1813-68.pdf#page=5","Abrir facsímil")</f>
        <v>Abrir facsímil</v>
      </c>
      <c r="K3730" s="3" t="s">
        <v>22</v>
      </c>
    </row>
    <row r="3731" spans="1:11" ht="42" customHeight="1">
      <c r="A3731" s="2" t="s">
        <v>8021</v>
      </c>
      <c r="B3731" s="2" t="s">
        <v>8022</v>
      </c>
      <c r="C3731" s="2" t="s">
        <v>16</v>
      </c>
      <c r="D3731" s="2" t="s">
        <v>17</v>
      </c>
      <c r="E3731" s="5">
        <v>-31578</v>
      </c>
      <c r="F3731" s="3" t="s">
        <v>974</v>
      </c>
      <c r="G3731" s="3" t="s">
        <v>207</v>
      </c>
      <c r="H3731" s="2" t="s">
        <v>20</v>
      </c>
      <c r="I3731" s="2" t="s">
        <v>8023</v>
      </c>
      <c r="J3731" s="3" t="str">
        <f>HYPERLINK("https://www.boe.es/gazeta/dias/1813/07/16/pdfs/GMR-1813-18.pdf#page=10","Abrir facsímil")</f>
        <v>Abrir facsímil</v>
      </c>
      <c r="K3731" s="3" t="s">
        <v>22</v>
      </c>
    </row>
    <row r="3732" spans="1:11" ht="42" customHeight="1">
      <c r="A3732" s="2" t="s">
        <v>8024</v>
      </c>
      <c r="B3732" s="2" t="s">
        <v>8025</v>
      </c>
      <c r="C3732" s="2" t="s">
        <v>34</v>
      </c>
      <c r="D3732" s="2" t="s">
        <v>35</v>
      </c>
      <c r="E3732" s="5">
        <v>-31467</v>
      </c>
      <c r="F3732" s="3" t="s">
        <v>120</v>
      </c>
      <c r="G3732" s="3" t="s">
        <v>87</v>
      </c>
      <c r="H3732" s="2" t="s">
        <v>20</v>
      </c>
      <c r="I3732" s="2" t="s">
        <v>8026</v>
      </c>
      <c r="J3732" s="3" t="str">
        <f>HYPERLINK("https://www.boe.es/gazeta/dias/1813/11/04/pdfs/GMR-1813-68.pdf#page=7","Abrir facsímil")</f>
        <v>Abrir facsímil</v>
      </c>
      <c r="K3732" s="3" t="s">
        <v>22</v>
      </c>
    </row>
    <row r="3733" spans="1:11" ht="42" customHeight="1">
      <c r="A3733" s="2" t="s">
        <v>8024</v>
      </c>
      <c r="B3733" s="2" t="s">
        <v>8025</v>
      </c>
      <c r="C3733" s="2" t="s">
        <v>34</v>
      </c>
      <c r="D3733" s="2" t="s">
        <v>35</v>
      </c>
      <c r="E3733" s="5">
        <v>-31458</v>
      </c>
      <c r="F3733" s="3" t="s">
        <v>1171</v>
      </c>
      <c r="G3733" s="3" t="s">
        <v>3273</v>
      </c>
      <c r="H3733" s="2" t="s">
        <v>20</v>
      </c>
      <c r="I3733" s="2" t="s">
        <v>8027</v>
      </c>
      <c r="J3733" s="3" t="str">
        <f>HYPERLINK("https://www.boe.es/gazeta/dias/1813/11/13/pdfs/GRE-1813-149.pdf#page=7","Abrir facsímil")</f>
        <v>Abrir facsímil</v>
      </c>
      <c r="K3733" s="3" t="s">
        <v>22</v>
      </c>
    </row>
    <row r="3734" spans="1:11" ht="42" customHeight="1">
      <c r="A3734" s="2" t="s">
        <v>8028</v>
      </c>
      <c r="B3734" s="2" t="s">
        <v>8029</v>
      </c>
      <c r="C3734" s="2" t="s">
        <v>16</v>
      </c>
      <c r="D3734" s="2" t="s">
        <v>17</v>
      </c>
      <c r="E3734" s="5">
        <v>-31738</v>
      </c>
      <c r="F3734" s="3" t="s">
        <v>556</v>
      </c>
      <c r="G3734" s="3" t="s">
        <v>28</v>
      </c>
      <c r="H3734" s="2" t="s">
        <v>20</v>
      </c>
      <c r="I3734" s="2" t="s">
        <v>8030</v>
      </c>
      <c r="J3734" s="3" t="str">
        <f>HYPERLINK("https://www.boe.es/gazeta/dias/1813/02/06/pdfs/GRE-1813-16.pdf#page=8","Abrir facsímil")</f>
        <v>Abrir facsímil</v>
      </c>
      <c r="K3734" s="3" t="s">
        <v>22</v>
      </c>
    </row>
    <row r="3735" spans="1:11" ht="42" customHeight="1">
      <c r="A3735" s="2" t="s">
        <v>8031</v>
      </c>
      <c r="B3735" s="2" t="s">
        <v>8032</v>
      </c>
      <c r="C3735" s="2" t="s">
        <v>16</v>
      </c>
      <c r="D3735" s="2" t="s">
        <v>17</v>
      </c>
      <c r="E3735" s="5">
        <v>-31567</v>
      </c>
      <c r="F3735" s="3" t="s">
        <v>820</v>
      </c>
      <c r="G3735" s="3" t="s">
        <v>747</v>
      </c>
      <c r="H3735" s="2" t="s">
        <v>20</v>
      </c>
      <c r="I3735" s="2" t="s">
        <v>8033</v>
      </c>
      <c r="J3735" s="3" t="str">
        <f>HYPERLINK("https://www.boe.es/gazeta/dias/1813/07/27/pdfs/GMR-1813-21.pdf#page=10","Abrir facsímil")</f>
        <v>Abrir facsímil</v>
      </c>
      <c r="K3735" s="3" t="s">
        <v>22</v>
      </c>
    </row>
    <row r="3736" spans="1:11" ht="42" customHeight="1">
      <c r="A3736" s="2" t="s">
        <v>8034</v>
      </c>
      <c r="B3736" s="2" t="s">
        <v>8035</v>
      </c>
      <c r="C3736" s="2" t="s">
        <v>16</v>
      </c>
      <c r="D3736" s="2" t="s">
        <v>17</v>
      </c>
      <c r="E3736" s="5">
        <v>-31745</v>
      </c>
      <c r="F3736" s="3" t="s">
        <v>445</v>
      </c>
      <c r="G3736" s="3" t="s">
        <v>28</v>
      </c>
      <c r="H3736" s="2" t="s">
        <v>20</v>
      </c>
      <c r="I3736" s="2" t="s">
        <v>8036</v>
      </c>
      <c r="J3736" s="3" t="str">
        <f>HYPERLINK("https://www.boe.es/gazeta/dias/1813/01/30/pdfs/GRE-1813-13.pdf#page=8","Abrir facsímil")</f>
        <v>Abrir facsímil</v>
      </c>
      <c r="K3736" s="3" t="s">
        <v>22</v>
      </c>
    </row>
    <row r="3737" spans="1:11" ht="42" customHeight="1">
      <c r="A3737" s="2" t="s">
        <v>8037</v>
      </c>
      <c r="B3737" s="2" t="s">
        <v>8037</v>
      </c>
      <c r="C3737" s="2" t="s">
        <v>16</v>
      </c>
      <c r="D3737" s="2" t="s">
        <v>17</v>
      </c>
      <c r="E3737" s="5">
        <v>-31662</v>
      </c>
      <c r="F3737" s="3" t="s">
        <v>8038</v>
      </c>
      <c r="G3737" s="3" t="s">
        <v>19</v>
      </c>
      <c r="H3737" s="2" t="s">
        <v>20</v>
      </c>
      <c r="I3737" s="2" t="s">
        <v>8039</v>
      </c>
      <c r="J3737" s="3" t="str">
        <f>HYPERLINK("https://www.boe.es/gazeta/dias/1813/04/23/pdfs/GMD-1813-113.pdf#page=4","Abrir facsímil")</f>
        <v>Abrir facsímil</v>
      </c>
      <c r="K3737" s="3" t="s">
        <v>22</v>
      </c>
    </row>
    <row r="3738" spans="1:11" ht="42" customHeight="1">
      <c r="A3738" s="2" t="s">
        <v>8040</v>
      </c>
      <c r="B3738" s="2" t="s">
        <v>8040</v>
      </c>
      <c r="C3738" s="2" t="s">
        <v>16</v>
      </c>
      <c r="D3738" s="2" t="s">
        <v>17</v>
      </c>
      <c r="E3738" s="5">
        <v>-31636</v>
      </c>
      <c r="F3738" s="3" t="s">
        <v>1673</v>
      </c>
      <c r="G3738" s="3" t="s">
        <v>19</v>
      </c>
      <c r="H3738" s="2" t="s">
        <v>20</v>
      </c>
      <c r="I3738" s="2" t="s">
        <v>8041</v>
      </c>
      <c r="J3738" s="3" t="str">
        <f>HYPERLINK("https://www.boe.es/gazeta/dias/1813/05/19/pdfs/GMD-1813-139.pdf#page=4","Abrir facsímil")</f>
        <v>Abrir facsímil</v>
      </c>
      <c r="K3738" s="3" t="s">
        <v>22</v>
      </c>
    </row>
    <row r="3739" spans="1:11" ht="42" customHeight="1">
      <c r="A3739" s="2" t="s">
        <v>8042</v>
      </c>
      <c r="B3739" s="2" t="s">
        <v>8043</v>
      </c>
      <c r="C3739" s="2" t="s">
        <v>25</v>
      </c>
      <c r="D3739" s="2" t="s">
        <v>26</v>
      </c>
      <c r="E3739" s="5">
        <v>-31655</v>
      </c>
      <c r="F3739" s="3" t="s">
        <v>858</v>
      </c>
      <c r="G3739" s="3" t="s">
        <v>983</v>
      </c>
      <c r="H3739" s="2" t="s">
        <v>20</v>
      </c>
      <c r="I3739" s="2" t="s">
        <v>8044</v>
      </c>
      <c r="J3739" s="3" t="str">
        <f>HYPERLINK("https://www.boe.es/gazeta/dias/1813/04/30/pdfs/GMD-1813-120.pdf#page=3","Abrir facsímil")</f>
        <v>Abrir facsímil</v>
      </c>
      <c r="K3739" s="3" t="s">
        <v>22</v>
      </c>
    </row>
    <row r="3740" spans="1:11" ht="42" customHeight="1">
      <c r="A3740" s="2" t="s">
        <v>8045</v>
      </c>
      <c r="B3740" s="2" t="s">
        <v>8046</v>
      </c>
      <c r="C3740" s="2" t="s">
        <v>25</v>
      </c>
      <c r="D3740" s="2" t="s">
        <v>26</v>
      </c>
      <c r="E3740" s="5">
        <v>-31677</v>
      </c>
      <c r="F3740" s="3" t="s">
        <v>76</v>
      </c>
      <c r="G3740" s="3" t="s">
        <v>28</v>
      </c>
      <c r="H3740" s="2" t="s">
        <v>20</v>
      </c>
      <c r="I3740" s="2" t="s">
        <v>8047</v>
      </c>
      <c r="J3740" s="3" t="str">
        <f>HYPERLINK("https://www.boe.es/gazeta/dias/1813/04/08/pdfs/GRE-1813-43.pdf#page=8","Abrir facsímil")</f>
        <v>Abrir facsímil</v>
      </c>
      <c r="K3740" s="3" t="s">
        <v>22</v>
      </c>
    </row>
    <row r="3741" spans="1:11" ht="42" customHeight="1">
      <c r="A3741" s="2" t="s">
        <v>8048</v>
      </c>
      <c r="B3741" s="2" t="s">
        <v>8048</v>
      </c>
      <c r="C3741" s="2" t="s">
        <v>16</v>
      </c>
      <c r="D3741" s="2" t="s">
        <v>17</v>
      </c>
      <c r="E3741" s="5">
        <v>-31600</v>
      </c>
      <c r="F3741" s="3" t="s">
        <v>2121</v>
      </c>
      <c r="G3741" s="3" t="s">
        <v>54</v>
      </c>
      <c r="H3741" s="2" t="s">
        <v>20</v>
      </c>
      <c r="I3741" s="2" t="s">
        <v>8049</v>
      </c>
      <c r="J3741" s="3" t="str">
        <f>HYPERLINK("https://www.boe.es/gazeta/dias/1813/06/24/pdfs/GRE-1813-78.pdf#page=3","Abrir facsímil")</f>
        <v>Abrir facsímil</v>
      </c>
      <c r="K3741" s="3" t="s">
        <v>22</v>
      </c>
    </row>
    <row r="3742" spans="1:11" ht="42" customHeight="1">
      <c r="A3742" s="2" t="s">
        <v>8050</v>
      </c>
      <c r="B3742" s="2" t="s">
        <v>8050</v>
      </c>
      <c r="C3742" s="2" t="s">
        <v>16</v>
      </c>
      <c r="D3742" s="2" t="s">
        <v>17</v>
      </c>
      <c r="E3742" s="5">
        <v>-31588</v>
      </c>
      <c r="F3742" s="3" t="s">
        <v>1535</v>
      </c>
      <c r="G3742" s="3" t="s">
        <v>28</v>
      </c>
      <c r="H3742" s="2" t="s">
        <v>20</v>
      </c>
      <c r="I3742" s="2" t="s">
        <v>8051</v>
      </c>
      <c r="J3742" s="3" t="str">
        <f>HYPERLINK("https://www.boe.es/gazeta/dias/1813/07/06/pdfs/GMR-1813-15.pdf#page=8","Abrir facsímil")</f>
        <v>Abrir facsímil</v>
      </c>
      <c r="K3742" s="3" t="s">
        <v>22</v>
      </c>
    </row>
    <row r="3743" spans="1:11" ht="42" customHeight="1">
      <c r="A3743" s="2" t="s">
        <v>8052</v>
      </c>
      <c r="B3743" s="2" t="s">
        <v>8053</v>
      </c>
      <c r="C3743" s="2" t="s">
        <v>16</v>
      </c>
      <c r="D3743" s="2" t="s">
        <v>17</v>
      </c>
      <c r="E3743" s="5">
        <v>-31644</v>
      </c>
      <c r="F3743" s="3" t="s">
        <v>3904</v>
      </c>
      <c r="G3743" s="3" t="s">
        <v>8054</v>
      </c>
      <c r="H3743" s="2" t="s">
        <v>20</v>
      </c>
      <c r="I3743" s="2" t="s">
        <v>8055</v>
      </c>
      <c r="J3743" s="3" t="str">
        <f>HYPERLINK("https://www.boe.es/gazeta/dias/1813/05/11/pdfs/GRE-1813-58.pdf#page=6","Abrir facsímil")</f>
        <v>Abrir facsímil</v>
      </c>
      <c r="K3743" s="3" t="s">
        <v>22</v>
      </c>
    </row>
    <row r="3744" spans="1:11" ht="42" customHeight="1">
      <c r="A3744" s="2" t="s">
        <v>8052</v>
      </c>
      <c r="B3744" s="2" t="s">
        <v>8053</v>
      </c>
      <c r="C3744" s="2" t="s">
        <v>16</v>
      </c>
      <c r="D3744" s="2" t="s">
        <v>17</v>
      </c>
      <c r="E3744" s="5">
        <v>-31606</v>
      </c>
      <c r="F3744" s="3" t="s">
        <v>124</v>
      </c>
      <c r="G3744" s="3" t="s">
        <v>87</v>
      </c>
      <c r="H3744" s="2" t="s">
        <v>20</v>
      </c>
      <c r="I3744" s="2" t="s">
        <v>8056</v>
      </c>
      <c r="J3744" s="3" t="str">
        <f>HYPERLINK("https://www.boe.es/gazeta/dias/1813/06/18/pdfs/GMR-1813-7.pdf#page=7","Abrir facsímil")</f>
        <v>Abrir facsímil</v>
      </c>
      <c r="K3744" s="3" t="s">
        <v>22</v>
      </c>
    </row>
    <row r="3745" spans="1:11" ht="42" customHeight="1">
      <c r="A3745" s="2" t="s">
        <v>8052</v>
      </c>
      <c r="B3745" s="2" t="s">
        <v>8053</v>
      </c>
      <c r="C3745" s="2" t="s">
        <v>16</v>
      </c>
      <c r="D3745" s="2" t="s">
        <v>17</v>
      </c>
      <c r="E3745" s="5">
        <v>-31465</v>
      </c>
      <c r="F3745" s="3" t="s">
        <v>2930</v>
      </c>
      <c r="G3745" s="3" t="s">
        <v>28</v>
      </c>
      <c r="H3745" s="2" t="s">
        <v>20</v>
      </c>
      <c r="I3745" s="2" t="s">
        <v>8057</v>
      </c>
      <c r="J3745" s="3" t="str">
        <f>HYPERLINK("https://www.boe.es/gazeta/dias/1813/11/06/pdfs/GRE-1813-145.pdf#page=8","Abrir facsímil")</f>
        <v>Abrir facsímil</v>
      </c>
      <c r="K3745" s="3" t="s">
        <v>22</v>
      </c>
    </row>
    <row r="3746" spans="1:11" ht="42" customHeight="1">
      <c r="A3746" s="2" t="s">
        <v>8058</v>
      </c>
      <c r="B3746" s="2" t="s">
        <v>8059</v>
      </c>
      <c r="C3746" s="2" t="s">
        <v>16</v>
      </c>
      <c r="D3746" s="2" t="s">
        <v>17</v>
      </c>
      <c r="E3746" s="5">
        <v>-31644</v>
      </c>
      <c r="F3746" s="3" t="s">
        <v>3904</v>
      </c>
      <c r="G3746" s="3" t="s">
        <v>8060</v>
      </c>
      <c r="H3746" s="2" t="s">
        <v>20</v>
      </c>
      <c r="I3746" s="2" t="s">
        <v>8061</v>
      </c>
      <c r="J3746" s="3" t="str">
        <f>HYPERLINK("https://www.boe.es/gazeta/dias/1813/05/11/pdfs/GRE-1813-58.pdf#page=5","Abrir facsímil")</f>
        <v>Abrir facsímil</v>
      </c>
      <c r="K3746" s="3" t="s">
        <v>22</v>
      </c>
    </row>
    <row r="3747" spans="1:11" ht="42" customHeight="1">
      <c r="A3747" s="2" t="s">
        <v>8062</v>
      </c>
      <c r="B3747" s="2" t="s">
        <v>8062</v>
      </c>
      <c r="C3747" s="2" t="s">
        <v>25</v>
      </c>
      <c r="D3747" s="2" t="s">
        <v>26</v>
      </c>
      <c r="E3747" s="5">
        <v>-31752</v>
      </c>
      <c r="F3747" s="3" t="s">
        <v>182</v>
      </c>
      <c r="G3747" s="3" t="s">
        <v>183</v>
      </c>
      <c r="H3747" s="2" t="s">
        <v>20</v>
      </c>
      <c r="I3747" s="2" t="s">
        <v>8063</v>
      </c>
      <c r="J3747" s="3" t="str">
        <f>HYPERLINK("https://www.boe.es/gazeta/dias/1813/01/23/pdfs/GRE-1813-10.pdf#page=8","Abrir facsímil")</f>
        <v>Abrir facsímil</v>
      </c>
      <c r="K3747" s="3" t="s">
        <v>22</v>
      </c>
    </row>
    <row r="3748" spans="1:11" ht="42" customHeight="1">
      <c r="A3748" s="2" t="s">
        <v>8062</v>
      </c>
      <c r="B3748" s="2" t="s">
        <v>8062</v>
      </c>
      <c r="C3748" s="2" t="s">
        <v>435</v>
      </c>
      <c r="D3748" s="2" t="s">
        <v>26</v>
      </c>
      <c r="E3748" s="5">
        <v>-31717</v>
      </c>
      <c r="F3748" s="3" t="s">
        <v>2338</v>
      </c>
      <c r="G3748" s="3" t="s">
        <v>2339</v>
      </c>
      <c r="H3748" s="2" t="s">
        <v>20</v>
      </c>
      <c r="I3748" s="2" t="s">
        <v>8064</v>
      </c>
      <c r="J3748" s="3" t="str">
        <f>HYPERLINK("https://www.boe.es/gazeta/dias/1813/02/27/pdfs/GRE-1813-25.pdf#page=7","Abrir facsímil")</f>
        <v>Abrir facsímil</v>
      </c>
      <c r="K3748" s="3" t="s">
        <v>22</v>
      </c>
    </row>
    <row r="3749" spans="1:11" ht="42" customHeight="1">
      <c r="A3749" s="2" t="s">
        <v>8062</v>
      </c>
      <c r="B3749" s="2" t="s">
        <v>8062</v>
      </c>
      <c r="C3749" s="2" t="s">
        <v>16</v>
      </c>
      <c r="D3749" s="2" t="s">
        <v>17</v>
      </c>
      <c r="E3749" s="5">
        <v>-31709</v>
      </c>
      <c r="F3749" s="3" t="s">
        <v>36</v>
      </c>
      <c r="G3749" s="3" t="s">
        <v>19</v>
      </c>
      <c r="H3749" s="2" t="s">
        <v>20</v>
      </c>
      <c r="I3749" s="2" t="s">
        <v>8065</v>
      </c>
      <c r="J3749" s="3" t="str">
        <f>HYPERLINK("https://www.boe.es/gazeta/dias/1813/03/07/pdfs/GMD-1813-66.pdf#page=4","Abrir facsímil")</f>
        <v>Abrir facsímil</v>
      </c>
      <c r="K3749" s="3" t="s">
        <v>22</v>
      </c>
    </row>
    <row r="3750" spans="1:11" ht="42" customHeight="1">
      <c r="A3750" s="2" t="s">
        <v>8062</v>
      </c>
      <c r="B3750" s="2" t="s">
        <v>8062</v>
      </c>
      <c r="C3750" s="2" t="s">
        <v>109</v>
      </c>
      <c r="D3750" s="2" t="s">
        <v>26</v>
      </c>
      <c r="E3750" s="5">
        <v>-31689</v>
      </c>
      <c r="F3750" s="3" t="s">
        <v>48</v>
      </c>
      <c r="G3750" s="3" t="s">
        <v>162</v>
      </c>
      <c r="H3750" s="2" t="s">
        <v>20</v>
      </c>
      <c r="I3750" s="2" t="s">
        <v>8066</v>
      </c>
      <c r="J3750" s="3" t="str">
        <f>HYPERLINK("https://www.boe.es/gazeta/dias/1813/03/27/pdfs/GRE-1813-38.pdf#page=8","Abrir facsímil")</f>
        <v>Abrir facsímil</v>
      </c>
      <c r="K3750" s="3" t="s">
        <v>22</v>
      </c>
    </row>
    <row r="3751" spans="1:11" ht="42" customHeight="1">
      <c r="A3751" s="2" t="s">
        <v>8062</v>
      </c>
      <c r="B3751" s="2" t="s">
        <v>8062</v>
      </c>
      <c r="C3751" s="2" t="s">
        <v>277</v>
      </c>
      <c r="D3751" s="2" t="s">
        <v>26</v>
      </c>
      <c r="E3751" s="5">
        <v>-31684</v>
      </c>
      <c r="F3751" s="3" t="s">
        <v>2053</v>
      </c>
      <c r="G3751" s="3" t="s">
        <v>239</v>
      </c>
      <c r="H3751" s="2" t="s">
        <v>20</v>
      </c>
      <c r="I3751" s="2" t="s">
        <v>8067</v>
      </c>
      <c r="J3751" s="3" t="str">
        <f>HYPERLINK("https://www.boe.es/gazeta/dias/1813/04/01/pdfs/GMD-1813-91.pdf#page=4","Abrir facsímil")</f>
        <v>Abrir facsímil</v>
      </c>
      <c r="K3751" s="3" t="s">
        <v>22</v>
      </c>
    </row>
    <row r="3752" spans="1:11" ht="42" customHeight="1">
      <c r="A3752" s="2" t="s">
        <v>8062</v>
      </c>
      <c r="B3752" s="2" t="s">
        <v>8062</v>
      </c>
      <c r="C3752" s="2" t="s">
        <v>34</v>
      </c>
      <c r="D3752" s="2" t="s">
        <v>35</v>
      </c>
      <c r="E3752" s="5">
        <v>-31581</v>
      </c>
      <c r="F3752" s="3" t="s">
        <v>3599</v>
      </c>
      <c r="G3752" s="3" t="s">
        <v>19</v>
      </c>
      <c r="H3752" s="2" t="s">
        <v>20</v>
      </c>
      <c r="I3752" s="2" t="s">
        <v>8068</v>
      </c>
      <c r="J3752" s="3" t="str">
        <f>HYPERLINK("https://www.boe.es/gazeta/dias/1813/07/13/pdfs/GRE-1813-88.pdf#page=4","Abrir facsímil")</f>
        <v>Abrir facsímil</v>
      </c>
      <c r="K3752" s="3" t="s">
        <v>22</v>
      </c>
    </row>
    <row r="3753" spans="1:11" ht="42" customHeight="1">
      <c r="A3753" s="2" t="s">
        <v>8062</v>
      </c>
      <c r="B3753" s="2" t="s">
        <v>8062</v>
      </c>
      <c r="C3753" s="2" t="s">
        <v>34</v>
      </c>
      <c r="D3753" s="2" t="s">
        <v>35</v>
      </c>
      <c r="E3753" s="5">
        <v>-31571</v>
      </c>
      <c r="F3753" s="3" t="s">
        <v>788</v>
      </c>
      <c r="G3753" s="3" t="s">
        <v>95</v>
      </c>
      <c r="H3753" s="2" t="s">
        <v>20</v>
      </c>
      <c r="I3753" s="2" t="s">
        <v>8069</v>
      </c>
      <c r="J3753" s="3" t="str">
        <f>HYPERLINK("https://www.boe.es/gazeta/dias/1813/07/23/pdfs/GMR-1813-20.pdf#page=6","Abrir facsímil")</f>
        <v>Abrir facsímil</v>
      </c>
      <c r="K3753" s="3" t="s">
        <v>22</v>
      </c>
    </row>
    <row r="3754" spans="1:11" ht="42" customHeight="1">
      <c r="A3754" s="2" t="s">
        <v>8070</v>
      </c>
      <c r="B3754" s="2" t="s">
        <v>8070</v>
      </c>
      <c r="C3754" s="2" t="s">
        <v>25</v>
      </c>
      <c r="D3754" s="2" t="s">
        <v>26</v>
      </c>
      <c r="E3754" s="5">
        <v>-31647</v>
      </c>
      <c r="F3754" s="3" t="s">
        <v>5110</v>
      </c>
      <c r="G3754" s="3" t="s">
        <v>19</v>
      </c>
      <c r="H3754" s="2" t="s">
        <v>20</v>
      </c>
      <c r="I3754" s="2" t="s">
        <v>8071</v>
      </c>
      <c r="J3754" s="3" t="str">
        <f>HYPERLINK("https://www.boe.es/gazeta/dias/1813/05/08/pdfs/GMD-1813-128.pdf#page=4","Abrir facsímil")</f>
        <v>Abrir facsímil</v>
      </c>
      <c r="K3754" s="3" t="s">
        <v>22</v>
      </c>
    </row>
    <row r="3755" spans="1:11" ht="42" customHeight="1">
      <c r="A3755" s="2" t="s">
        <v>8072</v>
      </c>
      <c r="B3755" s="2" t="s">
        <v>8073</v>
      </c>
      <c r="C3755" s="2" t="s">
        <v>25</v>
      </c>
      <c r="D3755" s="2" t="s">
        <v>26</v>
      </c>
      <c r="E3755" s="5">
        <v>-31745</v>
      </c>
      <c r="F3755" s="3" t="s">
        <v>445</v>
      </c>
      <c r="G3755" s="3" t="s">
        <v>475</v>
      </c>
      <c r="H3755" s="2" t="s">
        <v>20</v>
      </c>
      <c r="I3755" s="2" t="s">
        <v>8074</v>
      </c>
      <c r="J3755" s="3" t="str">
        <f>HYPERLINK("https://www.boe.es/gazeta/dias/1813/01/30/pdfs/GRE-1813-13.pdf#page=7","Abrir facsímil")</f>
        <v>Abrir facsímil</v>
      </c>
      <c r="K3755" s="3" t="s">
        <v>22</v>
      </c>
    </row>
    <row r="3756" spans="1:11" ht="42" customHeight="1">
      <c r="A3756" s="2" t="s">
        <v>8075</v>
      </c>
      <c r="B3756" s="2" t="s">
        <v>8076</v>
      </c>
      <c r="C3756" s="2" t="s">
        <v>16</v>
      </c>
      <c r="D3756" s="2" t="s">
        <v>17</v>
      </c>
      <c r="E3756" s="5">
        <v>-31640</v>
      </c>
      <c r="F3756" s="3" t="s">
        <v>2392</v>
      </c>
      <c r="G3756" s="3" t="s">
        <v>65</v>
      </c>
      <c r="H3756" s="2" t="s">
        <v>20</v>
      </c>
      <c r="I3756" s="2" t="s">
        <v>8077</v>
      </c>
      <c r="J3756" s="3" t="str">
        <f>HYPERLINK("https://www.boe.es/gazeta/dias/1813/05/15/pdfs/GRE-1813-60.pdf#page=1","Abrir facsímil")</f>
        <v>Abrir facsímil</v>
      </c>
      <c r="K3756" s="3" t="s">
        <v>22</v>
      </c>
    </row>
    <row r="3757" spans="1:11" ht="42" customHeight="1">
      <c r="A3757" s="2" t="s">
        <v>8078</v>
      </c>
      <c r="B3757" s="2" t="s">
        <v>8079</v>
      </c>
      <c r="C3757" s="2" t="s">
        <v>25</v>
      </c>
      <c r="D3757" s="2" t="s">
        <v>26</v>
      </c>
      <c r="E3757" s="5">
        <v>-31640</v>
      </c>
      <c r="F3757" s="3" t="s">
        <v>2392</v>
      </c>
      <c r="G3757" s="3" t="s">
        <v>65</v>
      </c>
      <c r="H3757" s="2" t="s">
        <v>20</v>
      </c>
      <c r="I3757" s="2" t="s">
        <v>8080</v>
      </c>
      <c r="J3757" s="3" t="str">
        <f>HYPERLINK("https://www.boe.es/gazeta/dias/1813/05/15/pdfs/GRE-1813-60.pdf#page=1","Abrir facsímil")</f>
        <v>Abrir facsímil</v>
      </c>
      <c r="K3757" s="3" t="s">
        <v>22</v>
      </c>
    </row>
    <row r="3758" spans="1:11" ht="42" customHeight="1">
      <c r="A3758" s="2" t="s">
        <v>8081</v>
      </c>
      <c r="B3758" s="2" t="s">
        <v>8081</v>
      </c>
      <c r="C3758" s="2" t="s">
        <v>16</v>
      </c>
      <c r="D3758" s="2" t="s">
        <v>17</v>
      </c>
      <c r="E3758" s="5">
        <v>-31626</v>
      </c>
      <c r="F3758" s="3" t="s">
        <v>64</v>
      </c>
      <c r="G3758" s="3" t="s">
        <v>8082</v>
      </c>
      <c r="H3758" s="2" t="s">
        <v>20</v>
      </c>
      <c r="I3758" s="2" t="s">
        <v>8083</v>
      </c>
      <c r="J3758" s="3" t="str">
        <f>HYPERLINK("https://www.boe.es/gazeta/dias/1813/05/29/pdfs/GRE-1813-66.pdf#page=8","Abrir facsímil")</f>
        <v>Abrir facsímil</v>
      </c>
      <c r="K3758" s="3" t="s">
        <v>22</v>
      </c>
    </row>
    <row r="3759" spans="1:11" ht="42" customHeight="1">
      <c r="A3759" s="2" t="s">
        <v>8084</v>
      </c>
      <c r="B3759" s="2" t="s">
        <v>8084</v>
      </c>
      <c r="C3759" s="2" t="s">
        <v>16</v>
      </c>
      <c r="D3759" s="2" t="s">
        <v>17</v>
      </c>
      <c r="E3759" s="5">
        <v>-31448</v>
      </c>
      <c r="F3759" s="3" t="s">
        <v>57</v>
      </c>
      <c r="G3759" s="3" t="s">
        <v>58</v>
      </c>
      <c r="H3759" s="2" t="s">
        <v>20</v>
      </c>
      <c r="I3759" s="2" t="s">
        <v>8085</v>
      </c>
      <c r="J3759" s="3" t="str">
        <f>HYPERLINK("https://www.boe.es/gazeta/dias/1813/11/23/pdfs/GRE-1813-153.pdf#page=2","Abrir facsímil")</f>
        <v>Abrir facsímil</v>
      </c>
      <c r="K3759" s="3" t="s">
        <v>22</v>
      </c>
    </row>
    <row r="3760" spans="1:11" ht="42" customHeight="1">
      <c r="A3760" s="2" t="s">
        <v>8086</v>
      </c>
      <c r="B3760" s="2" t="s">
        <v>8086</v>
      </c>
      <c r="C3760" s="2" t="s">
        <v>34</v>
      </c>
      <c r="D3760" s="2" t="s">
        <v>35</v>
      </c>
      <c r="E3760" s="5">
        <v>-31633</v>
      </c>
      <c r="F3760" s="3" t="s">
        <v>6276</v>
      </c>
      <c r="G3760" s="3" t="s">
        <v>65</v>
      </c>
      <c r="H3760" s="2" t="s">
        <v>20</v>
      </c>
      <c r="I3760" s="2" t="s">
        <v>8087</v>
      </c>
      <c r="J3760" s="3" t="str">
        <f>HYPERLINK("https://www.boe.es/gazeta/dias/1813/05/22/pdfs/GMD-1813-142.pdf#page=1","Abrir facsímil")</f>
        <v>Abrir facsímil</v>
      </c>
      <c r="K3760" s="3" t="s">
        <v>22</v>
      </c>
    </row>
    <row r="3761" spans="1:11" ht="42" customHeight="1">
      <c r="A3761" s="2" t="s">
        <v>8088</v>
      </c>
      <c r="B3761" s="2" t="s">
        <v>8088</v>
      </c>
      <c r="C3761" s="2" t="s">
        <v>435</v>
      </c>
      <c r="D3761" s="2" t="s">
        <v>26</v>
      </c>
      <c r="E3761" s="5">
        <v>-31763</v>
      </c>
      <c r="F3761" s="3" t="s">
        <v>4470</v>
      </c>
      <c r="G3761" s="3" t="s">
        <v>54</v>
      </c>
      <c r="H3761" s="2" t="s">
        <v>20</v>
      </c>
      <c r="I3761" s="2" t="s">
        <v>8089</v>
      </c>
      <c r="J3761" s="3" t="str">
        <f>HYPERLINK("https://www.boe.es/gazeta/dias/1813/01/12/pdfs/GMD-1813-12.pdf#page=3","Abrir facsímil")</f>
        <v>Abrir facsímil</v>
      </c>
      <c r="K3761" s="3" t="s">
        <v>22</v>
      </c>
    </row>
    <row r="3762" spans="1:11" ht="42" customHeight="1">
      <c r="A3762" s="2" t="s">
        <v>8090</v>
      </c>
      <c r="B3762" s="2" t="s">
        <v>8090</v>
      </c>
      <c r="C3762" s="2" t="s">
        <v>16</v>
      </c>
      <c r="D3762" s="2" t="s">
        <v>17</v>
      </c>
      <c r="E3762" s="5">
        <v>-31728</v>
      </c>
      <c r="F3762" s="3" t="s">
        <v>1434</v>
      </c>
      <c r="G3762" s="3" t="s">
        <v>95</v>
      </c>
      <c r="H3762" s="2" t="s">
        <v>20</v>
      </c>
      <c r="I3762" s="2" t="s">
        <v>8091</v>
      </c>
      <c r="J3762" s="3" t="str">
        <f>HYPERLINK("https://www.boe.es/gazeta/dias/1813/02/16/pdfs/GRE-1813-20.pdf#page=6","Abrir facsímil")</f>
        <v>Abrir facsímil</v>
      </c>
      <c r="K3762" s="3" t="s">
        <v>22</v>
      </c>
    </row>
    <row r="3763" spans="1:11" ht="42" customHeight="1">
      <c r="A3763" s="2" t="s">
        <v>8092</v>
      </c>
      <c r="B3763" s="2" t="s">
        <v>8092</v>
      </c>
      <c r="C3763" s="2" t="s">
        <v>16</v>
      </c>
      <c r="D3763" s="2" t="s">
        <v>17</v>
      </c>
      <c r="E3763" s="5">
        <v>-31411</v>
      </c>
      <c r="F3763" s="3" t="s">
        <v>3702</v>
      </c>
      <c r="G3763" s="3" t="s">
        <v>58</v>
      </c>
      <c r="H3763" s="2" t="s">
        <v>20</v>
      </c>
      <c r="I3763" s="2" t="s">
        <v>8093</v>
      </c>
      <c r="J3763" s="3" t="str">
        <f>HYPERLINK("https://www.boe.es/gazeta/dias/1813/12/30/pdfs/GRE-1813-171.pdf#page=2","Abrir facsímil")</f>
        <v>Abrir facsímil</v>
      </c>
      <c r="K3763" s="3" t="s">
        <v>22</v>
      </c>
    </row>
    <row r="3764" spans="1:11" ht="42" customHeight="1">
      <c r="A3764" s="2" t="s">
        <v>8094</v>
      </c>
      <c r="B3764" s="2" t="s">
        <v>8094</v>
      </c>
      <c r="C3764" s="2" t="s">
        <v>16</v>
      </c>
      <c r="D3764" s="2" t="s">
        <v>17</v>
      </c>
      <c r="E3764" s="5">
        <v>-31514</v>
      </c>
      <c r="F3764" s="3" t="s">
        <v>2099</v>
      </c>
      <c r="G3764" s="3" t="s">
        <v>19</v>
      </c>
      <c r="H3764" s="2" t="s">
        <v>20</v>
      </c>
      <c r="I3764" s="2" t="s">
        <v>8095</v>
      </c>
      <c r="J3764" s="3" t="str">
        <f>HYPERLINK("https://www.boe.es/gazeta/dias/1813/09/18/pdfs/GMR-1813-45.pdf#page=4","Abrir facsímil")</f>
        <v>Abrir facsímil</v>
      </c>
      <c r="K3764" s="3" t="s">
        <v>22</v>
      </c>
    </row>
    <row r="3765" spans="1:11" ht="42" customHeight="1">
      <c r="A3765" s="2" t="s">
        <v>8096</v>
      </c>
      <c r="B3765" s="2" t="s">
        <v>8097</v>
      </c>
      <c r="C3765" s="2" t="s">
        <v>16</v>
      </c>
      <c r="D3765" s="2" t="s">
        <v>17</v>
      </c>
      <c r="E3765" s="5">
        <v>-31770</v>
      </c>
      <c r="F3765" s="3" t="s">
        <v>188</v>
      </c>
      <c r="G3765" s="3" t="s">
        <v>82</v>
      </c>
      <c r="H3765" s="2" t="s">
        <v>20</v>
      </c>
      <c r="I3765" s="2" t="s">
        <v>8098</v>
      </c>
      <c r="J3765" s="3" t="str">
        <f>HYPERLINK("https://www.boe.es/gazeta/dias/1813/01/05/pdfs/GRE-1813-3.pdf#page=5","Abrir facsímil")</f>
        <v>Abrir facsímil</v>
      </c>
      <c r="K3765" s="3" t="s">
        <v>22</v>
      </c>
    </row>
    <row r="3766" spans="1:11" ht="42" customHeight="1">
      <c r="A3766" s="2" t="s">
        <v>8096</v>
      </c>
      <c r="B3766" s="2" t="s">
        <v>8097</v>
      </c>
      <c r="C3766" s="2" t="s">
        <v>16</v>
      </c>
      <c r="D3766" s="2" t="s">
        <v>17</v>
      </c>
      <c r="E3766" s="5">
        <v>-31768</v>
      </c>
      <c r="F3766" s="3" t="s">
        <v>188</v>
      </c>
      <c r="G3766" s="3" t="s">
        <v>82</v>
      </c>
      <c r="H3766" s="2" t="s">
        <v>20</v>
      </c>
      <c r="I3766" s="2" t="s">
        <v>8098</v>
      </c>
      <c r="J3766" s="3" t="str">
        <f>HYPERLINK("https://www.boe.es/gazeta/dias/1813/01/07/pdfs/GRE-1813-3.pdf#page=5","Abrir facsímil")</f>
        <v>Abrir facsímil</v>
      </c>
      <c r="K3766" s="3" t="s">
        <v>22</v>
      </c>
    </row>
    <row r="3767" spans="1:11" ht="42" customHeight="1">
      <c r="A3767" s="2" t="s">
        <v>8099</v>
      </c>
      <c r="B3767" s="2" t="s">
        <v>8099</v>
      </c>
      <c r="C3767" s="2" t="s">
        <v>16</v>
      </c>
      <c r="D3767" s="2" t="s">
        <v>17</v>
      </c>
      <c r="E3767" s="5">
        <v>-31743</v>
      </c>
      <c r="F3767" s="3" t="s">
        <v>2711</v>
      </c>
      <c r="G3767" s="3" t="s">
        <v>65</v>
      </c>
      <c r="H3767" s="2" t="s">
        <v>20</v>
      </c>
      <c r="I3767" s="2" t="s">
        <v>8100</v>
      </c>
      <c r="J3767" s="3" t="str">
        <f>HYPERLINK("https://www.boe.es/gazeta/dias/1813/02/01/pdfs/GMD-1813-32.pdf#page=1","Abrir facsímil")</f>
        <v>Abrir facsímil</v>
      </c>
      <c r="K3767" s="3" t="s">
        <v>22</v>
      </c>
    </row>
    <row r="3768" spans="1:11" ht="42" customHeight="1">
      <c r="A3768" s="2" t="s">
        <v>8101</v>
      </c>
      <c r="B3768" s="2" t="s">
        <v>8101</v>
      </c>
      <c r="C3768" s="2" t="s">
        <v>16</v>
      </c>
      <c r="D3768" s="2" t="s">
        <v>17</v>
      </c>
      <c r="E3768" s="5">
        <v>-31677</v>
      </c>
      <c r="F3768" s="3" t="s">
        <v>76</v>
      </c>
      <c r="G3768" s="3" t="s">
        <v>8102</v>
      </c>
      <c r="H3768" s="2" t="s">
        <v>20</v>
      </c>
      <c r="I3768" s="2" t="s">
        <v>8103</v>
      </c>
      <c r="J3768" s="3" t="str">
        <f>HYPERLINK("https://www.boe.es/gazeta/dias/1813/04/08/pdfs/GRE-1813-43.pdf#page=2","Abrir facsímil")</f>
        <v>Abrir facsímil</v>
      </c>
      <c r="K3768" s="3" t="s">
        <v>22</v>
      </c>
    </row>
    <row r="3769" spans="1:11" ht="42" customHeight="1">
      <c r="A3769" s="2" t="s">
        <v>8104</v>
      </c>
      <c r="B3769" s="2" t="s">
        <v>8104</v>
      </c>
      <c r="C3769" s="2" t="s">
        <v>34</v>
      </c>
      <c r="D3769" s="2" t="s">
        <v>35</v>
      </c>
      <c r="E3769" s="5">
        <v>-31648</v>
      </c>
      <c r="F3769" s="3" t="s">
        <v>3263</v>
      </c>
      <c r="G3769" s="3" t="s">
        <v>58</v>
      </c>
      <c r="H3769" s="2" t="s">
        <v>20</v>
      </c>
      <c r="I3769" s="2" t="s">
        <v>8105</v>
      </c>
      <c r="J3769" s="3" t="str">
        <f>HYPERLINK("https://www.boe.es/gazeta/dias/1813/05/07/pdfs/GMD-1813-127.pdf#page=2","Abrir facsímil")</f>
        <v>Abrir facsímil</v>
      </c>
      <c r="K3769" s="3" t="s">
        <v>22</v>
      </c>
    </row>
    <row r="3770" spans="1:11" ht="42" customHeight="1">
      <c r="A3770" s="2" t="s">
        <v>8106</v>
      </c>
      <c r="B3770" s="2" t="s">
        <v>8106</v>
      </c>
      <c r="C3770" s="2" t="s">
        <v>16</v>
      </c>
      <c r="D3770" s="2" t="s">
        <v>17</v>
      </c>
      <c r="E3770" s="5">
        <v>-31535</v>
      </c>
      <c r="F3770" s="3" t="s">
        <v>366</v>
      </c>
      <c r="G3770" s="3" t="s">
        <v>95</v>
      </c>
      <c r="H3770" s="2" t="s">
        <v>20</v>
      </c>
      <c r="I3770" s="2" t="s">
        <v>8107</v>
      </c>
      <c r="J3770" s="3" t="str">
        <f>HYPERLINK("https://www.boe.es/gazeta/dias/1813/08/28/pdfs/GRE-1813-110.pdf#page=6","Abrir facsímil")</f>
        <v>Abrir facsímil</v>
      </c>
      <c r="K3770" s="3" t="s">
        <v>22</v>
      </c>
    </row>
    <row r="3771" spans="1:11" ht="42" customHeight="1">
      <c r="A3771" s="2" t="s">
        <v>8108</v>
      </c>
      <c r="B3771" s="2" t="s">
        <v>8108</v>
      </c>
      <c r="C3771" s="2" t="s">
        <v>16</v>
      </c>
      <c r="D3771" s="2" t="s">
        <v>17</v>
      </c>
      <c r="E3771" s="5">
        <v>-31722</v>
      </c>
      <c r="F3771" s="3" t="s">
        <v>3675</v>
      </c>
      <c r="G3771" s="3" t="s">
        <v>58</v>
      </c>
      <c r="H3771" s="2" t="s">
        <v>20</v>
      </c>
      <c r="I3771" s="2" t="s">
        <v>8109</v>
      </c>
      <c r="J3771" s="3" t="str">
        <f>HYPERLINK("https://www.boe.es/gazeta/dias/1813/02/22/pdfs/GMD-1813-53.pdf#page=2","Abrir facsímil")</f>
        <v>Abrir facsímil</v>
      </c>
      <c r="K3771" s="3" t="s">
        <v>22</v>
      </c>
    </row>
    <row r="3772" spans="1:11" ht="42" customHeight="1">
      <c r="A3772" s="2" t="s">
        <v>8110</v>
      </c>
      <c r="B3772" s="2" t="s">
        <v>8110</v>
      </c>
      <c r="C3772" s="2" t="s">
        <v>16</v>
      </c>
      <c r="D3772" s="2" t="s">
        <v>17</v>
      </c>
      <c r="E3772" s="5">
        <v>-31745</v>
      </c>
      <c r="F3772" s="3" t="s">
        <v>445</v>
      </c>
      <c r="G3772" s="3" t="s">
        <v>5433</v>
      </c>
      <c r="H3772" s="2" t="s">
        <v>20</v>
      </c>
      <c r="I3772" s="2" t="s">
        <v>8111</v>
      </c>
      <c r="J3772" s="3" t="str">
        <f>HYPERLINK("https://www.boe.es/gazeta/dias/1813/01/30/pdfs/GRE-1813-13.pdf#page=6","Abrir facsímil")</f>
        <v>Abrir facsímil</v>
      </c>
      <c r="K3772" s="3" t="s">
        <v>22</v>
      </c>
    </row>
    <row r="3773" spans="1:11" ht="42" customHeight="1">
      <c r="A3773" s="2" t="s">
        <v>8112</v>
      </c>
      <c r="B3773" s="2" t="s">
        <v>8112</v>
      </c>
      <c r="C3773" s="2" t="s">
        <v>16</v>
      </c>
      <c r="D3773" s="2" t="s">
        <v>17</v>
      </c>
      <c r="E3773" s="5">
        <v>-31646</v>
      </c>
      <c r="F3773" s="3" t="s">
        <v>1523</v>
      </c>
      <c r="G3773" s="3" t="s">
        <v>65</v>
      </c>
      <c r="H3773" s="2" t="s">
        <v>20</v>
      </c>
      <c r="I3773" s="2" t="s">
        <v>8113</v>
      </c>
      <c r="J3773" s="3" t="str">
        <f>HYPERLINK("https://www.boe.es/gazeta/dias/1813/05/09/pdfs/GMD-1813-129.pdf#page=1","Abrir facsímil")</f>
        <v>Abrir facsímil</v>
      </c>
      <c r="K3773" s="3" t="s">
        <v>22</v>
      </c>
    </row>
    <row r="3774" spans="1:11" ht="42" customHeight="1">
      <c r="A3774" s="2" t="s">
        <v>8114</v>
      </c>
      <c r="B3774" s="2" t="s">
        <v>8115</v>
      </c>
      <c r="C3774" s="2" t="s">
        <v>16</v>
      </c>
      <c r="D3774" s="2" t="s">
        <v>97</v>
      </c>
      <c r="E3774" s="5">
        <v>-31670</v>
      </c>
      <c r="F3774" s="3" t="s">
        <v>98</v>
      </c>
      <c r="G3774" s="3" t="s">
        <v>65</v>
      </c>
      <c r="H3774" s="2" t="s">
        <v>20</v>
      </c>
      <c r="I3774" s="2" t="s">
        <v>8116</v>
      </c>
      <c r="J3774" s="3" t="str">
        <f>HYPERLINK("https://www.boe.es/gazeta/dias/1813/04/15/pdfs/GRE-1813-47E.pdf#page=1","Abrir facsímil")</f>
        <v>Abrir facsímil</v>
      </c>
      <c r="K3774" s="3" t="s">
        <v>22</v>
      </c>
    </row>
    <row r="3775" spans="1:11" ht="42" customHeight="1">
      <c r="A3775" s="2" t="s">
        <v>8114</v>
      </c>
      <c r="B3775" s="2" t="s">
        <v>8115</v>
      </c>
      <c r="C3775" s="2" t="s">
        <v>16</v>
      </c>
      <c r="D3775" s="2" t="s">
        <v>97</v>
      </c>
      <c r="E3775" s="5">
        <v>-31670</v>
      </c>
      <c r="F3775" s="3" t="s">
        <v>98</v>
      </c>
      <c r="G3775" s="3" t="s">
        <v>87</v>
      </c>
      <c r="H3775" s="2" t="s">
        <v>20</v>
      </c>
      <c r="I3775" s="2" t="s">
        <v>8117</v>
      </c>
      <c r="J3775" s="3" t="str">
        <f>HYPERLINK("https://www.boe.es/gazeta/dias/1813/04/15/pdfs/GRE-1813-47E.pdf#page=7","Abrir facsímil")</f>
        <v>Abrir facsímil</v>
      </c>
      <c r="K3775" s="3" t="s">
        <v>22</v>
      </c>
    </row>
    <row r="3776" spans="1:11" ht="42" customHeight="1">
      <c r="A3776" s="2" t="s">
        <v>8118</v>
      </c>
      <c r="B3776" s="2" t="s">
        <v>8118</v>
      </c>
      <c r="C3776" s="2" t="s">
        <v>16</v>
      </c>
      <c r="D3776" s="2" t="s">
        <v>17</v>
      </c>
      <c r="E3776" s="5">
        <v>-31747</v>
      </c>
      <c r="F3776" s="3" t="s">
        <v>86</v>
      </c>
      <c r="G3776" s="3" t="s">
        <v>3232</v>
      </c>
      <c r="H3776" s="2" t="s">
        <v>20</v>
      </c>
      <c r="I3776" s="2" t="s">
        <v>8119</v>
      </c>
      <c r="J3776" s="3" t="str">
        <f>HYPERLINK("https://www.boe.es/gazeta/dias/1813/01/28/pdfs/GRE-1813-12.pdf#page=6","Abrir facsímil")</f>
        <v>Abrir facsímil</v>
      </c>
      <c r="K3776" s="3" t="s">
        <v>22</v>
      </c>
    </row>
    <row r="3777" spans="1:11" ht="42" customHeight="1">
      <c r="A3777" s="2" t="s">
        <v>8120</v>
      </c>
      <c r="B3777" s="2" t="s">
        <v>8121</v>
      </c>
      <c r="C3777" s="2" t="s">
        <v>16</v>
      </c>
      <c r="D3777" s="2" t="s">
        <v>17</v>
      </c>
      <c r="E3777" s="5">
        <v>-31747</v>
      </c>
      <c r="F3777" s="3" t="s">
        <v>86</v>
      </c>
      <c r="G3777" s="3" t="s">
        <v>8122</v>
      </c>
      <c r="H3777" s="2" t="s">
        <v>20</v>
      </c>
      <c r="I3777" s="2" t="s">
        <v>8123</v>
      </c>
      <c r="J3777" s="3" t="str">
        <f>HYPERLINK("https://www.boe.es/gazeta/dias/1813/01/28/pdfs/GRE-1813-12.pdf#page=5","Abrir facsímil")</f>
        <v>Abrir facsímil</v>
      </c>
      <c r="K3777" s="3" t="s">
        <v>22</v>
      </c>
    </row>
    <row r="3778" spans="1:11" ht="42" customHeight="1">
      <c r="A3778" s="2" t="s">
        <v>8124</v>
      </c>
      <c r="B3778" s="2" t="s">
        <v>8125</v>
      </c>
      <c r="C3778" s="2" t="s">
        <v>16</v>
      </c>
      <c r="D3778" s="2" t="s">
        <v>17</v>
      </c>
      <c r="E3778" s="5">
        <v>-31663</v>
      </c>
      <c r="F3778" s="3" t="s">
        <v>2638</v>
      </c>
      <c r="G3778" s="3" t="s">
        <v>7597</v>
      </c>
      <c r="H3778" s="2" t="s">
        <v>20</v>
      </c>
      <c r="I3778" s="2" t="s">
        <v>8126</v>
      </c>
      <c r="J3778" s="3" t="str">
        <f>HYPERLINK("https://www.boe.es/gazeta/dias/1813/04/22/pdfs/GRE-1813-50.pdf#page=8","Abrir facsímil")</f>
        <v>Abrir facsímil</v>
      </c>
      <c r="K3778" s="3" t="s">
        <v>22</v>
      </c>
    </row>
    <row r="3779" spans="1:11" ht="42" customHeight="1">
      <c r="A3779" s="2" t="s">
        <v>8127</v>
      </c>
      <c r="B3779" s="2" t="s">
        <v>8127</v>
      </c>
      <c r="C3779" s="2" t="s">
        <v>34</v>
      </c>
      <c r="D3779" s="2" t="s">
        <v>35</v>
      </c>
      <c r="E3779" s="5">
        <v>-31648</v>
      </c>
      <c r="F3779" s="3" t="s">
        <v>3263</v>
      </c>
      <c r="G3779" s="3" t="s">
        <v>58</v>
      </c>
      <c r="H3779" s="2" t="s">
        <v>20</v>
      </c>
      <c r="I3779" s="2" t="s">
        <v>8128</v>
      </c>
      <c r="J3779" s="3" t="str">
        <f>HYPERLINK("https://www.boe.es/gazeta/dias/1813/05/07/pdfs/GMD-1813-127.pdf#page=2","Abrir facsímil")</f>
        <v>Abrir facsímil</v>
      </c>
      <c r="K3779" s="3" t="s">
        <v>22</v>
      </c>
    </row>
    <row r="3780" spans="1:11" ht="42" customHeight="1">
      <c r="A3780" s="2" t="s">
        <v>8129</v>
      </c>
      <c r="B3780" s="2" t="s">
        <v>8129</v>
      </c>
      <c r="C3780" s="2" t="s">
        <v>16</v>
      </c>
      <c r="D3780" s="2" t="s">
        <v>17</v>
      </c>
      <c r="E3780" s="5">
        <v>-31695</v>
      </c>
      <c r="F3780" s="3" t="s">
        <v>2770</v>
      </c>
      <c r="G3780" s="3" t="s">
        <v>54</v>
      </c>
      <c r="H3780" s="2" t="s">
        <v>20</v>
      </c>
      <c r="I3780" s="2" t="s">
        <v>8130</v>
      </c>
      <c r="J3780" s="3" t="str">
        <f>HYPERLINK("https://www.boe.es/gazeta/dias/1813/03/21/pdfs/GMD-1813-80.pdf#page=3","Abrir facsímil")</f>
        <v>Abrir facsímil</v>
      </c>
      <c r="K3780" s="3" t="s">
        <v>22</v>
      </c>
    </row>
    <row r="3781" spans="1:11" ht="42" customHeight="1">
      <c r="A3781" s="2" t="s">
        <v>8131</v>
      </c>
      <c r="B3781" s="2" t="s">
        <v>8131</v>
      </c>
      <c r="C3781" s="2" t="s">
        <v>16</v>
      </c>
      <c r="D3781" s="2" t="s">
        <v>97</v>
      </c>
      <c r="E3781" s="5">
        <v>-31519</v>
      </c>
      <c r="F3781" s="3" t="s">
        <v>312</v>
      </c>
      <c r="G3781" s="3" t="s">
        <v>4627</v>
      </c>
      <c r="H3781" s="2" t="s">
        <v>20</v>
      </c>
      <c r="I3781" s="2" t="s">
        <v>8132</v>
      </c>
      <c r="J3781" s="3" t="str">
        <f>HYPERLINK("https://www.boe.es/gazeta/dias/1813/09/13/pdfs/GRE-1813-118E.pdf#page=3","Abrir facsímil")</f>
        <v>Abrir facsímil</v>
      </c>
      <c r="K3781" s="3" t="s">
        <v>22</v>
      </c>
    </row>
    <row r="3782" spans="1:11" ht="42" customHeight="1">
      <c r="A3782" s="2" t="s">
        <v>8133</v>
      </c>
      <c r="B3782" s="2" t="s">
        <v>8133</v>
      </c>
      <c r="C3782" s="2" t="s">
        <v>16</v>
      </c>
      <c r="D3782" s="2" t="s">
        <v>17</v>
      </c>
      <c r="E3782" s="5">
        <v>-31592</v>
      </c>
      <c r="F3782" s="3" t="s">
        <v>175</v>
      </c>
      <c r="G3782" s="3" t="s">
        <v>82</v>
      </c>
      <c r="H3782" s="2" t="s">
        <v>20</v>
      </c>
      <c r="I3782" s="2" t="s">
        <v>8134</v>
      </c>
      <c r="J3782" s="3" t="str">
        <f>HYPERLINK("https://www.boe.es/gazeta/dias/1813/07/02/pdfs/GRE-1813-82.pdf#page=5","Abrir facsímil")</f>
        <v>Abrir facsímil</v>
      </c>
      <c r="K3782" s="3" t="s">
        <v>22</v>
      </c>
    </row>
    <row r="3783" spans="1:11" ht="42" customHeight="1">
      <c r="A3783" s="2" t="s">
        <v>8133</v>
      </c>
      <c r="B3783" s="2" t="s">
        <v>8133</v>
      </c>
      <c r="C3783" s="2" t="s">
        <v>16</v>
      </c>
      <c r="D3783" s="2" t="s">
        <v>17</v>
      </c>
      <c r="E3783" s="5">
        <v>-31585</v>
      </c>
      <c r="F3783" s="3" t="s">
        <v>177</v>
      </c>
      <c r="G3783" s="3" t="s">
        <v>207</v>
      </c>
      <c r="H3783" s="2" t="s">
        <v>20</v>
      </c>
      <c r="I3783" s="2" t="s">
        <v>8135</v>
      </c>
      <c r="J3783" s="3" t="str">
        <f>HYPERLINK("https://www.boe.es/gazeta/dias/1813/07/09/pdfs/GMR-1813-16.pdf#page=10","Abrir facsímil")</f>
        <v>Abrir facsímil</v>
      </c>
      <c r="K3783" s="3" t="s">
        <v>22</v>
      </c>
    </row>
    <row r="3784" spans="1:11" ht="42" customHeight="1">
      <c r="A3784" s="2" t="s">
        <v>8133</v>
      </c>
      <c r="B3784" s="2" t="s">
        <v>8133</v>
      </c>
      <c r="C3784" s="2" t="s">
        <v>16</v>
      </c>
      <c r="D3784" s="2" t="s">
        <v>17</v>
      </c>
      <c r="E3784" s="5">
        <v>-31511</v>
      </c>
      <c r="F3784" s="3" t="s">
        <v>935</v>
      </c>
      <c r="G3784" s="3" t="s">
        <v>207</v>
      </c>
      <c r="H3784" s="2" t="s">
        <v>20</v>
      </c>
      <c r="I3784" s="2" t="s">
        <v>8136</v>
      </c>
      <c r="J3784" s="3" t="str">
        <f>HYPERLINK("https://www.boe.es/gazeta/dias/1813/09/21/pdfs/GMR-1813-46.pdf#page=10","Abrir facsímil")</f>
        <v>Abrir facsímil</v>
      </c>
      <c r="K3784" s="3" t="s">
        <v>22</v>
      </c>
    </row>
    <row r="3785" spans="1:11" ht="42" customHeight="1">
      <c r="A3785" s="2" t="s">
        <v>8137</v>
      </c>
      <c r="B3785" s="2" t="s">
        <v>8137</v>
      </c>
      <c r="C3785" s="2" t="s">
        <v>16</v>
      </c>
      <c r="D3785" s="2" t="s">
        <v>17</v>
      </c>
      <c r="E3785" s="5">
        <v>-31511</v>
      </c>
      <c r="F3785" s="3" t="s">
        <v>935</v>
      </c>
      <c r="G3785" s="3" t="s">
        <v>207</v>
      </c>
      <c r="H3785" s="2" t="s">
        <v>20</v>
      </c>
      <c r="I3785" s="2" t="s">
        <v>8138</v>
      </c>
      <c r="J3785" s="3" t="str">
        <f>HYPERLINK("https://www.boe.es/gazeta/dias/1813/09/21/pdfs/GMR-1813-46.pdf#page=10","Abrir facsímil")</f>
        <v>Abrir facsímil</v>
      </c>
      <c r="K3785" s="3" t="s">
        <v>22</v>
      </c>
    </row>
    <row r="3786" spans="1:11" ht="42" customHeight="1">
      <c r="A3786" s="2" t="s">
        <v>8139</v>
      </c>
      <c r="B3786" s="2" t="s">
        <v>8139</v>
      </c>
      <c r="C3786" s="2" t="s">
        <v>16</v>
      </c>
      <c r="D3786" s="2" t="s">
        <v>17</v>
      </c>
      <c r="E3786" s="5">
        <v>-31432</v>
      </c>
      <c r="F3786" s="3" t="s">
        <v>702</v>
      </c>
      <c r="G3786" s="3" t="s">
        <v>87</v>
      </c>
      <c r="H3786" s="2" t="s">
        <v>20</v>
      </c>
      <c r="I3786" s="2" t="s">
        <v>8140</v>
      </c>
      <c r="J3786" s="3" t="str">
        <f>HYPERLINK("https://www.boe.es/gazeta/dias/1813/12/09/pdfs/GMR-1813-85.pdf#page=7","Abrir facsímil")</f>
        <v>Abrir facsímil</v>
      </c>
      <c r="K3786" s="3" t="s">
        <v>22</v>
      </c>
    </row>
    <row r="3787" spans="1:11" ht="42" customHeight="1">
      <c r="A3787" s="2" t="s">
        <v>8141</v>
      </c>
      <c r="B3787" s="2" t="s">
        <v>8142</v>
      </c>
      <c r="C3787" s="2" t="s">
        <v>25</v>
      </c>
      <c r="D3787" s="2" t="s">
        <v>26</v>
      </c>
      <c r="E3787" s="5">
        <v>-31413</v>
      </c>
      <c r="F3787" s="3" t="s">
        <v>149</v>
      </c>
      <c r="G3787" s="3" t="s">
        <v>28</v>
      </c>
      <c r="H3787" s="2" t="s">
        <v>20</v>
      </c>
      <c r="I3787" s="2" t="s">
        <v>8143</v>
      </c>
      <c r="J3787" s="3" t="str">
        <f>HYPERLINK("https://www.boe.es/gazeta/dias/1813/12/28/pdfs/GMR-1813-93.pdf#page=8","Abrir facsímil")</f>
        <v>Abrir facsímil</v>
      </c>
      <c r="K3787" s="3" t="s">
        <v>22</v>
      </c>
    </row>
    <row r="3788" spans="1:11" ht="42" customHeight="1">
      <c r="A3788" s="2" t="s">
        <v>8144</v>
      </c>
      <c r="B3788" s="2" t="s">
        <v>8144</v>
      </c>
      <c r="C3788" s="2" t="s">
        <v>16</v>
      </c>
      <c r="D3788" s="2" t="s">
        <v>97</v>
      </c>
      <c r="E3788" s="5">
        <v>-31519</v>
      </c>
      <c r="F3788" s="3" t="s">
        <v>312</v>
      </c>
      <c r="G3788" s="3" t="s">
        <v>4627</v>
      </c>
      <c r="H3788" s="2" t="s">
        <v>20</v>
      </c>
      <c r="I3788" s="2" t="s">
        <v>8145</v>
      </c>
      <c r="J3788" s="3" t="str">
        <f>HYPERLINK("https://www.boe.es/gazeta/dias/1813/09/13/pdfs/GRE-1813-118E.pdf#page=3","Abrir facsímil")</f>
        <v>Abrir facsímil</v>
      </c>
      <c r="K3788" s="3" t="s">
        <v>22</v>
      </c>
    </row>
    <row r="3789" spans="1:11" ht="42" customHeight="1">
      <c r="A3789" s="2" t="s">
        <v>8146</v>
      </c>
      <c r="B3789" s="2" t="s">
        <v>8147</v>
      </c>
      <c r="C3789" s="2" t="s">
        <v>34</v>
      </c>
      <c r="D3789" s="2" t="s">
        <v>35</v>
      </c>
      <c r="E3789" s="5">
        <v>-31709</v>
      </c>
      <c r="F3789" s="3" t="s">
        <v>36</v>
      </c>
      <c r="G3789" s="3" t="s">
        <v>303</v>
      </c>
      <c r="H3789" s="2" t="s">
        <v>20</v>
      </c>
      <c r="I3789" s="2" t="s">
        <v>8148</v>
      </c>
      <c r="J3789" s="3" t="str">
        <f>HYPERLINK("https://www.boe.es/gazeta/dias/1813/03/07/pdfs/GMD-1813-66.pdf#page=3","Abrir facsímil")</f>
        <v>Abrir facsímil</v>
      </c>
      <c r="K3789" s="3" t="s">
        <v>22</v>
      </c>
    </row>
    <row r="3790" spans="1:11" ht="42" customHeight="1">
      <c r="A3790" s="2" t="s">
        <v>8149</v>
      </c>
      <c r="B3790" s="2" t="s">
        <v>8150</v>
      </c>
      <c r="C3790" s="2" t="s">
        <v>16</v>
      </c>
      <c r="D3790" s="2" t="s">
        <v>17</v>
      </c>
      <c r="E3790" s="5">
        <v>-31567</v>
      </c>
      <c r="F3790" s="3" t="s">
        <v>1471</v>
      </c>
      <c r="G3790" s="3" t="s">
        <v>82</v>
      </c>
      <c r="H3790" s="2" t="s">
        <v>20</v>
      </c>
      <c r="I3790" s="2" t="s">
        <v>8151</v>
      </c>
      <c r="J3790" s="3" t="str">
        <f>HYPERLINK("https://www.boe.es/gazeta/dias/1813/07/27/pdfs/GRE-1813-95.pdf#page=5","Abrir facsímil")</f>
        <v>Abrir facsímil</v>
      </c>
      <c r="K3790" s="3" t="s">
        <v>22</v>
      </c>
    </row>
    <row r="3791" spans="1:11" ht="42" customHeight="1">
      <c r="A3791" s="2" t="s">
        <v>8152</v>
      </c>
      <c r="B3791" s="2" t="s">
        <v>8153</v>
      </c>
      <c r="C3791" s="2" t="s">
        <v>16</v>
      </c>
      <c r="D3791" s="2" t="s">
        <v>17</v>
      </c>
      <c r="E3791" s="5">
        <v>-31672</v>
      </c>
      <c r="F3791" s="3" t="s">
        <v>238</v>
      </c>
      <c r="G3791" s="3" t="s">
        <v>8154</v>
      </c>
      <c r="H3791" s="2" t="s">
        <v>20</v>
      </c>
      <c r="I3791" s="2" t="s">
        <v>8155</v>
      </c>
      <c r="J3791" s="3" t="str">
        <f>HYPERLINK("https://www.boe.es/gazeta/dias/1813/04/13/pdfs/GRE-1813-45.pdf#page=5","Abrir facsímil")</f>
        <v>Abrir facsímil</v>
      </c>
      <c r="K3791" s="3" t="s">
        <v>22</v>
      </c>
    </row>
    <row r="3792" spans="1:11" ht="42" customHeight="1">
      <c r="A3792" s="2" t="s">
        <v>8156</v>
      </c>
      <c r="B3792" s="2" t="s">
        <v>8157</v>
      </c>
      <c r="C3792" s="2" t="s">
        <v>25</v>
      </c>
      <c r="D3792" s="2" t="s">
        <v>26</v>
      </c>
      <c r="E3792" s="5">
        <v>-31752</v>
      </c>
      <c r="F3792" s="3" t="s">
        <v>182</v>
      </c>
      <c r="G3792" s="3" t="s">
        <v>183</v>
      </c>
      <c r="H3792" s="2" t="s">
        <v>20</v>
      </c>
      <c r="I3792" s="2" t="s">
        <v>8158</v>
      </c>
      <c r="J3792" s="3" t="str">
        <f>HYPERLINK("https://www.boe.es/gazeta/dias/1813/01/23/pdfs/GRE-1813-10.pdf#page=8","Abrir facsímil")</f>
        <v>Abrir facsímil</v>
      </c>
      <c r="K3792" s="3" t="s">
        <v>22</v>
      </c>
    </row>
    <row r="3793" spans="1:11" ht="42" customHeight="1">
      <c r="A3793" s="2" t="s">
        <v>8159</v>
      </c>
      <c r="B3793" s="2" t="s">
        <v>8160</v>
      </c>
      <c r="C3793" s="2" t="s">
        <v>16</v>
      </c>
      <c r="D3793" s="2" t="s">
        <v>17</v>
      </c>
      <c r="E3793" s="5">
        <v>-31432</v>
      </c>
      <c r="F3793" s="3" t="s">
        <v>803</v>
      </c>
      <c r="G3793" s="3" t="s">
        <v>28</v>
      </c>
      <c r="H3793" s="2" t="s">
        <v>20</v>
      </c>
      <c r="I3793" s="2" t="s">
        <v>8161</v>
      </c>
      <c r="J3793" s="3" t="str">
        <f>HYPERLINK("https://www.boe.es/gazeta/dias/1813/12/09/pdfs/GRE-1813-162.pdf#page=8","Abrir facsímil")</f>
        <v>Abrir facsímil</v>
      </c>
      <c r="K3793" s="3" t="s">
        <v>22</v>
      </c>
    </row>
    <row r="3794" spans="1:11" ht="42" customHeight="1">
      <c r="A3794" s="2" t="s">
        <v>8162</v>
      </c>
      <c r="B3794" s="2" t="s">
        <v>8163</v>
      </c>
      <c r="C3794" s="2" t="s">
        <v>16</v>
      </c>
      <c r="D3794" s="2" t="s">
        <v>17</v>
      </c>
      <c r="E3794" s="5">
        <v>-31479</v>
      </c>
      <c r="F3794" s="3" t="s">
        <v>2383</v>
      </c>
      <c r="G3794" s="3" t="s">
        <v>87</v>
      </c>
      <c r="H3794" s="2" t="s">
        <v>20</v>
      </c>
      <c r="I3794" s="2" t="s">
        <v>8164</v>
      </c>
      <c r="J3794" s="3" t="str">
        <f>HYPERLINK("https://www.boe.es/gazeta/dias/1813/10/23/pdfs/GRE-1813-138.pdf#page=7","Abrir facsímil")</f>
        <v>Abrir facsímil</v>
      </c>
      <c r="K3794" s="3" t="s">
        <v>22</v>
      </c>
    </row>
    <row r="3795" spans="1:11" ht="42" customHeight="1">
      <c r="A3795" s="2" t="s">
        <v>8165</v>
      </c>
      <c r="B3795" s="2" t="s">
        <v>8165</v>
      </c>
      <c r="C3795" s="2" t="s">
        <v>16</v>
      </c>
      <c r="D3795" s="2" t="s">
        <v>17</v>
      </c>
      <c r="E3795" s="5">
        <v>-31640</v>
      </c>
      <c r="F3795" s="3" t="s">
        <v>3174</v>
      </c>
      <c r="G3795" s="3" t="s">
        <v>65</v>
      </c>
      <c r="H3795" s="2" t="s">
        <v>20</v>
      </c>
      <c r="I3795" s="2" t="s">
        <v>8166</v>
      </c>
      <c r="J3795" s="3" t="str">
        <f>HYPERLINK("https://www.boe.es/gazeta/dias/1813/05/15/pdfs/GMD-1813-135.pdf#page=1","Abrir facsímil")</f>
        <v>Abrir facsímil</v>
      </c>
      <c r="K3795" s="3" t="s">
        <v>22</v>
      </c>
    </row>
    <row r="3796" spans="1:11" ht="42" customHeight="1">
      <c r="A3796" s="2" t="s">
        <v>8167</v>
      </c>
      <c r="B3796" s="2" t="s">
        <v>8168</v>
      </c>
      <c r="C3796" s="2" t="s">
        <v>25</v>
      </c>
      <c r="D3796" s="2" t="s">
        <v>26</v>
      </c>
      <c r="E3796" s="5">
        <v>-31745</v>
      </c>
      <c r="F3796" s="3" t="s">
        <v>445</v>
      </c>
      <c r="G3796" s="3" t="s">
        <v>28</v>
      </c>
      <c r="H3796" s="2" t="s">
        <v>20</v>
      </c>
      <c r="I3796" s="2" t="s">
        <v>8169</v>
      </c>
      <c r="J3796" s="3" t="str">
        <f>HYPERLINK("https://www.boe.es/gazeta/dias/1813/01/30/pdfs/GRE-1813-13.pdf#page=8","Abrir facsímil")</f>
        <v>Abrir facsímil</v>
      </c>
      <c r="K3796" s="3" t="s">
        <v>22</v>
      </c>
    </row>
    <row r="3797" spans="1:11" ht="42" customHeight="1">
      <c r="A3797" s="2" t="s">
        <v>8170</v>
      </c>
      <c r="B3797" s="2" t="s">
        <v>8171</v>
      </c>
      <c r="C3797" s="2" t="s">
        <v>16</v>
      </c>
      <c r="D3797" s="2" t="s">
        <v>17</v>
      </c>
      <c r="E3797" s="5">
        <v>-31586</v>
      </c>
      <c r="F3797" s="3" t="s">
        <v>2807</v>
      </c>
      <c r="G3797" s="3" t="s">
        <v>95</v>
      </c>
      <c r="H3797" s="2" t="s">
        <v>20</v>
      </c>
      <c r="I3797" s="2" t="s">
        <v>8172</v>
      </c>
      <c r="J3797" s="3" t="str">
        <f>HYPERLINK("https://www.boe.es/gazeta/dias/1813/07/08/pdfs/GRE-1813-85.pdf#page=6","Abrir facsímil")</f>
        <v>Abrir facsímil</v>
      </c>
      <c r="K3797" s="3" t="s">
        <v>22</v>
      </c>
    </row>
    <row r="3798" spans="1:11" ht="42" customHeight="1">
      <c r="A3798" s="2" t="s">
        <v>8173</v>
      </c>
      <c r="B3798" s="2" t="s">
        <v>8174</v>
      </c>
      <c r="C3798" s="2" t="s">
        <v>16</v>
      </c>
      <c r="D3798" s="2" t="s">
        <v>17</v>
      </c>
      <c r="E3798" s="5">
        <v>-31432</v>
      </c>
      <c r="F3798" s="3" t="s">
        <v>803</v>
      </c>
      <c r="G3798" s="3" t="s">
        <v>28</v>
      </c>
      <c r="H3798" s="2" t="s">
        <v>20</v>
      </c>
      <c r="I3798" s="2" t="s">
        <v>8175</v>
      </c>
      <c r="J3798" s="3" t="str">
        <f>HYPERLINK("https://www.boe.es/gazeta/dias/1813/12/09/pdfs/GRE-1813-162.pdf#page=8","Abrir facsímil")</f>
        <v>Abrir facsímil</v>
      </c>
      <c r="K3798" s="3" t="s">
        <v>22</v>
      </c>
    </row>
    <row r="3799" spans="1:11" ht="42" customHeight="1">
      <c r="A3799" s="2" t="s">
        <v>8176</v>
      </c>
      <c r="B3799" s="2" t="s">
        <v>8177</v>
      </c>
      <c r="C3799" s="2" t="s">
        <v>16</v>
      </c>
      <c r="D3799" s="2" t="s">
        <v>17</v>
      </c>
      <c r="E3799" s="5">
        <v>-31745</v>
      </c>
      <c r="F3799" s="3" t="s">
        <v>445</v>
      </c>
      <c r="G3799" s="3" t="s">
        <v>28</v>
      </c>
      <c r="H3799" s="2" t="s">
        <v>20</v>
      </c>
      <c r="I3799" s="2" t="s">
        <v>8178</v>
      </c>
      <c r="J3799" s="3" t="str">
        <f>HYPERLINK("https://www.boe.es/gazeta/dias/1813/01/30/pdfs/GRE-1813-13.pdf#page=8","Abrir facsímil")</f>
        <v>Abrir facsímil</v>
      </c>
      <c r="K3799" s="3" t="s">
        <v>22</v>
      </c>
    </row>
    <row r="3800" spans="1:11" ht="42" customHeight="1">
      <c r="A3800" s="2" t="s">
        <v>8179</v>
      </c>
      <c r="B3800" s="2" t="s">
        <v>8180</v>
      </c>
      <c r="C3800" s="2" t="s">
        <v>25</v>
      </c>
      <c r="D3800" s="2" t="s">
        <v>26</v>
      </c>
      <c r="E3800" s="5">
        <v>-31745</v>
      </c>
      <c r="F3800" s="3" t="s">
        <v>445</v>
      </c>
      <c r="G3800" s="3" t="s">
        <v>28</v>
      </c>
      <c r="H3800" s="2" t="s">
        <v>20</v>
      </c>
      <c r="I3800" s="2" t="s">
        <v>8181</v>
      </c>
      <c r="J3800" s="3" t="str">
        <f>HYPERLINK("https://www.boe.es/gazeta/dias/1813/01/30/pdfs/GRE-1813-13.pdf#page=8","Abrir facsímil")</f>
        <v>Abrir facsímil</v>
      </c>
      <c r="K3800" s="3" t="s">
        <v>22</v>
      </c>
    </row>
    <row r="3801" spans="1:11" ht="42" customHeight="1">
      <c r="A3801" s="2" t="s">
        <v>8182</v>
      </c>
      <c r="B3801" s="2" t="s">
        <v>8183</v>
      </c>
      <c r="C3801" s="2" t="s">
        <v>25</v>
      </c>
      <c r="D3801" s="2" t="s">
        <v>26</v>
      </c>
      <c r="E3801" s="5">
        <v>-31745</v>
      </c>
      <c r="F3801" s="3" t="s">
        <v>445</v>
      </c>
      <c r="G3801" s="3" t="s">
        <v>475</v>
      </c>
      <c r="H3801" s="2" t="s">
        <v>20</v>
      </c>
      <c r="I3801" s="2" t="s">
        <v>8184</v>
      </c>
      <c r="J3801" s="3" t="str">
        <f>HYPERLINK("https://www.boe.es/gazeta/dias/1813/01/30/pdfs/GRE-1813-13.pdf#page=7","Abrir facsímil")</f>
        <v>Abrir facsímil</v>
      </c>
      <c r="K3801" s="3" t="s">
        <v>22</v>
      </c>
    </row>
    <row r="3802" spans="1:11" ht="42" customHeight="1">
      <c r="A3802" s="2" t="s">
        <v>8185</v>
      </c>
      <c r="B3802" s="2" t="s">
        <v>8186</v>
      </c>
      <c r="C3802" s="2" t="s">
        <v>25</v>
      </c>
      <c r="D3802" s="2" t="s">
        <v>26</v>
      </c>
      <c r="E3802" s="5">
        <v>-31745</v>
      </c>
      <c r="F3802" s="3" t="s">
        <v>445</v>
      </c>
      <c r="G3802" s="3" t="s">
        <v>475</v>
      </c>
      <c r="H3802" s="2" t="s">
        <v>20</v>
      </c>
      <c r="I3802" s="2" t="s">
        <v>8187</v>
      </c>
      <c r="J3802" s="3" t="str">
        <f>HYPERLINK("https://www.boe.es/gazeta/dias/1813/01/30/pdfs/GRE-1813-13.pdf#page=7","Abrir facsímil")</f>
        <v>Abrir facsímil</v>
      </c>
      <c r="K3802" s="3" t="s">
        <v>22</v>
      </c>
    </row>
    <row r="3803" spans="1:11" ht="42" customHeight="1">
      <c r="A3803" s="2" t="s">
        <v>8188</v>
      </c>
      <c r="B3803" s="2" t="s">
        <v>8189</v>
      </c>
      <c r="C3803" s="2" t="s">
        <v>34</v>
      </c>
      <c r="D3803" s="2" t="s">
        <v>35</v>
      </c>
      <c r="E3803" s="5">
        <v>-31658</v>
      </c>
      <c r="F3803" s="3" t="s">
        <v>1113</v>
      </c>
      <c r="G3803" s="3" t="s">
        <v>1091</v>
      </c>
      <c r="H3803" s="2" t="s">
        <v>20</v>
      </c>
      <c r="I3803" s="2" t="s">
        <v>8190</v>
      </c>
      <c r="J3803" s="3" t="str">
        <f>HYPERLINK("https://www.boe.es/gazeta/dias/1813/04/27/pdfs/GRE-1813-52.pdf#page=7","Abrir facsímil")</f>
        <v>Abrir facsímil</v>
      </c>
      <c r="K3803" s="3" t="s">
        <v>22</v>
      </c>
    </row>
    <row r="3804" spans="1:11" ht="42" customHeight="1">
      <c r="A3804" s="2" t="s">
        <v>8191</v>
      </c>
      <c r="B3804" s="2" t="s">
        <v>8191</v>
      </c>
      <c r="C3804" s="2" t="s">
        <v>25</v>
      </c>
      <c r="D3804" s="2" t="s">
        <v>26</v>
      </c>
      <c r="E3804" s="5">
        <v>-31599</v>
      </c>
      <c r="F3804" s="3" t="s">
        <v>2470</v>
      </c>
      <c r="G3804" s="3" t="s">
        <v>6239</v>
      </c>
      <c r="H3804" s="2" t="s">
        <v>20</v>
      </c>
      <c r="I3804" s="2" t="s">
        <v>8192</v>
      </c>
      <c r="J3804" s="3" t="str">
        <f>HYPERLINK("https://www.boe.es/gazeta/dias/1813/06/25/pdfs/GMR-1813-11.pdf#page=9","Abrir facsímil")</f>
        <v>Abrir facsímil</v>
      </c>
      <c r="K3804" s="3" t="s">
        <v>22</v>
      </c>
    </row>
    <row r="3805" spans="1:11" ht="42" customHeight="1">
      <c r="A3805" s="2" t="s">
        <v>8193</v>
      </c>
      <c r="B3805" s="2" t="s">
        <v>8194</v>
      </c>
      <c r="C3805" s="2" t="s">
        <v>34</v>
      </c>
      <c r="D3805" s="2" t="s">
        <v>35</v>
      </c>
      <c r="E3805" s="5">
        <v>-31588</v>
      </c>
      <c r="F3805" s="3" t="s">
        <v>2402</v>
      </c>
      <c r="G3805" s="3" t="s">
        <v>28</v>
      </c>
      <c r="H3805" s="2" t="s">
        <v>20</v>
      </c>
      <c r="I3805" s="2" t="s">
        <v>8195</v>
      </c>
      <c r="J3805" s="3" t="str">
        <f>HYPERLINK("https://www.boe.es/gazeta/dias/1813/07/06/pdfs/GRE-1813-84.pdf#page=8","Abrir facsímil")</f>
        <v>Abrir facsímil</v>
      </c>
      <c r="K3805" s="3" t="s">
        <v>22</v>
      </c>
    </row>
    <row r="3806" spans="1:11" ht="42" customHeight="1">
      <c r="A3806" s="2" t="s">
        <v>8196</v>
      </c>
      <c r="B3806" s="2" t="s">
        <v>8197</v>
      </c>
      <c r="C3806" s="2" t="s">
        <v>25</v>
      </c>
      <c r="D3806" s="2" t="s">
        <v>26</v>
      </c>
      <c r="E3806" s="5">
        <v>-31677</v>
      </c>
      <c r="F3806" s="3" t="s">
        <v>76</v>
      </c>
      <c r="G3806" s="3" t="s">
        <v>28</v>
      </c>
      <c r="H3806" s="2" t="s">
        <v>20</v>
      </c>
      <c r="I3806" s="2" t="s">
        <v>8198</v>
      </c>
      <c r="J3806" s="3" t="str">
        <f>HYPERLINK("https://www.boe.es/gazeta/dias/1813/04/08/pdfs/GRE-1813-43.pdf#page=8","Abrir facsímil")</f>
        <v>Abrir facsímil</v>
      </c>
      <c r="K3806" s="3" t="s">
        <v>22</v>
      </c>
    </row>
    <row r="3807" spans="1:11" ht="42" customHeight="1">
      <c r="A3807" s="2" t="s">
        <v>8199</v>
      </c>
      <c r="B3807" s="2" t="s">
        <v>8199</v>
      </c>
      <c r="C3807" s="2" t="s">
        <v>16</v>
      </c>
      <c r="D3807" s="2" t="s">
        <v>17</v>
      </c>
      <c r="E3807" s="5">
        <v>-31749</v>
      </c>
      <c r="F3807" s="3" t="s">
        <v>1515</v>
      </c>
      <c r="G3807" s="3" t="s">
        <v>65</v>
      </c>
      <c r="H3807" s="2" t="s">
        <v>20</v>
      </c>
      <c r="I3807" s="2" t="s">
        <v>8200</v>
      </c>
      <c r="J3807" s="3" t="str">
        <f>HYPERLINK("https://www.boe.es/gazeta/dias/1813/01/26/pdfs/GRE-1813-11.pdf#page=1","Abrir facsímil")</f>
        <v>Abrir facsímil</v>
      </c>
      <c r="K3807" s="3" t="s">
        <v>22</v>
      </c>
    </row>
    <row r="3808" spans="1:11" ht="42" customHeight="1">
      <c r="A3808" s="2" t="s">
        <v>8201</v>
      </c>
      <c r="B3808" s="2" t="s">
        <v>8201</v>
      </c>
      <c r="C3808" s="2" t="s">
        <v>16</v>
      </c>
      <c r="D3808" s="2" t="s">
        <v>17</v>
      </c>
      <c r="E3808" s="5">
        <v>-31705</v>
      </c>
      <c r="F3808" s="3" t="s">
        <v>243</v>
      </c>
      <c r="G3808" s="3" t="s">
        <v>58</v>
      </c>
      <c r="H3808" s="2" t="s">
        <v>20</v>
      </c>
      <c r="I3808" s="2" t="s">
        <v>8202</v>
      </c>
      <c r="J3808" s="3" t="str">
        <f>HYPERLINK("https://www.boe.es/gazeta/dias/1813/03/11/pdfs/GRE-1813-31.pdf#page=2","Abrir facsímil")</f>
        <v>Abrir facsímil</v>
      </c>
      <c r="K3808" s="3" t="s">
        <v>22</v>
      </c>
    </row>
    <row r="3809" spans="1:11" ht="42" customHeight="1">
      <c r="A3809" s="2" t="s">
        <v>8203</v>
      </c>
      <c r="B3809" s="2" t="s">
        <v>8203</v>
      </c>
      <c r="C3809" s="2" t="s">
        <v>16</v>
      </c>
      <c r="D3809" s="2" t="s">
        <v>17</v>
      </c>
      <c r="E3809" s="5">
        <v>-31588</v>
      </c>
      <c r="F3809" s="3" t="s">
        <v>2402</v>
      </c>
      <c r="G3809" s="3" t="s">
        <v>3624</v>
      </c>
      <c r="H3809" s="2" t="s">
        <v>20</v>
      </c>
      <c r="I3809" s="2" t="s">
        <v>8204</v>
      </c>
      <c r="J3809" s="3" t="str">
        <f>HYPERLINK("https://www.boe.es/gazeta/dias/1813/07/06/pdfs/GRE-1813-84.pdf#page=5","Abrir facsímil")</f>
        <v>Abrir facsímil</v>
      </c>
      <c r="K3809" s="3" t="s">
        <v>22</v>
      </c>
    </row>
    <row r="3810" spans="1:11" ht="42" customHeight="1">
      <c r="A3810" s="2" t="s">
        <v>8205</v>
      </c>
      <c r="B3810" s="2" t="s">
        <v>8206</v>
      </c>
      <c r="C3810" s="2" t="s">
        <v>16</v>
      </c>
      <c r="D3810" s="2" t="s">
        <v>17</v>
      </c>
      <c r="E3810" s="5">
        <v>-31507</v>
      </c>
      <c r="F3810" s="3" t="s">
        <v>61</v>
      </c>
      <c r="G3810" s="3" t="s">
        <v>28</v>
      </c>
      <c r="H3810" s="2" t="s">
        <v>20</v>
      </c>
      <c r="I3810" s="2" t="s">
        <v>8207</v>
      </c>
      <c r="J3810" s="3" t="str">
        <f>HYPERLINK("https://www.boe.es/gazeta/dias/1813/09/25/pdfs/GMR-1813-48.pdf#page=8","Abrir facsímil")</f>
        <v>Abrir facsímil</v>
      </c>
      <c r="K3810" s="3" t="s">
        <v>22</v>
      </c>
    </row>
    <row r="3811" spans="1:11" ht="42" customHeight="1">
      <c r="A3811" s="2" t="s">
        <v>8208</v>
      </c>
      <c r="B3811" s="2" t="s">
        <v>8209</v>
      </c>
      <c r="C3811" s="2" t="s">
        <v>16</v>
      </c>
      <c r="D3811" s="2" t="s">
        <v>97</v>
      </c>
      <c r="E3811" s="5">
        <v>-31519</v>
      </c>
      <c r="F3811" s="3" t="s">
        <v>312</v>
      </c>
      <c r="G3811" s="3" t="s">
        <v>28</v>
      </c>
      <c r="H3811" s="2" t="s">
        <v>20</v>
      </c>
      <c r="I3811" s="2" t="s">
        <v>8210</v>
      </c>
      <c r="J3811" s="3" t="str">
        <f>HYPERLINK("https://www.boe.es/gazeta/dias/1813/09/13/pdfs/GRE-1813-118E.pdf#page=8","Abrir facsímil")</f>
        <v>Abrir facsímil</v>
      </c>
      <c r="K3811" s="3" t="s">
        <v>22</v>
      </c>
    </row>
    <row r="3812" spans="1:11" ht="42" customHeight="1">
      <c r="A3812" s="2" t="s">
        <v>8211</v>
      </c>
      <c r="B3812" s="2" t="s">
        <v>8212</v>
      </c>
      <c r="C3812" s="2" t="s">
        <v>16</v>
      </c>
      <c r="D3812" s="2" t="s">
        <v>97</v>
      </c>
      <c r="E3812" s="5">
        <v>-31670</v>
      </c>
      <c r="F3812" s="3" t="s">
        <v>98</v>
      </c>
      <c r="G3812" s="3" t="s">
        <v>28</v>
      </c>
      <c r="H3812" s="2" t="s">
        <v>20</v>
      </c>
      <c r="I3812" s="2" t="s">
        <v>8213</v>
      </c>
      <c r="J3812" s="3" t="str">
        <f>HYPERLINK("https://www.boe.es/gazeta/dias/1813/04/15/pdfs/GRE-1813-47E.pdf#page=8","Abrir facsímil")</f>
        <v>Abrir facsímil</v>
      </c>
      <c r="K3812" s="3" t="s">
        <v>22</v>
      </c>
    </row>
    <row r="3813" spans="1:11" ht="42" customHeight="1">
      <c r="A3813" s="2" t="s">
        <v>8214</v>
      </c>
      <c r="B3813" s="2" t="s">
        <v>8215</v>
      </c>
      <c r="C3813" s="2" t="s">
        <v>34</v>
      </c>
      <c r="D3813" s="2" t="s">
        <v>35</v>
      </c>
      <c r="E3813" s="5">
        <v>-31549</v>
      </c>
      <c r="F3813" s="3" t="s">
        <v>332</v>
      </c>
      <c r="G3813" s="3" t="s">
        <v>19</v>
      </c>
      <c r="H3813" s="2" t="s">
        <v>20</v>
      </c>
      <c r="I3813" s="2" t="s">
        <v>8216</v>
      </c>
      <c r="J3813" s="3" t="str">
        <f>HYPERLINK("https://www.boe.es/gazeta/dias/1813/08/14/pdfs/GMR-1813-28.pdf#page=4","Abrir facsímil")</f>
        <v>Abrir facsímil</v>
      </c>
      <c r="K3813" s="3" t="s">
        <v>22</v>
      </c>
    </row>
    <row r="3814" spans="1:11" ht="42" customHeight="1">
      <c r="A3814" s="2" t="s">
        <v>8217</v>
      </c>
      <c r="B3814" s="2" t="s">
        <v>8218</v>
      </c>
      <c r="C3814" s="2" t="s">
        <v>25</v>
      </c>
      <c r="D3814" s="2" t="s">
        <v>26</v>
      </c>
      <c r="E3814" s="5">
        <v>-31752</v>
      </c>
      <c r="F3814" s="3" t="s">
        <v>182</v>
      </c>
      <c r="G3814" s="3" t="s">
        <v>183</v>
      </c>
      <c r="H3814" s="2" t="s">
        <v>20</v>
      </c>
      <c r="I3814" s="2" t="s">
        <v>8219</v>
      </c>
      <c r="J3814" s="3" t="str">
        <f>HYPERLINK("https://www.boe.es/gazeta/dias/1813/01/23/pdfs/GRE-1813-10.pdf#page=8","Abrir facsímil")</f>
        <v>Abrir facsímil</v>
      </c>
      <c r="K3814" s="3" t="s">
        <v>22</v>
      </c>
    </row>
    <row r="3815" spans="1:11" ht="42" customHeight="1">
      <c r="A3815" s="2" t="s">
        <v>8220</v>
      </c>
      <c r="B3815" s="2" t="s">
        <v>8220</v>
      </c>
      <c r="C3815" s="2" t="s">
        <v>34</v>
      </c>
      <c r="D3815" s="2" t="s">
        <v>35</v>
      </c>
      <c r="E3815" s="5">
        <v>-31709</v>
      </c>
      <c r="F3815" s="3" t="s">
        <v>36</v>
      </c>
      <c r="G3815" s="3" t="s">
        <v>303</v>
      </c>
      <c r="H3815" s="2" t="s">
        <v>20</v>
      </c>
      <c r="I3815" s="2" t="s">
        <v>8221</v>
      </c>
      <c r="J3815" s="3" t="str">
        <f>HYPERLINK("https://www.boe.es/gazeta/dias/1813/03/07/pdfs/GMD-1813-66.pdf#page=3","Abrir facsímil")</f>
        <v>Abrir facsímil</v>
      </c>
      <c r="K3815" s="3" t="s">
        <v>22</v>
      </c>
    </row>
    <row r="3816" spans="1:11" ht="42" customHeight="1">
      <c r="A3816" s="2" t="s">
        <v>8222</v>
      </c>
      <c r="B3816" s="2" t="s">
        <v>8223</v>
      </c>
      <c r="C3816" s="2" t="s">
        <v>16</v>
      </c>
      <c r="D3816" s="2" t="s">
        <v>17</v>
      </c>
      <c r="E3816" s="5">
        <v>-31549</v>
      </c>
      <c r="F3816" s="3" t="s">
        <v>294</v>
      </c>
      <c r="G3816" s="3" t="s">
        <v>54</v>
      </c>
      <c r="H3816" s="2" t="s">
        <v>20</v>
      </c>
      <c r="I3816" s="2" t="s">
        <v>8224</v>
      </c>
      <c r="J3816" s="3" t="str">
        <f>HYPERLINK("https://www.boe.es/gazeta/dias/1813/08/14/pdfs/GRE-1813-103.pdf#page=3","Abrir facsímil")</f>
        <v>Abrir facsímil</v>
      </c>
      <c r="K3816" s="3" t="s">
        <v>22</v>
      </c>
    </row>
    <row r="3817" spans="1:11" ht="42" customHeight="1">
      <c r="A3817" s="2" t="s">
        <v>8225</v>
      </c>
      <c r="B3817" s="2" t="s">
        <v>8226</v>
      </c>
      <c r="C3817" s="2" t="s">
        <v>16</v>
      </c>
      <c r="D3817" s="2" t="s">
        <v>17</v>
      </c>
      <c r="E3817" s="5">
        <v>-31565</v>
      </c>
      <c r="F3817" s="3" t="s">
        <v>306</v>
      </c>
      <c r="G3817" s="3" t="s">
        <v>95</v>
      </c>
      <c r="H3817" s="2" t="s">
        <v>20</v>
      </c>
      <c r="I3817" s="2" t="s">
        <v>8227</v>
      </c>
      <c r="J3817" s="3" t="str">
        <f>HYPERLINK("https://www.boe.es/gazeta/dias/1813/07/29/pdfs/GRE-1813-96.pdf#page=6","Abrir facsímil")</f>
        <v>Abrir facsímil</v>
      </c>
      <c r="K3817" s="3" t="s">
        <v>22</v>
      </c>
    </row>
    <row r="3818" spans="1:11" ht="42" customHeight="1">
      <c r="A3818" s="2" t="s">
        <v>8228</v>
      </c>
      <c r="B3818" s="2" t="s">
        <v>8229</v>
      </c>
      <c r="C3818" s="2" t="s">
        <v>16</v>
      </c>
      <c r="D3818" s="2" t="s">
        <v>17</v>
      </c>
      <c r="E3818" s="5">
        <v>-31542</v>
      </c>
      <c r="F3818" s="3" t="s">
        <v>337</v>
      </c>
      <c r="G3818" s="3" t="s">
        <v>58</v>
      </c>
      <c r="H3818" s="2" t="s">
        <v>20</v>
      </c>
      <c r="I3818" s="2" t="s">
        <v>8230</v>
      </c>
      <c r="J3818" s="3" t="str">
        <f>HYPERLINK("https://www.boe.es/gazeta/dias/1813/08/21/pdfs/GRE-1813-107.pdf#page=2","Abrir facsímil")</f>
        <v>Abrir facsímil</v>
      </c>
      <c r="K3818" s="3" t="s">
        <v>22</v>
      </c>
    </row>
    <row r="3819" spans="1:11" ht="42" customHeight="1">
      <c r="A3819" s="2" t="s">
        <v>8231</v>
      </c>
      <c r="B3819" s="2" t="s">
        <v>8231</v>
      </c>
      <c r="C3819" s="2" t="s">
        <v>16</v>
      </c>
      <c r="D3819" s="2" t="s">
        <v>17</v>
      </c>
      <c r="E3819" s="5">
        <v>-31486</v>
      </c>
      <c r="F3819" s="3" t="s">
        <v>597</v>
      </c>
      <c r="G3819" s="3" t="s">
        <v>58</v>
      </c>
      <c r="H3819" s="2" t="s">
        <v>20</v>
      </c>
      <c r="I3819" s="2" t="s">
        <v>8232</v>
      </c>
      <c r="J3819" s="3" t="str">
        <f>HYPERLINK("https://www.boe.es/gazeta/dias/1813/10/16/pdfs/GRE-1813-135.pdf#page=2","Abrir facsímil")</f>
        <v>Abrir facsímil</v>
      </c>
      <c r="K3819" s="3" t="s">
        <v>22</v>
      </c>
    </row>
    <row r="3820" spans="1:11" ht="42" customHeight="1">
      <c r="A3820" s="2" t="s">
        <v>8231</v>
      </c>
      <c r="B3820" s="2" t="s">
        <v>8231</v>
      </c>
      <c r="C3820" s="2" t="s">
        <v>25</v>
      </c>
      <c r="D3820" s="2" t="s">
        <v>26</v>
      </c>
      <c r="E3820" s="5">
        <v>-31483</v>
      </c>
      <c r="F3820" s="3" t="s">
        <v>308</v>
      </c>
      <c r="G3820" s="3" t="s">
        <v>54</v>
      </c>
      <c r="H3820" s="2" t="s">
        <v>20</v>
      </c>
      <c r="I3820" s="2" t="s">
        <v>8233</v>
      </c>
      <c r="J3820" s="3" t="str">
        <f>HYPERLINK("https://www.boe.es/gazeta/dias/1813/10/19/pdfs/GRE-1813-136.pdf#page=3","Abrir facsímil")</f>
        <v>Abrir facsímil</v>
      </c>
      <c r="K3820" s="3" t="s">
        <v>22</v>
      </c>
    </row>
    <row r="3821" spans="1:11" ht="42" customHeight="1">
      <c r="A3821" s="2" t="s">
        <v>8231</v>
      </c>
      <c r="B3821" s="2" t="s">
        <v>8231</v>
      </c>
      <c r="C3821" s="2" t="s">
        <v>16</v>
      </c>
      <c r="D3821" s="2" t="s">
        <v>17</v>
      </c>
      <c r="E3821" s="5">
        <v>-31483</v>
      </c>
      <c r="F3821" s="3" t="s">
        <v>308</v>
      </c>
      <c r="G3821" s="3" t="s">
        <v>19</v>
      </c>
      <c r="H3821" s="2" t="s">
        <v>20</v>
      </c>
      <c r="I3821" s="2" t="s">
        <v>8234</v>
      </c>
      <c r="J3821" s="3" t="str">
        <f>HYPERLINK("https://www.boe.es/gazeta/dias/1813/10/19/pdfs/GRE-1813-136.pdf#page=4","Abrir facsímil")</f>
        <v>Abrir facsímil</v>
      </c>
      <c r="K3821" s="3" t="s">
        <v>22</v>
      </c>
    </row>
    <row r="3822" spans="1:11" ht="42" customHeight="1">
      <c r="A3822" s="2" t="s">
        <v>8235</v>
      </c>
      <c r="B3822" s="2" t="s">
        <v>8236</v>
      </c>
      <c r="C3822" s="2" t="s">
        <v>25</v>
      </c>
      <c r="D3822" s="2" t="s">
        <v>26</v>
      </c>
      <c r="E3822" s="5">
        <v>-31446</v>
      </c>
      <c r="F3822" s="3" t="s">
        <v>1078</v>
      </c>
      <c r="G3822" s="3" t="s">
        <v>28</v>
      </c>
      <c r="H3822" s="2" t="s">
        <v>20</v>
      </c>
      <c r="I3822" s="2" t="s">
        <v>8237</v>
      </c>
      <c r="J3822" s="3" t="str">
        <f>HYPERLINK("https://www.boe.es/gazeta/dias/1813/11/25/pdfs/GRE-1813-154.pdf#page=8","Abrir facsímil")</f>
        <v>Abrir facsímil</v>
      </c>
      <c r="K3822" s="3" t="s">
        <v>22</v>
      </c>
    </row>
    <row r="3823" spans="1:11" ht="42" customHeight="1">
      <c r="A3823" s="2" t="s">
        <v>8238</v>
      </c>
      <c r="B3823" s="2" t="s">
        <v>8239</v>
      </c>
      <c r="C3823" s="2" t="s">
        <v>34</v>
      </c>
      <c r="D3823" s="2" t="s">
        <v>35</v>
      </c>
      <c r="E3823" s="5">
        <v>-31642</v>
      </c>
      <c r="F3823" s="3" t="s">
        <v>2091</v>
      </c>
      <c r="G3823" s="3" t="s">
        <v>54</v>
      </c>
      <c r="H3823" s="2" t="s">
        <v>20</v>
      </c>
      <c r="I3823" s="2" t="s">
        <v>8240</v>
      </c>
      <c r="J3823" s="3" t="str">
        <f>HYPERLINK("https://www.boe.es/gazeta/dias/1813/05/13/pdfs/GMD-1813-133.pdf#page=3","Abrir facsímil")</f>
        <v>Abrir facsímil</v>
      </c>
      <c r="K3823" s="3" t="s">
        <v>22</v>
      </c>
    </row>
    <row r="3824" spans="1:11" ht="42" customHeight="1">
      <c r="A3824" s="2" t="s">
        <v>8241</v>
      </c>
      <c r="B3824" s="2" t="s">
        <v>8242</v>
      </c>
      <c r="C3824" s="2" t="s">
        <v>25</v>
      </c>
      <c r="D3824" s="2" t="s">
        <v>26</v>
      </c>
      <c r="E3824" s="5">
        <v>-31488</v>
      </c>
      <c r="F3824" s="3" t="s">
        <v>1023</v>
      </c>
      <c r="G3824" s="3" t="s">
        <v>54</v>
      </c>
      <c r="H3824" s="2" t="s">
        <v>20</v>
      </c>
      <c r="I3824" s="2" t="s">
        <v>8243</v>
      </c>
      <c r="J3824" s="3" t="str">
        <f>HYPERLINK("https://www.boe.es/gazeta/dias/1813/10/14/pdfs/GRE-1813-134.pdf#page=3","Abrir facsímil")</f>
        <v>Abrir facsímil</v>
      </c>
      <c r="K3824" s="3" t="s">
        <v>22</v>
      </c>
    </row>
    <row r="3825" spans="1:11" ht="42" customHeight="1">
      <c r="A3825" s="2" t="s">
        <v>8244</v>
      </c>
      <c r="B3825" s="2" t="s">
        <v>8244</v>
      </c>
      <c r="C3825" s="2" t="s">
        <v>34</v>
      </c>
      <c r="D3825" s="2" t="s">
        <v>35</v>
      </c>
      <c r="E3825" s="5">
        <v>-31738</v>
      </c>
      <c r="F3825" s="3" t="s">
        <v>556</v>
      </c>
      <c r="G3825" s="3" t="s">
        <v>8245</v>
      </c>
      <c r="H3825" s="2" t="s">
        <v>20</v>
      </c>
      <c r="I3825" s="2" t="s">
        <v>8246</v>
      </c>
      <c r="J3825" s="3" t="str">
        <f>HYPERLINK("https://www.boe.es/gazeta/dias/1813/02/06/pdfs/GRE-1813-16.pdf#page=5","Abrir facsímil")</f>
        <v>Abrir facsímil</v>
      </c>
      <c r="K3825" s="3" t="s">
        <v>22</v>
      </c>
    </row>
    <row r="3826" spans="1:11" ht="42" customHeight="1">
      <c r="A3826" s="2" t="s">
        <v>8247</v>
      </c>
      <c r="B3826" s="2" t="s">
        <v>8247</v>
      </c>
      <c r="C3826" s="2" t="s">
        <v>16</v>
      </c>
      <c r="D3826" s="2" t="s">
        <v>17</v>
      </c>
      <c r="E3826" s="5">
        <v>-31750</v>
      </c>
      <c r="F3826" s="3" t="s">
        <v>8248</v>
      </c>
      <c r="G3826" s="3" t="s">
        <v>54</v>
      </c>
      <c r="H3826" s="2" t="s">
        <v>20</v>
      </c>
      <c r="I3826" s="2" t="s">
        <v>8249</v>
      </c>
      <c r="J3826" s="3" t="str">
        <f>HYPERLINK("https://www.boe.es/gazeta/dias/1813/01/25/pdfs/GMD-1813-25.pdf#page=3","Abrir facsímil")</f>
        <v>Abrir facsímil</v>
      </c>
      <c r="K3826" s="3" t="s">
        <v>22</v>
      </c>
    </row>
    <row r="3827" spans="1:11" ht="42" customHeight="1">
      <c r="A3827" s="2" t="s">
        <v>8250</v>
      </c>
      <c r="B3827" s="2" t="s">
        <v>8251</v>
      </c>
      <c r="C3827" s="2" t="s">
        <v>25</v>
      </c>
      <c r="D3827" s="2" t="s">
        <v>26</v>
      </c>
      <c r="E3827" s="5">
        <v>-31486</v>
      </c>
      <c r="F3827" s="3" t="s">
        <v>1284</v>
      </c>
      <c r="G3827" s="3" t="s">
        <v>28</v>
      </c>
      <c r="H3827" s="2" t="s">
        <v>20</v>
      </c>
      <c r="I3827" s="2" t="s">
        <v>8252</v>
      </c>
      <c r="J3827" s="3" t="str">
        <f>HYPERLINK("https://www.boe.es/gazeta/dias/1813/10/16/pdfs/GMR-1813-60.pdf#page=8","Abrir facsímil")</f>
        <v>Abrir facsímil</v>
      </c>
      <c r="K3827" s="3" t="s">
        <v>22</v>
      </c>
    </row>
    <row r="3828" spans="1:11" ht="42" customHeight="1">
      <c r="A3828" s="2" t="s">
        <v>8253</v>
      </c>
      <c r="B3828" s="2" t="s">
        <v>8254</v>
      </c>
      <c r="C3828" s="2" t="s">
        <v>25</v>
      </c>
      <c r="D3828" s="2" t="s">
        <v>26</v>
      </c>
      <c r="E3828" s="5">
        <v>-31689</v>
      </c>
      <c r="F3828" s="3" t="s">
        <v>48</v>
      </c>
      <c r="G3828" s="3" t="s">
        <v>49</v>
      </c>
      <c r="H3828" s="2" t="s">
        <v>20</v>
      </c>
      <c r="I3828" s="2" t="s">
        <v>8255</v>
      </c>
      <c r="J3828" s="3" t="str">
        <f>HYPERLINK("https://www.boe.es/gazeta/dias/1813/03/27/pdfs/GRE-1813-38.pdf#page=7","Abrir facsímil")</f>
        <v>Abrir facsímil</v>
      </c>
      <c r="K3828" s="3" t="s">
        <v>22</v>
      </c>
    </row>
    <row r="3829" spans="1:11" ht="42" customHeight="1">
      <c r="A3829" s="2" t="s">
        <v>8256</v>
      </c>
      <c r="B3829" s="2" t="s">
        <v>8257</v>
      </c>
      <c r="C3829" s="2" t="s">
        <v>25</v>
      </c>
      <c r="D3829" s="2" t="s">
        <v>26</v>
      </c>
      <c r="E3829" s="5">
        <v>-31745</v>
      </c>
      <c r="F3829" s="3" t="s">
        <v>445</v>
      </c>
      <c r="G3829" s="3" t="s">
        <v>475</v>
      </c>
      <c r="H3829" s="2" t="s">
        <v>20</v>
      </c>
      <c r="I3829" s="2" t="s">
        <v>8258</v>
      </c>
      <c r="J3829" s="3" t="str">
        <f>HYPERLINK("https://www.boe.es/gazeta/dias/1813/01/30/pdfs/GRE-1813-13.pdf#page=7","Abrir facsímil")</f>
        <v>Abrir facsímil</v>
      </c>
      <c r="K3829" s="3" t="s">
        <v>22</v>
      </c>
    </row>
    <row r="3830" spans="1:11" ht="42" customHeight="1">
      <c r="A3830" s="2" t="s">
        <v>8259</v>
      </c>
      <c r="B3830" s="2" t="s">
        <v>8260</v>
      </c>
      <c r="C3830" s="2" t="s">
        <v>25</v>
      </c>
      <c r="D3830" s="2" t="s">
        <v>26</v>
      </c>
      <c r="E3830" s="5">
        <v>-31523</v>
      </c>
      <c r="F3830" s="3" t="s">
        <v>81</v>
      </c>
      <c r="G3830" s="3" t="s">
        <v>65</v>
      </c>
      <c r="H3830" s="2" t="s">
        <v>29</v>
      </c>
      <c r="I3830" s="2" t="s">
        <v>8261</v>
      </c>
      <c r="J3830" s="3" t="str">
        <f>HYPERLINK("https://www.boe.es/gazeta/dias/1813/09/09/pdfs/GRE-1813-115.pdf#page=1","Abrir facsímil")</f>
        <v>Abrir facsímil</v>
      </c>
      <c r="K3830" s="3" t="s">
        <v>31</v>
      </c>
    </row>
    <row r="3831" spans="1:11" ht="42" customHeight="1">
      <c r="A3831" s="2" t="s">
        <v>8259</v>
      </c>
      <c r="B3831" s="2" t="s">
        <v>8260</v>
      </c>
      <c r="C3831" s="2" t="s">
        <v>16</v>
      </c>
      <c r="D3831" s="2" t="s">
        <v>17</v>
      </c>
      <c r="E3831" s="5">
        <v>-31521</v>
      </c>
      <c r="F3831" s="3" t="s">
        <v>1256</v>
      </c>
      <c r="G3831" s="3" t="s">
        <v>4080</v>
      </c>
      <c r="H3831" s="2" t="s">
        <v>29</v>
      </c>
      <c r="I3831" s="2" t="s">
        <v>8262</v>
      </c>
      <c r="J3831" s="3" t="str">
        <f>HYPERLINK("https://www.boe.es/gazeta/dias/1813/09/11/pdfs/GRE-1813-116.pdf#page=1","Abrir facsímil")</f>
        <v>Abrir facsímil</v>
      </c>
      <c r="K3831" s="3" t="s">
        <v>31</v>
      </c>
    </row>
    <row r="3832" spans="1:11" ht="42" customHeight="1">
      <c r="A3832" s="2" t="s">
        <v>8263</v>
      </c>
      <c r="B3832" s="2" t="s">
        <v>8263</v>
      </c>
      <c r="C3832" s="2" t="s">
        <v>16</v>
      </c>
      <c r="D3832" s="2" t="s">
        <v>17</v>
      </c>
      <c r="E3832" s="5">
        <v>-31462</v>
      </c>
      <c r="F3832" s="3" t="s">
        <v>1028</v>
      </c>
      <c r="G3832" s="3" t="s">
        <v>178</v>
      </c>
      <c r="H3832" s="2" t="s">
        <v>20</v>
      </c>
      <c r="I3832" s="2" t="s">
        <v>8264</v>
      </c>
      <c r="J3832" s="3" t="str">
        <f>HYPERLINK("https://www.boe.es/gazeta/dias/1813/11/09/pdfs/GMR-1813-71.pdf#page=11","Abrir facsímil")</f>
        <v>Abrir facsímil</v>
      </c>
      <c r="K3832" s="3" t="s">
        <v>22</v>
      </c>
    </row>
    <row r="3833" spans="1:11" ht="42" customHeight="1">
      <c r="A3833" s="2" t="s">
        <v>8265</v>
      </c>
      <c r="B3833" s="2" t="s">
        <v>8265</v>
      </c>
      <c r="C3833" s="2" t="s">
        <v>16</v>
      </c>
      <c r="D3833" s="2" t="s">
        <v>17</v>
      </c>
      <c r="E3833" s="5">
        <v>-31654</v>
      </c>
      <c r="F3833" s="3" t="s">
        <v>852</v>
      </c>
      <c r="G3833" s="3" t="s">
        <v>65</v>
      </c>
      <c r="H3833" s="2" t="s">
        <v>20</v>
      </c>
      <c r="I3833" s="2" t="s">
        <v>8266</v>
      </c>
      <c r="J3833" s="3" t="str">
        <f>HYPERLINK("https://www.boe.es/gazeta/dias/1813/05/01/pdfs/GMD-1813-121.pdf#page=1","Abrir facsímil")</f>
        <v>Abrir facsímil</v>
      </c>
      <c r="K3833" s="3" t="s">
        <v>22</v>
      </c>
    </row>
    <row r="3834" spans="1:11" ht="42" customHeight="1">
      <c r="A3834" s="2" t="s">
        <v>8265</v>
      </c>
      <c r="B3834" s="2" t="s">
        <v>8265</v>
      </c>
      <c r="C3834" s="2" t="s">
        <v>16</v>
      </c>
      <c r="D3834" s="2" t="s">
        <v>17</v>
      </c>
      <c r="E3834" s="5">
        <v>-31467</v>
      </c>
      <c r="F3834" s="3" t="s">
        <v>1464</v>
      </c>
      <c r="G3834" s="3" t="s">
        <v>28</v>
      </c>
      <c r="H3834" s="2" t="s">
        <v>20</v>
      </c>
      <c r="I3834" s="2" t="s">
        <v>8267</v>
      </c>
      <c r="J3834" s="3" t="str">
        <f>HYPERLINK("https://www.boe.es/gazeta/dias/1813/11/04/pdfs/GRE-1813-144.pdf#page=8","Abrir facsímil")</f>
        <v>Abrir facsímil</v>
      </c>
      <c r="K3834" s="3" t="s">
        <v>22</v>
      </c>
    </row>
    <row r="3835" spans="1:11" ht="42" customHeight="1">
      <c r="A3835" s="2" t="s">
        <v>8268</v>
      </c>
      <c r="B3835" s="2" t="s">
        <v>8269</v>
      </c>
      <c r="C3835" s="2" t="s">
        <v>277</v>
      </c>
      <c r="D3835" s="2" t="s">
        <v>26</v>
      </c>
      <c r="E3835" s="5">
        <v>-31675</v>
      </c>
      <c r="F3835" s="3" t="s">
        <v>2552</v>
      </c>
      <c r="G3835" s="3" t="s">
        <v>19</v>
      </c>
      <c r="H3835" s="2" t="s">
        <v>20</v>
      </c>
      <c r="I3835" s="2" t="s">
        <v>8270</v>
      </c>
      <c r="J3835" s="3" t="str">
        <f>HYPERLINK("https://www.boe.es/gazeta/dias/1813/04/10/pdfs/GMD-1813-100.pdf#page=4","Abrir facsímil")</f>
        <v>Abrir facsímil</v>
      </c>
      <c r="K3835" s="3" t="s">
        <v>22</v>
      </c>
    </row>
    <row r="3836" spans="1:11" ht="42" customHeight="1">
      <c r="A3836" s="2" t="s">
        <v>8271</v>
      </c>
      <c r="B3836" s="2" t="s">
        <v>8272</v>
      </c>
      <c r="C3836" s="2" t="s">
        <v>34</v>
      </c>
      <c r="D3836" s="2" t="s">
        <v>35</v>
      </c>
      <c r="E3836" s="5">
        <v>-31416</v>
      </c>
      <c r="F3836" s="3" t="s">
        <v>278</v>
      </c>
      <c r="G3836" s="3" t="s">
        <v>207</v>
      </c>
      <c r="H3836" s="2" t="s">
        <v>20</v>
      </c>
      <c r="I3836" s="2" t="s">
        <v>8273</v>
      </c>
      <c r="J3836" s="3" t="str">
        <f>HYPERLINK("https://www.boe.es/gazeta/dias/1813/12/25/pdfs/GMR-1813-92.pdf#page=10","Abrir facsímil")</f>
        <v>Abrir facsímil</v>
      </c>
      <c r="K3836" s="3" t="s">
        <v>22</v>
      </c>
    </row>
    <row r="3837" spans="1:11" ht="42" customHeight="1">
      <c r="A3837" s="2" t="s">
        <v>8274</v>
      </c>
      <c r="B3837" s="2" t="s">
        <v>8275</v>
      </c>
      <c r="C3837" s="2" t="s">
        <v>25</v>
      </c>
      <c r="D3837" s="2" t="s">
        <v>26</v>
      </c>
      <c r="E3837" s="5">
        <v>-31689</v>
      </c>
      <c r="F3837" s="3" t="s">
        <v>48</v>
      </c>
      <c r="G3837" s="3" t="s">
        <v>162</v>
      </c>
      <c r="H3837" s="2" t="s">
        <v>20</v>
      </c>
      <c r="I3837" s="2" t="s">
        <v>8276</v>
      </c>
      <c r="J3837" s="3" t="str">
        <f>HYPERLINK("https://www.boe.es/gazeta/dias/1813/03/27/pdfs/GRE-1813-38.pdf#page=8","Abrir facsímil")</f>
        <v>Abrir facsímil</v>
      </c>
      <c r="K3837" s="3" t="s">
        <v>22</v>
      </c>
    </row>
    <row r="3838" spans="1:11" ht="42" customHeight="1">
      <c r="A3838" s="2" t="s">
        <v>8277</v>
      </c>
      <c r="B3838" s="2" t="s">
        <v>8278</v>
      </c>
      <c r="C3838" s="2" t="s">
        <v>25</v>
      </c>
      <c r="D3838" s="2" t="s">
        <v>97</v>
      </c>
      <c r="E3838" s="5">
        <v>-31479</v>
      </c>
      <c r="F3838" s="3" t="s">
        <v>290</v>
      </c>
      <c r="G3838" s="3" t="s">
        <v>3006</v>
      </c>
      <c r="H3838" s="2" t="s">
        <v>20</v>
      </c>
      <c r="I3838" s="2" t="s">
        <v>8279</v>
      </c>
      <c r="J3838" s="3" t="str">
        <f>HYPERLINK("https://www.boe.es/gazeta/dias/1813/10/23/pdfs/GRE-1813-139E.pdf#page=15","Abrir facsímil")</f>
        <v>Abrir facsímil</v>
      </c>
      <c r="K3838" s="3" t="s">
        <v>22</v>
      </c>
    </row>
    <row r="3839" spans="1:11" ht="42" customHeight="1">
      <c r="A3839" s="2" t="s">
        <v>8280</v>
      </c>
      <c r="B3839" s="2" t="s">
        <v>8280</v>
      </c>
      <c r="C3839" s="2" t="s">
        <v>16</v>
      </c>
      <c r="D3839" s="2" t="s">
        <v>17</v>
      </c>
      <c r="E3839" s="5">
        <v>-31668</v>
      </c>
      <c r="F3839" s="3" t="s">
        <v>574</v>
      </c>
      <c r="G3839" s="3" t="s">
        <v>28</v>
      </c>
      <c r="H3839" s="2" t="s">
        <v>20</v>
      </c>
      <c r="I3839" s="2" t="s">
        <v>8281</v>
      </c>
      <c r="J3839" s="3" t="str">
        <f>HYPERLINK("https://www.boe.es/gazeta/dias/1813/04/17/pdfs/GRE-1813-48.pdf#page=8","Abrir facsímil")</f>
        <v>Abrir facsímil</v>
      </c>
      <c r="K3839" s="3" t="s">
        <v>22</v>
      </c>
    </row>
    <row r="3840" spans="1:11" ht="42" customHeight="1">
      <c r="A3840" s="2" t="s">
        <v>8282</v>
      </c>
      <c r="B3840" s="2" t="s">
        <v>8282</v>
      </c>
      <c r="C3840" s="2" t="s">
        <v>16</v>
      </c>
      <c r="D3840" s="2" t="s">
        <v>17</v>
      </c>
      <c r="E3840" s="5">
        <v>-31613</v>
      </c>
      <c r="F3840" s="3" t="s">
        <v>1629</v>
      </c>
      <c r="G3840" s="3" t="s">
        <v>19</v>
      </c>
      <c r="H3840" s="2" t="s">
        <v>20</v>
      </c>
      <c r="I3840" s="2" t="s">
        <v>8283</v>
      </c>
      <c r="J3840" s="3" t="str">
        <f>HYPERLINK("https://www.boe.es/gazeta/dias/1813/06/11/pdfs/GMR-1813-4.pdf#page=4","Abrir facsímil")</f>
        <v>Abrir facsímil</v>
      </c>
      <c r="K3840" s="3" t="s">
        <v>22</v>
      </c>
    </row>
    <row r="3841" spans="1:11" ht="42" customHeight="1">
      <c r="A3841" s="2" t="s">
        <v>8284</v>
      </c>
      <c r="B3841" s="2" t="s">
        <v>8285</v>
      </c>
      <c r="C3841" s="2" t="s">
        <v>16</v>
      </c>
      <c r="D3841" s="2" t="s">
        <v>17</v>
      </c>
      <c r="E3841" s="5">
        <v>-31521</v>
      </c>
      <c r="F3841" s="3" t="s">
        <v>1282</v>
      </c>
      <c r="G3841" s="3" t="s">
        <v>87</v>
      </c>
      <c r="H3841" s="2" t="s">
        <v>20</v>
      </c>
      <c r="I3841" s="2" t="s">
        <v>8286</v>
      </c>
      <c r="J3841" s="3" t="str">
        <f>HYPERLINK("https://www.boe.es/gazeta/dias/1813/09/11/pdfs/GMR-1813-41.pdf#page=7","Abrir facsímil")</f>
        <v>Abrir facsímil</v>
      </c>
      <c r="K3841" s="3" t="s">
        <v>22</v>
      </c>
    </row>
    <row r="3842" spans="1:11" ht="42" customHeight="1">
      <c r="A3842" s="2" t="s">
        <v>8287</v>
      </c>
      <c r="B3842" s="2" t="s">
        <v>8288</v>
      </c>
      <c r="C3842" s="2" t="s">
        <v>16</v>
      </c>
      <c r="D3842" s="2" t="s">
        <v>97</v>
      </c>
      <c r="E3842" s="5">
        <v>-31519</v>
      </c>
      <c r="F3842" s="3" t="s">
        <v>312</v>
      </c>
      <c r="G3842" s="3" t="s">
        <v>87</v>
      </c>
      <c r="H3842" s="2" t="s">
        <v>20</v>
      </c>
      <c r="I3842" s="2" t="s">
        <v>8289</v>
      </c>
      <c r="J3842" s="3" t="str">
        <f>HYPERLINK("https://www.boe.es/gazeta/dias/1813/09/13/pdfs/GRE-1813-118E.pdf#page=7","Abrir facsímil")</f>
        <v>Abrir facsímil</v>
      </c>
      <c r="K3842" s="3" t="s">
        <v>22</v>
      </c>
    </row>
    <row r="3843" spans="1:11" ht="42" customHeight="1">
      <c r="A3843" s="2" t="s">
        <v>8287</v>
      </c>
      <c r="B3843" s="2" t="s">
        <v>8288</v>
      </c>
      <c r="C3843" s="2" t="s">
        <v>25</v>
      </c>
      <c r="D3843" s="2" t="s">
        <v>97</v>
      </c>
      <c r="E3843" s="5">
        <v>-31479</v>
      </c>
      <c r="F3843" s="3" t="s">
        <v>290</v>
      </c>
      <c r="G3843" s="3" t="s">
        <v>3006</v>
      </c>
      <c r="H3843" s="2" t="s">
        <v>20</v>
      </c>
      <c r="I3843" s="2" t="s">
        <v>8290</v>
      </c>
      <c r="J3843" s="3" t="str">
        <f>HYPERLINK("https://www.boe.es/gazeta/dias/1813/10/23/pdfs/GRE-1813-139E.pdf#page=15","Abrir facsímil")</f>
        <v>Abrir facsímil</v>
      </c>
      <c r="K3843" s="3" t="s">
        <v>22</v>
      </c>
    </row>
    <row r="3844" spans="1:11" ht="42" customHeight="1">
      <c r="A3844" s="2" t="s">
        <v>8291</v>
      </c>
      <c r="B3844" s="2" t="s">
        <v>8292</v>
      </c>
      <c r="C3844" s="2" t="s">
        <v>25</v>
      </c>
      <c r="D3844" s="2" t="s">
        <v>26</v>
      </c>
      <c r="E3844" s="5">
        <v>-31530</v>
      </c>
      <c r="F3844" s="3" t="s">
        <v>133</v>
      </c>
      <c r="G3844" s="3" t="s">
        <v>95</v>
      </c>
      <c r="H3844" s="2" t="s">
        <v>20</v>
      </c>
      <c r="I3844" s="2" t="s">
        <v>8293</v>
      </c>
      <c r="J3844" s="3" t="str">
        <f>HYPERLINK("https://www.boe.es/gazeta/dias/1813/09/02/pdfs/GMR-1813-36.pdf#page=6","Abrir facsímil")</f>
        <v>Abrir facsímil</v>
      </c>
      <c r="K3844" s="3" t="s">
        <v>22</v>
      </c>
    </row>
    <row r="3845" spans="1:11" ht="42" customHeight="1">
      <c r="A3845" s="2" t="s">
        <v>8294</v>
      </c>
      <c r="B3845" s="2" t="s">
        <v>8295</v>
      </c>
      <c r="C3845" s="2" t="s">
        <v>25</v>
      </c>
      <c r="D3845" s="2" t="s">
        <v>26</v>
      </c>
      <c r="E3845" s="5">
        <v>-31684</v>
      </c>
      <c r="F3845" s="3" t="s">
        <v>427</v>
      </c>
      <c r="G3845" s="3" t="s">
        <v>1123</v>
      </c>
      <c r="H3845" s="2" t="s">
        <v>20</v>
      </c>
      <c r="I3845" s="2" t="s">
        <v>8296</v>
      </c>
      <c r="J3845" s="3" t="str">
        <f>HYPERLINK("https://www.boe.es/gazeta/dias/1813/04/01/pdfs/GRE-1813-40.pdf#page=8","Abrir facsímil")</f>
        <v>Abrir facsímil</v>
      </c>
      <c r="K3845" s="3" t="s">
        <v>22</v>
      </c>
    </row>
    <row r="3846" spans="1:11" ht="42" customHeight="1">
      <c r="A3846" s="2" t="s">
        <v>8297</v>
      </c>
      <c r="B3846" s="2" t="s">
        <v>8297</v>
      </c>
      <c r="C3846" s="2" t="s">
        <v>16</v>
      </c>
      <c r="D3846" s="2" t="s">
        <v>17</v>
      </c>
      <c r="E3846" s="5">
        <v>-31567</v>
      </c>
      <c r="F3846" s="3" t="s">
        <v>820</v>
      </c>
      <c r="G3846" s="3" t="s">
        <v>3128</v>
      </c>
      <c r="H3846" s="2" t="s">
        <v>20</v>
      </c>
      <c r="I3846" s="2" t="s">
        <v>8298</v>
      </c>
      <c r="J3846" s="3" t="str">
        <f>HYPERLINK("https://www.boe.es/gazeta/dias/1813/07/27/pdfs/GMR-1813-21.pdf#page=6","Abrir facsímil")</f>
        <v>Abrir facsímil</v>
      </c>
      <c r="K3846" s="3" t="s">
        <v>22</v>
      </c>
    </row>
    <row r="3847" spans="1:11" ht="42" customHeight="1">
      <c r="A3847" s="2" t="s">
        <v>8297</v>
      </c>
      <c r="B3847" s="2" t="s">
        <v>8297</v>
      </c>
      <c r="C3847" s="2" t="s">
        <v>16</v>
      </c>
      <c r="D3847" s="2" t="s">
        <v>17</v>
      </c>
      <c r="E3847" s="5">
        <v>-31565</v>
      </c>
      <c r="F3847" s="3" t="s">
        <v>306</v>
      </c>
      <c r="G3847" s="3" t="s">
        <v>19</v>
      </c>
      <c r="H3847" s="2" t="s">
        <v>20</v>
      </c>
      <c r="I3847" s="2" t="s">
        <v>8299</v>
      </c>
      <c r="J3847" s="3" t="str">
        <f>HYPERLINK("https://www.boe.es/gazeta/dias/1813/07/29/pdfs/GRE-1813-96.pdf#page=4","Abrir facsímil")</f>
        <v>Abrir facsímil</v>
      </c>
      <c r="K3847" s="3" t="s">
        <v>22</v>
      </c>
    </row>
    <row r="3848" spans="1:11" ht="42" customHeight="1">
      <c r="A3848" s="2" t="s">
        <v>8300</v>
      </c>
      <c r="B3848" s="2" t="s">
        <v>8300</v>
      </c>
      <c r="C3848" s="2" t="s">
        <v>16</v>
      </c>
      <c r="D3848" s="2" t="s">
        <v>17</v>
      </c>
      <c r="E3848" s="5">
        <v>-31756</v>
      </c>
      <c r="F3848" s="3" t="s">
        <v>951</v>
      </c>
      <c r="G3848" s="3" t="s">
        <v>669</v>
      </c>
      <c r="H3848" s="2" t="s">
        <v>20</v>
      </c>
      <c r="I3848" s="2" t="s">
        <v>8301</v>
      </c>
      <c r="J3848" s="3" t="str">
        <f>HYPERLINK("https://www.boe.es/gazeta/dias/1813/01/19/pdfs/GRE-1813-8.pdf#page=2","Abrir facsímil")</f>
        <v>Abrir facsímil</v>
      </c>
      <c r="K3848" s="3" t="s">
        <v>22</v>
      </c>
    </row>
    <row r="3849" spans="1:11" ht="42" customHeight="1">
      <c r="A3849" s="2" t="s">
        <v>8302</v>
      </c>
      <c r="B3849" s="2" t="s">
        <v>8303</v>
      </c>
      <c r="C3849" s="2" t="s">
        <v>25</v>
      </c>
      <c r="D3849" s="2" t="s">
        <v>26</v>
      </c>
      <c r="E3849" s="5">
        <v>-31745</v>
      </c>
      <c r="F3849" s="3" t="s">
        <v>445</v>
      </c>
      <c r="G3849" s="3" t="s">
        <v>28</v>
      </c>
      <c r="H3849" s="2" t="s">
        <v>20</v>
      </c>
      <c r="I3849" s="2" t="s">
        <v>8304</v>
      </c>
      <c r="J3849" s="3" t="str">
        <f>HYPERLINK("https://www.boe.es/gazeta/dias/1813/01/30/pdfs/GRE-1813-13.pdf#page=8","Abrir facsímil")</f>
        <v>Abrir facsímil</v>
      </c>
      <c r="K3849" s="3" t="s">
        <v>22</v>
      </c>
    </row>
    <row r="3850" spans="1:11" ht="42" customHeight="1">
      <c r="A3850" s="2" t="s">
        <v>8305</v>
      </c>
      <c r="B3850" s="2" t="s">
        <v>8306</v>
      </c>
      <c r="C3850" s="2" t="s">
        <v>16</v>
      </c>
      <c r="D3850" s="2" t="s">
        <v>17</v>
      </c>
      <c r="E3850" s="5">
        <v>-31563</v>
      </c>
      <c r="F3850" s="3" t="s">
        <v>1267</v>
      </c>
      <c r="G3850" s="3" t="s">
        <v>82</v>
      </c>
      <c r="H3850" s="2" t="s">
        <v>20</v>
      </c>
      <c r="I3850" s="2" t="s">
        <v>8307</v>
      </c>
      <c r="J3850" s="3" t="str">
        <f>HYPERLINK("https://www.boe.es/gazeta/dias/1813/07/31/pdfs/GRE-1813-97.pdf#page=5","Abrir facsímil")</f>
        <v>Abrir facsímil</v>
      </c>
      <c r="K3850" s="3" t="s">
        <v>22</v>
      </c>
    </row>
    <row r="3851" spans="1:11" ht="42" customHeight="1">
      <c r="A3851" s="2" t="s">
        <v>8308</v>
      </c>
      <c r="B3851" s="2" t="s">
        <v>8309</v>
      </c>
      <c r="C3851" s="2" t="s">
        <v>25</v>
      </c>
      <c r="D3851" s="2" t="s">
        <v>26</v>
      </c>
      <c r="E3851" s="5">
        <v>-31481</v>
      </c>
      <c r="F3851" s="3" t="s">
        <v>40</v>
      </c>
      <c r="G3851" s="3" t="s">
        <v>28</v>
      </c>
      <c r="H3851" s="2" t="s">
        <v>20</v>
      </c>
      <c r="I3851" s="2" t="s">
        <v>8310</v>
      </c>
      <c r="J3851" s="3" t="str">
        <f>HYPERLINK("https://www.boe.es/gazeta/dias/1813/10/21/pdfs/GMR-1813-62.pdf#page=8","Abrir facsímil")</f>
        <v>Abrir facsímil</v>
      </c>
      <c r="K3851" s="3" t="s">
        <v>22</v>
      </c>
    </row>
    <row r="3852" spans="1:11" ht="42" customHeight="1">
      <c r="A3852" s="2" t="s">
        <v>8311</v>
      </c>
      <c r="B3852" s="2" t="s">
        <v>8311</v>
      </c>
      <c r="C3852" s="2" t="s">
        <v>16</v>
      </c>
      <c r="D3852" s="2" t="s">
        <v>17</v>
      </c>
      <c r="E3852" s="5">
        <v>-31737</v>
      </c>
      <c r="F3852" s="3" t="s">
        <v>5824</v>
      </c>
      <c r="G3852" s="3" t="s">
        <v>65</v>
      </c>
      <c r="H3852" s="2" t="s">
        <v>20</v>
      </c>
      <c r="I3852" s="2" t="s">
        <v>8312</v>
      </c>
      <c r="J3852" s="3" t="str">
        <f>HYPERLINK("https://www.boe.es/gazeta/dias/1813/02/07/pdfs/GMD-1813-38.pdf#page=1","Abrir facsímil")</f>
        <v>Abrir facsímil</v>
      </c>
      <c r="K3852" s="3" t="s">
        <v>22</v>
      </c>
    </row>
    <row r="3853" spans="1:11" ht="42" customHeight="1">
      <c r="A3853" s="2" t="s">
        <v>8313</v>
      </c>
      <c r="B3853" s="2" t="s">
        <v>8314</v>
      </c>
      <c r="C3853" s="2" t="s">
        <v>34</v>
      </c>
      <c r="D3853" s="2" t="s">
        <v>35</v>
      </c>
      <c r="E3853" s="5">
        <v>-31725</v>
      </c>
      <c r="F3853" s="3" t="s">
        <v>3928</v>
      </c>
      <c r="G3853" s="3" t="s">
        <v>19</v>
      </c>
      <c r="H3853" s="2" t="s">
        <v>20</v>
      </c>
      <c r="I3853" s="2" t="s">
        <v>8315</v>
      </c>
      <c r="J3853" s="3" t="str">
        <f>HYPERLINK("https://www.boe.es/gazeta/dias/1813/02/19/pdfs/GMD-1813-50.pdf#page=4","Abrir facsímil")</f>
        <v>Abrir facsímil</v>
      </c>
      <c r="K3853" s="3" t="s">
        <v>22</v>
      </c>
    </row>
    <row r="3854" spans="1:11" ht="42" customHeight="1">
      <c r="A3854" s="2" t="s">
        <v>8313</v>
      </c>
      <c r="B3854" s="2" t="s">
        <v>8314</v>
      </c>
      <c r="C3854" s="2" t="s">
        <v>34</v>
      </c>
      <c r="D3854" s="2" t="s">
        <v>35</v>
      </c>
      <c r="E3854" s="5">
        <v>-31721</v>
      </c>
      <c r="F3854" s="3" t="s">
        <v>5009</v>
      </c>
      <c r="G3854" s="3" t="s">
        <v>19</v>
      </c>
      <c r="H3854" s="2" t="s">
        <v>20</v>
      </c>
      <c r="I3854" s="2" t="s">
        <v>8316</v>
      </c>
      <c r="J3854" s="3" t="str">
        <f>HYPERLINK("https://www.boe.es/gazeta/dias/1813/02/23/pdfs/GMD-1813-54.pdf#page=4","Abrir facsímil")</f>
        <v>Abrir facsímil</v>
      </c>
      <c r="K3854" s="3" t="s">
        <v>22</v>
      </c>
    </row>
    <row r="3855" spans="1:11" ht="42" customHeight="1">
      <c r="A3855" s="2" t="s">
        <v>8317</v>
      </c>
      <c r="B3855" s="2" t="s">
        <v>8318</v>
      </c>
      <c r="C3855" s="2" t="s">
        <v>34</v>
      </c>
      <c r="D3855" s="2" t="s">
        <v>35</v>
      </c>
      <c r="E3855" s="5">
        <v>-31719</v>
      </c>
      <c r="F3855" s="3" t="s">
        <v>251</v>
      </c>
      <c r="G3855" s="3" t="s">
        <v>19</v>
      </c>
      <c r="H3855" s="2" t="s">
        <v>20</v>
      </c>
      <c r="I3855" s="2" t="s">
        <v>8319</v>
      </c>
      <c r="J3855" s="3" t="str">
        <f>HYPERLINK("https://www.boe.es/gazeta/dias/1813/02/25/pdfs/GMD-1813-56.pdf#page=4","Abrir facsímil")</f>
        <v>Abrir facsímil</v>
      </c>
      <c r="K3855" s="3" t="s">
        <v>22</v>
      </c>
    </row>
    <row r="3856" spans="1:11" ht="42" customHeight="1">
      <c r="A3856" s="2" t="s">
        <v>8320</v>
      </c>
      <c r="B3856" s="2" t="s">
        <v>8321</v>
      </c>
      <c r="C3856" s="2" t="s">
        <v>16</v>
      </c>
      <c r="D3856" s="2" t="s">
        <v>17</v>
      </c>
      <c r="E3856" s="5">
        <v>-31770</v>
      </c>
      <c r="F3856" s="3" t="s">
        <v>188</v>
      </c>
      <c r="G3856" s="3" t="s">
        <v>28</v>
      </c>
      <c r="H3856" s="2" t="s">
        <v>20</v>
      </c>
      <c r="I3856" s="2" t="s">
        <v>8322</v>
      </c>
      <c r="J3856" s="3" t="str">
        <f>HYPERLINK("https://www.boe.es/gazeta/dias/1813/01/05/pdfs/GRE-1813-3.pdf#page=8","Abrir facsímil")</f>
        <v>Abrir facsímil</v>
      </c>
      <c r="K3856" s="3" t="s">
        <v>22</v>
      </c>
    </row>
    <row r="3857" spans="1:11" ht="42" customHeight="1">
      <c r="A3857" s="2" t="s">
        <v>8320</v>
      </c>
      <c r="B3857" s="2" t="s">
        <v>8321</v>
      </c>
      <c r="C3857" s="2" t="s">
        <v>16</v>
      </c>
      <c r="D3857" s="2" t="s">
        <v>17</v>
      </c>
      <c r="E3857" s="5">
        <v>-31768</v>
      </c>
      <c r="F3857" s="3" t="s">
        <v>188</v>
      </c>
      <c r="G3857" s="3" t="s">
        <v>28</v>
      </c>
      <c r="H3857" s="2" t="s">
        <v>20</v>
      </c>
      <c r="I3857" s="2" t="s">
        <v>8322</v>
      </c>
      <c r="J3857" s="3" t="str">
        <f>HYPERLINK("https://www.boe.es/gazeta/dias/1813/01/07/pdfs/GRE-1813-3.pdf#page=8","Abrir facsímil")</f>
        <v>Abrir facsímil</v>
      </c>
      <c r="K3857" s="3" t="s">
        <v>22</v>
      </c>
    </row>
    <row r="3858" spans="1:11" ht="42" customHeight="1">
      <c r="A3858" s="2" t="s">
        <v>8323</v>
      </c>
      <c r="B3858" s="2" t="s">
        <v>8324</v>
      </c>
      <c r="C3858" s="2" t="s">
        <v>16</v>
      </c>
      <c r="D3858" s="2" t="s">
        <v>17</v>
      </c>
      <c r="E3858" s="5">
        <v>-31574</v>
      </c>
      <c r="F3858" s="3" t="s">
        <v>509</v>
      </c>
      <c r="G3858" s="3" t="s">
        <v>54</v>
      </c>
      <c r="H3858" s="2" t="s">
        <v>20</v>
      </c>
      <c r="I3858" s="2" t="s">
        <v>8325</v>
      </c>
      <c r="J3858" s="3" t="str">
        <f>HYPERLINK("https://www.boe.es/gazeta/dias/1813/07/20/pdfs/GRE-1813-92.pdf#page=3","Abrir facsímil")</f>
        <v>Abrir facsímil</v>
      </c>
      <c r="K3858" s="3" t="s">
        <v>22</v>
      </c>
    </row>
    <row r="3859" spans="1:11" ht="42" customHeight="1">
      <c r="A3859" s="2" t="s">
        <v>8326</v>
      </c>
      <c r="B3859" s="2" t="s">
        <v>8327</v>
      </c>
      <c r="C3859" s="2" t="s">
        <v>25</v>
      </c>
      <c r="D3859" s="2" t="s">
        <v>26</v>
      </c>
      <c r="E3859" s="5">
        <v>-31677</v>
      </c>
      <c r="F3859" s="3" t="s">
        <v>76</v>
      </c>
      <c r="G3859" s="3" t="s">
        <v>28</v>
      </c>
      <c r="H3859" s="2" t="s">
        <v>20</v>
      </c>
      <c r="I3859" s="2" t="s">
        <v>8328</v>
      </c>
      <c r="J3859" s="3" t="str">
        <f>HYPERLINK("https://www.boe.es/gazeta/dias/1813/04/08/pdfs/GRE-1813-43.pdf#page=8","Abrir facsímil")</f>
        <v>Abrir facsímil</v>
      </c>
      <c r="K3859" s="3" t="s">
        <v>22</v>
      </c>
    </row>
    <row r="3860" spans="1:11" ht="42" customHeight="1">
      <c r="A3860" s="2" t="s">
        <v>8329</v>
      </c>
      <c r="B3860" s="2" t="s">
        <v>8330</v>
      </c>
      <c r="C3860" s="2" t="s">
        <v>16</v>
      </c>
      <c r="D3860" s="2" t="s">
        <v>17</v>
      </c>
      <c r="E3860" s="5">
        <v>-31759</v>
      </c>
      <c r="F3860" s="3" t="s">
        <v>419</v>
      </c>
      <c r="G3860" s="3" t="s">
        <v>420</v>
      </c>
      <c r="H3860" s="2" t="s">
        <v>20</v>
      </c>
      <c r="I3860" s="2" t="s">
        <v>8331</v>
      </c>
      <c r="J3860" s="3" t="str">
        <f>HYPERLINK("https://www.boe.es/gazeta/dias/1813/01/16/pdfs/GRE-1813-7.pdf#page=8","Abrir facsímil")</f>
        <v>Abrir facsímil</v>
      </c>
      <c r="K3860" s="3" t="s">
        <v>22</v>
      </c>
    </row>
    <row r="3861" spans="1:11" ht="42" customHeight="1">
      <c r="A3861" s="2" t="s">
        <v>8332</v>
      </c>
      <c r="B3861" s="2" t="s">
        <v>8332</v>
      </c>
      <c r="C3861" s="2" t="s">
        <v>16</v>
      </c>
      <c r="D3861" s="2" t="s">
        <v>17</v>
      </c>
      <c r="E3861" s="5">
        <v>-31530</v>
      </c>
      <c r="F3861" s="3" t="s">
        <v>319</v>
      </c>
      <c r="G3861" s="3" t="s">
        <v>54</v>
      </c>
      <c r="H3861" s="2" t="s">
        <v>20</v>
      </c>
      <c r="I3861" s="2" t="s">
        <v>8333</v>
      </c>
      <c r="J3861" s="3" t="str">
        <f>HYPERLINK("https://www.boe.es/gazeta/dias/1813/09/02/pdfs/GRE-1813-112.pdf#page=3","Abrir facsímil")</f>
        <v>Abrir facsímil</v>
      </c>
      <c r="K3861" s="3" t="s">
        <v>22</v>
      </c>
    </row>
    <row r="3862" spans="1:11" ht="42" customHeight="1">
      <c r="A3862" s="2" t="s">
        <v>8334</v>
      </c>
      <c r="B3862" s="2" t="s">
        <v>8335</v>
      </c>
      <c r="C3862" s="2" t="s">
        <v>16</v>
      </c>
      <c r="D3862" s="2" t="s">
        <v>17</v>
      </c>
      <c r="E3862" s="5">
        <v>-31588</v>
      </c>
      <c r="F3862" s="3" t="s">
        <v>1535</v>
      </c>
      <c r="G3862" s="3" t="s">
        <v>87</v>
      </c>
      <c r="H3862" s="2" t="s">
        <v>29</v>
      </c>
      <c r="I3862" s="2" t="s">
        <v>8336</v>
      </c>
      <c r="J3862" s="3" t="str">
        <f>HYPERLINK("https://www.boe.es/gazeta/dias/1813/07/06/pdfs/GMR-1813-15.pdf#page=7","Abrir facsímil")</f>
        <v>Abrir facsímil</v>
      </c>
      <c r="K3862" s="3" t="s">
        <v>31</v>
      </c>
    </row>
    <row r="3863" spans="1:11" ht="42" customHeight="1">
      <c r="A3863" s="2" t="s">
        <v>8337</v>
      </c>
      <c r="B3863" s="2" t="s">
        <v>8338</v>
      </c>
      <c r="C3863" s="2" t="s">
        <v>25</v>
      </c>
      <c r="D3863" s="2" t="s">
        <v>97</v>
      </c>
      <c r="E3863" s="5">
        <v>-31519</v>
      </c>
      <c r="F3863" s="3" t="s">
        <v>312</v>
      </c>
      <c r="G3863" s="3" t="s">
        <v>313</v>
      </c>
      <c r="H3863" s="2" t="s">
        <v>20</v>
      </c>
      <c r="I3863" s="2" t="s">
        <v>8339</v>
      </c>
      <c r="J3863" s="3" t="str">
        <f>HYPERLINK("https://www.boe.es/gazeta/dias/1813/09/13/pdfs/GRE-1813-118E.pdf#page=9","Abrir facsímil")</f>
        <v>Abrir facsímil</v>
      </c>
      <c r="K3863" s="3" t="s">
        <v>22</v>
      </c>
    </row>
    <row r="3864" spans="1:11" ht="42" customHeight="1">
      <c r="A3864" s="2" t="s">
        <v>8340</v>
      </c>
      <c r="B3864" s="2" t="s">
        <v>8341</v>
      </c>
      <c r="C3864" s="2" t="s">
        <v>34</v>
      </c>
      <c r="D3864" s="2" t="s">
        <v>35</v>
      </c>
      <c r="E3864" s="5">
        <v>-31413</v>
      </c>
      <c r="F3864" s="3" t="s">
        <v>149</v>
      </c>
      <c r="G3864" s="3" t="s">
        <v>28</v>
      </c>
      <c r="H3864" s="2" t="s">
        <v>20</v>
      </c>
      <c r="I3864" s="2" t="s">
        <v>8342</v>
      </c>
      <c r="J3864" s="3" t="str">
        <f>HYPERLINK("https://www.boe.es/gazeta/dias/1813/12/28/pdfs/GMR-1813-93.pdf#page=8","Abrir facsímil")</f>
        <v>Abrir facsímil</v>
      </c>
      <c r="K3864" s="3" t="s">
        <v>22</v>
      </c>
    </row>
    <row r="3865" spans="1:11" ht="42" customHeight="1">
      <c r="A3865" s="2" t="s">
        <v>8343</v>
      </c>
      <c r="B3865" s="2" t="s">
        <v>8344</v>
      </c>
      <c r="C3865" s="2" t="s">
        <v>16</v>
      </c>
      <c r="D3865" s="2" t="s">
        <v>17</v>
      </c>
      <c r="E3865" s="5">
        <v>-31642</v>
      </c>
      <c r="F3865" s="3" t="s">
        <v>582</v>
      </c>
      <c r="G3865" s="3" t="s">
        <v>8345</v>
      </c>
      <c r="H3865" s="2" t="s">
        <v>20</v>
      </c>
      <c r="I3865" s="2" t="s">
        <v>8346</v>
      </c>
      <c r="J3865" s="3" t="str">
        <f>HYPERLINK("https://www.boe.es/gazeta/dias/1813/05/13/pdfs/GRE-1813-59.pdf#page=3","Abrir facsímil")</f>
        <v>Abrir facsímil</v>
      </c>
      <c r="K3865" s="3" t="s">
        <v>22</v>
      </c>
    </row>
    <row r="3866" spans="1:11" ht="42" customHeight="1">
      <c r="A3866" s="2" t="s">
        <v>8347</v>
      </c>
      <c r="B3866" s="2" t="s">
        <v>8347</v>
      </c>
      <c r="C3866" s="2" t="s">
        <v>34</v>
      </c>
      <c r="D3866" s="2" t="s">
        <v>35</v>
      </c>
      <c r="E3866" s="5">
        <v>-31667</v>
      </c>
      <c r="F3866" s="3" t="s">
        <v>3712</v>
      </c>
      <c r="G3866" s="3" t="s">
        <v>58</v>
      </c>
      <c r="H3866" s="2" t="s">
        <v>20</v>
      </c>
      <c r="I3866" s="2" t="s">
        <v>8348</v>
      </c>
      <c r="J3866" s="3" t="str">
        <f>HYPERLINK("https://www.boe.es/gazeta/dias/1813/04/18/pdfs/GMD-1813-108.pdf#page=2","Abrir facsímil")</f>
        <v>Abrir facsímil</v>
      </c>
      <c r="K3866" s="3" t="s">
        <v>22</v>
      </c>
    </row>
    <row r="3867" spans="1:11" ht="42" customHeight="1">
      <c r="A3867" s="2" t="s">
        <v>8349</v>
      </c>
      <c r="B3867" s="2" t="s">
        <v>8349</v>
      </c>
      <c r="C3867" s="2" t="s">
        <v>187</v>
      </c>
      <c r="D3867" s="2" t="s">
        <v>26</v>
      </c>
      <c r="E3867" s="5">
        <v>-31567</v>
      </c>
      <c r="F3867" s="3" t="s">
        <v>820</v>
      </c>
      <c r="G3867" s="3" t="s">
        <v>313</v>
      </c>
      <c r="H3867" s="2" t="s">
        <v>20</v>
      </c>
      <c r="I3867" s="2" t="s">
        <v>8350</v>
      </c>
      <c r="J3867" s="3" t="str">
        <f>HYPERLINK("https://www.boe.es/gazeta/dias/1813/07/27/pdfs/GMR-1813-21.pdf#page=9","Abrir facsímil")</f>
        <v>Abrir facsímil</v>
      </c>
      <c r="K3867" s="3" t="s">
        <v>22</v>
      </c>
    </row>
    <row r="3868" spans="1:11" ht="42" customHeight="1">
      <c r="A3868" s="2" t="s">
        <v>8349</v>
      </c>
      <c r="B3868" s="2" t="s">
        <v>8349</v>
      </c>
      <c r="C3868" s="2" t="s">
        <v>16</v>
      </c>
      <c r="D3868" s="2" t="s">
        <v>97</v>
      </c>
      <c r="E3868" s="5">
        <v>-31479</v>
      </c>
      <c r="F3868" s="3" t="s">
        <v>290</v>
      </c>
      <c r="G3868" s="3" t="s">
        <v>821</v>
      </c>
      <c r="H3868" s="2" t="s">
        <v>20</v>
      </c>
      <c r="I3868" s="2" t="s">
        <v>8351</v>
      </c>
      <c r="J3868" s="3" t="str">
        <f>HYPERLINK("https://www.boe.es/gazeta/dias/1813/10/23/pdfs/GRE-1813-139E.pdf#page=13","Abrir facsímil")</f>
        <v>Abrir facsímil</v>
      </c>
      <c r="K3868" s="3" t="s">
        <v>22</v>
      </c>
    </row>
    <row r="3869" spans="1:11" ht="42" customHeight="1">
      <c r="A3869" s="2" t="s">
        <v>8352</v>
      </c>
      <c r="B3869" s="2" t="s">
        <v>8352</v>
      </c>
      <c r="C3869" s="2" t="s">
        <v>16</v>
      </c>
      <c r="D3869" s="2" t="s">
        <v>17</v>
      </c>
      <c r="E3869" s="5">
        <v>-31582</v>
      </c>
      <c r="F3869" s="3" t="s">
        <v>907</v>
      </c>
      <c r="G3869" s="3" t="s">
        <v>888</v>
      </c>
      <c r="H3869" s="2" t="s">
        <v>20</v>
      </c>
      <c r="I3869" s="2" t="s">
        <v>8353</v>
      </c>
      <c r="J3869" s="3" t="str">
        <f>HYPERLINK("https://www.boe.es/gazeta/dias/1813/07/12/pdfs/GRE-1813-87.pdf#page=6","Abrir facsímil")</f>
        <v>Abrir facsímil</v>
      </c>
      <c r="K3869" s="3" t="s">
        <v>22</v>
      </c>
    </row>
    <row r="3870" spans="1:11" ht="42" customHeight="1">
      <c r="A3870" s="2" t="s">
        <v>8352</v>
      </c>
      <c r="B3870" s="2" t="s">
        <v>8352</v>
      </c>
      <c r="C3870" s="2" t="s">
        <v>16</v>
      </c>
      <c r="D3870" s="2" t="s">
        <v>17</v>
      </c>
      <c r="E3870" s="5">
        <v>-31567</v>
      </c>
      <c r="F3870" s="3" t="s">
        <v>1471</v>
      </c>
      <c r="G3870" s="3" t="s">
        <v>19</v>
      </c>
      <c r="H3870" s="2" t="s">
        <v>20</v>
      </c>
      <c r="I3870" s="2" t="s">
        <v>8354</v>
      </c>
      <c r="J3870" s="3" t="str">
        <f>HYPERLINK("https://www.boe.es/gazeta/dias/1813/07/27/pdfs/GRE-1813-95.pdf#page=4","Abrir facsímil")</f>
        <v>Abrir facsímil</v>
      </c>
      <c r="K3870" s="3" t="s">
        <v>22</v>
      </c>
    </row>
    <row r="3871" spans="1:11" ht="42" customHeight="1">
      <c r="A3871" s="2" t="s">
        <v>8352</v>
      </c>
      <c r="B3871" s="2" t="s">
        <v>8352</v>
      </c>
      <c r="C3871" s="2" t="s">
        <v>16</v>
      </c>
      <c r="D3871" s="2" t="s">
        <v>17</v>
      </c>
      <c r="E3871" s="5">
        <v>-31528</v>
      </c>
      <c r="F3871" s="3" t="s">
        <v>141</v>
      </c>
      <c r="G3871" s="3" t="s">
        <v>82</v>
      </c>
      <c r="H3871" s="2" t="s">
        <v>20</v>
      </c>
      <c r="I3871" s="2" t="s">
        <v>8355</v>
      </c>
      <c r="J3871" s="3" t="str">
        <f>HYPERLINK("https://www.boe.es/gazeta/dias/1813/09/04/pdfs/GMR-1813-37.pdf#page=5","Abrir facsímil")</f>
        <v>Abrir facsímil</v>
      </c>
      <c r="K3871" s="3" t="s">
        <v>22</v>
      </c>
    </row>
    <row r="3872" spans="1:11" ht="42" customHeight="1">
      <c r="A3872" s="2" t="s">
        <v>8356</v>
      </c>
      <c r="B3872" s="2" t="s">
        <v>8357</v>
      </c>
      <c r="C3872" s="2" t="s">
        <v>16</v>
      </c>
      <c r="D3872" s="2" t="s">
        <v>17</v>
      </c>
      <c r="E3872" s="5">
        <v>-31481</v>
      </c>
      <c r="F3872" s="3" t="s">
        <v>40</v>
      </c>
      <c r="G3872" s="3" t="s">
        <v>1894</v>
      </c>
      <c r="H3872" s="2" t="s">
        <v>20</v>
      </c>
      <c r="I3872" s="2" t="s">
        <v>8358</v>
      </c>
      <c r="J3872" s="3" t="str">
        <f>HYPERLINK("https://www.boe.es/gazeta/dias/1813/10/21/pdfs/GMR-1813-62.pdf#page=4","Abrir facsímil")</f>
        <v>Abrir facsímil</v>
      </c>
      <c r="K3872" s="3" t="s">
        <v>22</v>
      </c>
    </row>
    <row r="3873" spans="1:11" ht="42" customHeight="1">
      <c r="A3873" s="2" t="s">
        <v>8359</v>
      </c>
      <c r="B3873" s="2" t="s">
        <v>8360</v>
      </c>
      <c r="C3873" s="2" t="s">
        <v>16</v>
      </c>
      <c r="D3873" s="2" t="s">
        <v>17</v>
      </c>
      <c r="E3873" s="5">
        <v>-31701</v>
      </c>
      <c r="F3873" s="3" t="s">
        <v>1561</v>
      </c>
      <c r="G3873" s="3" t="s">
        <v>8361</v>
      </c>
      <c r="H3873" s="2" t="s">
        <v>20</v>
      </c>
      <c r="I3873" s="2" t="s">
        <v>8362</v>
      </c>
      <c r="J3873" s="3" t="str">
        <f>HYPERLINK("https://www.boe.es/gazeta/dias/1813/03/15/pdfs/GMD-1813-74.pdf#page=4","Abrir facsímil")</f>
        <v>Abrir facsímil</v>
      </c>
      <c r="K3873" s="3" t="s">
        <v>22</v>
      </c>
    </row>
    <row r="3874" spans="1:11" ht="42" customHeight="1">
      <c r="A3874" s="2" t="s">
        <v>8363</v>
      </c>
      <c r="B3874" s="2" t="s">
        <v>8363</v>
      </c>
      <c r="C3874" s="2" t="s">
        <v>16</v>
      </c>
      <c r="D3874" s="2" t="s">
        <v>17</v>
      </c>
      <c r="E3874" s="5">
        <v>-31598</v>
      </c>
      <c r="F3874" s="3" t="s">
        <v>286</v>
      </c>
      <c r="G3874" s="3" t="s">
        <v>54</v>
      </c>
      <c r="H3874" s="2" t="s">
        <v>20</v>
      </c>
      <c r="I3874" s="2" t="s">
        <v>8364</v>
      </c>
      <c r="J3874" s="3" t="str">
        <f>HYPERLINK("https://www.boe.es/gazeta/dias/1813/06/26/pdfs/GRE-1813-79.pdf#page=3","Abrir facsímil")</f>
        <v>Abrir facsímil</v>
      </c>
      <c r="K3874" s="3" t="s">
        <v>22</v>
      </c>
    </row>
    <row r="3875" spans="1:11" ht="42" customHeight="1">
      <c r="A3875" s="2" t="s">
        <v>8363</v>
      </c>
      <c r="B3875" s="2" t="s">
        <v>8363</v>
      </c>
      <c r="C3875" s="2" t="s">
        <v>16</v>
      </c>
      <c r="D3875" s="2" t="s">
        <v>17</v>
      </c>
      <c r="E3875" s="5">
        <v>-31585</v>
      </c>
      <c r="F3875" s="3" t="s">
        <v>177</v>
      </c>
      <c r="G3875" s="3" t="s">
        <v>54</v>
      </c>
      <c r="H3875" s="2" t="s">
        <v>20</v>
      </c>
      <c r="I3875" s="2" t="s">
        <v>8365</v>
      </c>
      <c r="J3875" s="3" t="str">
        <f>HYPERLINK("https://www.boe.es/gazeta/dias/1813/07/09/pdfs/GMR-1813-16.pdf#page=3","Abrir facsímil")</f>
        <v>Abrir facsímil</v>
      </c>
      <c r="K3875" s="3" t="s">
        <v>22</v>
      </c>
    </row>
    <row r="3876" spans="1:11" ht="42" customHeight="1">
      <c r="A3876" s="2" t="s">
        <v>8366</v>
      </c>
      <c r="B3876" s="2" t="s">
        <v>8366</v>
      </c>
      <c r="C3876" s="2" t="s">
        <v>34</v>
      </c>
      <c r="D3876" s="2" t="s">
        <v>35</v>
      </c>
      <c r="E3876" s="5">
        <v>-31708</v>
      </c>
      <c r="F3876" s="3" t="s">
        <v>166</v>
      </c>
      <c r="G3876" s="3" t="s">
        <v>167</v>
      </c>
      <c r="H3876" s="2" t="s">
        <v>20</v>
      </c>
      <c r="I3876" s="2" t="s">
        <v>8367</v>
      </c>
      <c r="J3876" s="3" t="str">
        <f>HYPERLINK("https://www.boe.es/gazeta/dias/1813/03/08/pdfs/GMD-1813-67.pdf#page=3","Abrir facsímil")</f>
        <v>Abrir facsímil</v>
      </c>
      <c r="K3876" s="3" t="s">
        <v>22</v>
      </c>
    </row>
    <row r="3877" spans="1:11" ht="42" customHeight="1">
      <c r="A3877" s="2" t="s">
        <v>8368</v>
      </c>
      <c r="B3877" s="2" t="s">
        <v>8368</v>
      </c>
      <c r="C3877" s="2" t="s">
        <v>25</v>
      </c>
      <c r="D3877" s="2" t="s">
        <v>26</v>
      </c>
      <c r="E3877" s="5">
        <v>-31764</v>
      </c>
      <c r="F3877" s="3" t="s">
        <v>2677</v>
      </c>
      <c r="G3877" s="3" t="s">
        <v>19</v>
      </c>
      <c r="H3877" s="2" t="s">
        <v>20</v>
      </c>
      <c r="I3877" s="2" t="s">
        <v>8369</v>
      </c>
      <c r="J3877" s="3" t="str">
        <f>HYPERLINK("https://www.boe.es/gazeta/dias/1813/01/11/pdfs/GMD-1813-11.pdf#page=4","Abrir facsímil")</f>
        <v>Abrir facsímil</v>
      </c>
      <c r="K3877" s="3" t="s">
        <v>22</v>
      </c>
    </row>
    <row r="3878" spans="1:11" ht="42" customHeight="1">
      <c r="A3878" s="2" t="s">
        <v>8370</v>
      </c>
      <c r="B3878" s="2" t="s">
        <v>8370</v>
      </c>
      <c r="C3878" s="2" t="s">
        <v>16</v>
      </c>
      <c r="D3878" s="2" t="s">
        <v>17</v>
      </c>
      <c r="E3878" s="5">
        <v>-31709</v>
      </c>
      <c r="F3878" s="3" t="s">
        <v>36</v>
      </c>
      <c r="G3878" s="3" t="s">
        <v>65</v>
      </c>
      <c r="H3878" s="2" t="s">
        <v>20</v>
      </c>
      <c r="I3878" s="2" t="s">
        <v>8371</v>
      </c>
      <c r="J3878" s="3" t="str">
        <f>HYPERLINK("https://www.boe.es/gazeta/dias/1813/03/07/pdfs/GMD-1813-66.pdf#page=1","Abrir facsímil")</f>
        <v>Abrir facsímil</v>
      </c>
      <c r="K3878" s="3" t="s">
        <v>22</v>
      </c>
    </row>
    <row r="3879" spans="1:11" ht="42" customHeight="1">
      <c r="A3879" s="2" t="s">
        <v>8370</v>
      </c>
      <c r="B3879" s="2" t="s">
        <v>8370</v>
      </c>
      <c r="C3879" s="2" t="s">
        <v>187</v>
      </c>
      <c r="D3879" s="2" t="s">
        <v>26</v>
      </c>
      <c r="E3879" s="5">
        <v>-31609</v>
      </c>
      <c r="F3879" s="3" t="s">
        <v>584</v>
      </c>
      <c r="G3879" s="3" t="s">
        <v>95</v>
      </c>
      <c r="H3879" s="2" t="s">
        <v>20</v>
      </c>
      <c r="I3879" s="2" t="s">
        <v>8372</v>
      </c>
      <c r="J3879" s="3" t="str">
        <f>HYPERLINK("https://www.boe.es/gazeta/dias/1813/06/15/pdfs/GRE-1813-74.pdf#page=6","Abrir facsímil")</f>
        <v>Abrir facsímil</v>
      </c>
      <c r="K3879" s="3" t="s">
        <v>22</v>
      </c>
    </row>
    <row r="3880" spans="1:11" ht="42" customHeight="1">
      <c r="A3880" s="2" t="s">
        <v>8370</v>
      </c>
      <c r="B3880" s="2" t="s">
        <v>8370</v>
      </c>
      <c r="C3880" s="2" t="s">
        <v>187</v>
      </c>
      <c r="D3880" s="2" t="s">
        <v>26</v>
      </c>
      <c r="E3880" s="5">
        <v>-31595</v>
      </c>
      <c r="F3880" s="3" t="s">
        <v>70</v>
      </c>
      <c r="G3880" s="3" t="s">
        <v>821</v>
      </c>
      <c r="H3880" s="2" t="s">
        <v>20</v>
      </c>
      <c r="I3880" s="2" t="s">
        <v>8373</v>
      </c>
      <c r="J3880" s="3" t="str">
        <f>HYPERLINK("https://www.boe.es/gazeta/dias/1813/06/29/pdfs/GMR-1813-13.pdf#page=13","Abrir facsímil")</f>
        <v>Abrir facsímil</v>
      </c>
      <c r="K3880" s="3" t="s">
        <v>22</v>
      </c>
    </row>
    <row r="3881" spans="1:11" ht="42" customHeight="1">
      <c r="A3881" s="2" t="s">
        <v>8370</v>
      </c>
      <c r="B3881" s="2" t="s">
        <v>8370</v>
      </c>
      <c r="C3881" s="2" t="s">
        <v>16</v>
      </c>
      <c r="D3881" s="2" t="s">
        <v>17</v>
      </c>
      <c r="E3881" s="5">
        <v>-31558</v>
      </c>
      <c r="F3881" s="3" t="s">
        <v>1288</v>
      </c>
      <c r="G3881" s="3" t="s">
        <v>6216</v>
      </c>
      <c r="H3881" s="2" t="s">
        <v>20</v>
      </c>
      <c r="I3881" s="2" t="s">
        <v>8374</v>
      </c>
      <c r="J3881" s="3" t="str">
        <f>HYPERLINK("https://www.boe.es/gazeta/dias/1813/08/05/pdfs/GMR-1813-24.pdf#page=4","Abrir facsímil")</f>
        <v>Abrir facsímil</v>
      </c>
      <c r="K3881" s="3" t="s">
        <v>22</v>
      </c>
    </row>
    <row r="3882" spans="1:11" ht="42" customHeight="1">
      <c r="A3882" s="2" t="s">
        <v>8375</v>
      </c>
      <c r="B3882" s="2" t="s">
        <v>8375</v>
      </c>
      <c r="C3882" s="2" t="s">
        <v>16</v>
      </c>
      <c r="D3882" s="2" t="s">
        <v>17</v>
      </c>
      <c r="E3882" s="5">
        <v>-31481</v>
      </c>
      <c r="F3882" s="3" t="s">
        <v>380</v>
      </c>
      <c r="G3882" s="3" t="s">
        <v>58</v>
      </c>
      <c r="H3882" s="2" t="s">
        <v>20</v>
      </c>
      <c r="I3882" s="2" t="s">
        <v>8376</v>
      </c>
      <c r="J3882" s="3" t="str">
        <f>HYPERLINK("https://www.boe.es/gazeta/dias/1813/10/21/pdfs/GRE-1813-137.pdf#page=2","Abrir facsímil")</f>
        <v>Abrir facsímil</v>
      </c>
      <c r="K3882" s="3" t="s">
        <v>22</v>
      </c>
    </row>
    <row r="3883" spans="1:11" ht="42" customHeight="1">
      <c r="A3883" s="2" t="s">
        <v>8377</v>
      </c>
      <c r="B3883" s="2" t="s">
        <v>8377</v>
      </c>
      <c r="C3883" s="2" t="s">
        <v>16</v>
      </c>
      <c r="D3883" s="2" t="s">
        <v>17</v>
      </c>
      <c r="E3883" s="5">
        <v>-31486</v>
      </c>
      <c r="F3883" s="3" t="s">
        <v>1284</v>
      </c>
      <c r="G3883" s="3" t="s">
        <v>65</v>
      </c>
      <c r="H3883" s="2" t="s">
        <v>20</v>
      </c>
      <c r="I3883" s="2" t="s">
        <v>8378</v>
      </c>
      <c r="J3883" s="3" t="str">
        <f>HYPERLINK("https://www.boe.es/gazeta/dias/1813/10/16/pdfs/GMR-1813-60.pdf#page=1","Abrir facsímil")</f>
        <v>Abrir facsímil</v>
      </c>
      <c r="K3883" s="3" t="s">
        <v>22</v>
      </c>
    </row>
    <row r="3884" spans="1:11" ht="42" customHeight="1">
      <c r="A3884" s="2" t="s">
        <v>8379</v>
      </c>
      <c r="B3884" s="2" t="s">
        <v>8380</v>
      </c>
      <c r="C3884" s="2" t="s">
        <v>16</v>
      </c>
      <c r="D3884" s="2" t="s">
        <v>97</v>
      </c>
      <c r="E3884" s="5">
        <v>-31499</v>
      </c>
      <c r="F3884" s="3" t="s">
        <v>220</v>
      </c>
      <c r="G3884" s="3" t="s">
        <v>1788</v>
      </c>
      <c r="H3884" s="2" t="s">
        <v>20</v>
      </c>
      <c r="I3884" s="2" t="s">
        <v>8381</v>
      </c>
      <c r="J3884" s="3" t="str">
        <f>HYPERLINK("https://www.boe.es/gazeta/dias/1813/10/03/pdfs/GMR-1813-53E.pdf#page=4","Abrir facsímil")</f>
        <v>Abrir facsímil</v>
      </c>
      <c r="K3884" s="3" t="s">
        <v>22</v>
      </c>
    </row>
    <row r="3885" spans="1:11" ht="42" customHeight="1">
      <c r="A3885" s="2" t="s">
        <v>8382</v>
      </c>
      <c r="B3885" s="2" t="s">
        <v>8382</v>
      </c>
      <c r="C3885" s="2" t="s">
        <v>69</v>
      </c>
      <c r="D3885" s="2" t="s">
        <v>26</v>
      </c>
      <c r="E3885" s="5">
        <v>-31518</v>
      </c>
      <c r="F3885" s="3" t="s">
        <v>1090</v>
      </c>
      <c r="G3885" s="3" t="s">
        <v>1926</v>
      </c>
      <c r="H3885" s="2" t="s">
        <v>20</v>
      </c>
      <c r="I3885" s="2" t="s">
        <v>8383</v>
      </c>
      <c r="J3885" s="3" t="str">
        <f>HYPERLINK("https://www.boe.es/gazeta/dias/1813/09/14/pdfs/GMR-1813-42.pdf#page=9","Abrir facsímil")</f>
        <v>Abrir facsímil</v>
      </c>
      <c r="K3885" s="3" t="s">
        <v>22</v>
      </c>
    </row>
    <row r="3886" spans="1:11" ht="42" customHeight="1">
      <c r="A3886" s="2" t="s">
        <v>8384</v>
      </c>
      <c r="B3886" s="2" t="s">
        <v>8384</v>
      </c>
      <c r="C3886" s="2" t="s">
        <v>69</v>
      </c>
      <c r="D3886" s="2" t="s">
        <v>26</v>
      </c>
      <c r="E3886" s="5">
        <v>-31693</v>
      </c>
      <c r="F3886" s="3" t="s">
        <v>3950</v>
      </c>
      <c r="G3886" s="3" t="s">
        <v>65</v>
      </c>
      <c r="H3886" s="2" t="s">
        <v>20</v>
      </c>
      <c r="I3886" s="2" t="s">
        <v>8385</v>
      </c>
      <c r="J3886" s="3" t="str">
        <f>HYPERLINK("https://www.boe.es/gazeta/dias/1813/03/23/pdfs/GRE-1813-36.pdf#page=1","Abrir facsímil")</f>
        <v>Abrir facsímil</v>
      </c>
      <c r="K3886" s="3" t="s">
        <v>22</v>
      </c>
    </row>
    <row r="3887" spans="1:11" ht="42" customHeight="1">
      <c r="A3887" s="2" t="s">
        <v>8386</v>
      </c>
      <c r="B3887" s="2" t="s">
        <v>8386</v>
      </c>
      <c r="C3887" s="2" t="s">
        <v>16</v>
      </c>
      <c r="D3887" s="2" t="s">
        <v>17</v>
      </c>
      <c r="E3887" s="5">
        <v>-31738</v>
      </c>
      <c r="F3887" s="3" t="s">
        <v>556</v>
      </c>
      <c r="G3887" s="3" t="s">
        <v>28</v>
      </c>
      <c r="H3887" s="2" t="s">
        <v>20</v>
      </c>
      <c r="I3887" s="2" t="s">
        <v>8387</v>
      </c>
      <c r="J3887" s="3" t="str">
        <f>HYPERLINK("https://www.boe.es/gazeta/dias/1813/02/06/pdfs/GRE-1813-16.pdf#page=8","Abrir facsímil")</f>
        <v>Abrir facsímil</v>
      </c>
      <c r="K3887" s="3" t="s">
        <v>22</v>
      </c>
    </row>
    <row r="3888" spans="1:11" ht="42" customHeight="1">
      <c r="A3888" s="2" t="s">
        <v>8386</v>
      </c>
      <c r="B3888" s="2" t="s">
        <v>8386</v>
      </c>
      <c r="C3888" s="2" t="s">
        <v>16</v>
      </c>
      <c r="D3888" s="2" t="s">
        <v>17</v>
      </c>
      <c r="E3888" s="5">
        <v>-31717</v>
      </c>
      <c r="F3888" s="3" t="s">
        <v>4754</v>
      </c>
      <c r="G3888" s="3" t="s">
        <v>65</v>
      </c>
      <c r="H3888" s="2" t="s">
        <v>20</v>
      </c>
      <c r="I3888" s="2" t="s">
        <v>8388</v>
      </c>
      <c r="J3888" s="3" t="str">
        <f>HYPERLINK("https://www.boe.es/gazeta/dias/1813/02/27/pdfs/GMD-1813-58.pdf#page=1","Abrir facsímil")</f>
        <v>Abrir facsímil</v>
      </c>
      <c r="K3888" s="3" t="s">
        <v>22</v>
      </c>
    </row>
    <row r="3889" spans="1:11" ht="42" customHeight="1">
      <c r="A3889" s="2" t="s">
        <v>8386</v>
      </c>
      <c r="B3889" s="2" t="s">
        <v>8386</v>
      </c>
      <c r="C3889" s="2" t="s">
        <v>34</v>
      </c>
      <c r="D3889" s="2" t="s">
        <v>35</v>
      </c>
      <c r="E3889" s="5">
        <v>-31677</v>
      </c>
      <c r="F3889" s="3" t="s">
        <v>76</v>
      </c>
      <c r="G3889" s="3" t="s">
        <v>95</v>
      </c>
      <c r="H3889" s="2" t="s">
        <v>20</v>
      </c>
      <c r="I3889" s="2" t="s">
        <v>8389</v>
      </c>
      <c r="J3889" s="3" t="str">
        <f>HYPERLINK("https://www.boe.es/gazeta/dias/1813/04/08/pdfs/GRE-1813-43.pdf#page=6","Abrir facsímil")</f>
        <v>Abrir facsímil</v>
      </c>
      <c r="K3889" s="3" t="s">
        <v>22</v>
      </c>
    </row>
    <row r="3890" spans="1:11" ht="42" customHeight="1">
      <c r="A3890" s="2" t="s">
        <v>8386</v>
      </c>
      <c r="B3890" s="2" t="s">
        <v>8386</v>
      </c>
      <c r="C3890" s="2" t="s">
        <v>25</v>
      </c>
      <c r="D3890" s="2" t="s">
        <v>26</v>
      </c>
      <c r="E3890" s="5">
        <v>-31677</v>
      </c>
      <c r="F3890" s="3" t="s">
        <v>76</v>
      </c>
      <c r="G3890" s="3" t="s">
        <v>28</v>
      </c>
      <c r="H3890" s="2" t="s">
        <v>20</v>
      </c>
      <c r="I3890" s="2" t="s">
        <v>8390</v>
      </c>
      <c r="J3890" s="3" t="str">
        <f>HYPERLINK("https://www.boe.es/gazeta/dias/1813/04/08/pdfs/GRE-1813-43.pdf#page=8","Abrir facsímil")</f>
        <v>Abrir facsímil</v>
      </c>
      <c r="K3890" s="3" t="s">
        <v>22</v>
      </c>
    </row>
    <row r="3891" spans="1:11" ht="42" customHeight="1">
      <c r="A3891" s="2" t="s">
        <v>8386</v>
      </c>
      <c r="B3891" s="2" t="s">
        <v>8386</v>
      </c>
      <c r="C3891" s="2" t="s">
        <v>25</v>
      </c>
      <c r="D3891" s="2" t="s">
        <v>26</v>
      </c>
      <c r="E3891" s="5">
        <v>-31675</v>
      </c>
      <c r="F3891" s="3" t="s">
        <v>27</v>
      </c>
      <c r="G3891" s="3" t="s">
        <v>648</v>
      </c>
      <c r="H3891" s="2" t="s">
        <v>20</v>
      </c>
      <c r="I3891" s="2" t="s">
        <v>8391</v>
      </c>
      <c r="J3891" s="3" t="str">
        <f>HYPERLINK("https://www.boe.es/gazeta/dias/1813/04/10/pdfs/GRE-1813-44.pdf#page=7","Abrir facsímil")</f>
        <v>Abrir facsímil</v>
      </c>
      <c r="K3891" s="3" t="s">
        <v>22</v>
      </c>
    </row>
    <row r="3892" spans="1:11" ht="42" customHeight="1">
      <c r="A3892" s="2" t="s">
        <v>8386</v>
      </c>
      <c r="B3892" s="2" t="s">
        <v>8386</v>
      </c>
      <c r="C3892" s="2" t="s">
        <v>25</v>
      </c>
      <c r="D3892" s="2" t="s">
        <v>26</v>
      </c>
      <c r="E3892" s="5">
        <v>-31675</v>
      </c>
      <c r="F3892" s="3" t="s">
        <v>27</v>
      </c>
      <c r="G3892" s="3" t="s">
        <v>28</v>
      </c>
      <c r="H3892" s="2" t="s">
        <v>20</v>
      </c>
      <c r="I3892" s="2" t="s">
        <v>8392</v>
      </c>
      <c r="J3892" s="3" t="str">
        <f>HYPERLINK("https://www.boe.es/gazeta/dias/1813/04/10/pdfs/GRE-1813-44.pdf#page=8","Abrir facsímil")</f>
        <v>Abrir facsímil</v>
      </c>
      <c r="K3892" s="3" t="s">
        <v>22</v>
      </c>
    </row>
    <row r="3893" spans="1:11" ht="42" customHeight="1">
      <c r="A3893" s="2" t="s">
        <v>8386</v>
      </c>
      <c r="B3893" s="2" t="s">
        <v>8386</v>
      </c>
      <c r="C3893" s="2" t="s">
        <v>16</v>
      </c>
      <c r="D3893" s="2" t="s">
        <v>17</v>
      </c>
      <c r="E3893" s="5">
        <v>-31612</v>
      </c>
      <c r="F3893" s="3" t="s">
        <v>5784</v>
      </c>
      <c r="G3893" s="3" t="s">
        <v>87</v>
      </c>
      <c r="H3893" s="2" t="s">
        <v>20</v>
      </c>
      <c r="I3893" s="2" t="s">
        <v>8393</v>
      </c>
      <c r="J3893" s="3" t="str">
        <f>HYPERLINK("https://www.boe.es/gazeta/dias/1813/06/12/pdfs/GRE-1813-73.pdf#page=7","Abrir facsímil")</f>
        <v>Abrir facsímil</v>
      </c>
      <c r="K3893" s="3" t="s">
        <v>22</v>
      </c>
    </row>
    <row r="3894" spans="1:11" ht="42" customHeight="1">
      <c r="A3894" s="2" t="s">
        <v>8386</v>
      </c>
      <c r="B3894" s="2" t="s">
        <v>8386</v>
      </c>
      <c r="C3894" s="2" t="s">
        <v>16</v>
      </c>
      <c r="D3894" s="2" t="s">
        <v>17</v>
      </c>
      <c r="E3894" s="5">
        <v>-31559</v>
      </c>
      <c r="F3894" s="3" t="s">
        <v>1485</v>
      </c>
      <c r="G3894" s="3" t="s">
        <v>1486</v>
      </c>
      <c r="H3894" s="2" t="s">
        <v>20</v>
      </c>
      <c r="I3894" s="2" t="s">
        <v>8394</v>
      </c>
      <c r="J3894" s="3" t="str">
        <f>HYPERLINK("https://www.boe.es/gazeta/dias/1813/08/04/pdfs/GRE-1813-113.pdf#page=8","Abrir facsímil")</f>
        <v>Abrir facsímil</v>
      </c>
      <c r="K3894" s="3" t="s">
        <v>22</v>
      </c>
    </row>
    <row r="3895" spans="1:11" ht="42" customHeight="1">
      <c r="A3895" s="2" t="s">
        <v>8386</v>
      </c>
      <c r="B3895" s="2" t="s">
        <v>8386</v>
      </c>
      <c r="C3895" s="2" t="s">
        <v>16</v>
      </c>
      <c r="D3895" s="2" t="s">
        <v>17</v>
      </c>
      <c r="E3895" s="5">
        <v>-31535</v>
      </c>
      <c r="F3895" s="3" t="s">
        <v>894</v>
      </c>
      <c r="G3895" s="3" t="s">
        <v>28</v>
      </c>
      <c r="H3895" s="2" t="s">
        <v>20</v>
      </c>
      <c r="I3895" s="2" t="s">
        <v>8395</v>
      </c>
      <c r="J3895" s="3" t="str">
        <f>HYPERLINK("https://www.boe.es/gazeta/dias/1813/08/28/pdfs/GMR-1813-34.pdf#page=8","Abrir facsímil")</f>
        <v>Abrir facsímil</v>
      </c>
      <c r="K3895" s="3" t="s">
        <v>22</v>
      </c>
    </row>
    <row r="3896" spans="1:11" ht="42" customHeight="1">
      <c r="A3896" s="2" t="s">
        <v>8386</v>
      </c>
      <c r="B3896" s="2" t="s">
        <v>8386</v>
      </c>
      <c r="C3896" s="2" t="s">
        <v>16</v>
      </c>
      <c r="D3896" s="2" t="s">
        <v>17</v>
      </c>
      <c r="E3896" s="5">
        <v>-31528</v>
      </c>
      <c r="F3896" s="3" t="s">
        <v>1485</v>
      </c>
      <c r="G3896" s="3" t="s">
        <v>1486</v>
      </c>
      <c r="H3896" s="2" t="s">
        <v>20</v>
      </c>
      <c r="I3896" s="2" t="s">
        <v>8394</v>
      </c>
      <c r="J3896" s="3" t="str">
        <f>HYPERLINK("https://www.boe.es/gazeta/dias/1813/09/04/pdfs/GRE-1813-113.pdf#page=8","Abrir facsímil")</f>
        <v>Abrir facsímil</v>
      </c>
      <c r="K3896" s="3" t="s">
        <v>22</v>
      </c>
    </row>
    <row r="3897" spans="1:11" ht="42" customHeight="1">
      <c r="A3897" s="2" t="s">
        <v>8386</v>
      </c>
      <c r="B3897" s="2" t="s">
        <v>8386</v>
      </c>
      <c r="C3897" s="2" t="s">
        <v>16</v>
      </c>
      <c r="D3897" s="2" t="s">
        <v>17</v>
      </c>
      <c r="E3897" s="5">
        <v>-31474</v>
      </c>
      <c r="F3897" s="3" t="s">
        <v>130</v>
      </c>
      <c r="G3897" s="3" t="s">
        <v>28</v>
      </c>
      <c r="H3897" s="2" t="s">
        <v>20</v>
      </c>
      <c r="I3897" s="2" t="s">
        <v>8396</v>
      </c>
      <c r="J3897" s="3" t="str">
        <f>HYPERLINK("https://www.boe.es/gazeta/dias/1813/10/28/pdfs/GRE-1813-141.pdf#page=8","Abrir facsímil")</f>
        <v>Abrir facsímil</v>
      </c>
      <c r="K3897" s="3" t="s">
        <v>22</v>
      </c>
    </row>
    <row r="3898" spans="1:11" ht="42" customHeight="1">
      <c r="A3898" s="2" t="s">
        <v>8386</v>
      </c>
      <c r="B3898" s="2" t="s">
        <v>8386</v>
      </c>
      <c r="C3898" s="2" t="s">
        <v>187</v>
      </c>
      <c r="D3898" s="2" t="s">
        <v>26</v>
      </c>
      <c r="E3898" s="5">
        <v>-31472</v>
      </c>
      <c r="F3898" s="3" t="s">
        <v>1942</v>
      </c>
      <c r="G3898" s="3" t="s">
        <v>28</v>
      </c>
      <c r="H3898" s="2" t="s">
        <v>20</v>
      </c>
      <c r="I3898" s="2" t="s">
        <v>8397</v>
      </c>
      <c r="J3898" s="3" t="str">
        <f>HYPERLINK("https://www.boe.es/gazeta/dias/1813/10/30/pdfs/GRE-1813-142.pdf#page=8","Abrir facsímil")</f>
        <v>Abrir facsímil</v>
      </c>
      <c r="K3898" s="3" t="s">
        <v>22</v>
      </c>
    </row>
    <row r="3899" spans="1:11" ht="42" customHeight="1">
      <c r="A3899" s="2" t="s">
        <v>8386</v>
      </c>
      <c r="B3899" s="2" t="s">
        <v>8386</v>
      </c>
      <c r="C3899" s="2" t="s">
        <v>16</v>
      </c>
      <c r="D3899" s="2" t="s">
        <v>17</v>
      </c>
      <c r="E3899" s="5">
        <v>-31458</v>
      </c>
      <c r="F3899" s="3" t="s">
        <v>1171</v>
      </c>
      <c r="G3899" s="3" t="s">
        <v>95</v>
      </c>
      <c r="H3899" s="2" t="s">
        <v>20</v>
      </c>
      <c r="I3899" s="2" t="s">
        <v>8398</v>
      </c>
      <c r="J3899" s="3" t="str">
        <f>HYPERLINK("https://www.boe.es/gazeta/dias/1813/11/13/pdfs/GRE-1813-149.pdf#page=6","Abrir facsímil")</f>
        <v>Abrir facsímil</v>
      </c>
      <c r="K3899" s="3" t="s">
        <v>22</v>
      </c>
    </row>
    <row r="3900" spans="1:11" ht="42" customHeight="1">
      <c r="A3900" s="2" t="s">
        <v>8399</v>
      </c>
      <c r="B3900" s="2" t="s">
        <v>8400</v>
      </c>
      <c r="C3900" s="2" t="s">
        <v>16</v>
      </c>
      <c r="D3900" s="2" t="s">
        <v>17</v>
      </c>
      <c r="E3900" s="5">
        <v>-31637</v>
      </c>
      <c r="F3900" s="3" t="s">
        <v>234</v>
      </c>
      <c r="G3900" s="3" t="s">
        <v>82</v>
      </c>
      <c r="H3900" s="2" t="s">
        <v>20</v>
      </c>
      <c r="I3900" s="2" t="s">
        <v>8401</v>
      </c>
      <c r="J3900" s="3" t="str">
        <f>HYPERLINK("https://www.boe.es/gazeta/dias/1813/05/18/pdfs/GRE-1813-61.pdf#page=5","Abrir facsímil")</f>
        <v>Abrir facsímil</v>
      </c>
      <c r="K3900" s="3" t="s">
        <v>22</v>
      </c>
    </row>
    <row r="3901" spans="1:11" ht="42" customHeight="1">
      <c r="A3901" s="2" t="s">
        <v>8402</v>
      </c>
      <c r="B3901" s="2" t="s">
        <v>8403</v>
      </c>
      <c r="C3901" s="2" t="s">
        <v>34</v>
      </c>
      <c r="D3901" s="2" t="s">
        <v>35</v>
      </c>
      <c r="E3901" s="5">
        <v>-31439</v>
      </c>
      <c r="F3901" s="3" t="s">
        <v>1298</v>
      </c>
      <c r="G3901" s="3" t="s">
        <v>28</v>
      </c>
      <c r="H3901" s="2" t="s">
        <v>20</v>
      </c>
      <c r="I3901" s="2" t="s">
        <v>8404</v>
      </c>
      <c r="J3901" s="3" t="str">
        <f>HYPERLINK("https://www.boe.es/gazeta/dias/1813/12/02/pdfs/GMR-1813-82.pdf#page=8","Abrir facsímil")</f>
        <v>Abrir facsímil</v>
      </c>
      <c r="K3901" s="3" t="s">
        <v>22</v>
      </c>
    </row>
    <row r="3902" spans="1:11" ht="42" customHeight="1">
      <c r="A3902" s="2" t="s">
        <v>8405</v>
      </c>
      <c r="B3902" s="2" t="s">
        <v>8405</v>
      </c>
      <c r="C3902" s="2" t="s">
        <v>25</v>
      </c>
      <c r="D3902" s="2" t="s">
        <v>26</v>
      </c>
      <c r="E3902" s="5">
        <v>-31476</v>
      </c>
      <c r="F3902" s="3" t="s">
        <v>229</v>
      </c>
      <c r="G3902" s="3" t="s">
        <v>230</v>
      </c>
      <c r="H3902" s="2" t="s">
        <v>20</v>
      </c>
      <c r="I3902" s="2" t="s">
        <v>8406</v>
      </c>
      <c r="J3902" s="3" t="str">
        <f>HYPERLINK("https://www.boe.es/gazeta/dias/1813/10/26/pdfs/GRE-1813-140.pdf#page=6","Abrir facsímil")</f>
        <v>Abrir facsímil</v>
      </c>
      <c r="K3902" s="3" t="s">
        <v>22</v>
      </c>
    </row>
    <row r="3903" spans="1:11" ht="42" customHeight="1">
      <c r="A3903" s="2" t="s">
        <v>8407</v>
      </c>
      <c r="B3903" s="2" t="s">
        <v>8407</v>
      </c>
      <c r="C3903" s="2" t="s">
        <v>16</v>
      </c>
      <c r="D3903" s="2" t="s">
        <v>17</v>
      </c>
      <c r="E3903" s="5">
        <v>-31532</v>
      </c>
      <c r="F3903" s="3" t="s">
        <v>215</v>
      </c>
      <c r="G3903" s="3" t="s">
        <v>95</v>
      </c>
      <c r="H3903" s="2" t="s">
        <v>20</v>
      </c>
      <c r="I3903" s="2" t="s">
        <v>8408</v>
      </c>
      <c r="J3903" s="3" t="str">
        <f>HYPERLINK("https://www.boe.es/gazeta/dias/1813/08/31/pdfs/GRE-1813-111.pdf#page=6","Abrir facsímil")</f>
        <v>Abrir facsímil</v>
      </c>
      <c r="K3903" s="3" t="s">
        <v>22</v>
      </c>
    </row>
    <row r="3904" spans="1:11" ht="42" customHeight="1">
      <c r="A3904" s="2" t="s">
        <v>8409</v>
      </c>
      <c r="B3904" s="2" t="s">
        <v>8409</v>
      </c>
      <c r="C3904" s="2" t="s">
        <v>16</v>
      </c>
      <c r="D3904" s="2" t="s">
        <v>17</v>
      </c>
      <c r="E3904" s="5">
        <v>-31717</v>
      </c>
      <c r="F3904" s="3" t="s">
        <v>2338</v>
      </c>
      <c r="G3904" s="3" t="s">
        <v>8410</v>
      </c>
      <c r="H3904" s="2" t="s">
        <v>20</v>
      </c>
      <c r="I3904" s="2" t="s">
        <v>8411</v>
      </c>
      <c r="J3904" s="3" t="str">
        <f>HYPERLINK("https://www.boe.es/gazeta/dias/1813/02/27/pdfs/GRE-1813-25.pdf#page=3","Abrir facsímil")</f>
        <v>Abrir facsímil</v>
      </c>
      <c r="K3904" s="3" t="s">
        <v>22</v>
      </c>
    </row>
    <row r="3905" spans="1:11" ht="42" customHeight="1">
      <c r="A3905" s="2" t="s">
        <v>8409</v>
      </c>
      <c r="B3905" s="2" t="s">
        <v>8409</v>
      </c>
      <c r="C3905" s="2" t="s">
        <v>25</v>
      </c>
      <c r="D3905" s="2" t="s">
        <v>26</v>
      </c>
      <c r="E3905" s="5">
        <v>-31677</v>
      </c>
      <c r="F3905" s="3" t="s">
        <v>76</v>
      </c>
      <c r="G3905" s="3" t="s">
        <v>28</v>
      </c>
      <c r="H3905" s="2" t="s">
        <v>20</v>
      </c>
      <c r="I3905" s="2" t="s">
        <v>8412</v>
      </c>
      <c r="J3905" s="3" t="str">
        <f>HYPERLINK("https://www.boe.es/gazeta/dias/1813/04/08/pdfs/GRE-1813-43.pdf#page=8","Abrir facsímil")</f>
        <v>Abrir facsímil</v>
      </c>
      <c r="K3905" s="3" t="s">
        <v>22</v>
      </c>
    </row>
    <row r="3906" spans="1:11" ht="42" customHeight="1">
      <c r="A3906" s="2" t="s">
        <v>8409</v>
      </c>
      <c r="B3906" s="2" t="s">
        <v>8409</v>
      </c>
      <c r="C3906" s="2" t="s">
        <v>25</v>
      </c>
      <c r="D3906" s="2" t="s">
        <v>26</v>
      </c>
      <c r="E3906" s="5">
        <v>-31481</v>
      </c>
      <c r="F3906" s="3" t="s">
        <v>40</v>
      </c>
      <c r="G3906" s="3" t="s">
        <v>87</v>
      </c>
      <c r="H3906" s="2" t="s">
        <v>20</v>
      </c>
      <c r="I3906" s="2" t="s">
        <v>8413</v>
      </c>
      <c r="J3906" s="3" t="str">
        <f>HYPERLINK("https://www.boe.es/gazeta/dias/1813/10/21/pdfs/GMR-1813-62.pdf#page=7","Abrir facsímil")</f>
        <v>Abrir facsímil</v>
      </c>
      <c r="K3906" s="3" t="s">
        <v>22</v>
      </c>
    </row>
    <row r="3907" spans="1:11" ht="42" customHeight="1">
      <c r="A3907" s="2" t="s">
        <v>8409</v>
      </c>
      <c r="B3907" s="2" t="s">
        <v>8409</v>
      </c>
      <c r="C3907" s="2" t="s">
        <v>16</v>
      </c>
      <c r="D3907" s="2" t="s">
        <v>17</v>
      </c>
      <c r="E3907" s="5">
        <v>-31434</v>
      </c>
      <c r="F3907" s="3" t="s">
        <v>948</v>
      </c>
      <c r="G3907" s="3" t="s">
        <v>54</v>
      </c>
      <c r="H3907" s="2" t="s">
        <v>20</v>
      </c>
      <c r="I3907" s="2" t="s">
        <v>8414</v>
      </c>
      <c r="J3907" s="3" t="str">
        <f>HYPERLINK("https://www.boe.es/gazeta/dias/1813/12/07/pdfs/GMR-1813-84.pdf#page=3","Abrir facsímil")</f>
        <v>Abrir facsímil</v>
      </c>
      <c r="K3907" s="3" t="s">
        <v>22</v>
      </c>
    </row>
    <row r="3908" spans="1:11" ht="42" customHeight="1">
      <c r="A3908" s="2" t="s">
        <v>8415</v>
      </c>
      <c r="B3908" s="2" t="s">
        <v>8415</v>
      </c>
      <c r="C3908" s="2" t="s">
        <v>25</v>
      </c>
      <c r="D3908" s="2" t="s">
        <v>26</v>
      </c>
      <c r="E3908" s="5">
        <v>-31567</v>
      </c>
      <c r="F3908" s="3" t="s">
        <v>1471</v>
      </c>
      <c r="G3908" s="3" t="s">
        <v>95</v>
      </c>
      <c r="H3908" s="2" t="s">
        <v>20</v>
      </c>
      <c r="I3908" s="2" t="s">
        <v>8416</v>
      </c>
      <c r="J3908" s="3" t="str">
        <f>HYPERLINK("https://www.boe.es/gazeta/dias/1813/07/27/pdfs/GRE-1813-95.pdf#page=6","Abrir facsímil")</f>
        <v>Abrir facsímil</v>
      </c>
      <c r="K3908" s="3" t="s">
        <v>22</v>
      </c>
    </row>
    <row r="3909" spans="1:11" ht="42" customHeight="1">
      <c r="A3909" s="2" t="s">
        <v>8417</v>
      </c>
      <c r="B3909" s="2" t="s">
        <v>8418</v>
      </c>
      <c r="C3909" s="2" t="s">
        <v>16</v>
      </c>
      <c r="D3909" s="2" t="s">
        <v>17</v>
      </c>
      <c r="E3909" s="5">
        <v>-31574</v>
      </c>
      <c r="F3909" s="3" t="s">
        <v>509</v>
      </c>
      <c r="G3909" s="3" t="s">
        <v>8419</v>
      </c>
      <c r="H3909" s="2" t="s">
        <v>29</v>
      </c>
      <c r="I3909" s="2" t="s">
        <v>8420</v>
      </c>
      <c r="J3909" s="3" t="str">
        <f>HYPERLINK("https://www.boe.es/gazeta/dias/1813/07/20/pdfs/GRE-1813-92.pdf#page=2","Abrir facsímil")</f>
        <v>Abrir facsímil</v>
      </c>
      <c r="K3909" s="3" t="s">
        <v>31</v>
      </c>
    </row>
    <row r="3910" spans="1:11" ht="42" customHeight="1">
      <c r="A3910" s="2" t="s">
        <v>8421</v>
      </c>
      <c r="B3910" s="2" t="s">
        <v>8421</v>
      </c>
      <c r="C3910" s="2" t="s">
        <v>16</v>
      </c>
      <c r="D3910" s="2" t="s">
        <v>17</v>
      </c>
      <c r="E3910" s="5">
        <v>-31437</v>
      </c>
      <c r="F3910" s="3" t="s">
        <v>680</v>
      </c>
      <c r="G3910" s="3" t="s">
        <v>58</v>
      </c>
      <c r="H3910" s="2" t="s">
        <v>20</v>
      </c>
      <c r="I3910" s="2" t="s">
        <v>8422</v>
      </c>
      <c r="J3910" s="3" t="str">
        <f>HYPERLINK("https://www.boe.es/gazeta/dias/1813/12/04/pdfs/GMR-1813-83.pdf#page=2","Abrir facsímil")</f>
        <v>Abrir facsímil</v>
      </c>
      <c r="K3910" s="3" t="s">
        <v>22</v>
      </c>
    </row>
    <row r="3911" spans="1:11" ht="42" customHeight="1">
      <c r="A3911" s="2" t="s">
        <v>8423</v>
      </c>
      <c r="B3911" s="2" t="s">
        <v>8423</v>
      </c>
      <c r="C3911" s="2" t="s">
        <v>16</v>
      </c>
      <c r="D3911" s="2" t="s">
        <v>17</v>
      </c>
      <c r="E3911" s="5">
        <v>-31509</v>
      </c>
      <c r="F3911" s="3" t="s">
        <v>202</v>
      </c>
      <c r="G3911" s="3" t="s">
        <v>95</v>
      </c>
      <c r="H3911" s="2" t="s">
        <v>20</v>
      </c>
      <c r="I3911" s="2" t="s">
        <v>8424</v>
      </c>
      <c r="J3911" s="3" t="str">
        <f>HYPERLINK("https://www.boe.es/gazeta/dias/1813/09/23/pdfs/GMR-1813-47.pdf#page=6","Abrir facsímil")</f>
        <v>Abrir facsímil</v>
      </c>
      <c r="K3911" s="3" t="s">
        <v>22</v>
      </c>
    </row>
    <row r="3912" spans="1:11" ht="42" customHeight="1">
      <c r="A3912" s="2" t="s">
        <v>8423</v>
      </c>
      <c r="B3912" s="2" t="s">
        <v>8423</v>
      </c>
      <c r="C3912" s="2" t="s">
        <v>16</v>
      </c>
      <c r="D3912" s="2" t="s">
        <v>17</v>
      </c>
      <c r="E3912" s="5">
        <v>-31504</v>
      </c>
      <c r="F3912" s="3" t="s">
        <v>192</v>
      </c>
      <c r="G3912" s="3" t="s">
        <v>19</v>
      </c>
      <c r="H3912" s="2" t="s">
        <v>20</v>
      </c>
      <c r="I3912" s="2" t="s">
        <v>8425</v>
      </c>
      <c r="J3912" s="3" t="str">
        <f>HYPERLINK("https://www.boe.es/gazeta/dias/1813/09/28/pdfs/GRE-1813-127.pdf#page=4","Abrir facsímil")</f>
        <v>Abrir facsímil</v>
      </c>
      <c r="K3912" s="3" t="s">
        <v>22</v>
      </c>
    </row>
    <row r="3913" spans="1:11" ht="42" customHeight="1">
      <c r="A3913" s="2" t="s">
        <v>8426</v>
      </c>
      <c r="B3913" s="2" t="s">
        <v>8426</v>
      </c>
      <c r="C3913" s="2" t="s">
        <v>16</v>
      </c>
      <c r="D3913" s="2" t="s">
        <v>17</v>
      </c>
      <c r="E3913" s="5">
        <v>-31742</v>
      </c>
      <c r="F3913" s="3" t="s">
        <v>2667</v>
      </c>
      <c r="G3913" s="3" t="s">
        <v>2668</v>
      </c>
      <c r="H3913" s="2" t="s">
        <v>20</v>
      </c>
      <c r="I3913" s="2" t="s">
        <v>8427</v>
      </c>
      <c r="J3913" s="3" t="str">
        <f>HYPERLINK("https://www.boe.es/gazeta/dias/1813/02/02/pdfs/GRE-1813-14.pdf#page=4","Abrir facsímil")</f>
        <v>Abrir facsímil</v>
      </c>
      <c r="K3913" s="3" t="s">
        <v>22</v>
      </c>
    </row>
    <row r="3914" spans="1:11" ht="42" customHeight="1">
      <c r="A3914" s="2" t="s">
        <v>8426</v>
      </c>
      <c r="B3914" s="2" t="s">
        <v>8426</v>
      </c>
      <c r="C3914" s="2" t="s">
        <v>16</v>
      </c>
      <c r="D3914" s="2" t="s">
        <v>17</v>
      </c>
      <c r="E3914" s="5">
        <v>-31516</v>
      </c>
      <c r="F3914" s="3" t="s">
        <v>1685</v>
      </c>
      <c r="G3914" s="3" t="s">
        <v>95</v>
      </c>
      <c r="H3914" s="2" t="s">
        <v>20</v>
      </c>
      <c r="I3914" s="2" t="s">
        <v>8428</v>
      </c>
      <c r="J3914" s="3" t="str">
        <f>HYPERLINK("https://www.boe.es/gazeta/dias/1813/09/16/pdfs/GRE-1813-120.pdf#page=6","Abrir facsímil")</f>
        <v>Abrir facsímil</v>
      </c>
      <c r="K3914" s="3" t="s">
        <v>22</v>
      </c>
    </row>
    <row r="3915" spans="1:11" ht="42" customHeight="1">
      <c r="A3915" s="2" t="s">
        <v>8429</v>
      </c>
      <c r="B3915" s="2" t="s">
        <v>8429</v>
      </c>
      <c r="C3915" s="2" t="s">
        <v>25</v>
      </c>
      <c r="D3915" s="2" t="s">
        <v>26</v>
      </c>
      <c r="E3915" s="5">
        <v>-31675</v>
      </c>
      <c r="F3915" s="3" t="s">
        <v>27</v>
      </c>
      <c r="G3915" s="3" t="s">
        <v>28</v>
      </c>
      <c r="H3915" s="2" t="s">
        <v>20</v>
      </c>
      <c r="I3915" s="2" t="s">
        <v>8430</v>
      </c>
      <c r="J3915" s="3" t="str">
        <f>HYPERLINK("https://www.boe.es/gazeta/dias/1813/04/10/pdfs/GRE-1813-44.pdf#page=8","Abrir facsímil")</f>
        <v>Abrir facsímil</v>
      </c>
      <c r="K3915" s="3" t="s">
        <v>22</v>
      </c>
    </row>
    <row r="3916" spans="1:11" ht="42" customHeight="1">
      <c r="A3916" s="2" t="s">
        <v>8431</v>
      </c>
      <c r="B3916" s="2" t="s">
        <v>8431</v>
      </c>
      <c r="C3916" s="2" t="s">
        <v>16</v>
      </c>
      <c r="D3916" s="2" t="s">
        <v>17</v>
      </c>
      <c r="E3916" s="5">
        <v>-31411</v>
      </c>
      <c r="F3916" s="3" t="s">
        <v>2306</v>
      </c>
      <c r="G3916" s="3" t="s">
        <v>19</v>
      </c>
      <c r="H3916" s="2" t="s">
        <v>20</v>
      </c>
      <c r="I3916" s="2" t="s">
        <v>8432</v>
      </c>
      <c r="J3916" s="3" t="str">
        <f>HYPERLINK("https://www.boe.es/gazeta/dias/1813/12/30/pdfs/GMR-1813-94.pdf#page=4","Abrir facsímil")</f>
        <v>Abrir facsímil</v>
      </c>
      <c r="K3916" s="3" t="s">
        <v>22</v>
      </c>
    </row>
    <row r="3917" spans="1:11" ht="42" customHeight="1">
      <c r="A3917" s="2" t="s">
        <v>8433</v>
      </c>
      <c r="B3917" s="2" t="s">
        <v>8433</v>
      </c>
      <c r="C3917" s="2" t="s">
        <v>16</v>
      </c>
      <c r="D3917" s="2" t="s">
        <v>17</v>
      </c>
      <c r="E3917" s="5">
        <v>-31481</v>
      </c>
      <c r="F3917" s="3" t="s">
        <v>40</v>
      </c>
      <c r="G3917" s="3" t="s">
        <v>1894</v>
      </c>
      <c r="H3917" s="2" t="s">
        <v>20</v>
      </c>
      <c r="I3917" s="2" t="s">
        <v>8434</v>
      </c>
      <c r="J3917" s="3" t="str">
        <f>HYPERLINK("https://www.boe.es/gazeta/dias/1813/10/21/pdfs/GMR-1813-62.pdf#page=4","Abrir facsímil")</f>
        <v>Abrir facsímil</v>
      </c>
      <c r="K3917" s="3" t="s">
        <v>22</v>
      </c>
    </row>
    <row r="3918" spans="1:11" ht="42" customHeight="1">
      <c r="A3918" s="2" t="s">
        <v>8435</v>
      </c>
      <c r="B3918" s="2" t="s">
        <v>8435</v>
      </c>
      <c r="C3918" s="2" t="s">
        <v>16</v>
      </c>
      <c r="D3918" s="2" t="s">
        <v>17</v>
      </c>
      <c r="E3918" s="5">
        <v>-31476</v>
      </c>
      <c r="F3918" s="3" t="s">
        <v>229</v>
      </c>
      <c r="G3918" s="3" t="s">
        <v>28</v>
      </c>
      <c r="H3918" s="2" t="s">
        <v>20</v>
      </c>
      <c r="I3918" s="2" t="s">
        <v>8436</v>
      </c>
      <c r="J3918" s="3" t="str">
        <f>HYPERLINK("https://www.boe.es/gazeta/dias/1813/10/26/pdfs/GRE-1813-140.pdf#page=8","Abrir facsímil")</f>
        <v>Abrir facsímil</v>
      </c>
      <c r="K3918" s="3" t="s">
        <v>22</v>
      </c>
    </row>
    <row r="3919" spans="1:11" ht="42" customHeight="1">
      <c r="A3919" s="2" t="s">
        <v>8437</v>
      </c>
      <c r="B3919" s="2" t="s">
        <v>8437</v>
      </c>
      <c r="C3919" s="2" t="s">
        <v>25</v>
      </c>
      <c r="D3919" s="2" t="s">
        <v>26</v>
      </c>
      <c r="E3919" s="5">
        <v>-31772</v>
      </c>
      <c r="F3919" s="3" t="s">
        <v>709</v>
      </c>
      <c r="G3919" s="3" t="s">
        <v>54</v>
      </c>
      <c r="H3919" s="2" t="s">
        <v>20</v>
      </c>
      <c r="I3919" s="2" t="s">
        <v>8438</v>
      </c>
      <c r="J3919" s="3" t="str">
        <f>HYPERLINK("https://www.boe.es/gazeta/dias/1813/01/03/pdfs/GRE-1813-69.pdf#page=3","Abrir facsímil")</f>
        <v>Abrir facsímil</v>
      </c>
      <c r="K3919" s="3" t="s">
        <v>22</v>
      </c>
    </row>
    <row r="3920" spans="1:11" ht="42" customHeight="1">
      <c r="A3920" s="2" t="s">
        <v>8437</v>
      </c>
      <c r="B3920" s="2" t="s">
        <v>8437</v>
      </c>
      <c r="C3920" s="2" t="s">
        <v>16</v>
      </c>
      <c r="D3920" s="2" t="s">
        <v>17</v>
      </c>
      <c r="E3920" s="5">
        <v>-31738</v>
      </c>
      <c r="F3920" s="3" t="s">
        <v>556</v>
      </c>
      <c r="G3920" s="3" t="s">
        <v>28</v>
      </c>
      <c r="H3920" s="2" t="s">
        <v>20</v>
      </c>
      <c r="I3920" s="2" t="s">
        <v>8439</v>
      </c>
      <c r="J3920" s="3" t="str">
        <f>HYPERLINK("https://www.boe.es/gazeta/dias/1813/02/06/pdfs/GRE-1813-16.pdf#page=8","Abrir facsímil")</f>
        <v>Abrir facsímil</v>
      </c>
      <c r="K3920" s="3" t="s">
        <v>22</v>
      </c>
    </row>
    <row r="3921" spans="1:11" ht="42" customHeight="1">
      <c r="A3921" s="2" t="s">
        <v>8437</v>
      </c>
      <c r="B3921" s="2" t="s">
        <v>8437</v>
      </c>
      <c r="C3921" s="2" t="s">
        <v>16</v>
      </c>
      <c r="D3921" s="2" t="s">
        <v>17</v>
      </c>
      <c r="E3921" s="5">
        <v>-31726</v>
      </c>
      <c r="F3921" s="3" t="s">
        <v>533</v>
      </c>
      <c r="G3921" s="3" t="s">
        <v>87</v>
      </c>
      <c r="H3921" s="2" t="s">
        <v>20</v>
      </c>
      <c r="I3921" s="2" t="s">
        <v>8440</v>
      </c>
      <c r="J3921" s="3" t="str">
        <f>HYPERLINK("https://www.boe.es/gazeta/dias/1813/02/18/pdfs/GRE-1813-21.pdf#page=7","Abrir facsímil")</f>
        <v>Abrir facsímil</v>
      </c>
      <c r="K3921" s="3" t="s">
        <v>22</v>
      </c>
    </row>
    <row r="3922" spans="1:11" ht="42" customHeight="1">
      <c r="A3922" s="2" t="s">
        <v>8437</v>
      </c>
      <c r="B3922" s="2" t="s">
        <v>8437</v>
      </c>
      <c r="C3922" s="2" t="s">
        <v>34</v>
      </c>
      <c r="D3922" s="2" t="s">
        <v>35</v>
      </c>
      <c r="E3922" s="5">
        <v>-31689</v>
      </c>
      <c r="F3922" s="3" t="s">
        <v>48</v>
      </c>
      <c r="G3922" s="3" t="s">
        <v>49</v>
      </c>
      <c r="H3922" s="2" t="s">
        <v>20</v>
      </c>
      <c r="I3922" s="2" t="s">
        <v>8441</v>
      </c>
      <c r="J3922" s="3" t="str">
        <f>HYPERLINK("https://www.boe.es/gazeta/dias/1813/03/27/pdfs/GRE-1813-38.pdf#page=7","Abrir facsímil")</f>
        <v>Abrir facsímil</v>
      </c>
      <c r="K3922" s="3" t="s">
        <v>22</v>
      </c>
    </row>
    <row r="3923" spans="1:11" ht="42" customHeight="1">
      <c r="A3923" s="2" t="s">
        <v>8437</v>
      </c>
      <c r="B3923" s="2" t="s">
        <v>8437</v>
      </c>
      <c r="C3923" s="2" t="s">
        <v>16</v>
      </c>
      <c r="D3923" s="2" t="s">
        <v>17</v>
      </c>
      <c r="E3923" s="5">
        <v>-31668</v>
      </c>
      <c r="F3923" s="3" t="s">
        <v>574</v>
      </c>
      <c r="G3923" s="3" t="s">
        <v>6144</v>
      </c>
      <c r="H3923" s="2" t="s">
        <v>20</v>
      </c>
      <c r="I3923" s="2" t="s">
        <v>8442</v>
      </c>
      <c r="J3923" s="3" t="str">
        <f>HYPERLINK("https://www.boe.es/gazeta/dias/1813/04/17/pdfs/GRE-1813-48.pdf#page=7","Abrir facsímil")</f>
        <v>Abrir facsímil</v>
      </c>
      <c r="K3923" s="3" t="s">
        <v>22</v>
      </c>
    </row>
    <row r="3924" spans="1:11" ht="42" customHeight="1">
      <c r="A3924" s="2" t="s">
        <v>8437</v>
      </c>
      <c r="B3924" s="2" t="s">
        <v>8437</v>
      </c>
      <c r="C3924" s="2" t="s">
        <v>25</v>
      </c>
      <c r="D3924" s="2" t="s">
        <v>26</v>
      </c>
      <c r="E3924" s="5">
        <v>-31621</v>
      </c>
      <c r="F3924" s="3" t="s">
        <v>709</v>
      </c>
      <c r="G3924" s="3" t="s">
        <v>54</v>
      </c>
      <c r="H3924" s="2" t="s">
        <v>20</v>
      </c>
      <c r="I3924" s="2" t="s">
        <v>8438</v>
      </c>
      <c r="J3924" s="3" t="str">
        <f>HYPERLINK("https://www.boe.es/gazeta/dias/1813/06/03/pdfs/GRE-1813-69.pdf#page=3","Abrir facsímil")</f>
        <v>Abrir facsímil</v>
      </c>
      <c r="K3924" s="3" t="s">
        <v>22</v>
      </c>
    </row>
    <row r="3925" spans="1:11" ht="42" customHeight="1">
      <c r="A3925" s="2" t="s">
        <v>8437</v>
      </c>
      <c r="B3925" s="2" t="s">
        <v>8437</v>
      </c>
      <c r="C3925" s="2" t="s">
        <v>25</v>
      </c>
      <c r="D3925" s="2" t="s">
        <v>26</v>
      </c>
      <c r="E3925" s="5">
        <v>-31595</v>
      </c>
      <c r="F3925" s="3" t="s">
        <v>1319</v>
      </c>
      <c r="G3925" s="3" t="s">
        <v>28</v>
      </c>
      <c r="H3925" s="2" t="s">
        <v>20</v>
      </c>
      <c r="I3925" s="2" t="s">
        <v>8443</v>
      </c>
      <c r="J3925" s="3" t="str">
        <f>HYPERLINK("https://www.boe.es/gazeta/dias/1813/06/29/pdfs/GRE-1813-80.pdf#page=8","Abrir facsímil")</f>
        <v>Abrir facsímil</v>
      </c>
      <c r="K3925" s="3" t="s">
        <v>22</v>
      </c>
    </row>
    <row r="3926" spans="1:11" ht="42" customHeight="1">
      <c r="A3926" s="2" t="s">
        <v>8437</v>
      </c>
      <c r="B3926" s="2" t="s">
        <v>8437</v>
      </c>
      <c r="C3926" s="2" t="s">
        <v>16</v>
      </c>
      <c r="D3926" s="2" t="s">
        <v>17</v>
      </c>
      <c r="E3926" s="5">
        <v>-31592</v>
      </c>
      <c r="F3926" s="3" t="s">
        <v>175</v>
      </c>
      <c r="G3926" s="3" t="s">
        <v>19</v>
      </c>
      <c r="H3926" s="2" t="s">
        <v>20</v>
      </c>
      <c r="I3926" s="2" t="s">
        <v>8444</v>
      </c>
      <c r="J3926" s="3" t="str">
        <f>HYPERLINK("https://www.boe.es/gazeta/dias/1813/07/02/pdfs/GRE-1813-82.pdf#page=4","Abrir facsímil")</f>
        <v>Abrir facsímil</v>
      </c>
      <c r="K3926" s="3" t="s">
        <v>22</v>
      </c>
    </row>
    <row r="3927" spans="1:11" ht="42" customHeight="1">
      <c r="A3927" s="2" t="s">
        <v>8437</v>
      </c>
      <c r="B3927" s="2" t="s">
        <v>8437</v>
      </c>
      <c r="C3927" s="2" t="s">
        <v>16</v>
      </c>
      <c r="D3927" s="2" t="s">
        <v>17</v>
      </c>
      <c r="E3927" s="5">
        <v>-31582</v>
      </c>
      <c r="F3927" s="3" t="s">
        <v>907</v>
      </c>
      <c r="G3927" s="3" t="s">
        <v>65</v>
      </c>
      <c r="H3927" s="2" t="s">
        <v>20</v>
      </c>
      <c r="I3927" s="2" t="s">
        <v>8445</v>
      </c>
      <c r="J3927" s="3" t="str">
        <f>HYPERLINK("https://www.boe.es/gazeta/dias/1813/07/12/pdfs/GRE-1813-87.pdf#page=1","Abrir facsímil")</f>
        <v>Abrir facsímil</v>
      </c>
      <c r="K3927" s="3" t="s">
        <v>22</v>
      </c>
    </row>
    <row r="3928" spans="1:11" ht="42" customHeight="1">
      <c r="A3928" s="2" t="s">
        <v>8437</v>
      </c>
      <c r="B3928" s="2" t="s">
        <v>8437</v>
      </c>
      <c r="C3928" s="2" t="s">
        <v>16</v>
      </c>
      <c r="D3928" s="2" t="s">
        <v>17</v>
      </c>
      <c r="E3928" s="5">
        <v>-31539</v>
      </c>
      <c r="F3928" s="3" t="s">
        <v>1220</v>
      </c>
      <c r="G3928" s="3" t="s">
        <v>19</v>
      </c>
      <c r="H3928" s="2" t="s">
        <v>20</v>
      </c>
      <c r="I3928" s="2" t="s">
        <v>8446</v>
      </c>
      <c r="J3928" s="3" t="str">
        <f>HYPERLINK("https://www.boe.es/gazeta/dias/1813/08/24/pdfs/GRE-1813-108.pdf#page=4","Abrir facsímil")</f>
        <v>Abrir facsímil</v>
      </c>
      <c r="K3928" s="3" t="s">
        <v>22</v>
      </c>
    </row>
    <row r="3929" spans="1:11" ht="42" customHeight="1">
      <c r="A3929" s="2" t="s">
        <v>8437</v>
      </c>
      <c r="B3929" s="2" t="s">
        <v>8437</v>
      </c>
      <c r="C3929" s="2" t="s">
        <v>16</v>
      </c>
      <c r="D3929" s="2" t="s">
        <v>97</v>
      </c>
      <c r="E3929" s="5">
        <v>-31519</v>
      </c>
      <c r="F3929" s="3" t="s">
        <v>312</v>
      </c>
      <c r="G3929" s="3" t="s">
        <v>87</v>
      </c>
      <c r="H3929" s="2" t="s">
        <v>20</v>
      </c>
      <c r="I3929" s="2" t="s">
        <v>8447</v>
      </c>
      <c r="J3929" s="3" t="str">
        <f>HYPERLINK("https://www.boe.es/gazeta/dias/1813/09/13/pdfs/GRE-1813-118E.pdf#page=7","Abrir facsímil")</f>
        <v>Abrir facsímil</v>
      </c>
      <c r="K3929" s="3" t="s">
        <v>22</v>
      </c>
    </row>
    <row r="3930" spans="1:11" ht="42" customHeight="1">
      <c r="A3930" s="2" t="s">
        <v>8437</v>
      </c>
      <c r="B3930" s="2" t="s">
        <v>8437</v>
      </c>
      <c r="C3930" s="2" t="s">
        <v>34</v>
      </c>
      <c r="D3930" s="2" t="s">
        <v>35</v>
      </c>
      <c r="E3930" s="5">
        <v>-31486</v>
      </c>
      <c r="F3930" s="3" t="s">
        <v>597</v>
      </c>
      <c r="G3930" s="3" t="s">
        <v>58</v>
      </c>
      <c r="H3930" s="2" t="s">
        <v>20</v>
      </c>
      <c r="I3930" s="2" t="s">
        <v>8448</v>
      </c>
      <c r="J3930" s="3" t="str">
        <f>HYPERLINK("https://www.boe.es/gazeta/dias/1813/10/16/pdfs/GRE-1813-135.pdf#page=2","Abrir facsímil")</f>
        <v>Abrir facsímil</v>
      </c>
      <c r="K3930" s="3" t="s">
        <v>22</v>
      </c>
    </row>
    <row r="3931" spans="1:11" ht="42" customHeight="1">
      <c r="A3931" s="2" t="s">
        <v>8437</v>
      </c>
      <c r="B3931" s="2" t="s">
        <v>8437</v>
      </c>
      <c r="C3931" s="2" t="s">
        <v>16</v>
      </c>
      <c r="D3931" s="2" t="s">
        <v>17</v>
      </c>
      <c r="E3931" s="5">
        <v>-31483</v>
      </c>
      <c r="F3931" s="3" t="s">
        <v>308</v>
      </c>
      <c r="G3931" s="3" t="s">
        <v>82</v>
      </c>
      <c r="H3931" s="2" t="s">
        <v>20</v>
      </c>
      <c r="I3931" s="2" t="s">
        <v>8449</v>
      </c>
      <c r="J3931" s="3" t="str">
        <f>HYPERLINK("https://www.boe.es/gazeta/dias/1813/10/19/pdfs/GRE-1813-136.pdf#page=5","Abrir facsímil")</f>
        <v>Abrir facsímil</v>
      </c>
      <c r="K3931" s="3" t="s">
        <v>22</v>
      </c>
    </row>
    <row r="3932" spans="1:11" ht="42" customHeight="1">
      <c r="A3932" s="2" t="s">
        <v>8437</v>
      </c>
      <c r="B3932" s="2" t="s">
        <v>8437</v>
      </c>
      <c r="C3932" s="2" t="s">
        <v>16</v>
      </c>
      <c r="D3932" s="2" t="s">
        <v>17</v>
      </c>
      <c r="E3932" s="5">
        <v>-31479</v>
      </c>
      <c r="F3932" s="3" t="s">
        <v>2383</v>
      </c>
      <c r="G3932" s="3" t="s">
        <v>87</v>
      </c>
      <c r="H3932" s="2" t="s">
        <v>20</v>
      </c>
      <c r="I3932" s="2" t="s">
        <v>8450</v>
      </c>
      <c r="J3932" s="3" t="str">
        <f>HYPERLINK("https://www.boe.es/gazeta/dias/1813/10/23/pdfs/GRE-1813-138.pdf#page=7","Abrir facsímil")</f>
        <v>Abrir facsímil</v>
      </c>
      <c r="K3932" s="3" t="s">
        <v>22</v>
      </c>
    </row>
    <row r="3933" spans="1:11" ht="42" customHeight="1">
      <c r="A3933" s="2" t="s">
        <v>8437</v>
      </c>
      <c r="B3933" s="2" t="s">
        <v>8437</v>
      </c>
      <c r="C3933" s="2" t="s">
        <v>16</v>
      </c>
      <c r="D3933" s="2" t="s">
        <v>97</v>
      </c>
      <c r="E3933" s="5">
        <v>-31479</v>
      </c>
      <c r="F3933" s="3" t="s">
        <v>290</v>
      </c>
      <c r="G3933" s="3" t="s">
        <v>207</v>
      </c>
      <c r="H3933" s="2" t="s">
        <v>20</v>
      </c>
      <c r="I3933" s="2" t="s">
        <v>8451</v>
      </c>
      <c r="J3933" s="3" t="str">
        <f>HYPERLINK("https://www.boe.es/gazeta/dias/1813/10/23/pdfs/GRE-1813-139E.pdf#page=10","Abrir facsímil")</f>
        <v>Abrir facsímil</v>
      </c>
      <c r="K3933" s="3" t="s">
        <v>22</v>
      </c>
    </row>
    <row r="3934" spans="1:11" ht="42" customHeight="1">
      <c r="A3934" s="2" t="s">
        <v>8452</v>
      </c>
      <c r="B3934" s="2" t="s">
        <v>8452</v>
      </c>
      <c r="C3934" s="2" t="s">
        <v>16</v>
      </c>
      <c r="D3934" s="2" t="s">
        <v>17</v>
      </c>
      <c r="E3934" s="5">
        <v>-31767</v>
      </c>
      <c r="F3934" s="3" t="s">
        <v>1915</v>
      </c>
      <c r="G3934" s="3" t="s">
        <v>19</v>
      </c>
      <c r="H3934" s="2" t="s">
        <v>20</v>
      </c>
      <c r="I3934" s="2" t="s">
        <v>8453</v>
      </c>
      <c r="J3934" s="3" t="str">
        <f>HYPERLINK("https://www.boe.es/gazeta/dias/1813/01/08/pdfs/GMD-1813-8.pdf#page=4","Abrir facsímil")</f>
        <v>Abrir facsímil</v>
      </c>
      <c r="K3934" s="3" t="s">
        <v>22</v>
      </c>
    </row>
    <row r="3935" spans="1:11" ht="42" customHeight="1">
      <c r="A3935" s="2" t="s">
        <v>8452</v>
      </c>
      <c r="B3935" s="2" t="s">
        <v>8452</v>
      </c>
      <c r="C3935" s="2" t="s">
        <v>25</v>
      </c>
      <c r="D3935" s="2" t="s">
        <v>26</v>
      </c>
      <c r="E3935" s="5">
        <v>-31758</v>
      </c>
      <c r="F3935" s="3" t="s">
        <v>5810</v>
      </c>
      <c r="G3935" s="3" t="s">
        <v>5811</v>
      </c>
      <c r="H3935" s="2" t="s">
        <v>20</v>
      </c>
      <c r="I3935" s="2" t="s">
        <v>8454</v>
      </c>
      <c r="J3935" s="3" t="str">
        <f>HYPERLINK("https://www.boe.es/gazeta/dias/1813/01/17/pdfs/GMD-1813-17.pdf#page=4","Abrir facsímil")</f>
        <v>Abrir facsímil</v>
      </c>
      <c r="K3935" s="3" t="s">
        <v>22</v>
      </c>
    </row>
    <row r="3936" spans="1:11" ht="42" customHeight="1">
      <c r="A3936" s="2" t="s">
        <v>8452</v>
      </c>
      <c r="B3936" s="2" t="s">
        <v>8452</v>
      </c>
      <c r="C3936" s="2" t="s">
        <v>16</v>
      </c>
      <c r="D3936" s="2" t="s">
        <v>17</v>
      </c>
      <c r="E3936" s="5">
        <v>-31715</v>
      </c>
      <c r="F3936" s="3" t="s">
        <v>3358</v>
      </c>
      <c r="G3936" s="3" t="s">
        <v>58</v>
      </c>
      <c r="H3936" s="2" t="s">
        <v>20</v>
      </c>
      <c r="I3936" s="2" t="s">
        <v>8455</v>
      </c>
      <c r="J3936" s="3" t="str">
        <f>HYPERLINK("https://www.boe.es/gazeta/dias/1813/03/01/pdfs/GMD-1813-60.pdf#page=2","Abrir facsímil")</f>
        <v>Abrir facsímil</v>
      </c>
      <c r="K3936" s="3" t="s">
        <v>22</v>
      </c>
    </row>
    <row r="3937" spans="1:11" ht="42" customHeight="1">
      <c r="A3937" s="2" t="s">
        <v>8452</v>
      </c>
      <c r="B3937" s="2" t="s">
        <v>8452</v>
      </c>
      <c r="C3937" s="2" t="s">
        <v>34</v>
      </c>
      <c r="D3937" s="2" t="s">
        <v>35</v>
      </c>
      <c r="E3937" s="5">
        <v>-31592</v>
      </c>
      <c r="F3937" s="3" t="s">
        <v>1538</v>
      </c>
      <c r="G3937" s="3" t="s">
        <v>258</v>
      </c>
      <c r="H3937" s="2" t="s">
        <v>20</v>
      </c>
      <c r="I3937" s="2" t="s">
        <v>8456</v>
      </c>
      <c r="J3937" s="3" t="str">
        <f>HYPERLINK("https://www.boe.es/gazeta/dias/1813/07/02/pdfs/GMR-1813-14.pdf#page=12","Abrir facsímil")</f>
        <v>Abrir facsímil</v>
      </c>
      <c r="K3937" s="3" t="s">
        <v>22</v>
      </c>
    </row>
    <row r="3938" spans="1:11" ht="42" customHeight="1">
      <c r="A3938" s="2" t="s">
        <v>8452</v>
      </c>
      <c r="B3938" s="2" t="s">
        <v>8452</v>
      </c>
      <c r="C3938" s="2" t="s">
        <v>34</v>
      </c>
      <c r="D3938" s="2" t="s">
        <v>35</v>
      </c>
      <c r="E3938" s="5">
        <v>-31588</v>
      </c>
      <c r="F3938" s="3" t="s">
        <v>1535</v>
      </c>
      <c r="G3938" s="3" t="s">
        <v>71</v>
      </c>
      <c r="H3938" s="2" t="s">
        <v>20</v>
      </c>
      <c r="I3938" s="2" t="s">
        <v>8457</v>
      </c>
      <c r="J3938" s="3" t="str">
        <f>HYPERLINK("https://www.boe.es/gazeta/dias/1813/07/06/pdfs/GMR-1813-15.pdf#page=16","Abrir facsímil")</f>
        <v>Abrir facsímil</v>
      </c>
      <c r="K3938" s="3" t="s">
        <v>22</v>
      </c>
    </row>
    <row r="3939" spans="1:11" ht="42" customHeight="1">
      <c r="A3939" s="2" t="s">
        <v>8452</v>
      </c>
      <c r="B3939" s="2" t="s">
        <v>8452</v>
      </c>
      <c r="C3939" s="2" t="s">
        <v>25</v>
      </c>
      <c r="D3939" s="2" t="s">
        <v>26</v>
      </c>
      <c r="E3939" s="5">
        <v>-31549</v>
      </c>
      <c r="F3939" s="3" t="s">
        <v>332</v>
      </c>
      <c r="G3939" s="3" t="s">
        <v>19</v>
      </c>
      <c r="H3939" s="2" t="s">
        <v>20</v>
      </c>
      <c r="I3939" s="2" t="s">
        <v>8458</v>
      </c>
      <c r="J3939" s="3" t="str">
        <f>HYPERLINK("https://www.boe.es/gazeta/dias/1813/08/14/pdfs/GMR-1813-28.pdf#page=4","Abrir facsímil")</f>
        <v>Abrir facsímil</v>
      </c>
      <c r="K3939" s="3" t="s">
        <v>22</v>
      </c>
    </row>
    <row r="3940" spans="1:11" ht="42" customHeight="1">
      <c r="A3940" s="2" t="s">
        <v>8452</v>
      </c>
      <c r="B3940" s="2" t="s">
        <v>8452</v>
      </c>
      <c r="C3940" s="2" t="s">
        <v>16</v>
      </c>
      <c r="D3940" s="2" t="s">
        <v>17</v>
      </c>
      <c r="E3940" s="5">
        <v>-31542</v>
      </c>
      <c r="F3940" s="3" t="s">
        <v>347</v>
      </c>
      <c r="G3940" s="3" t="s">
        <v>82</v>
      </c>
      <c r="H3940" s="2" t="s">
        <v>20</v>
      </c>
      <c r="I3940" s="2" t="s">
        <v>8459</v>
      </c>
      <c r="J3940" s="3" t="str">
        <f>HYPERLINK("https://www.boe.es/gazeta/dias/1813/08/21/pdfs/GMR-1813-31.pdf#page=5","Abrir facsímil")</f>
        <v>Abrir facsímil</v>
      </c>
      <c r="K3940" s="3" t="s">
        <v>22</v>
      </c>
    </row>
    <row r="3941" spans="1:11" ht="42" customHeight="1">
      <c r="A3941" s="2" t="s">
        <v>8452</v>
      </c>
      <c r="B3941" s="2" t="s">
        <v>8452</v>
      </c>
      <c r="C3941" s="2" t="s">
        <v>25</v>
      </c>
      <c r="D3941" s="2" t="s">
        <v>26</v>
      </c>
      <c r="E3941" s="5">
        <v>-31530</v>
      </c>
      <c r="F3941" s="3" t="s">
        <v>133</v>
      </c>
      <c r="G3941" s="3" t="s">
        <v>28</v>
      </c>
      <c r="H3941" s="2" t="s">
        <v>20</v>
      </c>
      <c r="I3941" s="2" t="s">
        <v>8460</v>
      </c>
      <c r="J3941" s="3" t="str">
        <f>HYPERLINK("https://www.boe.es/gazeta/dias/1813/09/02/pdfs/GMR-1813-36.pdf#page=8","Abrir facsímil")</f>
        <v>Abrir facsímil</v>
      </c>
      <c r="K3941" s="3" t="s">
        <v>22</v>
      </c>
    </row>
    <row r="3942" spans="1:11" ht="42" customHeight="1">
      <c r="A3942" s="2" t="s">
        <v>8461</v>
      </c>
      <c r="B3942" s="2" t="s">
        <v>8461</v>
      </c>
      <c r="C3942" s="2" t="s">
        <v>34</v>
      </c>
      <c r="D3942" s="2" t="s">
        <v>35</v>
      </c>
      <c r="E3942" s="5">
        <v>-31521</v>
      </c>
      <c r="F3942" s="3" t="s">
        <v>1282</v>
      </c>
      <c r="G3942" s="3" t="s">
        <v>207</v>
      </c>
      <c r="H3942" s="2" t="s">
        <v>20</v>
      </c>
      <c r="I3942" s="2" t="s">
        <v>8462</v>
      </c>
      <c r="J3942" s="3" t="str">
        <f>HYPERLINK("https://www.boe.es/gazeta/dias/1813/09/11/pdfs/GMR-1813-41.pdf#page=10","Abrir facsímil")</f>
        <v>Abrir facsímil</v>
      </c>
      <c r="K3942" s="3" t="s">
        <v>22</v>
      </c>
    </row>
    <row r="3943" spans="1:11" ht="42" customHeight="1">
      <c r="A3943" s="2" t="s">
        <v>8452</v>
      </c>
      <c r="B3943" s="2" t="s">
        <v>8452</v>
      </c>
      <c r="C3943" s="2" t="s">
        <v>16</v>
      </c>
      <c r="D3943" s="2" t="s">
        <v>17</v>
      </c>
      <c r="E3943" s="5">
        <v>-31521</v>
      </c>
      <c r="F3943" s="3" t="s">
        <v>1282</v>
      </c>
      <c r="G3943" s="3" t="s">
        <v>87</v>
      </c>
      <c r="H3943" s="2" t="s">
        <v>20</v>
      </c>
      <c r="I3943" s="2" t="s">
        <v>8463</v>
      </c>
      <c r="J3943" s="3" t="str">
        <f>HYPERLINK("https://www.boe.es/gazeta/dias/1813/09/11/pdfs/GMR-1813-41.pdf#page=7","Abrir facsímil")</f>
        <v>Abrir facsímil</v>
      </c>
      <c r="K3943" s="3" t="s">
        <v>22</v>
      </c>
    </row>
    <row r="3944" spans="1:11" ht="42" customHeight="1">
      <c r="A3944" s="2" t="s">
        <v>8452</v>
      </c>
      <c r="B3944" s="2" t="s">
        <v>8452</v>
      </c>
      <c r="C3944" s="2" t="s">
        <v>25</v>
      </c>
      <c r="D3944" s="2" t="s">
        <v>26</v>
      </c>
      <c r="E3944" s="5">
        <v>-31507</v>
      </c>
      <c r="F3944" s="3" t="s">
        <v>61</v>
      </c>
      <c r="G3944" s="3" t="s">
        <v>791</v>
      </c>
      <c r="H3944" s="2" t="s">
        <v>20</v>
      </c>
      <c r="I3944" s="2" t="s">
        <v>8464</v>
      </c>
      <c r="J3944" s="3" t="str">
        <f>HYPERLINK("https://www.boe.es/gazeta/dias/1813/09/25/pdfs/GMR-1813-48.pdf#page=7","Abrir facsímil")</f>
        <v>Abrir facsímil</v>
      </c>
      <c r="K3944" s="3" t="s">
        <v>22</v>
      </c>
    </row>
    <row r="3945" spans="1:11" ht="42" customHeight="1">
      <c r="A3945" s="2" t="s">
        <v>8452</v>
      </c>
      <c r="B3945" s="2" t="s">
        <v>8452</v>
      </c>
      <c r="C3945" s="2" t="s">
        <v>16</v>
      </c>
      <c r="D3945" s="2" t="s">
        <v>17</v>
      </c>
      <c r="E3945" s="5">
        <v>-31416</v>
      </c>
      <c r="F3945" s="3" t="s">
        <v>278</v>
      </c>
      <c r="G3945" s="3" t="s">
        <v>207</v>
      </c>
      <c r="H3945" s="2" t="s">
        <v>20</v>
      </c>
      <c r="I3945" s="2" t="s">
        <v>8465</v>
      </c>
      <c r="J3945" s="3" t="str">
        <f>HYPERLINK("https://www.boe.es/gazeta/dias/1813/12/25/pdfs/GMR-1813-92.pdf#page=10","Abrir facsímil")</f>
        <v>Abrir facsímil</v>
      </c>
      <c r="K3945" s="3" t="s">
        <v>22</v>
      </c>
    </row>
    <row r="3946" spans="1:11" ht="42" customHeight="1">
      <c r="A3946" s="2" t="s">
        <v>8466</v>
      </c>
      <c r="B3946" s="2" t="s">
        <v>8466</v>
      </c>
      <c r="C3946" s="2" t="s">
        <v>16</v>
      </c>
      <c r="D3946" s="2" t="s">
        <v>17</v>
      </c>
      <c r="E3946" s="5">
        <v>-31521</v>
      </c>
      <c r="F3946" s="3" t="s">
        <v>1282</v>
      </c>
      <c r="G3946" s="3" t="s">
        <v>28</v>
      </c>
      <c r="H3946" s="2" t="s">
        <v>20</v>
      </c>
      <c r="I3946" s="2" t="s">
        <v>8467</v>
      </c>
      <c r="J3946" s="3" t="str">
        <f>HYPERLINK("https://www.boe.es/gazeta/dias/1813/09/11/pdfs/GMR-1813-41.pdf#page=8","Abrir facsímil")</f>
        <v>Abrir facsímil</v>
      </c>
      <c r="K3946" s="3" t="s">
        <v>22</v>
      </c>
    </row>
    <row r="3947" spans="1:11" ht="42" customHeight="1">
      <c r="A3947" s="2" t="s">
        <v>8468</v>
      </c>
      <c r="B3947" s="2" t="s">
        <v>8468</v>
      </c>
      <c r="C3947" s="2" t="s">
        <v>277</v>
      </c>
      <c r="D3947" s="2" t="s">
        <v>26</v>
      </c>
      <c r="E3947" s="5">
        <v>-31655</v>
      </c>
      <c r="F3947" s="3" t="s">
        <v>858</v>
      </c>
      <c r="G3947" s="3" t="s">
        <v>983</v>
      </c>
      <c r="H3947" s="2" t="s">
        <v>20</v>
      </c>
      <c r="I3947" s="2" t="s">
        <v>8469</v>
      </c>
      <c r="J3947" s="3" t="str">
        <f>HYPERLINK("https://www.boe.es/gazeta/dias/1813/04/30/pdfs/GMD-1813-120.pdf#page=3","Abrir facsímil")</f>
        <v>Abrir facsímil</v>
      </c>
      <c r="K3947" s="3" t="s">
        <v>22</v>
      </c>
    </row>
    <row r="3948" spans="1:11" ht="42" customHeight="1">
      <c r="A3948" s="2" t="s">
        <v>8470</v>
      </c>
      <c r="B3948" s="2" t="s">
        <v>8470</v>
      </c>
      <c r="C3948" s="2" t="s">
        <v>16</v>
      </c>
      <c r="D3948" s="2" t="s">
        <v>17</v>
      </c>
      <c r="E3948" s="5">
        <v>-31444</v>
      </c>
      <c r="F3948" s="3" t="s">
        <v>389</v>
      </c>
      <c r="G3948" s="3" t="s">
        <v>87</v>
      </c>
      <c r="H3948" s="2" t="s">
        <v>20</v>
      </c>
      <c r="I3948" s="2" t="s">
        <v>8471</v>
      </c>
      <c r="J3948" s="3" t="str">
        <f>HYPERLINK("https://www.boe.es/gazeta/dias/1813/11/27/pdfs/GMR-1813-80.pdf#page=7","Abrir facsímil")</f>
        <v>Abrir facsímil</v>
      </c>
      <c r="K3948" s="3" t="s">
        <v>22</v>
      </c>
    </row>
    <row r="3949" spans="1:11" ht="42" customHeight="1">
      <c r="A3949" s="2" t="s">
        <v>8472</v>
      </c>
      <c r="B3949" s="2" t="s">
        <v>8472</v>
      </c>
      <c r="C3949" s="2" t="s">
        <v>34</v>
      </c>
      <c r="D3949" s="2" t="s">
        <v>35</v>
      </c>
      <c r="E3949" s="5">
        <v>-31595</v>
      </c>
      <c r="F3949" s="3" t="s">
        <v>70</v>
      </c>
      <c r="G3949" s="3" t="s">
        <v>71</v>
      </c>
      <c r="H3949" s="2" t="s">
        <v>20</v>
      </c>
      <c r="I3949" s="2" t="s">
        <v>8473</v>
      </c>
      <c r="J3949" s="3" t="str">
        <f>HYPERLINK("https://www.boe.es/gazeta/dias/1813/06/29/pdfs/GMR-1813-13.pdf#page=16","Abrir facsímil")</f>
        <v>Abrir facsímil</v>
      </c>
      <c r="K3949" s="3" t="s">
        <v>22</v>
      </c>
    </row>
    <row r="3950" spans="1:11" ht="42" customHeight="1">
      <c r="A3950" s="2" t="s">
        <v>8474</v>
      </c>
      <c r="B3950" s="2" t="s">
        <v>8474</v>
      </c>
      <c r="C3950" s="2" t="s">
        <v>16</v>
      </c>
      <c r="D3950" s="2" t="s">
        <v>17</v>
      </c>
      <c r="E3950" s="5">
        <v>-31637</v>
      </c>
      <c r="F3950" s="3" t="s">
        <v>234</v>
      </c>
      <c r="G3950" s="3" t="s">
        <v>82</v>
      </c>
      <c r="H3950" s="2" t="s">
        <v>20</v>
      </c>
      <c r="I3950" s="2" t="s">
        <v>8475</v>
      </c>
      <c r="J3950" s="3" t="str">
        <f>HYPERLINK("https://www.boe.es/gazeta/dias/1813/05/18/pdfs/GRE-1813-61.pdf#page=5","Abrir facsímil")</f>
        <v>Abrir facsímil</v>
      </c>
      <c r="K3950" s="3" t="s">
        <v>22</v>
      </c>
    </row>
    <row r="3951" spans="1:11" ht="42" customHeight="1">
      <c r="A3951" s="2" t="s">
        <v>8476</v>
      </c>
      <c r="B3951" s="2" t="s">
        <v>8477</v>
      </c>
      <c r="C3951" s="2" t="s">
        <v>25</v>
      </c>
      <c r="D3951" s="2" t="s">
        <v>26</v>
      </c>
      <c r="E3951" s="5">
        <v>-31745</v>
      </c>
      <c r="F3951" s="3" t="s">
        <v>445</v>
      </c>
      <c r="G3951" s="3" t="s">
        <v>28</v>
      </c>
      <c r="H3951" s="2" t="s">
        <v>20</v>
      </c>
      <c r="I3951" s="2" t="s">
        <v>8478</v>
      </c>
      <c r="J3951" s="3" t="str">
        <f>HYPERLINK("https://www.boe.es/gazeta/dias/1813/01/30/pdfs/GRE-1813-13.pdf#page=8","Abrir facsímil")</f>
        <v>Abrir facsímil</v>
      </c>
      <c r="K3951" s="3" t="s">
        <v>22</v>
      </c>
    </row>
    <row r="3952" spans="1:11" ht="42" customHeight="1">
      <c r="A3952" s="2" t="s">
        <v>8479</v>
      </c>
      <c r="B3952" s="2" t="s">
        <v>8479</v>
      </c>
      <c r="C3952" s="2" t="s">
        <v>25</v>
      </c>
      <c r="D3952" s="2" t="s">
        <v>26</v>
      </c>
      <c r="E3952" s="5">
        <v>-31677</v>
      </c>
      <c r="F3952" s="3" t="s">
        <v>76</v>
      </c>
      <c r="G3952" s="3" t="s">
        <v>77</v>
      </c>
      <c r="H3952" s="2" t="s">
        <v>20</v>
      </c>
      <c r="I3952" s="2" t="s">
        <v>8480</v>
      </c>
      <c r="J3952" s="3" t="str">
        <f>HYPERLINK("https://www.boe.es/gazeta/dias/1813/04/08/pdfs/GRE-1813-43.pdf#page=7","Abrir facsímil")</f>
        <v>Abrir facsímil</v>
      </c>
      <c r="K3952" s="3" t="s">
        <v>22</v>
      </c>
    </row>
    <row r="3953" spans="1:11" ht="42" customHeight="1">
      <c r="A3953" s="2" t="s">
        <v>8481</v>
      </c>
      <c r="B3953" s="2" t="s">
        <v>8481</v>
      </c>
      <c r="C3953" s="2" t="s">
        <v>16</v>
      </c>
      <c r="D3953" s="2" t="s">
        <v>17</v>
      </c>
      <c r="E3953" s="5">
        <v>-31654</v>
      </c>
      <c r="F3953" s="3" t="s">
        <v>1519</v>
      </c>
      <c r="G3953" s="3" t="s">
        <v>1638</v>
      </c>
      <c r="H3953" s="2" t="s">
        <v>20</v>
      </c>
      <c r="I3953" s="2" t="s">
        <v>8482</v>
      </c>
      <c r="J3953" s="3" t="str">
        <f>HYPERLINK("https://www.boe.es/gazeta/dias/1813/05/01/pdfs/GRE-1813-54.pdf#page=6","Abrir facsímil")</f>
        <v>Abrir facsímil</v>
      </c>
      <c r="K3953" s="3" t="s">
        <v>22</v>
      </c>
    </row>
    <row r="3954" spans="1:11" ht="42" customHeight="1">
      <c r="A3954" s="2" t="s">
        <v>8481</v>
      </c>
      <c r="B3954" s="2" t="s">
        <v>8481</v>
      </c>
      <c r="C3954" s="2" t="s">
        <v>16</v>
      </c>
      <c r="D3954" s="2" t="s">
        <v>17</v>
      </c>
      <c r="E3954" s="5">
        <v>-31636</v>
      </c>
      <c r="F3954" s="3" t="s">
        <v>1673</v>
      </c>
      <c r="G3954" s="3" t="s">
        <v>19</v>
      </c>
      <c r="H3954" s="2" t="s">
        <v>20</v>
      </c>
      <c r="I3954" s="2" t="s">
        <v>8483</v>
      </c>
      <c r="J3954" s="3" t="str">
        <f>HYPERLINK("https://www.boe.es/gazeta/dias/1813/05/19/pdfs/GMD-1813-139.pdf#page=4","Abrir facsímil")</f>
        <v>Abrir facsímil</v>
      </c>
      <c r="K3954" s="3" t="s">
        <v>22</v>
      </c>
    </row>
    <row r="3955" spans="1:11" ht="42" customHeight="1">
      <c r="A3955" s="2" t="s">
        <v>8481</v>
      </c>
      <c r="B3955" s="2" t="s">
        <v>8481</v>
      </c>
      <c r="C3955" s="2" t="s">
        <v>16</v>
      </c>
      <c r="D3955" s="2" t="s">
        <v>17</v>
      </c>
      <c r="E3955" s="5">
        <v>-31592</v>
      </c>
      <c r="F3955" s="3" t="s">
        <v>175</v>
      </c>
      <c r="G3955" s="3" t="s">
        <v>95</v>
      </c>
      <c r="H3955" s="2" t="s">
        <v>20</v>
      </c>
      <c r="I3955" s="2" t="s">
        <v>8484</v>
      </c>
      <c r="J3955" s="3" t="str">
        <f>HYPERLINK("https://www.boe.es/gazeta/dias/1813/07/02/pdfs/GRE-1813-82.pdf#page=6","Abrir facsímil")</f>
        <v>Abrir facsímil</v>
      </c>
      <c r="K3955" s="3" t="s">
        <v>22</v>
      </c>
    </row>
    <row r="3956" spans="1:11" ht="42" customHeight="1">
      <c r="A3956" s="2" t="s">
        <v>8481</v>
      </c>
      <c r="B3956" s="2" t="s">
        <v>8481</v>
      </c>
      <c r="C3956" s="2" t="s">
        <v>16</v>
      </c>
      <c r="D3956" s="2" t="s">
        <v>17</v>
      </c>
      <c r="E3956" s="5">
        <v>-31585</v>
      </c>
      <c r="F3956" s="3" t="s">
        <v>177</v>
      </c>
      <c r="G3956" s="3" t="s">
        <v>178</v>
      </c>
      <c r="H3956" s="2" t="s">
        <v>20</v>
      </c>
      <c r="I3956" s="2" t="s">
        <v>8485</v>
      </c>
      <c r="J3956" s="3" t="str">
        <f>HYPERLINK("https://www.boe.es/gazeta/dias/1813/07/09/pdfs/GMR-1813-16.pdf#page=11","Abrir facsímil")</f>
        <v>Abrir facsímil</v>
      </c>
      <c r="K3956" s="3" t="s">
        <v>22</v>
      </c>
    </row>
    <row r="3957" spans="1:11" ht="42" customHeight="1">
      <c r="A3957" s="2" t="s">
        <v>8481</v>
      </c>
      <c r="B3957" s="2" t="s">
        <v>8481</v>
      </c>
      <c r="C3957" s="2" t="s">
        <v>16</v>
      </c>
      <c r="D3957" s="2" t="s">
        <v>17</v>
      </c>
      <c r="E3957" s="5">
        <v>-31444</v>
      </c>
      <c r="F3957" s="3" t="s">
        <v>389</v>
      </c>
      <c r="G3957" s="3" t="s">
        <v>8486</v>
      </c>
      <c r="H3957" s="2" t="s">
        <v>20</v>
      </c>
      <c r="I3957" s="2" t="s">
        <v>8487</v>
      </c>
      <c r="J3957" s="3" t="str">
        <f>HYPERLINK("https://www.boe.es/gazeta/dias/1813/11/27/pdfs/GMR-1813-80.pdf#page=2","Abrir facsímil")</f>
        <v>Abrir facsímil</v>
      </c>
      <c r="K3957" s="3" t="s">
        <v>22</v>
      </c>
    </row>
    <row r="3958" spans="1:11" ht="42" customHeight="1">
      <c r="A3958" s="2" t="s">
        <v>8488</v>
      </c>
      <c r="B3958" s="2" t="s">
        <v>8489</v>
      </c>
      <c r="C3958" s="2" t="s">
        <v>277</v>
      </c>
      <c r="D3958" s="2" t="s">
        <v>26</v>
      </c>
      <c r="E3958" s="5">
        <v>-31710</v>
      </c>
      <c r="F3958" s="3" t="s">
        <v>2689</v>
      </c>
      <c r="G3958" s="3" t="s">
        <v>3142</v>
      </c>
      <c r="H3958" s="2" t="s">
        <v>20</v>
      </c>
      <c r="I3958" s="2" t="s">
        <v>8490</v>
      </c>
      <c r="J3958" s="3" t="str">
        <f>HYPERLINK("https://www.boe.es/gazeta/dias/1813/03/06/pdfs/GRE-1813-29.pdf#page=6","Abrir facsímil")</f>
        <v>Abrir facsímil</v>
      </c>
      <c r="K3958" s="3" t="s">
        <v>22</v>
      </c>
    </row>
    <row r="3959" spans="1:11" ht="42" customHeight="1">
      <c r="A3959" s="2" t="s">
        <v>8491</v>
      </c>
      <c r="B3959" s="2" t="s">
        <v>8492</v>
      </c>
      <c r="C3959" s="2" t="s">
        <v>187</v>
      </c>
      <c r="D3959" s="2" t="s">
        <v>26</v>
      </c>
      <c r="E3959" s="5">
        <v>-31542</v>
      </c>
      <c r="F3959" s="3" t="s">
        <v>347</v>
      </c>
      <c r="G3959" s="3" t="s">
        <v>28</v>
      </c>
      <c r="H3959" s="2" t="s">
        <v>29</v>
      </c>
      <c r="I3959" s="2" t="s">
        <v>8493</v>
      </c>
      <c r="J3959" s="3" t="str">
        <f>HYPERLINK("https://www.boe.es/gazeta/dias/1813/08/21/pdfs/GMR-1813-31.pdf#page=8","Abrir facsímil")</f>
        <v>Abrir facsímil</v>
      </c>
      <c r="K3959" s="3" t="s">
        <v>31</v>
      </c>
    </row>
    <row r="3960" spans="1:11" ht="42" customHeight="1">
      <c r="A3960" s="2" t="s">
        <v>8494</v>
      </c>
      <c r="B3960" s="2" t="s">
        <v>8494</v>
      </c>
      <c r="C3960" s="2" t="s">
        <v>16</v>
      </c>
      <c r="D3960" s="2" t="s">
        <v>17</v>
      </c>
      <c r="E3960" s="5">
        <v>-31678</v>
      </c>
      <c r="F3960" s="3" t="s">
        <v>8495</v>
      </c>
      <c r="G3960" s="3" t="s">
        <v>65</v>
      </c>
      <c r="H3960" s="2" t="s">
        <v>20</v>
      </c>
      <c r="I3960" s="2" t="s">
        <v>8496</v>
      </c>
      <c r="J3960" s="3" t="str">
        <f>HYPERLINK("https://www.boe.es/gazeta/dias/1813/04/07/pdfs/GMD-1813-97.pdf#page=1","Abrir facsímil")</f>
        <v>Abrir facsímil</v>
      </c>
      <c r="K3960" s="3" t="s">
        <v>22</v>
      </c>
    </row>
    <row r="3961" spans="1:11" ht="42" customHeight="1">
      <c r="A3961" s="2" t="s">
        <v>8497</v>
      </c>
      <c r="B3961" s="2" t="s">
        <v>8498</v>
      </c>
      <c r="C3961" s="2" t="s">
        <v>69</v>
      </c>
      <c r="D3961" s="2" t="s">
        <v>26</v>
      </c>
      <c r="E3961" s="5">
        <v>-31578</v>
      </c>
      <c r="F3961" s="3" t="s">
        <v>974</v>
      </c>
      <c r="G3961" s="3" t="s">
        <v>258</v>
      </c>
      <c r="H3961" s="2" t="s">
        <v>20</v>
      </c>
      <c r="I3961" s="2" t="s">
        <v>8499</v>
      </c>
      <c r="J3961" s="3" t="str">
        <f>HYPERLINK("https://www.boe.es/gazeta/dias/1813/07/16/pdfs/GMR-1813-18.pdf#page=12","Abrir facsímil")</f>
        <v>Abrir facsímil</v>
      </c>
      <c r="K3961" s="3" t="s">
        <v>22</v>
      </c>
    </row>
    <row r="3962" spans="1:11" ht="42" customHeight="1">
      <c r="A3962" s="2" t="s">
        <v>8500</v>
      </c>
      <c r="B3962" s="2" t="s">
        <v>8500</v>
      </c>
      <c r="C3962" s="2" t="s">
        <v>187</v>
      </c>
      <c r="D3962" s="2" t="s">
        <v>26</v>
      </c>
      <c r="E3962" s="5">
        <v>-31567</v>
      </c>
      <c r="F3962" s="3" t="s">
        <v>820</v>
      </c>
      <c r="G3962" s="3" t="s">
        <v>313</v>
      </c>
      <c r="H3962" s="2" t="s">
        <v>20</v>
      </c>
      <c r="I3962" s="2" t="s">
        <v>8501</v>
      </c>
      <c r="J3962" s="3" t="str">
        <f>HYPERLINK("https://www.boe.es/gazeta/dias/1813/07/27/pdfs/GMR-1813-21.pdf#page=9","Abrir facsímil")</f>
        <v>Abrir facsímil</v>
      </c>
      <c r="K3962" s="3" t="s">
        <v>22</v>
      </c>
    </row>
    <row r="3963" spans="1:11" ht="42" customHeight="1">
      <c r="A3963" s="2" t="s">
        <v>8502</v>
      </c>
      <c r="B3963" s="2" t="s">
        <v>8502</v>
      </c>
      <c r="C3963" s="2" t="s">
        <v>16</v>
      </c>
      <c r="D3963" s="2" t="s">
        <v>17</v>
      </c>
      <c r="E3963" s="5">
        <v>-31711</v>
      </c>
      <c r="F3963" s="3" t="s">
        <v>385</v>
      </c>
      <c r="G3963" s="3" t="s">
        <v>82</v>
      </c>
      <c r="H3963" s="2" t="s">
        <v>20</v>
      </c>
      <c r="I3963" s="2" t="s">
        <v>8503</v>
      </c>
      <c r="J3963" s="3" t="str">
        <f>HYPERLINK("https://www.boe.es/gazeta/dias/1813/03/05/pdfs/GRE-1813-99.pdf#page=5","Abrir facsímil")</f>
        <v>Abrir facsímil</v>
      </c>
      <c r="K3963" s="3" t="s">
        <v>22</v>
      </c>
    </row>
    <row r="3964" spans="1:11" ht="42" customHeight="1">
      <c r="A3964" s="2" t="s">
        <v>8502</v>
      </c>
      <c r="B3964" s="2" t="s">
        <v>8502</v>
      </c>
      <c r="C3964" s="2" t="s">
        <v>34</v>
      </c>
      <c r="D3964" s="2" t="s">
        <v>35</v>
      </c>
      <c r="E3964" s="5">
        <v>-31709</v>
      </c>
      <c r="F3964" s="3" t="s">
        <v>36</v>
      </c>
      <c r="G3964" s="3" t="s">
        <v>303</v>
      </c>
      <c r="H3964" s="2" t="s">
        <v>20</v>
      </c>
      <c r="I3964" s="2" t="s">
        <v>8504</v>
      </c>
      <c r="J3964" s="3" t="str">
        <f>HYPERLINK("https://www.boe.es/gazeta/dias/1813/03/07/pdfs/GMD-1813-66.pdf#page=3","Abrir facsímil")</f>
        <v>Abrir facsímil</v>
      </c>
      <c r="K3964" s="3" t="s">
        <v>22</v>
      </c>
    </row>
    <row r="3965" spans="1:11" ht="42" customHeight="1">
      <c r="A3965" s="2" t="s">
        <v>8502</v>
      </c>
      <c r="B3965" s="2" t="s">
        <v>8502</v>
      </c>
      <c r="C3965" s="2" t="s">
        <v>16</v>
      </c>
      <c r="D3965" s="2" t="s">
        <v>17</v>
      </c>
      <c r="E3965" s="5">
        <v>-31577</v>
      </c>
      <c r="F3965" s="3" t="s">
        <v>586</v>
      </c>
      <c r="G3965" s="3" t="s">
        <v>5533</v>
      </c>
      <c r="H3965" s="2" t="s">
        <v>20</v>
      </c>
      <c r="I3965" s="2" t="s">
        <v>8505</v>
      </c>
      <c r="J3965" s="3" t="str">
        <f>HYPERLINK("https://www.boe.es/gazeta/dias/1813/07/17/pdfs/GRE-1813-90.pdf#page=7","Abrir facsímil")</f>
        <v>Abrir facsímil</v>
      </c>
      <c r="K3965" s="3" t="s">
        <v>22</v>
      </c>
    </row>
    <row r="3966" spans="1:11" ht="42" customHeight="1">
      <c r="A3966" s="2" t="s">
        <v>8502</v>
      </c>
      <c r="B3966" s="2" t="s">
        <v>8502</v>
      </c>
      <c r="C3966" s="2" t="s">
        <v>16</v>
      </c>
      <c r="D3966" s="2" t="s">
        <v>17</v>
      </c>
      <c r="E3966" s="5">
        <v>-31558</v>
      </c>
      <c r="F3966" s="3" t="s">
        <v>385</v>
      </c>
      <c r="G3966" s="3" t="s">
        <v>82</v>
      </c>
      <c r="H3966" s="2" t="s">
        <v>20</v>
      </c>
      <c r="I3966" s="2" t="s">
        <v>8503</v>
      </c>
      <c r="J3966" s="3" t="str">
        <f>HYPERLINK("https://www.boe.es/gazeta/dias/1813/08/05/pdfs/GRE-1813-99.pdf#page=5","Abrir facsímil")</f>
        <v>Abrir facsímil</v>
      </c>
      <c r="K3966" s="3" t="s">
        <v>22</v>
      </c>
    </row>
    <row r="3967" spans="1:11" ht="42" customHeight="1">
      <c r="A3967" s="2" t="s">
        <v>8502</v>
      </c>
      <c r="B3967" s="2" t="s">
        <v>8502</v>
      </c>
      <c r="C3967" s="2" t="s">
        <v>16</v>
      </c>
      <c r="D3967" s="2" t="s">
        <v>17</v>
      </c>
      <c r="E3967" s="5">
        <v>-31476</v>
      </c>
      <c r="F3967" s="3" t="s">
        <v>229</v>
      </c>
      <c r="G3967" s="3" t="s">
        <v>230</v>
      </c>
      <c r="H3967" s="2" t="s">
        <v>20</v>
      </c>
      <c r="I3967" s="2" t="s">
        <v>8506</v>
      </c>
      <c r="J3967" s="3" t="str">
        <f>HYPERLINK("https://www.boe.es/gazeta/dias/1813/10/26/pdfs/GRE-1813-140.pdf#page=6","Abrir facsímil")</f>
        <v>Abrir facsímil</v>
      </c>
      <c r="K3967" s="3" t="s">
        <v>22</v>
      </c>
    </row>
    <row r="3968" spans="1:11" ht="42" customHeight="1">
      <c r="A3968" s="2" t="s">
        <v>8502</v>
      </c>
      <c r="B3968" s="2" t="s">
        <v>8502</v>
      </c>
      <c r="C3968" s="2" t="s">
        <v>16</v>
      </c>
      <c r="D3968" s="2" t="s">
        <v>17</v>
      </c>
      <c r="E3968" s="5">
        <v>-31467</v>
      </c>
      <c r="F3968" s="3" t="s">
        <v>1464</v>
      </c>
      <c r="G3968" s="3" t="s">
        <v>82</v>
      </c>
      <c r="H3968" s="2" t="s">
        <v>20</v>
      </c>
      <c r="I3968" s="2" t="s">
        <v>8507</v>
      </c>
      <c r="J3968" s="3" t="str">
        <f>HYPERLINK("https://www.boe.es/gazeta/dias/1813/11/04/pdfs/GRE-1813-144.pdf#page=5","Abrir facsímil")</f>
        <v>Abrir facsímil</v>
      </c>
      <c r="K3968" s="3" t="s">
        <v>22</v>
      </c>
    </row>
    <row r="3969" spans="1:11" ht="42" customHeight="1">
      <c r="A3969" s="2" t="s">
        <v>8508</v>
      </c>
      <c r="B3969" s="2" t="s">
        <v>8508</v>
      </c>
      <c r="C3969" s="2" t="s">
        <v>25</v>
      </c>
      <c r="D3969" s="2" t="s">
        <v>26</v>
      </c>
      <c r="E3969" s="5">
        <v>-31721</v>
      </c>
      <c r="F3969" s="3" t="s">
        <v>5009</v>
      </c>
      <c r="G3969" s="3" t="s">
        <v>19</v>
      </c>
      <c r="H3969" s="2" t="s">
        <v>20</v>
      </c>
      <c r="I3969" s="2" t="s">
        <v>8509</v>
      </c>
      <c r="J3969" s="3" t="str">
        <f>HYPERLINK("https://www.boe.es/gazeta/dias/1813/02/23/pdfs/GMD-1813-54.pdf#page=4","Abrir facsímil")</f>
        <v>Abrir facsímil</v>
      </c>
      <c r="K3969" s="3" t="s">
        <v>22</v>
      </c>
    </row>
    <row r="3970" spans="1:11" ht="42" customHeight="1">
      <c r="A3970" s="2" t="s">
        <v>8508</v>
      </c>
      <c r="B3970" s="2" t="s">
        <v>8508</v>
      </c>
      <c r="C3970" s="2" t="s">
        <v>25</v>
      </c>
      <c r="D3970" s="2" t="s">
        <v>26</v>
      </c>
      <c r="E3970" s="5">
        <v>-31720</v>
      </c>
      <c r="F3970" s="3" t="s">
        <v>672</v>
      </c>
      <c r="G3970" s="3" t="s">
        <v>54</v>
      </c>
      <c r="H3970" s="2" t="s">
        <v>20</v>
      </c>
      <c r="I3970" s="2" t="s">
        <v>8510</v>
      </c>
      <c r="J3970" s="3" t="str">
        <f>HYPERLINK("https://www.boe.es/gazeta/dias/1813/02/24/pdfs/GMD-1813-55.pdf#page=3","Abrir facsímil")</f>
        <v>Abrir facsímil</v>
      </c>
      <c r="K3970" s="3" t="s">
        <v>22</v>
      </c>
    </row>
    <row r="3971" spans="1:11" ht="42" customHeight="1">
      <c r="A3971" s="2" t="s">
        <v>8508</v>
      </c>
      <c r="B3971" s="2" t="s">
        <v>8508</v>
      </c>
      <c r="C3971" s="2" t="s">
        <v>16</v>
      </c>
      <c r="D3971" s="2" t="s">
        <v>17</v>
      </c>
      <c r="E3971" s="5">
        <v>-31709</v>
      </c>
      <c r="F3971" s="3" t="s">
        <v>36</v>
      </c>
      <c r="G3971" s="3" t="s">
        <v>19</v>
      </c>
      <c r="H3971" s="2" t="s">
        <v>20</v>
      </c>
      <c r="I3971" s="2" t="s">
        <v>8511</v>
      </c>
      <c r="J3971" s="3" t="str">
        <f>HYPERLINK("https://www.boe.es/gazeta/dias/1813/03/07/pdfs/GMD-1813-66.pdf#page=4","Abrir facsímil")</f>
        <v>Abrir facsímil</v>
      </c>
      <c r="K3971" s="3" t="s">
        <v>22</v>
      </c>
    </row>
    <row r="3972" spans="1:11" ht="42" customHeight="1">
      <c r="A3972" s="2" t="s">
        <v>8508</v>
      </c>
      <c r="B3972" s="2" t="s">
        <v>8508</v>
      </c>
      <c r="C3972" s="2" t="s">
        <v>34</v>
      </c>
      <c r="D3972" s="2" t="s">
        <v>35</v>
      </c>
      <c r="E3972" s="5">
        <v>-31691</v>
      </c>
      <c r="F3972" s="3" t="s">
        <v>1542</v>
      </c>
      <c r="G3972" s="3" t="s">
        <v>58</v>
      </c>
      <c r="H3972" s="2" t="s">
        <v>20</v>
      </c>
      <c r="I3972" s="2" t="s">
        <v>8512</v>
      </c>
      <c r="J3972" s="3" t="str">
        <f>HYPERLINK("https://www.boe.es/gazeta/dias/1813/03/25/pdfs/GRE-1813-37.pdf#page=2","Abrir facsímil")</f>
        <v>Abrir facsímil</v>
      </c>
      <c r="K3972" s="3" t="s">
        <v>22</v>
      </c>
    </row>
    <row r="3973" spans="1:11" ht="42" customHeight="1">
      <c r="A3973" s="2" t="s">
        <v>8508</v>
      </c>
      <c r="B3973" s="2" t="s">
        <v>8508</v>
      </c>
      <c r="C3973" s="2" t="s">
        <v>25</v>
      </c>
      <c r="D3973" s="2" t="s">
        <v>26</v>
      </c>
      <c r="E3973" s="5">
        <v>-31689</v>
      </c>
      <c r="F3973" s="3" t="s">
        <v>48</v>
      </c>
      <c r="G3973" s="3" t="s">
        <v>162</v>
      </c>
      <c r="H3973" s="2" t="s">
        <v>20</v>
      </c>
      <c r="I3973" s="2" t="s">
        <v>8513</v>
      </c>
      <c r="J3973" s="3" t="str">
        <f>HYPERLINK("https://www.boe.es/gazeta/dias/1813/03/27/pdfs/GRE-1813-38.pdf#page=8","Abrir facsímil")</f>
        <v>Abrir facsímil</v>
      </c>
      <c r="K3973" s="3" t="s">
        <v>22</v>
      </c>
    </row>
    <row r="3974" spans="1:11" ht="42" customHeight="1">
      <c r="A3974" s="2" t="s">
        <v>8508</v>
      </c>
      <c r="B3974" s="2" t="s">
        <v>8508</v>
      </c>
      <c r="C3974" s="2" t="s">
        <v>16</v>
      </c>
      <c r="D3974" s="2" t="s">
        <v>17</v>
      </c>
      <c r="E3974" s="5">
        <v>-31659</v>
      </c>
      <c r="F3974" s="3" t="s">
        <v>3041</v>
      </c>
      <c r="G3974" s="3" t="s">
        <v>54</v>
      </c>
      <c r="H3974" s="2" t="s">
        <v>20</v>
      </c>
      <c r="I3974" s="2" t="s">
        <v>8514</v>
      </c>
      <c r="J3974" s="3" t="str">
        <f>HYPERLINK("https://www.boe.es/gazeta/dias/1813/04/26/pdfs/GMD-1813-116.pdf#page=3","Abrir facsímil")</f>
        <v>Abrir facsímil</v>
      </c>
      <c r="K3974" s="3" t="s">
        <v>22</v>
      </c>
    </row>
    <row r="3975" spans="1:11" ht="42" customHeight="1">
      <c r="A3975" s="2" t="s">
        <v>8508</v>
      </c>
      <c r="B3975" s="2" t="s">
        <v>8508</v>
      </c>
      <c r="C3975" s="2" t="s">
        <v>435</v>
      </c>
      <c r="D3975" s="2" t="s">
        <v>26</v>
      </c>
      <c r="E3975" s="5">
        <v>-31609</v>
      </c>
      <c r="F3975" s="3" t="s">
        <v>584</v>
      </c>
      <c r="G3975" s="3" t="s">
        <v>95</v>
      </c>
      <c r="H3975" s="2" t="s">
        <v>20</v>
      </c>
      <c r="I3975" s="2" t="s">
        <v>8515</v>
      </c>
      <c r="J3975" s="3" t="str">
        <f>HYPERLINK("https://www.boe.es/gazeta/dias/1813/06/15/pdfs/GRE-1813-74.pdf#page=6","Abrir facsímil")</f>
        <v>Abrir facsímil</v>
      </c>
      <c r="K3975" s="3" t="s">
        <v>22</v>
      </c>
    </row>
    <row r="3976" spans="1:11" ht="42" customHeight="1">
      <c r="A3976" s="2" t="s">
        <v>8508</v>
      </c>
      <c r="B3976" s="2" t="s">
        <v>8508</v>
      </c>
      <c r="C3976" s="2" t="s">
        <v>435</v>
      </c>
      <c r="D3976" s="2" t="s">
        <v>26</v>
      </c>
      <c r="E3976" s="5">
        <v>-31595</v>
      </c>
      <c r="F3976" s="3" t="s">
        <v>70</v>
      </c>
      <c r="G3976" s="3" t="s">
        <v>821</v>
      </c>
      <c r="H3976" s="2" t="s">
        <v>20</v>
      </c>
      <c r="I3976" s="2" t="s">
        <v>8516</v>
      </c>
      <c r="J3976" s="3" t="str">
        <f>HYPERLINK("https://www.boe.es/gazeta/dias/1813/06/29/pdfs/GMR-1813-13.pdf#page=13","Abrir facsímil")</f>
        <v>Abrir facsímil</v>
      </c>
      <c r="K3976" s="3" t="s">
        <v>22</v>
      </c>
    </row>
    <row r="3977" spans="1:11" ht="42" customHeight="1">
      <c r="A3977" s="2" t="s">
        <v>8508</v>
      </c>
      <c r="B3977" s="2" t="s">
        <v>8508</v>
      </c>
      <c r="C3977" s="2" t="s">
        <v>16</v>
      </c>
      <c r="D3977" s="2" t="s">
        <v>17</v>
      </c>
      <c r="E3977" s="5">
        <v>-31582</v>
      </c>
      <c r="F3977" s="3" t="s">
        <v>907</v>
      </c>
      <c r="G3977" s="3" t="s">
        <v>54</v>
      </c>
      <c r="H3977" s="2" t="s">
        <v>20</v>
      </c>
      <c r="I3977" s="2" t="s">
        <v>8517</v>
      </c>
      <c r="J3977" s="3" t="str">
        <f>HYPERLINK("https://www.boe.es/gazeta/dias/1813/07/12/pdfs/GRE-1813-87.pdf#page=3","Abrir facsímil")</f>
        <v>Abrir facsímil</v>
      </c>
      <c r="K3977" s="3" t="s">
        <v>22</v>
      </c>
    </row>
    <row r="3978" spans="1:11" ht="42" customHeight="1">
      <c r="A3978" s="2" t="s">
        <v>8508</v>
      </c>
      <c r="B3978" s="2" t="s">
        <v>8508</v>
      </c>
      <c r="C3978" s="2" t="s">
        <v>16</v>
      </c>
      <c r="D3978" s="2" t="s">
        <v>17</v>
      </c>
      <c r="E3978" s="5">
        <v>-31564</v>
      </c>
      <c r="F3978" s="3" t="s">
        <v>206</v>
      </c>
      <c r="G3978" s="3" t="s">
        <v>258</v>
      </c>
      <c r="H3978" s="2" t="s">
        <v>20</v>
      </c>
      <c r="I3978" s="2" t="s">
        <v>8518</v>
      </c>
      <c r="J3978" s="3" t="str">
        <f>HYPERLINK("https://www.boe.es/gazeta/dias/1813/07/30/pdfs/GMR-1813-22.pdf#page=12","Abrir facsímil")</f>
        <v>Abrir facsímil</v>
      </c>
      <c r="K3978" s="3" t="s">
        <v>22</v>
      </c>
    </row>
    <row r="3979" spans="1:11" ht="42" customHeight="1">
      <c r="A3979" s="2" t="s">
        <v>8508</v>
      </c>
      <c r="B3979" s="2" t="s">
        <v>8508</v>
      </c>
      <c r="C3979" s="2" t="s">
        <v>16</v>
      </c>
      <c r="D3979" s="2" t="s">
        <v>17</v>
      </c>
      <c r="E3979" s="5">
        <v>-31560</v>
      </c>
      <c r="F3979" s="3" t="s">
        <v>1233</v>
      </c>
      <c r="G3979" s="3" t="s">
        <v>95</v>
      </c>
      <c r="H3979" s="2" t="s">
        <v>20</v>
      </c>
      <c r="I3979" s="2" t="s">
        <v>8519</v>
      </c>
      <c r="J3979" s="3" t="str">
        <f>HYPERLINK("https://www.boe.es/gazeta/dias/1813/08/03/pdfs/GMR-1813-23.pdf#page=6","Abrir facsímil")</f>
        <v>Abrir facsímil</v>
      </c>
      <c r="K3979" s="3" t="s">
        <v>22</v>
      </c>
    </row>
    <row r="3980" spans="1:11" ht="42" customHeight="1">
      <c r="A3980" s="2" t="s">
        <v>8508</v>
      </c>
      <c r="B3980" s="2" t="s">
        <v>8508</v>
      </c>
      <c r="C3980" s="2" t="s">
        <v>16</v>
      </c>
      <c r="D3980" s="2" t="s">
        <v>17</v>
      </c>
      <c r="E3980" s="5">
        <v>-31539</v>
      </c>
      <c r="F3980" s="3" t="s">
        <v>1220</v>
      </c>
      <c r="G3980" s="3" t="s">
        <v>95</v>
      </c>
      <c r="H3980" s="2" t="s">
        <v>20</v>
      </c>
      <c r="I3980" s="2" t="s">
        <v>8520</v>
      </c>
      <c r="J3980" s="3" t="str">
        <f>HYPERLINK("https://www.boe.es/gazeta/dias/1813/08/24/pdfs/GRE-1813-108.pdf#page=6","Abrir facsímil")</f>
        <v>Abrir facsímil</v>
      </c>
      <c r="K3980" s="3" t="s">
        <v>22</v>
      </c>
    </row>
    <row r="3981" spans="1:11" ht="42" customHeight="1">
      <c r="A3981" s="2" t="s">
        <v>8508</v>
      </c>
      <c r="B3981" s="2" t="s">
        <v>8508</v>
      </c>
      <c r="C3981" s="2" t="s">
        <v>25</v>
      </c>
      <c r="D3981" s="2" t="s">
        <v>26</v>
      </c>
      <c r="E3981" s="5">
        <v>-31507</v>
      </c>
      <c r="F3981" s="3" t="s">
        <v>61</v>
      </c>
      <c r="G3981" s="3" t="s">
        <v>791</v>
      </c>
      <c r="H3981" s="2" t="s">
        <v>20</v>
      </c>
      <c r="I3981" s="2" t="s">
        <v>8521</v>
      </c>
      <c r="J3981" s="3" t="str">
        <f>HYPERLINK("https://www.boe.es/gazeta/dias/1813/09/25/pdfs/GMR-1813-48.pdf#page=7","Abrir facsímil")</f>
        <v>Abrir facsímil</v>
      </c>
      <c r="K3981" s="3" t="s">
        <v>22</v>
      </c>
    </row>
    <row r="3982" spans="1:11" ht="42" customHeight="1">
      <c r="A3982" s="2" t="s">
        <v>8508</v>
      </c>
      <c r="B3982" s="2" t="s">
        <v>8508</v>
      </c>
      <c r="C3982" s="2" t="s">
        <v>25</v>
      </c>
      <c r="D3982" s="2" t="s">
        <v>26</v>
      </c>
      <c r="E3982" s="5">
        <v>-31483</v>
      </c>
      <c r="F3982" s="3" t="s">
        <v>1292</v>
      </c>
      <c r="G3982" s="3" t="s">
        <v>5984</v>
      </c>
      <c r="H3982" s="2" t="s">
        <v>20</v>
      </c>
      <c r="I3982" s="2" t="s">
        <v>8522</v>
      </c>
      <c r="J3982" s="3" t="str">
        <f>HYPERLINK("https://www.boe.es/gazeta/dias/1813/10/19/pdfs/GMR-1813-61.pdf#page=11","Abrir facsímil")</f>
        <v>Abrir facsímil</v>
      </c>
      <c r="K3982" s="3" t="s">
        <v>22</v>
      </c>
    </row>
    <row r="3983" spans="1:11" ht="42" customHeight="1">
      <c r="A3983" s="2" t="s">
        <v>8508</v>
      </c>
      <c r="B3983" s="2" t="s">
        <v>8508</v>
      </c>
      <c r="C3983" s="2" t="s">
        <v>16</v>
      </c>
      <c r="D3983" s="2" t="s">
        <v>17</v>
      </c>
      <c r="E3983" s="5">
        <v>-31479</v>
      </c>
      <c r="F3983" s="3" t="s">
        <v>2383</v>
      </c>
      <c r="G3983" s="3" t="s">
        <v>87</v>
      </c>
      <c r="H3983" s="2" t="s">
        <v>20</v>
      </c>
      <c r="I3983" s="2" t="s">
        <v>8523</v>
      </c>
      <c r="J3983" s="3" t="str">
        <f>HYPERLINK("https://www.boe.es/gazeta/dias/1813/10/23/pdfs/GRE-1813-138.pdf#page=7","Abrir facsímil")</f>
        <v>Abrir facsímil</v>
      </c>
      <c r="K3983" s="3" t="s">
        <v>22</v>
      </c>
    </row>
    <row r="3984" spans="1:11" ht="42" customHeight="1">
      <c r="A3984" s="2" t="s">
        <v>8508</v>
      </c>
      <c r="B3984" s="2" t="s">
        <v>8508</v>
      </c>
      <c r="C3984" s="2" t="s">
        <v>16</v>
      </c>
      <c r="D3984" s="2" t="s">
        <v>17</v>
      </c>
      <c r="E3984" s="5">
        <v>-31467</v>
      </c>
      <c r="F3984" s="3" t="s">
        <v>120</v>
      </c>
      <c r="G3984" s="3" t="s">
        <v>87</v>
      </c>
      <c r="H3984" s="2" t="s">
        <v>20</v>
      </c>
      <c r="I3984" s="2" t="s">
        <v>8524</v>
      </c>
      <c r="J3984" s="3" t="str">
        <f>HYPERLINK("https://www.boe.es/gazeta/dias/1813/11/04/pdfs/GMR-1813-68.pdf#page=7","Abrir facsímil")</f>
        <v>Abrir facsímil</v>
      </c>
      <c r="K3984" s="3" t="s">
        <v>22</v>
      </c>
    </row>
    <row r="3985" spans="1:11" ht="42" customHeight="1">
      <c r="A3985" s="2" t="s">
        <v>8525</v>
      </c>
      <c r="B3985" s="2" t="s">
        <v>8526</v>
      </c>
      <c r="C3985" s="2" t="s">
        <v>16</v>
      </c>
      <c r="D3985" s="2" t="s">
        <v>17</v>
      </c>
      <c r="E3985" s="5">
        <v>-31474</v>
      </c>
      <c r="F3985" s="3" t="s">
        <v>1082</v>
      </c>
      <c r="G3985" s="3" t="s">
        <v>82</v>
      </c>
      <c r="H3985" s="2" t="s">
        <v>20</v>
      </c>
      <c r="I3985" s="2" t="s">
        <v>8527</v>
      </c>
      <c r="J3985" s="3" t="str">
        <f>HYPERLINK("https://www.boe.es/gazeta/dias/1813/10/28/pdfs/GMR-1813-65.pdf#page=5","Abrir facsímil")</f>
        <v>Abrir facsímil</v>
      </c>
      <c r="K3985" s="3" t="s">
        <v>22</v>
      </c>
    </row>
    <row r="3986" spans="1:11" ht="42" customHeight="1">
      <c r="A3986" s="2" t="s">
        <v>8528</v>
      </c>
      <c r="B3986" s="2" t="s">
        <v>8529</v>
      </c>
      <c r="C3986" s="2" t="s">
        <v>16</v>
      </c>
      <c r="D3986" s="2" t="s">
        <v>17</v>
      </c>
      <c r="E3986" s="5">
        <v>-31514</v>
      </c>
      <c r="F3986" s="3" t="s">
        <v>2099</v>
      </c>
      <c r="G3986" s="3" t="s">
        <v>19</v>
      </c>
      <c r="H3986" s="2" t="s">
        <v>29</v>
      </c>
      <c r="I3986" s="2" t="s">
        <v>8530</v>
      </c>
      <c r="J3986" s="3" t="str">
        <f>HYPERLINK("https://www.boe.es/gazeta/dias/1813/09/18/pdfs/GMR-1813-45.pdf#page=4","Abrir facsímil")</f>
        <v>Abrir facsímil</v>
      </c>
      <c r="K3986" s="3" t="s">
        <v>31</v>
      </c>
    </row>
    <row r="3987" spans="1:11" ht="42" customHeight="1">
      <c r="A3987" s="2" t="s">
        <v>8531</v>
      </c>
      <c r="B3987" s="2" t="s">
        <v>8532</v>
      </c>
      <c r="C3987" s="2" t="s">
        <v>25</v>
      </c>
      <c r="D3987" s="2" t="s">
        <v>26</v>
      </c>
      <c r="E3987" s="5">
        <v>-31719</v>
      </c>
      <c r="F3987" s="3" t="s">
        <v>251</v>
      </c>
      <c r="G3987" s="3" t="s">
        <v>19</v>
      </c>
      <c r="H3987" s="2" t="s">
        <v>20</v>
      </c>
      <c r="I3987" s="2" t="s">
        <v>8533</v>
      </c>
      <c r="J3987" s="3" t="str">
        <f>HYPERLINK("https://www.boe.es/gazeta/dias/1813/02/25/pdfs/GMD-1813-56.pdf#page=4","Abrir facsímil")</f>
        <v>Abrir facsímil</v>
      </c>
      <c r="K3987" s="3" t="s">
        <v>22</v>
      </c>
    </row>
    <row r="3988" spans="1:11" ht="42" customHeight="1">
      <c r="A3988" s="2" t="s">
        <v>8534</v>
      </c>
      <c r="B3988" s="2" t="s">
        <v>8534</v>
      </c>
      <c r="C3988" s="2" t="s">
        <v>16</v>
      </c>
      <c r="D3988" s="2" t="s">
        <v>17</v>
      </c>
      <c r="E3988" s="5">
        <v>-31476</v>
      </c>
      <c r="F3988" s="3" t="s">
        <v>229</v>
      </c>
      <c r="G3988" s="3" t="s">
        <v>28</v>
      </c>
      <c r="H3988" s="2" t="s">
        <v>20</v>
      </c>
      <c r="I3988" s="2" t="s">
        <v>8535</v>
      </c>
      <c r="J3988" s="3" t="str">
        <f>HYPERLINK("https://www.boe.es/gazeta/dias/1813/10/26/pdfs/GRE-1813-140.pdf#page=8","Abrir facsímil")</f>
        <v>Abrir facsímil</v>
      </c>
      <c r="K3988" s="3" t="s">
        <v>22</v>
      </c>
    </row>
    <row r="3989" spans="1:11" ht="42" customHeight="1">
      <c r="A3989" s="2" t="s">
        <v>8536</v>
      </c>
      <c r="B3989" s="2" t="s">
        <v>8537</v>
      </c>
      <c r="C3989" s="2" t="s">
        <v>25</v>
      </c>
      <c r="D3989" s="2" t="s">
        <v>26</v>
      </c>
      <c r="E3989" s="5">
        <v>-31772</v>
      </c>
      <c r="F3989" s="3" t="s">
        <v>709</v>
      </c>
      <c r="G3989" s="3" t="s">
        <v>82</v>
      </c>
      <c r="H3989" s="2" t="s">
        <v>20</v>
      </c>
      <c r="I3989" s="2" t="s">
        <v>8538</v>
      </c>
      <c r="J3989" s="3" t="str">
        <f>HYPERLINK("https://www.boe.es/gazeta/dias/1813/01/03/pdfs/GRE-1813-69.pdf#page=5","Abrir facsímil")</f>
        <v>Abrir facsímil</v>
      </c>
      <c r="K3989" s="3" t="s">
        <v>22</v>
      </c>
    </row>
    <row r="3990" spans="1:11" ht="42" customHeight="1">
      <c r="A3990" s="2" t="s">
        <v>8536</v>
      </c>
      <c r="B3990" s="2" t="s">
        <v>8537</v>
      </c>
      <c r="C3990" s="2" t="s">
        <v>25</v>
      </c>
      <c r="D3990" s="2" t="s">
        <v>26</v>
      </c>
      <c r="E3990" s="5">
        <v>-31621</v>
      </c>
      <c r="F3990" s="3" t="s">
        <v>709</v>
      </c>
      <c r="G3990" s="3" t="s">
        <v>82</v>
      </c>
      <c r="H3990" s="2" t="s">
        <v>20</v>
      </c>
      <c r="I3990" s="2" t="s">
        <v>8538</v>
      </c>
      <c r="J3990" s="3" t="str">
        <f>HYPERLINK("https://www.boe.es/gazeta/dias/1813/06/03/pdfs/GRE-1813-69.pdf#page=5","Abrir facsímil")</f>
        <v>Abrir facsímil</v>
      </c>
      <c r="K3990" s="3" t="s">
        <v>22</v>
      </c>
    </row>
    <row r="3991" spans="1:11" ht="42" customHeight="1">
      <c r="A3991" s="2" t="s">
        <v>8539</v>
      </c>
      <c r="B3991" s="2" t="s">
        <v>8539</v>
      </c>
      <c r="C3991" s="2" t="s">
        <v>16</v>
      </c>
      <c r="D3991" s="2" t="s">
        <v>17</v>
      </c>
      <c r="E3991" s="5">
        <v>-31602</v>
      </c>
      <c r="F3991" s="3" t="s">
        <v>2117</v>
      </c>
      <c r="G3991" s="3" t="s">
        <v>258</v>
      </c>
      <c r="H3991" s="2" t="s">
        <v>20</v>
      </c>
      <c r="I3991" s="2" t="s">
        <v>8540</v>
      </c>
      <c r="J3991" s="3" t="str">
        <f>HYPERLINK("https://www.boe.es/gazeta/dias/1813/06/22/pdfs/GMR-1813-9.pdf#page=12","Abrir facsímil")</f>
        <v>Abrir facsímil</v>
      </c>
      <c r="K3991" s="3" t="s">
        <v>22</v>
      </c>
    </row>
    <row r="3992" spans="1:11" ht="42" customHeight="1">
      <c r="A3992" s="2" t="s">
        <v>8539</v>
      </c>
      <c r="B3992" s="2" t="s">
        <v>8539</v>
      </c>
      <c r="C3992" s="2" t="s">
        <v>16</v>
      </c>
      <c r="D3992" s="2" t="s">
        <v>17</v>
      </c>
      <c r="E3992" s="5">
        <v>-31560</v>
      </c>
      <c r="F3992" s="3" t="s">
        <v>1233</v>
      </c>
      <c r="G3992" s="3" t="s">
        <v>87</v>
      </c>
      <c r="H3992" s="2" t="s">
        <v>20</v>
      </c>
      <c r="I3992" s="2" t="s">
        <v>8541</v>
      </c>
      <c r="J3992" s="3" t="str">
        <f>HYPERLINK("https://www.boe.es/gazeta/dias/1813/08/03/pdfs/GMR-1813-23.pdf#page=7","Abrir facsímil")</f>
        <v>Abrir facsímil</v>
      </c>
      <c r="K3992" s="3" t="s">
        <v>22</v>
      </c>
    </row>
    <row r="3993" spans="1:11" ht="42" customHeight="1">
      <c r="A3993" s="2" t="s">
        <v>8539</v>
      </c>
      <c r="B3993" s="2" t="s">
        <v>8539</v>
      </c>
      <c r="C3993" s="2" t="s">
        <v>277</v>
      </c>
      <c r="D3993" s="2" t="s">
        <v>26</v>
      </c>
      <c r="E3993" s="5">
        <v>-31558</v>
      </c>
      <c r="F3993" s="3" t="s">
        <v>1288</v>
      </c>
      <c r="G3993" s="3" t="s">
        <v>28</v>
      </c>
      <c r="H3993" s="2" t="s">
        <v>20</v>
      </c>
      <c r="I3993" s="2" t="s">
        <v>8542</v>
      </c>
      <c r="J3993" s="3" t="str">
        <f>HYPERLINK("https://www.boe.es/gazeta/dias/1813/08/05/pdfs/GMR-1813-24.pdf#page=8","Abrir facsímil")</f>
        <v>Abrir facsímil</v>
      </c>
      <c r="K3993" s="3" t="s">
        <v>22</v>
      </c>
    </row>
    <row r="3994" spans="1:11" ht="42" customHeight="1">
      <c r="A3994" s="2" t="s">
        <v>8539</v>
      </c>
      <c r="B3994" s="2" t="s">
        <v>8539</v>
      </c>
      <c r="C3994" s="2" t="s">
        <v>16</v>
      </c>
      <c r="D3994" s="2" t="s">
        <v>17</v>
      </c>
      <c r="E3994" s="5">
        <v>-31553</v>
      </c>
      <c r="F3994" s="3" t="s">
        <v>592</v>
      </c>
      <c r="G3994" s="3" t="s">
        <v>28</v>
      </c>
      <c r="H3994" s="2" t="s">
        <v>20</v>
      </c>
      <c r="I3994" s="2" t="s">
        <v>8543</v>
      </c>
      <c r="J3994" s="3" t="str">
        <f>HYPERLINK("https://www.boe.es/gazeta/dias/1813/08/10/pdfs/GRE-1813-101.pdf#page=8","Abrir facsímil")</f>
        <v>Abrir facsímil</v>
      </c>
      <c r="K3994" s="3" t="s">
        <v>22</v>
      </c>
    </row>
    <row r="3995" spans="1:11" ht="42" customHeight="1">
      <c r="A3995" s="2" t="s">
        <v>8544</v>
      </c>
      <c r="B3995" s="2" t="s">
        <v>8545</v>
      </c>
      <c r="C3995" s="2" t="s">
        <v>16</v>
      </c>
      <c r="D3995" s="2" t="s">
        <v>17</v>
      </c>
      <c r="E3995" s="5">
        <v>-31507</v>
      </c>
      <c r="F3995" s="3" t="s">
        <v>61</v>
      </c>
      <c r="G3995" s="3" t="s">
        <v>28</v>
      </c>
      <c r="H3995" s="2" t="s">
        <v>29</v>
      </c>
      <c r="I3995" s="2" t="s">
        <v>8546</v>
      </c>
      <c r="J3995" s="3" t="str">
        <f>HYPERLINK("https://www.boe.es/gazeta/dias/1813/09/25/pdfs/GMR-1813-48.pdf#page=8","Abrir facsímil")</f>
        <v>Abrir facsímil</v>
      </c>
      <c r="K3995" s="3" t="s">
        <v>31</v>
      </c>
    </row>
    <row r="3996" spans="1:11" ht="42" customHeight="1">
      <c r="A3996" s="2" t="s">
        <v>8547</v>
      </c>
      <c r="B3996" s="2" t="s">
        <v>8548</v>
      </c>
      <c r="C3996" s="2" t="s">
        <v>16</v>
      </c>
      <c r="D3996" s="2" t="s">
        <v>97</v>
      </c>
      <c r="E3996" s="5">
        <v>-31519</v>
      </c>
      <c r="F3996" s="3" t="s">
        <v>312</v>
      </c>
      <c r="G3996" s="3" t="s">
        <v>313</v>
      </c>
      <c r="H3996" s="2" t="s">
        <v>20</v>
      </c>
      <c r="I3996" s="2" t="s">
        <v>8549</v>
      </c>
      <c r="J3996" s="3" t="str">
        <f>HYPERLINK("https://www.boe.es/gazeta/dias/1813/09/13/pdfs/GRE-1813-118E.pdf#page=9","Abrir facsímil")</f>
        <v>Abrir facsímil</v>
      </c>
      <c r="K3996" s="3" t="s">
        <v>22</v>
      </c>
    </row>
    <row r="3997" spans="1:11" ht="42" customHeight="1">
      <c r="A3997" s="2" t="s">
        <v>8550</v>
      </c>
      <c r="B3997" s="2" t="s">
        <v>8550</v>
      </c>
      <c r="C3997" s="2" t="s">
        <v>435</v>
      </c>
      <c r="D3997" s="2" t="s">
        <v>26</v>
      </c>
      <c r="E3997" s="5">
        <v>-31514</v>
      </c>
      <c r="F3997" s="3" t="s">
        <v>2099</v>
      </c>
      <c r="G3997" s="3" t="s">
        <v>28</v>
      </c>
      <c r="H3997" s="2" t="s">
        <v>20</v>
      </c>
      <c r="I3997" s="2" t="s">
        <v>8551</v>
      </c>
      <c r="J3997" s="3" t="str">
        <f>HYPERLINK("https://www.boe.es/gazeta/dias/1813/09/18/pdfs/GMR-1813-45.pdf#page=8","Abrir facsímil")</f>
        <v>Abrir facsímil</v>
      </c>
      <c r="K3997" s="3" t="s">
        <v>22</v>
      </c>
    </row>
    <row r="3998" spans="1:11" ht="42" customHeight="1">
      <c r="A3998" s="2" t="s">
        <v>8552</v>
      </c>
      <c r="B3998" s="2" t="s">
        <v>8552</v>
      </c>
      <c r="C3998" s="2" t="s">
        <v>16</v>
      </c>
      <c r="D3998" s="2" t="s">
        <v>17</v>
      </c>
      <c r="E3998" s="5">
        <v>-31726</v>
      </c>
      <c r="F3998" s="3" t="s">
        <v>493</v>
      </c>
      <c r="G3998" s="3" t="s">
        <v>19</v>
      </c>
      <c r="H3998" s="2" t="s">
        <v>20</v>
      </c>
      <c r="I3998" s="2" t="s">
        <v>8553</v>
      </c>
      <c r="J3998" s="3" t="str">
        <f>HYPERLINK("https://www.boe.es/gazeta/dias/1813/02/18/pdfs/GMD-1813-49.pdf#page=4","Abrir facsímil")</f>
        <v>Abrir facsímil</v>
      </c>
      <c r="K3998" s="3" t="s">
        <v>22</v>
      </c>
    </row>
    <row r="3999" spans="1:11" ht="42" customHeight="1">
      <c r="A3999" s="2" t="s">
        <v>8554</v>
      </c>
      <c r="B3999" s="2" t="s">
        <v>8554</v>
      </c>
      <c r="C3999" s="2" t="s">
        <v>16</v>
      </c>
      <c r="D3999" s="2" t="s">
        <v>17</v>
      </c>
      <c r="E3999" s="5">
        <v>-31679</v>
      </c>
      <c r="F3999" s="3" t="s">
        <v>6334</v>
      </c>
      <c r="G3999" s="3" t="s">
        <v>58</v>
      </c>
      <c r="H3999" s="2" t="s">
        <v>20</v>
      </c>
      <c r="I3999" s="2" t="s">
        <v>8555</v>
      </c>
      <c r="J3999" s="3" t="str">
        <f>HYPERLINK("https://www.boe.es/gazeta/dias/1813/04/06/pdfs/GMD-1813-96.pdf#page=2","Abrir facsímil")</f>
        <v>Abrir facsímil</v>
      </c>
      <c r="K3999" s="3" t="s">
        <v>22</v>
      </c>
    </row>
    <row r="4000" spans="1:11" ht="42" customHeight="1">
      <c r="A4000" s="2" t="s">
        <v>8556</v>
      </c>
      <c r="B4000" s="2" t="s">
        <v>8557</v>
      </c>
      <c r="C4000" s="2" t="s">
        <v>25</v>
      </c>
      <c r="D4000" s="2" t="s">
        <v>26</v>
      </c>
      <c r="E4000" s="5">
        <v>-31689</v>
      </c>
      <c r="F4000" s="3" t="s">
        <v>48</v>
      </c>
      <c r="G4000" s="3" t="s">
        <v>162</v>
      </c>
      <c r="H4000" s="2" t="s">
        <v>20</v>
      </c>
      <c r="I4000" s="2" t="s">
        <v>8558</v>
      </c>
      <c r="J4000" s="3" t="str">
        <f>HYPERLINK("https://www.boe.es/gazeta/dias/1813/03/27/pdfs/GRE-1813-38.pdf#page=8","Abrir facsímil")</f>
        <v>Abrir facsímil</v>
      </c>
      <c r="K4000" s="3" t="s">
        <v>22</v>
      </c>
    </row>
    <row r="4001" spans="1:11" ht="42" customHeight="1">
      <c r="A4001" s="2" t="s">
        <v>8559</v>
      </c>
      <c r="B4001" s="2" t="s">
        <v>8560</v>
      </c>
      <c r="C4001" s="2" t="s">
        <v>16</v>
      </c>
      <c r="D4001" s="2" t="s">
        <v>97</v>
      </c>
      <c r="E4001" s="5">
        <v>-31548</v>
      </c>
      <c r="F4001" s="3" t="s">
        <v>1680</v>
      </c>
      <c r="G4001" s="3" t="s">
        <v>95</v>
      </c>
      <c r="H4001" s="2" t="s">
        <v>20</v>
      </c>
      <c r="I4001" s="2" t="s">
        <v>8561</v>
      </c>
      <c r="J4001" s="3" t="str">
        <f>HYPERLINK("https://www.boe.es/gazeta/dias/1813/08/15/pdfs/GRE-1813-104E.pdf#page=6","Abrir facsímil")</f>
        <v>Abrir facsímil</v>
      </c>
      <c r="K4001" s="3" t="s">
        <v>22</v>
      </c>
    </row>
    <row r="4002" spans="1:11" ht="42" customHeight="1">
      <c r="A4002" s="2" t="s">
        <v>8562</v>
      </c>
      <c r="B4002" s="2" t="s">
        <v>8563</v>
      </c>
      <c r="C4002" s="2" t="s">
        <v>69</v>
      </c>
      <c r="D4002" s="2" t="s">
        <v>26</v>
      </c>
      <c r="E4002" s="5">
        <v>-31537</v>
      </c>
      <c r="F4002" s="3" t="s">
        <v>138</v>
      </c>
      <c r="G4002" s="3" t="s">
        <v>95</v>
      </c>
      <c r="H4002" s="2" t="s">
        <v>20</v>
      </c>
      <c r="I4002" s="2" t="s">
        <v>8564</v>
      </c>
      <c r="J4002" s="3" t="str">
        <f>HYPERLINK("https://www.boe.es/gazeta/dias/1813/08/26/pdfs/GMR-1813-33.pdf#page=6","Abrir facsímil")</f>
        <v>Abrir facsímil</v>
      </c>
      <c r="K4002" s="3" t="s">
        <v>22</v>
      </c>
    </row>
    <row r="4003" spans="1:11" ht="42" customHeight="1">
      <c r="A4003" s="2" t="s">
        <v>8565</v>
      </c>
      <c r="B4003" s="2" t="s">
        <v>8566</v>
      </c>
      <c r="C4003" s="2" t="s">
        <v>25</v>
      </c>
      <c r="D4003" s="2" t="s">
        <v>26</v>
      </c>
      <c r="E4003" s="5">
        <v>-31671</v>
      </c>
      <c r="F4003" s="3" t="s">
        <v>8567</v>
      </c>
      <c r="G4003" s="3" t="s">
        <v>65</v>
      </c>
      <c r="H4003" s="2" t="s">
        <v>20</v>
      </c>
      <c r="I4003" s="2" t="s">
        <v>8568</v>
      </c>
      <c r="J4003" s="3" t="str">
        <f>HYPERLINK("https://www.boe.es/gazeta/dias/1813/04/14/pdfs/GMD-1813-104.pdf#page=1","Abrir facsímil")</f>
        <v>Abrir facsímil</v>
      </c>
      <c r="K4003" s="3" t="s">
        <v>22</v>
      </c>
    </row>
    <row r="4004" spans="1:11" ht="42" customHeight="1">
      <c r="A4004" s="2" t="s">
        <v>8569</v>
      </c>
      <c r="B4004" s="2" t="s">
        <v>8569</v>
      </c>
      <c r="C4004" s="2" t="s">
        <v>16</v>
      </c>
      <c r="D4004" s="2" t="s">
        <v>17</v>
      </c>
      <c r="E4004" s="5">
        <v>-31703</v>
      </c>
      <c r="F4004" s="3" t="s">
        <v>4331</v>
      </c>
      <c r="G4004" s="3" t="s">
        <v>4332</v>
      </c>
      <c r="H4004" s="2" t="s">
        <v>20</v>
      </c>
      <c r="I4004" s="2" t="s">
        <v>8570</v>
      </c>
      <c r="J4004" s="3" t="str">
        <f>HYPERLINK("https://www.boe.es/gazeta/dias/1813/03/13/pdfs/GRE-1813-32.pdf#page=4","Abrir facsímil")</f>
        <v>Abrir facsímil</v>
      </c>
      <c r="K4004" s="3" t="s">
        <v>22</v>
      </c>
    </row>
    <row r="4005" spans="1:11" ht="42" customHeight="1">
      <c r="A4005" s="2" t="s">
        <v>8571</v>
      </c>
      <c r="B4005" s="2" t="s">
        <v>8571</v>
      </c>
      <c r="C4005" s="2" t="s">
        <v>16</v>
      </c>
      <c r="D4005" s="2" t="s">
        <v>17</v>
      </c>
      <c r="E4005" s="5">
        <v>-31731</v>
      </c>
      <c r="F4005" s="3" t="s">
        <v>866</v>
      </c>
      <c r="G4005" s="3" t="s">
        <v>65</v>
      </c>
      <c r="H4005" s="2" t="s">
        <v>20</v>
      </c>
      <c r="I4005" s="2" t="s">
        <v>8572</v>
      </c>
      <c r="J4005" s="3" t="str">
        <f>HYPERLINK("https://www.boe.es/gazeta/dias/1813/02/13/pdfs/GRE-1813-19.pdf#page=1","Abrir facsímil")</f>
        <v>Abrir facsímil</v>
      </c>
      <c r="K4005" s="3" t="s">
        <v>22</v>
      </c>
    </row>
    <row r="4006" spans="1:11" ht="42" customHeight="1">
      <c r="A4006" s="2" t="s">
        <v>8573</v>
      </c>
      <c r="B4006" s="2" t="s">
        <v>8573</v>
      </c>
      <c r="C4006" s="2" t="s">
        <v>16</v>
      </c>
      <c r="D4006" s="2" t="s">
        <v>17</v>
      </c>
      <c r="E4006" s="5">
        <v>-31733</v>
      </c>
      <c r="F4006" s="3" t="s">
        <v>3036</v>
      </c>
      <c r="G4006" s="3" t="s">
        <v>7278</v>
      </c>
      <c r="H4006" s="2" t="s">
        <v>20</v>
      </c>
      <c r="I4006" s="2" t="s">
        <v>8574</v>
      </c>
      <c r="J4006" s="3" t="str">
        <f>HYPERLINK("https://www.boe.es/gazeta/dias/1813/02/11/pdfs/GRE-1813-18.pdf#page=4","Abrir facsímil")</f>
        <v>Abrir facsímil</v>
      </c>
      <c r="K4006" s="3" t="s">
        <v>22</v>
      </c>
    </row>
    <row r="4007" spans="1:11" ht="42" customHeight="1">
      <c r="A4007" s="2" t="s">
        <v>8575</v>
      </c>
      <c r="B4007" s="2" t="s">
        <v>8575</v>
      </c>
      <c r="C4007" s="2" t="s">
        <v>16</v>
      </c>
      <c r="D4007" s="2" t="s">
        <v>17</v>
      </c>
      <c r="E4007" s="5">
        <v>-31544</v>
      </c>
      <c r="F4007" s="3" t="s">
        <v>44</v>
      </c>
      <c r="G4007" s="3" t="s">
        <v>58</v>
      </c>
      <c r="H4007" s="2" t="s">
        <v>20</v>
      </c>
      <c r="I4007" s="2" t="s">
        <v>8576</v>
      </c>
      <c r="J4007" s="3" t="str">
        <f>HYPERLINK("https://www.boe.es/gazeta/dias/1813/08/19/pdfs/GMR-1813-30.pdf#page=2","Abrir facsímil")</f>
        <v>Abrir facsímil</v>
      </c>
      <c r="K4007" s="3" t="s">
        <v>22</v>
      </c>
    </row>
    <row r="4008" spans="1:11" ht="42" customHeight="1">
      <c r="A4008" s="2" t="s">
        <v>8577</v>
      </c>
      <c r="B4008" s="2" t="s">
        <v>8577</v>
      </c>
      <c r="C4008" s="2" t="s">
        <v>16</v>
      </c>
      <c r="D4008" s="2" t="s">
        <v>17</v>
      </c>
      <c r="E4008" s="5">
        <v>-31606</v>
      </c>
      <c r="F4008" s="3" t="s">
        <v>124</v>
      </c>
      <c r="G4008" s="3" t="s">
        <v>82</v>
      </c>
      <c r="H4008" s="2" t="s">
        <v>20</v>
      </c>
      <c r="I4008" s="2" t="s">
        <v>8578</v>
      </c>
      <c r="J4008" s="3" t="str">
        <f>HYPERLINK("https://www.boe.es/gazeta/dias/1813/06/18/pdfs/GMR-1813-7.pdf#page=5","Abrir facsímil")</f>
        <v>Abrir facsímil</v>
      </c>
      <c r="K4008" s="3" t="s">
        <v>22</v>
      </c>
    </row>
    <row r="4009" spans="1:11" ht="42" customHeight="1">
      <c r="A4009" s="2" t="s">
        <v>8579</v>
      </c>
      <c r="B4009" s="2" t="s">
        <v>8579</v>
      </c>
      <c r="C4009" s="2" t="s">
        <v>16</v>
      </c>
      <c r="D4009" s="2" t="s">
        <v>17</v>
      </c>
      <c r="E4009" s="5">
        <v>-31446</v>
      </c>
      <c r="F4009" s="3" t="s">
        <v>103</v>
      </c>
      <c r="G4009" s="3" t="s">
        <v>58</v>
      </c>
      <c r="H4009" s="2" t="s">
        <v>20</v>
      </c>
      <c r="I4009" s="2" t="s">
        <v>8580</v>
      </c>
      <c r="J4009" s="3" t="str">
        <f>HYPERLINK("https://www.boe.es/gazeta/dias/1813/11/25/pdfs/GMR-1813-79.pdf#page=2","Abrir facsímil")</f>
        <v>Abrir facsímil</v>
      </c>
      <c r="K4009" s="3" t="s">
        <v>22</v>
      </c>
    </row>
    <row r="4010" spans="1:11" ht="42" customHeight="1">
      <c r="A4010" s="2" t="s">
        <v>8581</v>
      </c>
      <c r="B4010" s="2" t="s">
        <v>8581</v>
      </c>
      <c r="C4010" s="2" t="s">
        <v>16</v>
      </c>
      <c r="D4010" s="2" t="s">
        <v>17</v>
      </c>
      <c r="E4010" s="5">
        <v>-31504</v>
      </c>
      <c r="F4010" s="3" t="s">
        <v>1361</v>
      </c>
      <c r="G4010" s="3" t="s">
        <v>54</v>
      </c>
      <c r="H4010" s="2" t="s">
        <v>20</v>
      </c>
      <c r="I4010" s="2" t="s">
        <v>8582</v>
      </c>
      <c r="J4010" s="3" t="str">
        <f>HYPERLINK("https://www.boe.es/gazeta/dias/1813/09/28/pdfs/GMR-1813-50.pdf#page=3","Abrir facsímil")</f>
        <v>Abrir facsímil</v>
      </c>
      <c r="K4010" s="3" t="s">
        <v>22</v>
      </c>
    </row>
    <row r="4011" spans="1:11" ht="42" customHeight="1">
      <c r="A4011" s="2" t="s">
        <v>8583</v>
      </c>
      <c r="B4011" s="2" t="s">
        <v>8583</v>
      </c>
      <c r="C4011" s="2" t="s">
        <v>16</v>
      </c>
      <c r="D4011" s="2" t="s">
        <v>17</v>
      </c>
      <c r="E4011" s="5">
        <v>-31502</v>
      </c>
      <c r="F4011" s="3" t="s">
        <v>1363</v>
      </c>
      <c r="G4011" s="3" t="s">
        <v>82</v>
      </c>
      <c r="H4011" s="2" t="s">
        <v>20</v>
      </c>
      <c r="I4011" s="2" t="s">
        <v>8584</v>
      </c>
      <c r="J4011" s="3" t="str">
        <f>HYPERLINK("https://www.boe.es/gazeta/dias/1813/09/30/pdfs/GRE-1813-128.pdf#page=5","Abrir facsímil")</f>
        <v>Abrir facsímil</v>
      </c>
      <c r="K4011" s="3" t="s">
        <v>22</v>
      </c>
    </row>
    <row r="4012" spans="1:11" ht="42" customHeight="1">
      <c r="A4012" s="2" t="s">
        <v>8585</v>
      </c>
      <c r="B4012" s="2" t="s">
        <v>8585</v>
      </c>
      <c r="C4012" s="2" t="s">
        <v>16</v>
      </c>
      <c r="D4012" s="2" t="s">
        <v>97</v>
      </c>
      <c r="E4012" s="5">
        <v>-31479</v>
      </c>
      <c r="F4012" s="3" t="s">
        <v>290</v>
      </c>
      <c r="G4012" s="3" t="s">
        <v>58</v>
      </c>
      <c r="H4012" s="2" t="s">
        <v>20</v>
      </c>
      <c r="I4012" s="2" t="s">
        <v>8586</v>
      </c>
      <c r="J4012" s="3" t="str">
        <f>HYPERLINK("https://www.boe.es/gazeta/dias/1813/10/23/pdfs/GRE-1813-139E.pdf#page=2","Abrir facsímil")</f>
        <v>Abrir facsímil</v>
      </c>
      <c r="K4012" s="3" t="s">
        <v>22</v>
      </c>
    </row>
    <row r="4013" spans="1:11" ht="42" customHeight="1">
      <c r="A4013" s="2" t="s">
        <v>8587</v>
      </c>
      <c r="B4013" s="2" t="s">
        <v>8588</v>
      </c>
      <c r="C4013" s="2" t="s">
        <v>16</v>
      </c>
      <c r="D4013" s="2" t="s">
        <v>17</v>
      </c>
      <c r="E4013" s="5">
        <v>-31614</v>
      </c>
      <c r="F4013" s="3" t="s">
        <v>498</v>
      </c>
      <c r="G4013" s="3" t="s">
        <v>19</v>
      </c>
      <c r="H4013" s="2" t="s">
        <v>29</v>
      </c>
      <c r="I4013" s="2" t="s">
        <v>8589</v>
      </c>
      <c r="J4013" s="3" t="str">
        <f>HYPERLINK("https://www.boe.es/gazeta/dias/1813/06/10/pdfs/GRE-1813-72.pdf#page=4","Abrir facsímil")</f>
        <v>Abrir facsímil</v>
      </c>
      <c r="K4013" s="3" t="s">
        <v>31</v>
      </c>
    </row>
    <row r="4014" spans="1:11" ht="42" customHeight="1">
      <c r="A4014" s="2" t="s">
        <v>8590</v>
      </c>
      <c r="B4014" s="2" t="s">
        <v>8590</v>
      </c>
      <c r="C4014" s="2" t="s">
        <v>34</v>
      </c>
      <c r="D4014" s="2" t="s">
        <v>35</v>
      </c>
      <c r="E4014" s="5">
        <v>-31660</v>
      </c>
      <c r="F4014" s="3" t="s">
        <v>1632</v>
      </c>
      <c r="G4014" s="3" t="s">
        <v>58</v>
      </c>
      <c r="H4014" s="2" t="s">
        <v>20</v>
      </c>
      <c r="I4014" s="2" t="s">
        <v>8591</v>
      </c>
      <c r="J4014" s="3" t="str">
        <f>HYPERLINK("https://www.boe.es/gazeta/dias/1813/04/25/pdfs/GMD-1813-115.pdf#page=2","Abrir facsímil")</f>
        <v>Abrir facsímil</v>
      </c>
      <c r="K4014" s="3" t="s">
        <v>22</v>
      </c>
    </row>
    <row r="4015" spans="1:11" ht="42" customHeight="1">
      <c r="A4015" s="2" t="s">
        <v>8592</v>
      </c>
      <c r="B4015" s="2" t="s">
        <v>8592</v>
      </c>
      <c r="C4015" s="2" t="s">
        <v>25</v>
      </c>
      <c r="D4015" s="2" t="s">
        <v>26</v>
      </c>
      <c r="E4015" s="5">
        <v>-31664</v>
      </c>
      <c r="F4015" s="3" t="s">
        <v>1144</v>
      </c>
      <c r="G4015" s="3" t="s">
        <v>58</v>
      </c>
      <c r="H4015" s="2" t="s">
        <v>20</v>
      </c>
      <c r="I4015" s="2" t="s">
        <v>8593</v>
      </c>
      <c r="J4015" s="3" t="str">
        <f>HYPERLINK("https://www.boe.es/gazeta/dias/1813/04/21/pdfs/GMD-1813-111.pdf#page=2","Abrir facsímil")</f>
        <v>Abrir facsímil</v>
      </c>
      <c r="K4015" s="3" t="s">
        <v>22</v>
      </c>
    </row>
    <row r="4016" spans="1:11" ht="42" customHeight="1">
      <c r="A4016" s="2" t="s">
        <v>8594</v>
      </c>
      <c r="B4016" s="2" t="s">
        <v>8594</v>
      </c>
      <c r="C4016" s="2" t="s">
        <v>16</v>
      </c>
      <c r="D4016" s="2" t="s">
        <v>17</v>
      </c>
      <c r="E4016" s="5">
        <v>-31467</v>
      </c>
      <c r="F4016" s="3" t="s">
        <v>120</v>
      </c>
      <c r="G4016" s="3" t="s">
        <v>82</v>
      </c>
      <c r="H4016" s="2" t="s">
        <v>20</v>
      </c>
      <c r="I4016" s="2" t="s">
        <v>8595</v>
      </c>
      <c r="J4016" s="3" t="str">
        <f>HYPERLINK("https://www.boe.es/gazeta/dias/1813/11/04/pdfs/GMR-1813-68.pdf#page=5","Abrir facsímil")</f>
        <v>Abrir facsímil</v>
      </c>
      <c r="K4016" s="3" t="s">
        <v>22</v>
      </c>
    </row>
    <row r="4017" spans="1:11" ht="42" customHeight="1">
      <c r="A4017" s="2" t="s">
        <v>8596</v>
      </c>
      <c r="B4017" s="2" t="s">
        <v>8596</v>
      </c>
      <c r="C4017" s="2" t="s">
        <v>16</v>
      </c>
      <c r="D4017" s="2" t="s">
        <v>17</v>
      </c>
      <c r="E4017" s="5">
        <v>-31448</v>
      </c>
      <c r="F4017" s="3" t="s">
        <v>57</v>
      </c>
      <c r="G4017" s="3" t="s">
        <v>58</v>
      </c>
      <c r="H4017" s="2" t="s">
        <v>20</v>
      </c>
      <c r="I4017" s="2" t="s">
        <v>8597</v>
      </c>
      <c r="J4017" s="3" t="str">
        <f>HYPERLINK("https://www.boe.es/gazeta/dias/1813/11/23/pdfs/GRE-1813-153.pdf#page=2","Abrir facsímil")</f>
        <v>Abrir facsímil</v>
      </c>
      <c r="K4017" s="3" t="s">
        <v>22</v>
      </c>
    </row>
    <row r="4018" spans="1:11" ht="42" customHeight="1">
      <c r="A4018" s="2" t="s">
        <v>8598</v>
      </c>
      <c r="B4018" s="2" t="s">
        <v>8598</v>
      </c>
      <c r="C4018" s="2" t="s">
        <v>25</v>
      </c>
      <c r="D4018" s="2" t="s">
        <v>26</v>
      </c>
      <c r="E4018" s="5">
        <v>-31662</v>
      </c>
      <c r="F4018" s="3" t="s">
        <v>8038</v>
      </c>
      <c r="G4018" s="3" t="s">
        <v>19</v>
      </c>
      <c r="H4018" s="2" t="s">
        <v>20</v>
      </c>
      <c r="I4018" s="2" t="s">
        <v>8599</v>
      </c>
      <c r="J4018" s="3" t="str">
        <f>HYPERLINK("https://www.boe.es/gazeta/dias/1813/04/23/pdfs/GMD-1813-113.pdf#page=4","Abrir facsímil")</f>
        <v>Abrir facsímil</v>
      </c>
      <c r="K4018" s="3" t="s">
        <v>22</v>
      </c>
    </row>
    <row r="4019" spans="1:11" ht="42" customHeight="1">
      <c r="A4019" s="2" t="s">
        <v>8600</v>
      </c>
      <c r="B4019" s="2" t="s">
        <v>8600</v>
      </c>
      <c r="C4019" s="2" t="s">
        <v>16</v>
      </c>
      <c r="D4019" s="2" t="s">
        <v>17</v>
      </c>
      <c r="E4019" s="5">
        <v>-31479</v>
      </c>
      <c r="F4019" s="3" t="s">
        <v>2383</v>
      </c>
      <c r="G4019" s="3" t="s">
        <v>65</v>
      </c>
      <c r="H4019" s="2" t="s">
        <v>20</v>
      </c>
      <c r="I4019" s="2" t="s">
        <v>8601</v>
      </c>
      <c r="J4019" s="3" t="str">
        <f>HYPERLINK("https://www.boe.es/gazeta/dias/1813/10/23/pdfs/GRE-1813-138.pdf#page=1","Abrir facsímil")</f>
        <v>Abrir facsímil</v>
      </c>
      <c r="K4019" s="3" t="s">
        <v>22</v>
      </c>
    </row>
    <row r="4020" spans="1:11" ht="42" customHeight="1">
      <c r="A4020" s="2" t="s">
        <v>8602</v>
      </c>
      <c r="B4020" s="2" t="s">
        <v>8602</v>
      </c>
      <c r="C4020" s="2" t="s">
        <v>16</v>
      </c>
      <c r="D4020" s="2" t="s">
        <v>17</v>
      </c>
      <c r="E4020" s="5">
        <v>-31633</v>
      </c>
      <c r="F4020" s="3" t="s">
        <v>6276</v>
      </c>
      <c r="G4020" s="3" t="s">
        <v>58</v>
      </c>
      <c r="H4020" s="2" t="s">
        <v>20</v>
      </c>
      <c r="I4020" s="2" t="s">
        <v>8603</v>
      </c>
      <c r="J4020" s="3" t="str">
        <f>HYPERLINK("https://www.boe.es/gazeta/dias/1813/05/22/pdfs/GMD-1813-142.pdf#page=2","Abrir facsímil")</f>
        <v>Abrir facsímil</v>
      </c>
      <c r="K4020" s="3" t="s">
        <v>22</v>
      </c>
    </row>
    <row r="4021" spans="1:11" ht="42" customHeight="1">
      <c r="A4021" s="2" t="s">
        <v>8602</v>
      </c>
      <c r="B4021" s="2" t="s">
        <v>8602</v>
      </c>
      <c r="C4021" s="2" t="s">
        <v>16</v>
      </c>
      <c r="D4021" s="2" t="s">
        <v>17</v>
      </c>
      <c r="E4021" s="5">
        <v>-31581</v>
      </c>
      <c r="F4021" s="3" t="s">
        <v>1321</v>
      </c>
      <c r="G4021" s="3" t="s">
        <v>2541</v>
      </c>
      <c r="H4021" s="2" t="s">
        <v>20</v>
      </c>
      <c r="I4021" s="2" t="s">
        <v>8604</v>
      </c>
      <c r="J4021" s="3" t="str">
        <f>HYPERLINK("https://www.boe.es/gazeta/dias/1813/07/13/pdfs/GMR-1813-17.pdf#page=4","Abrir facsímil")</f>
        <v>Abrir facsímil</v>
      </c>
      <c r="K4021" s="3" t="s">
        <v>22</v>
      </c>
    </row>
    <row r="4022" spans="1:11" ht="42" customHeight="1">
      <c r="A4022" s="2" t="s">
        <v>8602</v>
      </c>
      <c r="B4022" s="2" t="s">
        <v>8602</v>
      </c>
      <c r="C4022" s="2" t="s">
        <v>16</v>
      </c>
      <c r="D4022" s="2" t="s">
        <v>17</v>
      </c>
      <c r="E4022" s="5">
        <v>-31581</v>
      </c>
      <c r="F4022" s="3" t="s">
        <v>1321</v>
      </c>
      <c r="G4022" s="3" t="s">
        <v>82</v>
      </c>
      <c r="H4022" s="2" t="s">
        <v>20</v>
      </c>
      <c r="I4022" s="2" t="s">
        <v>8605</v>
      </c>
      <c r="J4022" s="3" t="str">
        <f>HYPERLINK("https://www.boe.es/gazeta/dias/1813/07/13/pdfs/GMR-1813-17.pdf#page=5","Abrir facsímil")</f>
        <v>Abrir facsímil</v>
      </c>
      <c r="K4022" s="3" t="s">
        <v>22</v>
      </c>
    </row>
    <row r="4023" spans="1:11" ht="42" customHeight="1">
      <c r="A4023" s="2" t="s">
        <v>8606</v>
      </c>
      <c r="B4023" s="2" t="s">
        <v>8606</v>
      </c>
      <c r="C4023" s="2" t="s">
        <v>16</v>
      </c>
      <c r="D4023" s="2" t="s">
        <v>17</v>
      </c>
      <c r="E4023" s="5">
        <v>-31504</v>
      </c>
      <c r="F4023" s="3" t="s">
        <v>192</v>
      </c>
      <c r="G4023" s="3" t="s">
        <v>65</v>
      </c>
      <c r="H4023" s="2" t="s">
        <v>20</v>
      </c>
      <c r="I4023" s="2" t="s">
        <v>8607</v>
      </c>
      <c r="J4023" s="3" t="str">
        <f>HYPERLINK("https://www.boe.es/gazeta/dias/1813/09/28/pdfs/GRE-1813-127.pdf#page=1","Abrir facsímil")</f>
        <v>Abrir facsímil</v>
      </c>
      <c r="K4023" s="3" t="s">
        <v>22</v>
      </c>
    </row>
    <row r="4024" spans="1:11" ht="42" customHeight="1">
      <c r="A4024" s="2" t="s">
        <v>8602</v>
      </c>
      <c r="B4024" s="2" t="s">
        <v>8602</v>
      </c>
      <c r="C4024" s="2" t="s">
        <v>16</v>
      </c>
      <c r="D4024" s="2" t="s">
        <v>17</v>
      </c>
      <c r="E4024" s="5">
        <v>-31476</v>
      </c>
      <c r="F4024" s="3" t="s">
        <v>229</v>
      </c>
      <c r="G4024" s="3" t="s">
        <v>65</v>
      </c>
      <c r="H4024" s="2" t="s">
        <v>20</v>
      </c>
      <c r="I4024" s="2" t="s">
        <v>8608</v>
      </c>
      <c r="J4024" s="3" t="str">
        <f>HYPERLINK("https://www.boe.es/gazeta/dias/1813/10/26/pdfs/GRE-1813-140.pdf#page=1","Abrir facsímil")</f>
        <v>Abrir facsímil</v>
      </c>
      <c r="K4024" s="3" t="s">
        <v>22</v>
      </c>
    </row>
    <row r="4025" spans="1:11" ht="42" customHeight="1">
      <c r="A4025" s="2" t="s">
        <v>8609</v>
      </c>
      <c r="B4025" s="2" t="s">
        <v>8609</v>
      </c>
      <c r="C4025" s="2" t="s">
        <v>16</v>
      </c>
      <c r="D4025" s="2" t="s">
        <v>17</v>
      </c>
      <c r="E4025" s="5">
        <v>-31458</v>
      </c>
      <c r="F4025" s="3" t="s">
        <v>1171</v>
      </c>
      <c r="G4025" s="3" t="s">
        <v>58</v>
      </c>
      <c r="H4025" s="2" t="s">
        <v>20</v>
      </c>
      <c r="I4025" s="2" t="s">
        <v>8610</v>
      </c>
      <c r="J4025" s="3" t="str">
        <f>HYPERLINK("https://www.boe.es/gazeta/dias/1813/11/13/pdfs/GRE-1813-149.pdf#page=2","Abrir facsímil")</f>
        <v>Abrir facsímil</v>
      </c>
      <c r="K4025" s="3" t="s">
        <v>22</v>
      </c>
    </row>
    <row r="4026" spans="1:11" ht="42" customHeight="1">
      <c r="A4026" s="2" t="s">
        <v>8611</v>
      </c>
      <c r="B4026" s="2" t="s">
        <v>8611</v>
      </c>
      <c r="C4026" s="2" t="s">
        <v>16</v>
      </c>
      <c r="D4026" s="2" t="s">
        <v>17</v>
      </c>
      <c r="E4026" s="5">
        <v>-31658</v>
      </c>
      <c r="F4026" s="3" t="s">
        <v>1113</v>
      </c>
      <c r="G4026" s="3" t="s">
        <v>19</v>
      </c>
      <c r="H4026" s="2" t="s">
        <v>20</v>
      </c>
      <c r="I4026" s="2" t="s">
        <v>8612</v>
      </c>
      <c r="J4026" s="3" t="str">
        <f>HYPERLINK("https://www.boe.es/gazeta/dias/1813/04/27/pdfs/GRE-1813-52.pdf#page=4","Abrir facsímil")</f>
        <v>Abrir facsímil</v>
      </c>
      <c r="K4026" s="3" t="s">
        <v>22</v>
      </c>
    </row>
    <row r="4027" spans="1:11" ht="42" customHeight="1">
      <c r="A4027" s="2" t="s">
        <v>8613</v>
      </c>
      <c r="B4027" s="2" t="s">
        <v>8613</v>
      </c>
      <c r="C4027" s="2" t="s">
        <v>16</v>
      </c>
      <c r="D4027" s="2" t="s">
        <v>17</v>
      </c>
      <c r="E4027" s="5">
        <v>-31676</v>
      </c>
      <c r="F4027" s="3" t="s">
        <v>3907</v>
      </c>
      <c r="G4027" s="3" t="s">
        <v>65</v>
      </c>
      <c r="H4027" s="2" t="s">
        <v>20</v>
      </c>
      <c r="I4027" s="2" t="s">
        <v>8614</v>
      </c>
      <c r="J4027" s="3" t="str">
        <f>HYPERLINK("https://www.boe.es/gazeta/dias/1813/04/09/pdfs/GMD-1813-99.pdf#page=1","Abrir facsímil")</f>
        <v>Abrir facsímil</v>
      </c>
      <c r="K4027" s="3" t="s">
        <v>22</v>
      </c>
    </row>
    <row r="4028" spans="1:11" ht="42" customHeight="1">
      <c r="A4028" s="2" t="s">
        <v>8615</v>
      </c>
      <c r="B4028" s="2" t="s">
        <v>8615</v>
      </c>
      <c r="C4028" s="2" t="s">
        <v>16</v>
      </c>
      <c r="D4028" s="2" t="s">
        <v>17</v>
      </c>
      <c r="E4028" s="5">
        <v>-31692</v>
      </c>
      <c r="F4028" s="3" t="s">
        <v>2171</v>
      </c>
      <c r="G4028" s="3" t="s">
        <v>58</v>
      </c>
      <c r="H4028" s="2" t="s">
        <v>20</v>
      </c>
      <c r="I4028" s="2" t="s">
        <v>8616</v>
      </c>
      <c r="J4028" s="3" t="str">
        <f>HYPERLINK("https://www.boe.es/gazeta/dias/1813/03/24/pdfs/GMD-1813-83.pdf#page=2","Abrir facsímil")</f>
        <v>Abrir facsímil</v>
      </c>
      <c r="K4028" s="3" t="s">
        <v>22</v>
      </c>
    </row>
    <row r="4029" spans="1:11" ht="42" customHeight="1">
      <c r="A4029" s="2" t="s">
        <v>8615</v>
      </c>
      <c r="B4029" s="2" t="s">
        <v>8615</v>
      </c>
      <c r="C4029" s="2" t="s">
        <v>16</v>
      </c>
      <c r="D4029" s="2" t="s">
        <v>17</v>
      </c>
      <c r="E4029" s="5">
        <v>-31571</v>
      </c>
      <c r="F4029" s="3" t="s">
        <v>788</v>
      </c>
      <c r="G4029" s="3" t="s">
        <v>58</v>
      </c>
      <c r="H4029" s="2" t="s">
        <v>20</v>
      </c>
      <c r="I4029" s="2" t="s">
        <v>8617</v>
      </c>
      <c r="J4029" s="3" t="str">
        <f>HYPERLINK("https://www.boe.es/gazeta/dias/1813/07/23/pdfs/GMR-1813-20.pdf#page=2","Abrir facsímil")</f>
        <v>Abrir facsímil</v>
      </c>
      <c r="K4029" s="3" t="s">
        <v>22</v>
      </c>
    </row>
    <row r="4030" spans="1:11" ht="42" customHeight="1">
      <c r="A4030" s="2" t="s">
        <v>8615</v>
      </c>
      <c r="B4030" s="2" t="s">
        <v>8615</v>
      </c>
      <c r="C4030" s="2" t="s">
        <v>16</v>
      </c>
      <c r="D4030" s="2" t="s">
        <v>17</v>
      </c>
      <c r="E4030" s="5">
        <v>-31570</v>
      </c>
      <c r="F4030" s="3" t="s">
        <v>1803</v>
      </c>
      <c r="G4030" s="3" t="s">
        <v>58</v>
      </c>
      <c r="H4030" s="2" t="s">
        <v>20</v>
      </c>
      <c r="I4030" s="2" t="s">
        <v>8618</v>
      </c>
      <c r="J4030" s="3" t="str">
        <f>HYPERLINK("https://www.boe.es/gazeta/dias/1813/07/24/pdfs/GRE-1813-94.pdf#page=2","Abrir facsímil")</f>
        <v>Abrir facsímil</v>
      </c>
      <c r="K4030" s="3" t="s">
        <v>22</v>
      </c>
    </row>
    <row r="4031" spans="1:11" ht="42" customHeight="1">
      <c r="A4031" s="2" t="s">
        <v>8619</v>
      </c>
      <c r="B4031" s="2" t="s">
        <v>8619</v>
      </c>
      <c r="C4031" s="2" t="s">
        <v>16</v>
      </c>
      <c r="D4031" s="2" t="s">
        <v>17</v>
      </c>
      <c r="E4031" s="5">
        <v>-31479</v>
      </c>
      <c r="F4031" s="3" t="s">
        <v>322</v>
      </c>
      <c r="G4031" s="3" t="s">
        <v>82</v>
      </c>
      <c r="H4031" s="2" t="s">
        <v>20</v>
      </c>
      <c r="I4031" s="2" t="s">
        <v>8620</v>
      </c>
      <c r="J4031" s="3" t="str">
        <f>HYPERLINK("https://www.boe.es/gazeta/dias/1813/10/23/pdfs/GMR-1813-63.pdf#page=5","Abrir facsímil")</f>
        <v>Abrir facsímil</v>
      </c>
      <c r="K4031" s="3" t="s">
        <v>22</v>
      </c>
    </row>
    <row r="4032" spans="1:11" ht="42" customHeight="1">
      <c r="A4032" s="2" t="s">
        <v>8621</v>
      </c>
      <c r="B4032" s="2" t="s">
        <v>8621</v>
      </c>
      <c r="C4032" s="2" t="s">
        <v>16</v>
      </c>
      <c r="D4032" s="2" t="s">
        <v>17</v>
      </c>
      <c r="E4032" s="5">
        <v>-31724</v>
      </c>
      <c r="F4032" s="3" t="s">
        <v>684</v>
      </c>
      <c r="G4032" s="3" t="s">
        <v>5893</v>
      </c>
      <c r="H4032" s="2" t="s">
        <v>20</v>
      </c>
      <c r="I4032" s="2" t="s">
        <v>8622</v>
      </c>
      <c r="J4032" s="3" t="str">
        <f>HYPERLINK("https://www.boe.es/gazeta/dias/1813/02/20/pdfs/GMD-1813-51.pdf#page=2","Abrir facsímil")</f>
        <v>Abrir facsímil</v>
      </c>
      <c r="K4032" s="3" t="s">
        <v>22</v>
      </c>
    </row>
    <row r="4033" spans="1:11" ht="42" customHeight="1">
      <c r="A4033" s="2" t="s">
        <v>8623</v>
      </c>
      <c r="B4033" s="2" t="s">
        <v>8624</v>
      </c>
      <c r="C4033" s="2" t="s">
        <v>16</v>
      </c>
      <c r="D4033" s="2" t="s">
        <v>17</v>
      </c>
      <c r="E4033" s="5">
        <v>-31724</v>
      </c>
      <c r="F4033" s="3" t="s">
        <v>684</v>
      </c>
      <c r="G4033" s="3" t="s">
        <v>5893</v>
      </c>
      <c r="H4033" s="2" t="s">
        <v>20</v>
      </c>
      <c r="I4033" s="2" t="s">
        <v>8625</v>
      </c>
      <c r="J4033" s="3" t="str">
        <f>HYPERLINK("https://www.boe.es/gazeta/dias/1813/02/20/pdfs/GMD-1813-51.pdf#page=2","Abrir facsímil")</f>
        <v>Abrir facsímil</v>
      </c>
      <c r="K4033" s="3" t="s">
        <v>22</v>
      </c>
    </row>
    <row r="4034" spans="1:11" ht="42" customHeight="1">
      <c r="A4034" s="2" t="s">
        <v>8626</v>
      </c>
      <c r="B4034" s="2" t="s">
        <v>8626</v>
      </c>
      <c r="C4034" s="2" t="s">
        <v>16</v>
      </c>
      <c r="D4034" s="2" t="s">
        <v>17</v>
      </c>
      <c r="E4034" s="5">
        <v>-31451</v>
      </c>
      <c r="F4034" s="3" t="s">
        <v>127</v>
      </c>
      <c r="G4034" s="3" t="s">
        <v>58</v>
      </c>
      <c r="H4034" s="2" t="s">
        <v>20</v>
      </c>
      <c r="I4034" s="2" t="s">
        <v>8627</v>
      </c>
      <c r="J4034" s="3" t="str">
        <f>HYPERLINK("https://www.boe.es/gazeta/dias/1813/11/20/pdfs/GRE-1813-152.pdf#page=2","Abrir facsímil")</f>
        <v>Abrir facsímil</v>
      </c>
      <c r="K4034" s="3" t="s">
        <v>22</v>
      </c>
    </row>
    <row r="4035" spans="1:11" ht="42" customHeight="1">
      <c r="A4035" s="2" t="s">
        <v>8628</v>
      </c>
      <c r="B4035" s="2" t="s">
        <v>8628</v>
      </c>
      <c r="C4035" s="2" t="s">
        <v>16</v>
      </c>
      <c r="D4035" s="2" t="s">
        <v>17</v>
      </c>
      <c r="E4035" s="5">
        <v>-31458</v>
      </c>
      <c r="F4035" s="3" t="s">
        <v>1171</v>
      </c>
      <c r="G4035" s="3" t="s">
        <v>8629</v>
      </c>
      <c r="H4035" s="2" t="s">
        <v>20</v>
      </c>
      <c r="I4035" s="2" t="s">
        <v>8630</v>
      </c>
      <c r="J4035" s="3" t="str">
        <f>HYPERLINK("https://www.boe.es/gazeta/dias/1813/11/13/pdfs/GRE-1813-149.pdf#page=5","Abrir facsímil")</f>
        <v>Abrir facsímil</v>
      </c>
      <c r="K4035" s="3" t="s">
        <v>22</v>
      </c>
    </row>
    <row r="4036" spans="1:11" ht="42" customHeight="1">
      <c r="A4036" s="2" t="s">
        <v>8631</v>
      </c>
      <c r="B4036" s="2" t="s">
        <v>8631</v>
      </c>
      <c r="C4036" s="2" t="s">
        <v>16</v>
      </c>
      <c r="D4036" s="2" t="s">
        <v>17</v>
      </c>
      <c r="E4036" s="5">
        <v>-31628</v>
      </c>
      <c r="F4036" s="3" t="s">
        <v>358</v>
      </c>
      <c r="G4036" s="3" t="s">
        <v>65</v>
      </c>
      <c r="H4036" s="2" t="s">
        <v>20</v>
      </c>
      <c r="I4036" s="2" t="s">
        <v>8632</v>
      </c>
      <c r="J4036" s="3" t="str">
        <f>HYPERLINK("https://www.boe.es/gazeta/dias/1813/05/27/pdfs/GRE-1813-65.pdf#page=1","Abrir facsímil")</f>
        <v>Abrir facsímil</v>
      </c>
      <c r="K4036" s="3" t="s">
        <v>22</v>
      </c>
    </row>
    <row r="4037" spans="1:11" ht="42" customHeight="1">
      <c r="A4037" s="2" t="s">
        <v>8633</v>
      </c>
      <c r="B4037" s="2" t="s">
        <v>8633</v>
      </c>
      <c r="C4037" s="2" t="s">
        <v>16</v>
      </c>
      <c r="D4037" s="2" t="s">
        <v>17</v>
      </c>
      <c r="E4037" s="5">
        <v>-31474</v>
      </c>
      <c r="F4037" s="3" t="s">
        <v>130</v>
      </c>
      <c r="G4037" s="3" t="s">
        <v>58</v>
      </c>
      <c r="H4037" s="2" t="s">
        <v>20</v>
      </c>
      <c r="I4037" s="2" t="s">
        <v>8634</v>
      </c>
      <c r="J4037" s="3" t="str">
        <f>HYPERLINK("https://www.boe.es/gazeta/dias/1813/10/28/pdfs/GRE-1813-141.pdf#page=2","Abrir facsímil")</f>
        <v>Abrir facsímil</v>
      </c>
      <c r="K4037" s="3" t="s">
        <v>22</v>
      </c>
    </row>
    <row r="4038" spans="1:11" ht="42" customHeight="1">
      <c r="A4038" s="2" t="s">
        <v>8635</v>
      </c>
      <c r="B4038" s="2" t="s">
        <v>8635</v>
      </c>
      <c r="C4038" s="2" t="s">
        <v>16</v>
      </c>
      <c r="D4038" s="2" t="s">
        <v>17</v>
      </c>
      <c r="E4038" s="5">
        <v>-31458</v>
      </c>
      <c r="F4038" s="3" t="s">
        <v>1171</v>
      </c>
      <c r="G4038" s="3" t="s">
        <v>58</v>
      </c>
      <c r="H4038" s="2" t="s">
        <v>20</v>
      </c>
      <c r="I4038" s="2" t="s">
        <v>8636</v>
      </c>
      <c r="J4038" s="3" t="str">
        <f>HYPERLINK("https://www.boe.es/gazeta/dias/1813/11/13/pdfs/GRE-1813-149.pdf#page=2","Abrir facsímil")</f>
        <v>Abrir facsímil</v>
      </c>
      <c r="K4038" s="3" t="s">
        <v>22</v>
      </c>
    </row>
    <row r="4039" spans="1:11" ht="42" customHeight="1">
      <c r="A4039" s="2" t="s">
        <v>8637</v>
      </c>
      <c r="B4039" s="2" t="s">
        <v>8637</v>
      </c>
      <c r="C4039" s="2" t="s">
        <v>16</v>
      </c>
      <c r="D4039" s="2" t="s">
        <v>17</v>
      </c>
      <c r="E4039" s="5">
        <v>-31726</v>
      </c>
      <c r="F4039" s="3" t="s">
        <v>533</v>
      </c>
      <c r="G4039" s="3" t="s">
        <v>1377</v>
      </c>
      <c r="H4039" s="2" t="s">
        <v>20</v>
      </c>
      <c r="I4039" s="2" t="s">
        <v>8638</v>
      </c>
      <c r="J4039" s="3" t="str">
        <f>HYPERLINK("https://www.boe.es/gazeta/dias/1813/02/18/pdfs/GRE-1813-21.pdf#page=3","Abrir facsímil")</f>
        <v>Abrir facsímil</v>
      </c>
      <c r="K4039" s="3" t="s">
        <v>22</v>
      </c>
    </row>
    <row r="4040" spans="1:11" ht="42" customHeight="1">
      <c r="A4040" s="2" t="s">
        <v>8637</v>
      </c>
      <c r="B4040" s="2" t="s">
        <v>8637</v>
      </c>
      <c r="C4040" s="2" t="s">
        <v>16</v>
      </c>
      <c r="D4040" s="2" t="s">
        <v>17</v>
      </c>
      <c r="E4040" s="5">
        <v>-31725</v>
      </c>
      <c r="F4040" s="3" t="s">
        <v>3928</v>
      </c>
      <c r="G4040" s="3" t="s">
        <v>65</v>
      </c>
      <c r="H4040" s="2" t="s">
        <v>20</v>
      </c>
      <c r="I4040" s="2" t="s">
        <v>8639</v>
      </c>
      <c r="J4040" s="3" t="str">
        <f>HYPERLINK("https://www.boe.es/gazeta/dias/1813/02/19/pdfs/GMD-1813-50.pdf#page=1","Abrir facsímil")</f>
        <v>Abrir facsímil</v>
      </c>
      <c r="K4040" s="3" t="s">
        <v>22</v>
      </c>
    </row>
    <row r="4041" spans="1:11" ht="42" customHeight="1">
      <c r="A4041" s="2" t="s">
        <v>8637</v>
      </c>
      <c r="B4041" s="2" t="s">
        <v>8637</v>
      </c>
      <c r="C4041" s="2" t="s">
        <v>16</v>
      </c>
      <c r="D4041" s="2" t="s">
        <v>17</v>
      </c>
      <c r="E4041" s="5">
        <v>-31635</v>
      </c>
      <c r="F4041" s="3" t="s">
        <v>8640</v>
      </c>
      <c r="G4041" s="3" t="s">
        <v>19</v>
      </c>
      <c r="H4041" s="2" t="s">
        <v>20</v>
      </c>
      <c r="I4041" s="2" t="s">
        <v>8641</v>
      </c>
      <c r="J4041" s="3" t="str">
        <f>HYPERLINK("https://www.boe.es/gazeta/dias/1813/05/20/pdfs/GMD-1813-140.pdf#page=4","Abrir facsímil")</f>
        <v>Abrir facsímil</v>
      </c>
      <c r="K4041" s="3" t="s">
        <v>22</v>
      </c>
    </row>
    <row r="4042" spans="1:11" ht="42" customHeight="1">
      <c r="A4042" s="2" t="s">
        <v>8637</v>
      </c>
      <c r="B4042" s="2" t="s">
        <v>8637</v>
      </c>
      <c r="C4042" s="2" t="s">
        <v>16</v>
      </c>
      <c r="D4042" s="2" t="s">
        <v>17</v>
      </c>
      <c r="E4042" s="5">
        <v>-31634</v>
      </c>
      <c r="F4042" s="3" t="s">
        <v>8642</v>
      </c>
      <c r="G4042" s="3" t="s">
        <v>270</v>
      </c>
      <c r="H4042" s="2" t="s">
        <v>20</v>
      </c>
      <c r="I4042" s="2" t="s">
        <v>8643</v>
      </c>
      <c r="J4042" s="3" t="str">
        <f>HYPERLINK("https://www.boe.es/gazeta/dias/1813/05/21/pdfs/GMD-1813-141.pdf#page=2","Abrir facsímil")</f>
        <v>Abrir facsímil</v>
      </c>
      <c r="K4042" s="3" t="s">
        <v>22</v>
      </c>
    </row>
    <row r="4043" spans="1:11" ht="42" customHeight="1">
      <c r="A4043" s="2" t="s">
        <v>8637</v>
      </c>
      <c r="B4043" s="2" t="s">
        <v>8637</v>
      </c>
      <c r="C4043" s="2" t="s">
        <v>16</v>
      </c>
      <c r="D4043" s="2" t="s">
        <v>17</v>
      </c>
      <c r="E4043" s="5">
        <v>-31631</v>
      </c>
      <c r="F4043" s="3" t="s">
        <v>2792</v>
      </c>
      <c r="G4043" s="3" t="s">
        <v>58</v>
      </c>
      <c r="H4043" s="2" t="s">
        <v>20</v>
      </c>
      <c r="I4043" s="2" t="s">
        <v>8644</v>
      </c>
      <c r="J4043" s="3" t="str">
        <f>HYPERLINK("https://www.boe.es/gazeta/dias/1813/05/24/pdfs/GMD-1813-144.pdf#page=2","Abrir facsímil")</f>
        <v>Abrir facsímil</v>
      </c>
      <c r="K4043" s="3" t="s">
        <v>22</v>
      </c>
    </row>
    <row r="4044" spans="1:11" ht="42" customHeight="1">
      <c r="A4044" s="2" t="s">
        <v>8637</v>
      </c>
      <c r="B4044" s="2" t="s">
        <v>8637</v>
      </c>
      <c r="C4044" s="2" t="s">
        <v>16</v>
      </c>
      <c r="D4044" s="2" t="s">
        <v>17</v>
      </c>
      <c r="E4044" s="5">
        <v>-31614</v>
      </c>
      <c r="F4044" s="3" t="s">
        <v>498</v>
      </c>
      <c r="G4044" s="3" t="s">
        <v>82</v>
      </c>
      <c r="H4044" s="2" t="s">
        <v>20</v>
      </c>
      <c r="I4044" s="2" t="s">
        <v>8645</v>
      </c>
      <c r="J4044" s="3" t="str">
        <f>HYPERLINK("https://www.boe.es/gazeta/dias/1813/06/10/pdfs/GRE-1813-72.pdf#page=5","Abrir facsímil")</f>
        <v>Abrir facsímil</v>
      </c>
      <c r="K4044" s="3" t="s">
        <v>22</v>
      </c>
    </row>
    <row r="4045" spans="1:11" ht="42" customHeight="1">
      <c r="A4045" s="2" t="s">
        <v>8637</v>
      </c>
      <c r="B4045" s="2" t="s">
        <v>8637</v>
      </c>
      <c r="C4045" s="2" t="s">
        <v>16</v>
      </c>
      <c r="D4045" s="2" t="s">
        <v>17</v>
      </c>
      <c r="E4045" s="5">
        <v>-31606</v>
      </c>
      <c r="F4045" s="3" t="s">
        <v>124</v>
      </c>
      <c r="G4045" s="3" t="s">
        <v>58</v>
      </c>
      <c r="H4045" s="2" t="s">
        <v>20</v>
      </c>
      <c r="I4045" s="2" t="s">
        <v>8646</v>
      </c>
      <c r="J4045" s="3" t="str">
        <f>HYPERLINK("https://www.boe.es/gazeta/dias/1813/06/18/pdfs/GMR-1813-7.pdf#page=2","Abrir facsímil")</f>
        <v>Abrir facsímil</v>
      </c>
      <c r="K4045" s="3" t="s">
        <v>22</v>
      </c>
    </row>
    <row r="4046" spans="1:11" ht="42" customHeight="1">
      <c r="A4046" s="2" t="s">
        <v>8637</v>
      </c>
      <c r="B4046" s="2" t="s">
        <v>8637</v>
      </c>
      <c r="C4046" s="2" t="s">
        <v>16</v>
      </c>
      <c r="D4046" s="2" t="s">
        <v>17</v>
      </c>
      <c r="E4046" s="5">
        <v>-31602</v>
      </c>
      <c r="F4046" s="3" t="s">
        <v>4545</v>
      </c>
      <c r="G4046" s="3" t="s">
        <v>54</v>
      </c>
      <c r="H4046" s="2" t="s">
        <v>20</v>
      </c>
      <c r="I4046" s="2" t="s">
        <v>8647</v>
      </c>
      <c r="J4046" s="3" t="str">
        <f>HYPERLINK("https://www.boe.es/gazeta/dias/1813/06/22/pdfs/GRE-1813-77.pdf#page=3","Abrir facsímil")</f>
        <v>Abrir facsímil</v>
      </c>
      <c r="K4046" s="3" t="s">
        <v>22</v>
      </c>
    </row>
    <row r="4047" spans="1:11" ht="42" customHeight="1">
      <c r="A4047" s="2" t="s">
        <v>8637</v>
      </c>
      <c r="B4047" s="2" t="s">
        <v>8637</v>
      </c>
      <c r="C4047" s="2" t="s">
        <v>16</v>
      </c>
      <c r="D4047" s="2" t="s">
        <v>17</v>
      </c>
      <c r="E4047" s="5">
        <v>-31600</v>
      </c>
      <c r="F4047" s="3" t="s">
        <v>2121</v>
      </c>
      <c r="G4047" s="3" t="s">
        <v>65</v>
      </c>
      <c r="H4047" s="2" t="s">
        <v>20</v>
      </c>
      <c r="I4047" s="2" t="s">
        <v>8648</v>
      </c>
      <c r="J4047" s="3" t="str">
        <f>HYPERLINK("https://www.boe.es/gazeta/dias/1813/06/24/pdfs/GRE-1813-78.pdf#page=1","Abrir facsímil")</f>
        <v>Abrir facsímil</v>
      </c>
      <c r="K4047" s="3" t="s">
        <v>22</v>
      </c>
    </row>
    <row r="4048" spans="1:11" ht="42" customHeight="1">
      <c r="A4048" s="2" t="s">
        <v>8637</v>
      </c>
      <c r="B4048" s="2" t="s">
        <v>8637</v>
      </c>
      <c r="C4048" s="2" t="s">
        <v>16</v>
      </c>
      <c r="D4048" s="2" t="s">
        <v>17</v>
      </c>
      <c r="E4048" s="5">
        <v>-31599</v>
      </c>
      <c r="F4048" s="3" t="s">
        <v>2470</v>
      </c>
      <c r="G4048" s="3" t="s">
        <v>58</v>
      </c>
      <c r="H4048" s="2" t="s">
        <v>20</v>
      </c>
      <c r="I4048" s="2" t="s">
        <v>8649</v>
      </c>
      <c r="J4048" s="3" t="str">
        <f>HYPERLINK("https://www.boe.es/gazeta/dias/1813/06/25/pdfs/GMR-1813-11.pdf#page=2","Abrir facsímil")</f>
        <v>Abrir facsímil</v>
      </c>
      <c r="K4048" s="3" t="s">
        <v>22</v>
      </c>
    </row>
    <row r="4049" spans="1:11" ht="42" customHeight="1">
      <c r="A4049" s="2" t="s">
        <v>8637</v>
      </c>
      <c r="B4049" s="2" t="s">
        <v>8637</v>
      </c>
      <c r="C4049" s="2" t="s">
        <v>16</v>
      </c>
      <c r="D4049" s="2" t="s">
        <v>17</v>
      </c>
      <c r="E4049" s="5">
        <v>-31598</v>
      </c>
      <c r="F4049" s="3" t="s">
        <v>286</v>
      </c>
      <c r="G4049" s="3" t="s">
        <v>54</v>
      </c>
      <c r="H4049" s="2" t="s">
        <v>20</v>
      </c>
      <c r="I4049" s="2" t="s">
        <v>8650</v>
      </c>
      <c r="J4049" s="3" t="str">
        <f>HYPERLINK("https://www.boe.es/gazeta/dias/1813/06/26/pdfs/GRE-1813-79.pdf#page=3","Abrir facsímil")</f>
        <v>Abrir facsímil</v>
      </c>
      <c r="K4049" s="3" t="s">
        <v>22</v>
      </c>
    </row>
    <row r="4050" spans="1:11" ht="42" customHeight="1">
      <c r="A4050" s="2" t="s">
        <v>8637</v>
      </c>
      <c r="B4050" s="2" t="s">
        <v>8637</v>
      </c>
      <c r="C4050" s="2" t="s">
        <v>16</v>
      </c>
      <c r="D4050" s="2" t="s">
        <v>17</v>
      </c>
      <c r="E4050" s="5">
        <v>-31598</v>
      </c>
      <c r="F4050" s="3" t="s">
        <v>286</v>
      </c>
      <c r="G4050" s="3" t="s">
        <v>19</v>
      </c>
      <c r="H4050" s="2" t="s">
        <v>20</v>
      </c>
      <c r="I4050" s="2" t="s">
        <v>8651</v>
      </c>
      <c r="J4050" s="3" t="str">
        <f>HYPERLINK("https://www.boe.es/gazeta/dias/1813/06/26/pdfs/GRE-1813-79.pdf#page=4","Abrir facsímil")</f>
        <v>Abrir facsímil</v>
      </c>
      <c r="K4050" s="3" t="s">
        <v>22</v>
      </c>
    </row>
    <row r="4051" spans="1:11" ht="42" customHeight="1">
      <c r="A4051" s="2" t="s">
        <v>8637</v>
      </c>
      <c r="B4051" s="2" t="s">
        <v>8637</v>
      </c>
      <c r="C4051" s="2" t="s">
        <v>16</v>
      </c>
      <c r="D4051" s="2" t="s">
        <v>17</v>
      </c>
      <c r="E4051" s="5">
        <v>-31591</v>
      </c>
      <c r="F4051" s="3" t="s">
        <v>2123</v>
      </c>
      <c r="G4051" s="3" t="s">
        <v>58</v>
      </c>
      <c r="H4051" s="2" t="s">
        <v>20</v>
      </c>
      <c r="I4051" s="2" t="s">
        <v>8652</v>
      </c>
      <c r="J4051" s="3" t="str">
        <f>HYPERLINK("https://www.boe.es/gazeta/dias/1813/07/03/pdfs/GRE-1813-83.pdf#page=2","Abrir facsímil")</f>
        <v>Abrir facsímil</v>
      </c>
      <c r="K4051" s="3" t="s">
        <v>22</v>
      </c>
    </row>
    <row r="4052" spans="1:11" ht="42" customHeight="1">
      <c r="A4052" s="2" t="s">
        <v>8637</v>
      </c>
      <c r="B4052" s="2" t="s">
        <v>8637</v>
      </c>
      <c r="C4052" s="2" t="s">
        <v>16</v>
      </c>
      <c r="D4052" s="2" t="s">
        <v>17</v>
      </c>
      <c r="E4052" s="5">
        <v>-31585</v>
      </c>
      <c r="F4052" s="3" t="s">
        <v>177</v>
      </c>
      <c r="G4052" s="3" t="s">
        <v>54</v>
      </c>
      <c r="H4052" s="2" t="s">
        <v>20</v>
      </c>
      <c r="I4052" s="2" t="s">
        <v>8653</v>
      </c>
      <c r="J4052" s="3" t="str">
        <f>HYPERLINK("https://www.boe.es/gazeta/dias/1813/07/09/pdfs/GMR-1813-16.pdf#page=3","Abrir facsímil")</f>
        <v>Abrir facsímil</v>
      </c>
      <c r="K4052" s="3" t="s">
        <v>22</v>
      </c>
    </row>
    <row r="4053" spans="1:11" ht="42" customHeight="1">
      <c r="A4053" s="2" t="s">
        <v>8637</v>
      </c>
      <c r="B4053" s="2" t="s">
        <v>8637</v>
      </c>
      <c r="C4053" s="2" t="s">
        <v>16</v>
      </c>
      <c r="D4053" s="2" t="s">
        <v>17</v>
      </c>
      <c r="E4053" s="5">
        <v>-31585</v>
      </c>
      <c r="F4053" s="3" t="s">
        <v>177</v>
      </c>
      <c r="G4053" s="3" t="s">
        <v>19</v>
      </c>
      <c r="H4053" s="2" t="s">
        <v>20</v>
      </c>
      <c r="I4053" s="2" t="s">
        <v>8654</v>
      </c>
      <c r="J4053" s="3" t="str">
        <f>HYPERLINK("https://www.boe.es/gazeta/dias/1813/07/09/pdfs/GMR-1813-16.pdf#page=4","Abrir facsímil")</f>
        <v>Abrir facsímil</v>
      </c>
      <c r="K4053" s="3" t="s">
        <v>22</v>
      </c>
    </row>
    <row r="4054" spans="1:11" ht="42" customHeight="1">
      <c r="A4054" s="2" t="s">
        <v>8637</v>
      </c>
      <c r="B4054" s="2" t="s">
        <v>8637</v>
      </c>
      <c r="C4054" s="2" t="s">
        <v>16</v>
      </c>
      <c r="D4054" s="2" t="s">
        <v>97</v>
      </c>
      <c r="E4054" s="5">
        <v>-31499</v>
      </c>
      <c r="F4054" s="3" t="s">
        <v>220</v>
      </c>
      <c r="G4054" s="3" t="s">
        <v>258</v>
      </c>
      <c r="H4054" s="2" t="s">
        <v>20</v>
      </c>
      <c r="I4054" s="2" t="s">
        <v>8655</v>
      </c>
      <c r="J4054" s="3" t="str">
        <f>HYPERLINK("https://www.boe.es/gazeta/dias/1813/10/03/pdfs/GMR-1813-53E.pdf#page=12","Abrir facsímil")</f>
        <v>Abrir facsímil</v>
      </c>
      <c r="K4054" s="3" t="s">
        <v>22</v>
      </c>
    </row>
    <row r="4055" spans="1:11" ht="42" customHeight="1">
      <c r="A4055" s="2" t="s">
        <v>8637</v>
      </c>
      <c r="B4055" s="2" t="s">
        <v>8637</v>
      </c>
      <c r="C4055" s="2" t="s">
        <v>16</v>
      </c>
      <c r="D4055" s="2" t="s">
        <v>17</v>
      </c>
      <c r="E4055" s="5">
        <v>-31483</v>
      </c>
      <c r="F4055" s="3" t="s">
        <v>1292</v>
      </c>
      <c r="G4055" s="3" t="s">
        <v>1476</v>
      </c>
      <c r="H4055" s="2" t="s">
        <v>20</v>
      </c>
      <c r="I4055" s="2" t="s">
        <v>8656</v>
      </c>
      <c r="J4055" s="3" t="str">
        <f>HYPERLINK("https://www.boe.es/gazeta/dias/1813/10/19/pdfs/GMR-1813-61.pdf#page=6","Abrir facsímil")</f>
        <v>Abrir facsímil</v>
      </c>
      <c r="K4055" s="3" t="s">
        <v>22</v>
      </c>
    </row>
    <row r="4056" spans="1:11" ht="42" customHeight="1">
      <c r="A4056" s="2" t="s">
        <v>8637</v>
      </c>
      <c r="B4056" s="2" t="s">
        <v>8637</v>
      </c>
      <c r="C4056" s="2" t="s">
        <v>16</v>
      </c>
      <c r="D4056" s="2" t="s">
        <v>17</v>
      </c>
      <c r="E4056" s="5">
        <v>-31481</v>
      </c>
      <c r="F4056" s="3" t="s">
        <v>380</v>
      </c>
      <c r="G4056" s="3" t="s">
        <v>95</v>
      </c>
      <c r="H4056" s="2" t="s">
        <v>20</v>
      </c>
      <c r="I4056" s="2" t="s">
        <v>8657</v>
      </c>
      <c r="J4056" s="3" t="str">
        <f>HYPERLINK("https://www.boe.es/gazeta/dias/1813/10/21/pdfs/GRE-1813-137.pdf#page=6","Abrir facsímil")</f>
        <v>Abrir facsímil</v>
      </c>
      <c r="K4056" s="3" t="s">
        <v>22</v>
      </c>
    </row>
    <row r="4057" spans="1:11" ht="42" customHeight="1">
      <c r="A4057" s="2" t="s">
        <v>8637</v>
      </c>
      <c r="B4057" s="2" t="s">
        <v>8637</v>
      </c>
      <c r="C4057" s="2" t="s">
        <v>16</v>
      </c>
      <c r="D4057" s="2" t="s">
        <v>17</v>
      </c>
      <c r="E4057" s="5">
        <v>-31448</v>
      </c>
      <c r="F4057" s="3" t="s">
        <v>57</v>
      </c>
      <c r="G4057" s="3" t="s">
        <v>54</v>
      </c>
      <c r="H4057" s="2" t="s">
        <v>20</v>
      </c>
      <c r="I4057" s="2" t="s">
        <v>8658</v>
      </c>
      <c r="J4057" s="3" t="str">
        <f>HYPERLINK("https://www.boe.es/gazeta/dias/1813/11/23/pdfs/GRE-1813-153.pdf#page=3","Abrir facsímil")</f>
        <v>Abrir facsímil</v>
      </c>
      <c r="K4057" s="3" t="s">
        <v>22</v>
      </c>
    </row>
    <row r="4058" spans="1:11" ht="42" customHeight="1">
      <c r="A4058" s="2" t="s">
        <v>8659</v>
      </c>
      <c r="B4058" s="2" t="s">
        <v>8659</v>
      </c>
      <c r="C4058" s="2" t="s">
        <v>16</v>
      </c>
      <c r="D4058" s="2" t="s">
        <v>17</v>
      </c>
      <c r="E4058" s="5">
        <v>-31591</v>
      </c>
      <c r="F4058" s="3" t="s">
        <v>2123</v>
      </c>
      <c r="G4058" s="3" t="s">
        <v>65</v>
      </c>
      <c r="H4058" s="2" t="s">
        <v>20</v>
      </c>
      <c r="I4058" s="2" t="s">
        <v>8660</v>
      </c>
      <c r="J4058" s="3" t="str">
        <f>HYPERLINK("https://www.boe.es/gazeta/dias/1813/07/03/pdfs/GRE-1813-83.pdf#page=1","Abrir facsímil")</f>
        <v>Abrir facsímil</v>
      </c>
      <c r="K4058" s="3" t="s">
        <v>22</v>
      </c>
    </row>
    <row r="4059" spans="1:11" ht="42" customHeight="1">
      <c r="A4059" s="2" t="s">
        <v>8661</v>
      </c>
      <c r="B4059" s="2" t="s">
        <v>8661</v>
      </c>
      <c r="C4059" s="2" t="s">
        <v>16</v>
      </c>
      <c r="D4059" s="2" t="s">
        <v>17</v>
      </c>
      <c r="E4059" s="5">
        <v>-31448</v>
      </c>
      <c r="F4059" s="3" t="s">
        <v>57</v>
      </c>
      <c r="G4059" s="3" t="s">
        <v>106</v>
      </c>
      <c r="H4059" s="2" t="s">
        <v>20</v>
      </c>
      <c r="I4059" s="2" t="s">
        <v>8662</v>
      </c>
      <c r="J4059" s="3" t="str">
        <f>HYPERLINK("https://www.boe.es/gazeta/dias/1813/11/23/pdfs/GRE-1813-153.pdf#page=1","Abrir facsímil")</f>
        <v>Abrir facsímil</v>
      </c>
      <c r="K4059" s="3" t="s">
        <v>22</v>
      </c>
    </row>
    <row r="4060" spans="1:11" ht="42" customHeight="1">
      <c r="A4060" s="2" t="s">
        <v>8661</v>
      </c>
      <c r="B4060" s="2" t="s">
        <v>8661</v>
      </c>
      <c r="C4060" s="2" t="s">
        <v>16</v>
      </c>
      <c r="D4060" s="2" t="s">
        <v>17</v>
      </c>
      <c r="E4060" s="5">
        <v>-31448</v>
      </c>
      <c r="F4060" s="3" t="s">
        <v>57</v>
      </c>
      <c r="G4060" s="3" t="s">
        <v>54</v>
      </c>
      <c r="H4060" s="2" t="s">
        <v>20</v>
      </c>
      <c r="I4060" s="2" t="s">
        <v>8663</v>
      </c>
      <c r="J4060" s="3" t="str">
        <f>HYPERLINK("https://www.boe.es/gazeta/dias/1813/11/23/pdfs/GRE-1813-153.pdf#page=3","Abrir facsímil")</f>
        <v>Abrir facsímil</v>
      </c>
      <c r="K4060" s="3" t="s">
        <v>22</v>
      </c>
    </row>
    <row r="4061" spans="1:11" ht="42" customHeight="1">
      <c r="A4061" s="2" t="s">
        <v>8661</v>
      </c>
      <c r="B4061" s="2" t="s">
        <v>8661</v>
      </c>
      <c r="C4061" s="2" t="s">
        <v>16</v>
      </c>
      <c r="D4061" s="2" t="s">
        <v>97</v>
      </c>
      <c r="E4061" s="5">
        <v>-31446</v>
      </c>
      <c r="F4061" s="3" t="s">
        <v>1877</v>
      </c>
      <c r="G4061" s="3" t="s">
        <v>19</v>
      </c>
      <c r="H4061" s="2" t="s">
        <v>20</v>
      </c>
      <c r="I4061" s="2" t="s">
        <v>8664</v>
      </c>
      <c r="J4061" s="3" t="str">
        <f>HYPERLINK("https://www.boe.es/gazeta/dias/1813/11/25/pdfs/GRE-1813-155E.pdf#page=4","Abrir facsímil")</f>
        <v>Abrir facsímil</v>
      </c>
      <c r="K4061" s="3" t="s">
        <v>22</v>
      </c>
    </row>
    <row r="4062" spans="1:11" ht="42" customHeight="1">
      <c r="A4062" s="2" t="s">
        <v>8665</v>
      </c>
      <c r="B4062" s="2" t="s">
        <v>8665</v>
      </c>
      <c r="C4062" s="2" t="s">
        <v>16</v>
      </c>
      <c r="D4062" s="2" t="s">
        <v>17</v>
      </c>
      <c r="E4062" s="5">
        <v>-31423</v>
      </c>
      <c r="F4062" s="3" t="s">
        <v>340</v>
      </c>
      <c r="G4062" s="3" t="s">
        <v>95</v>
      </c>
      <c r="H4062" s="2" t="s">
        <v>20</v>
      </c>
      <c r="I4062" s="2" t="s">
        <v>8666</v>
      </c>
      <c r="J4062" s="3" t="str">
        <f>HYPERLINK("https://www.boe.es/gazeta/dias/1813/12/18/pdfs/GRE-1813-166.pdf#page=6","Abrir facsímil")</f>
        <v>Abrir facsímil</v>
      </c>
      <c r="K4062" s="3" t="s">
        <v>22</v>
      </c>
    </row>
    <row r="4063" spans="1:11" ht="42" customHeight="1">
      <c r="A4063" s="2" t="s">
        <v>8667</v>
      </c>
      <c r="B4063" s="2" t="s">
        <v>8667</v>
      </c>
      <c r="C4063" s="2" t="s">
        <v>16</v>
      </c>
      <c r="D4063" s="2" t="s">
        <v>17</v>
      </c>
      <c r="E4063" s="5">
        <v>-31474</v>
      </c>
      <c r="F4063" s="3" t="s">
        <v>130</v>
      </c>
      <c r="G4063" s="3" t="s">
        <v>54</v>
      </c>
      <c r="H4063" s="2" t="s">
        <v>20</v>
      </c>
      <c r="I4063" s="2" t="s">
        <v>8668</v>
      </c>
      <c r="J4063" s="3" t="str">
        <f>HYPERLINK("https://www.boe.es/gazeta/dias/1813/10/28/pdfs/GRE-1813-141.pdf#page=3","Abrir facsímil")</f>
        <v>Abrir facsímil</v>
      </c>
      <c r="K4063" s="3" t="s">
        <v>22</v>
      </c>
    </row>
    <row r="4064" spans="1:11" ht="42" customHeight="1">
      <c r="A4064" s="2" t="s">
        <v>8669</v>
      </c>
      <c r="B4064" s="2" t="s">
        <v>8669</v>
      </c>
      <c r="C4064" s="2" t="s">
        <v>16</v>
      </c>
      <c r="D4064" s="2" t="s">
        <v>17</v>
      </c>
      <c r="E4064" s="5">
        <v>-31444</v>
      </c>
      <c r="F4064" s="3" t="s">
        <v>389</v>
      </c>
      <c r="G4064" s="3" t="s">
        <v>65</v>
      </c>
      <c r="H4064" s="2" t="s">
        <v>20</v>
      </c>
      <c r="I4064" s="2" t="s">
        <v>8670</v>
      </c>
      <c r="J4064" s="3" t="str">
        <f>HYPERLINK("https://www.boe.es/gazeta/dias/1813/11/27/pdfs/GMR-1813-80.pdf#page=1","Abrir facsímil")</f>
        <v>Abrir facsímil</v>
      </c>
      <c r="K4064" s="3" t="s">
        <v>22</v>
      </c>
    </row>
    <row r="4065" spans="1:11" ht="42" customHeight="1">
      <c r="A4065" s="2" t="s">
        <v>8671</v>
      </c>
      <c r="B4065" s="2" t="s">
        <v>8671</v>
      </c>
      <c r="C4065" s="2" t="s">
        <v>16</v>
      </c>
      <c r="D4065" s="2" t="s">
        <v>17</v>
      </c>
      <c r="E4065" s="5">
        <v>-31595</v>
      </c>
      <c r="F4065" s="3" t="s">
        <v>1319</v>
      </c>
      <c r="G4065" s="3" t="s">
        <v>19</v>
      </c>
      <c r="H4065" s="2" t="s">
        <v>20</v>
      </c>
      <c r="I4065" s="2" t="s">
        <v>8672</v>
      </c>
      <c r="J4065" s="3" t="str">
        <f>HYPERLINK("https://www.boe.es/gazeta/dias/1813/06/29/pdfs/GRE-1813-80.pdf#page=4","Abrir facsímil")</f>
        <v>Abrir facsímil</v>
      </c>
      <c r="K4065" s="3" t="s">
        <v>22</v>
      </c>
    </row>
    <row r="4066" spans="1:11" ht="42" customHeight="1">
      <c r="A4066" s="2" t="s">
        <v>8673</v>
      </c>
      <c r="B4066" s="2" t="s">
        <v>8673</v>
      </c>
      <c r="C4066" s="2" t="s">
        <v>16</v>
      </c>
      <c r="D4066" s="2" t="s">
        <v>17</v>
      </c>
      <c r="E4066" s="5">
        <v>-31585</v>
      </c>
      <c r="F4066" s="3" t="s">
        <v>177</v>
      </c>
      <c r="G4066" s="3" t="s">
        <v>58</v>
      </c>
      <c r="H4066" s="2" t="s">
        <v>20</v>
      </c>
      <c r="I4066" s="2" t="s">
        <v>8674</v>
      </c>
      <c r="J4066" s="3" t="str">
        <f>HYPERLINK("https://www.boe.es/gazeta/dias/1813/07/09/pdfs/GMR-1813-16.pdf#page=2","Abrir facsímil")</f>
        <v>Abrir facsímil</v>
      </c>
      <c r="K4066" s="3" t="s">
        <v>22</v>
      </c>
    </row>
    <row r="4067" spans="1:11" ht="42" customHeight="1">
      <c r="A4067" s="2" t="s">
        <v>8675</v>
      </c>
      <c r="B4067" s="2" t="s">
        <v>8675</v>
      </c>
      <c r="C4067" s="2" t="s">
        <v>16</v>
      </c>
      <c r="D4067" s="2" t="s">
        <v>17</v>
      </c>
      <c r="E4067" s="5">
        <v>-31462</v>
      </c>
      <c r="F4067" s="3" t="s">
        <v>542</v>
      </c>
      <c r="G4067" s="3" t="s">
        <v>54</v>
      </c>
      <c r="H4067" s="2" t="s">
        <v>20</v>
      </c>
      <c r="I4067" s="2" t="s">
        <v>8676</v>
      </c>
      <c r="J4067" s="3" t="str">
        <f>HYPERLINK("https://www.boe.es/gazeta/dias/1813/11/09/pdfs/GRE-1813-146.pdf#page=3","Abrir facsímil")</f>
        <v>Abrir facsímil</v>
      </c>
      <c r="K4067" s="3" t="s">
        <v>22</v>
      </c>
    </row>
    <row r="4068" spans="1:11" ht="42" customHeight="1">
      <c r="A4068" s="2" t="s">
        <v>8677</v>
      </c>
      <c r="B4068" s="2" t="s">
        <v>8677</v>
      </c>
      <c r="C4068" s="2" t="s">
        <v>16</v>
      </c>
      <c r="D4068" s="2" t="s">
        <v>17</v>
      </c>
      <c r="E4068" s="5">
        <v>-31728</v>
      </c>
      <c r="F4068" s="3" t="s">
        <v>1434</v>
      </c>
      <c r="G4068" s="3" t="s">
        <v>54</v>
      </c>
      <c r="H4068" s="2" t="s">
        <v>20</v>
      </c>
      <c r="I4068" s="2" t="s">
        <v>8678</v>
      </c>
      <c r="J4068" s="3" t="str">
        <f>HYPERLINK("https://www.boe.es/gazeta/dias/1813/02/16/pdfs/GRE-1813-20.pdf#page=3","Abrir facsímil")</f>
        <v>Abrir facsímil</v>
      </c>
      <c r="K4068" s="3" t="s">
        <v>22</v>
      </c>
    </row>
    <row r="4069" spans="1:11" ht="42" customHeight="1">
      <c r="A4069" s="2" t="s">
        <v>8679</v>
      </c>
      <c r="B4069" s="2" t="s">
        <v>8679</v>
      </c>
      <c r="C4069" s="2" t="s">
        <v>16</v>
      </c>
      <c r="D4069" s="2" t="s">
        <v>17</v>
      </c>
      <c r="E4069" s="5">
        <v>-31731</v>
      </c>
      <c r="F4069" s="3" t="s">
        <v>866</v>
      </c>
      <c r="G4069" s="3" t="s">
        <v>54</v>
      </c>
      <c r="H4069" s="2" t="s">
        <v>20</v>
      </c>
      <c r="I4069" s="2" t="s">
        <v>8680</v>
      </c>
      <c r="J4069" s="3" t="str">
        <f>HYPERLINK("https://www.boe.es/gazeta/dias/1813/02/13/pdfs/GRE-1813-19.pdf#page=3","Abrir facsímil")</f>
        <v>Abrir facsímil</v>
      </c>
      <c r="K4069" s="3" t="s">
        <v>22</v>
      </c>
    </row>
    <row r="4070" spans="1:11" ht="42" customHeight="1">
      <c r="A4070" s="2" t="s">
        <v>8681</v>
      </c>
      <c r="B4070" s="2" t="s">
        <v>8681</v>
      </c>
      <c r="C4070" s="2" t="s">
        <v>25</v>
      </c>
      <c r="D4070" s="2" t="s">
        <v>26</v>
      </c>
      <c r="E4070" s="5">
        <v>-31532</v>
      </c>
      <c r="F4070" s="3" t="s">
        <v>1728</v>
      </c>
      <c r="G4070" s="3" t="s">
        <v>28</v>
      </c>
      <c r="H4070" s="2" t="s">
        <v>20</v>
      </c>
      <c r="I4070" s="2" t="s">
        <v>8682</v>
      </c>
      <c r="J4070" s="3" t="str">
        <f>HYPERLINK("https://www.boe.es/gazeta/dias/1813/08/31/pdfs/GMR-1813-35.pdf#page=8","Abrir facsímil")</f>
        <v>Abrir facsímil</v>
      </c>
      <c r="K4070" s="3" t="s">
        <v>22</v>
      </c>
    </row>
    <row r="4071" spans="1:11" ht="42" customHeight="1">
      <c r="A4071" s="2" t="s">
        <v>8683</v>
      </c>
      <c r="B4071" s="2" t="s">
        <v>8683</v>
      </c>
      <c r="C4071" s="2" t="s">
        <v>16</v>
      </c>
      <c r="D4071" s="2" t="s">
        <v>17</v>
      </c>
      <c r="E4071" s="5">
        <v>-31462</v>
      </c>
      <c r="F4071" s="3" t="s">
        <v>542</v>
      </c>
      <c r="G4071" s="3" t="s">
        <v>54</v>
      </c>
      <c r="H4071" s="2" t="s">
        <v>20</v>
      </c>
      <c r="I4071" s="2" t="s">
        <v>8684</v>
      </c>
      <c r="J4071" s="3" t="str">
        <f>HYPERLINK("https://www.boe.es/gazeta/dias/1813/11/09/pdfs/GRE-1813-146.pdf#page=3","Abrir facsímil")</f>
        <v>Abrir facsímil</v>
      </c>
      <c r="K4071" s="3" t="s">
        <v>22</v>
      </c>
    </row>
    <row r="4072" spans="1:11" ht="42" customHeight="1">
      <c r="A4072" s="2" t="s">
        <v>8685</v>
      </c>
      <c r="B4072" s="2" t="s">
        <v>8686</v>
      </c>
      <c r="C4072" s="2" t="s">
        <v>16</v>
      </c>
      <c r="D4072" s="2" t="s">
        <v>17</v>
      </c>
      <c r="E4072" s="5">
        <v>-31462</v>
      </c>
      <c r="F4072" s="3" t="s">
        <v>1028</v>
      </c>
      <c r="G4072" s="3" t="s">
        <v>58</v>
      </c>
      <c r="H4072" s="2" t="s">
        <v>20</v>
      </c>
      <c r="I4072" s="2" t="s">
        <v>8687</v>
      </c>
      <c r="J4072" s="3" t="str">
        <f>HYPERLINK("https://www.boe.es/gazeta/dias/1813/11/09/pdfs/GMR-1813-71.pdf#page=2","Abrir facsímil")</f>
        <v>Abrir facsímil</v>
      </c>
      <c r="K4072" s="3" t="s">
        <v>22</v>
      </c>
    </row>
    <row r="4073" spans="1:11" ht="42" customHeight="1">
      <c r="A4073" s="2" t="s">
        <v>8688</v>
      </c>
      <c r="B4073" s="2" t="s">
        <v>8688</v>
      </c>
      <c r="C4073" s="2" t="s">
        <v>187</v>
      </c>
      <c r="D4073" s="2" t="s">
        <v>26</v>
      </c>
      <c r="E4073" s="5">
        <v>-31681</v>
      </c>
      <c r="F4073" s="3" t="s">
        <v>925</v>
      </c>
      <c r="G4073" s="3" t="s">
        <v>65</v>
      </c>
      <c r="H4073" s="2" t="s">
        <v>20</v>
      </c>
      <c r="I4073" s="2" t="s">
        <v>8689</v>
      </c>
      <c r="J4073" s="3" t="str">
        <f>HYPERLINK("https://www.boe.es/gazeta/dias/1813/04/04/pdfs/GMD-1813-94.pdf#page=1","Abrir facsímil")</f>
        <v>Abrir facsímil</v>
      </c>
      <c r="K4073" s="3" t="s">
        <v>22</v>
      </c>
    </row>
    <row r="4074" spans="1:11" ht="42" customHeight="1">
      <c r="A4074" s="2" t="s">
        <v>8690</v>
      </c>
      <c r="B4074" s="2" t="s">
        <v>8690</v>
      </c>
      <c r="C4074" s="2" t="s">
        <v>187</v>
      </c>
      <c r="D4074" s="2" t="s">
        <v>26</v>
      </c>
      <c r="E4074" s="5">
        <v>-31681</v>
      </c>
      <c r="F4074" s="3" t="s">
        <v>925</v>
      </c>
      <c r="G4074" s="3" t="s">
        <v>65</v>
      </c>
      <c r="H4074" s="2" t="s">
        <v>20</v>
      </c>
      <c r="I4074" s="2" t="s">
        <v>8691</v>
      </c>
      <c r="J4074" s="3" t="str">
        <f>HYPERLINK("https://www.boe.es/gazeta/dias/1813/04/04/pdfs/GMD-1813-94.pdf#page=1","Abrir facsímil")</f>
        <v>Abrir facsímil</v>
      </c>
      <c r="K4074" s="3" t="s">
        <v>22</v>
      </c>
    </row>
    <row r="4075" spans="1:11" ht="42" customHeight="1">
      <c r="A4075" s="2" t="s">
        <v>8692</v>
      </c>
      <c r="B4075" s="2" t="s">
        <v>8692</v>
      </c>
      <c r="C4075" s="2" t="s">
        <v>16</v>
      </c>
      <c r="D4075" s="2" t="s">
        <v>17</v>
      </c>
      <c r="E4075" s="5">
        <v>-31497</v>
      </c>
      <c r="F4075" s="3" t="s">
        <v>223</v>
      </c>
      <c r="G4075" s="3" t="s">
        <v>28</v>
      </c>
      <c r="H4075" s="2" t="s">
        <v>20</v>
      </c>
      <c r="I4075" s="2" t="s">
        <v>8693</v>
      </c>
      <c r="J4075" s="3" t="str">
        <f>HYPERLINK("https://www.boe.es/gazeta/dias/1813/10/05/pdfs/GRE-1813-130.pdf#page=8","Abrir facsímil")</f>
        <v>Abrir facsímil</v>
      </c>
      <c r="K4075" s="3" t="s">
        <v>22</v>
      </c>
    </row>
    <row r="4076" spans="1:11" ht="42" customHeight="1">
      <c r="A4076" s="2" t="s">
        <v>8694</v>
      </c>
      <c r="B4076" s="2" t="s">
        <v>8694</v>
      </c>
      <c r="C4076" s="2" t="s">
        <v>16</v>
      </c>
      <c r="D4076" s="2" t="s">
        <v>17</v>
      </c>
      <c r="E4076" s="5">
        <v>-31731</v>
      </c>
      <c r="F4076" s="3" t="s">
        <v>866</v>
      </c>
      <c r="G4076" s="3" t="s">
        <v>8695</v>
      </c>
      <c r="H4076" s="2" t="s">
        <v>20</v>
      </c>
      <c r="I4076" s="2" t="s">
        <v>8696</v>
      </c>
      <c r="J4076" s="3" t="str">
        <f>HYPERLINK("https://www.boe.es/gazeta/dias/1813/02/13/pdfs/GRE-1813-19.pdf#page=2","Abrir facsímil")</f>
        <v>Abrir facsímil</v>
      </c>
      <c r="K4076" s="3" t="s">
        <v>22</v>
      </c>
    </row>
    <row r="4077" spans="1:11" ht="42" customHeight="1">
      <c r="A4077" s="2" t="s">
        <v>8697</v>
      </c>
      <c r="B4077" s="2" t="s">
        <v>8697</v>
      </c>
      <c r="C4077" s="2" t="s">
        <v>16</v>
      </c>
      <c r="D4077" s="2" t="s">
        <v>17</v>
      </c>
      <c r="E4077" s="5">
        <v>-31469</v>
      </c>
      <c r="F4077" s="3" t="s">
        <v>1452</v>
      </c>
      <c r="G4077" s="3" t="s">
        <v>19</v>
      </c>
      <c r="H4077" s="2" t="s">
        <v>20</v>
      </c>
      <c r="I4077" s="2" t="s">
        <v>8698</v>
      </c>
      <c r="J4077" s="3" t="str">
        <f>HYPERLINK("https://www.boe.es/gazeta/dias/1813/11/02/pdfs/GRE-1813-143.pdf#page=4","Abrir facsímil")</f>
        <v>Abrir facsímil</v>
      </c>
      <c r="K4077" s="3" t="s">
        <v>22</v>
      </c>
    </row>
    <row r="4078" spans="1:11" ht="42" customHeight="1">
      <c r="A4078" s="2" t="s">
        <v>8699</v>
      </c>
      <c r="B4078" s="2" t="s">
        <v>8699</v>
      </c>
      <c r="C4078" s="2" t="s">
        <v>16</v>
      </c>
      <c r="D4078" s="2" t="s">
        <v>17</v>
      </c>
      <c r="E4078" s="5">
        <v>-31469</v>
      </c>
      <c r="F4078" s="3" t="s">
        <v>1452</v>
      </c>
      <c r="G4078" s="3" t="s">
        <v>19</v>
      </c>
      <c r="H4078" s="2" t="s">
        <v>20</v>
      </c>
      <c r="I4078" s="2" t="s">
        <v>8700</v>
      </c>
      <c r="J4078" s="3" t="str">
        <f>HYPERLINK("https://www.boe.es/gazeta/dias/1813/11/02/pdfs/GRE-1813-143.pdf#page=4","Abrir facsímil")</f>
        <v>Abrir facsímil</v>
      </c>
      <c r="K4078" s="3" t="s">
        <v>22</v>
      </c>
    </row>
    <row r="4079" spans="1:11" ht="42" customHeight="1">
      <c r="A4079" s="2" t="s">
        <v>8701</v>
      </c>
      <c r="B4079" s="2" t="s">
        <v>8701</v>
      </c>
      <c r="C4079" s="2" t="s">
        <v>16</v>
      </c>
      <c r="D4079" s="2" t="s">
        <v>17</v>
      </c>
      <c r="E4079" s="5">
        <v>-31703</v>
      </c>
      <c r="F4079" s="3" t="s">
        <v>526</v>
      </c>
      <c r="G4079" s="3" t="s">
        <v>54</v>
      </c>
      <c r="H4079" s="2" t="s">
        <v>20</v>
      </c>
      <c r="I4079" s="2" t="s">
        <v>8702</v>
      </c>
      <c r="J4079" s="3" t="str">
        <f>HYPERLINK("https://www.boe.es/gazeta/dias/1813/03/13/pdfs/GMD-1813-72.pdf#page=3","Abrir facsímil")</f>
        <v>Abrir facsímil</v>
      </c>
      <c r="K4079" s="3" t="s">
        <v>22</v>
      </c>
    </row>
    <row r="4080" spans="1:11" ht="42" customHeight="1">
      <c r="A4080" s="2" t="s">
        <v>8703</v>
      </c>
      <c r="B4080" s="2" t="s">
        <v>8703</v>
      </c>
      <c r="C4080" s="2" t="s">
        <v>16</v>
      </c>
      <c r="D4080" s="2" t="s">
        <v>17</v>
      </c>
      <c r="E4080" s="5">
        <v>-31748</v>
      </c>
      <c r="F4080" s="3" t="s">
        <v>5041</v>
      </c>
      <c r="G4080" s="3" t="s">
        <v>54</v>
      </c>
      <c r="H4080" s="2" t="s">
        <v>20</v>
      </c>
      <c r="I4080" s="2" t="s">
        <v>8704</v>
      </c>
      <c r="J4080" s="3" t="str">
        <f>HYPERLINK("https://www.boe.es/gazeta/dias/1813/01/27/pdfs/GMD-1813-27.pdf#page=3","Abrir facsímil")</f>
        <v>Abrir facsímil</v>
      </c>
      <c r="K4080" s="3" t="s">
        <v>22</v>
      </c>
    </row>
    <row r="4081" spans="1:11" ht="42" customHeight="1">
      <c r="A4081" s="2" t="s">
        <v>8705</v>
      </c>
      <c r="B4081" s="2" t="s">
        <v>8705</v>
      </c>
      <c r="C4081" s="2" t="s">
        <v>16</v>
      </c>
      <c r="D4081" s="2" t="s">
        <v>17</v>
      </c>
      <c r="E4081" s="5">
        <v>-31651</v>
      </c>
      <c r="F4081" s="3" t="s">
        <v>579</v>
      </c>
      <c r="G4081" s="3" t="s">
        <v>580</v>
      </c>
      <c r="H4081" s="2" t="s">
        <v>20</v>
      </c>
      <c r="I4081" s="2" t="s">
        <v>8706</v>
      </c>
      <c r="J4081" s="3" t="str">
        <f>HYPERLINK("https://www.boe.es/gazeta/dias/1813/05/04/pdfs/GRE-1813-55.pdf#page=5","Abrir facsímil")</f>
        <v>Abrir facsímil</v>
      </c>
      <c r="K4081" s="3" t="s">
        <v>22</v>
      </c>
    </row>
    <row r="4082" spans="1:11" ht="42" customHeight="1">
      <c r="A4082" s="2" t="s">
        <v>8707</v>
      </c>
      <c r="B4082" s="2" t="s">
        <v>8707</v>
      </c>
      <c r="C4082" s="2" t="s">
        <v>16</v>
      </c>
      <c r="D4082" s="2" t="s">
        <v>17</v>
      </c>
      <c r="E4082" s="5">
        <v>-31678</v>
      </c>
      <c r="F4082" s="3" t="s">
        <v>8495</v>
      </c>
      <c r="G4082" s="3" t="s">
        <v>65</v>
      </c>
      <c r="H4082" s="2" t="s">
        <v>20</v>
      </c>
      <c r="I4082" s="2" t="s">
        <v>8708</v>
      </c>
      <c r="J4082" s="3" t="str">
        <f>HYPERLINK("https://www.boe.es/gazeta/dias/1813/04/07/pdfs/GMD-1813-97.pdf#page=1","Abrir facsímil")</f>
        <v>Abrir facsímil</v>
      </c>
      <c r="K4082" s="3" t="s">
        <v>22</v>
      </c>
    </row>
    <row r="4083" spans="1:11" ht="42" customHeight="1">
      <c r="A4083" s="2" t="s">
        <v>8709</v>
      </c>
      <c r="B4083" s="2" t="s">
        <v>8709</v>
      </c>
      <c r="C4083" s="2" t="s">
        <v>16</v>
      </c>
      <c r="D4083" s="2" t="s">
        <v>17</v>
      </c>
      <c r="E4083" s="5">
        <v>-31427</v>
      </c>
      <c r="F4083" s="3" t="s">
        <v>489</v>
      </c>
      <c r="G4083" s="3" t="s">
        <v>490</v>
      </c>
      <c r="H4083" s="2" t="s">
        <v>20</v>
      </c>
      <c r="I4083" s="2" t="s">
        <v>8710</v>
      </c>
      <c r="J4083" s="3" t="str">
        <f>HYPERLINK("https://www.boe.es/gazeta/dias/1813/12/14/pdfs/GMR-1813-87.pdf#page=5","Abrir facsímil")</f>
        <v>Abrir facsímil</v>
      </c>
      <c r="K4083" s="3" t="s">
        <v>22</v>
      </c>
    </row>
    <row r="4084" spans="1:11" ht="42" customHeight="1">
      <c r="A4084" s="2" t="s">
        <v>8711</v>
      </c>
      <c r="B4084" s="2" t="s">
        <v>8711</v>
      </c>
      <c r="C4084" s="2" t="s">
        <v>16</v>
      </c>
      <c r="D4084" s="2" t="s">
        <v>17</v>
      </c>
      <c r="E4084" s="5">
        <v>-31497</v>
      </c>
      <c r="F4084" s="3" t="s">
        <v>223</v>
      </c>
      <c r="G4084" s="3" t="s">
        <v>82</v>
      </c>
      <c r="H4084" s="2" t="s">
        <v>20</v>
      </c>
      <c r="I4084" s="2" t="s">
        <v>8712</v>
      </c>
      <c r="J4084" s="3" t="str">
        <f>HYPERLINK("https://www.boe.es/gazeta/dias/1813/10/05/pdfs/GRE-1813-130.pdf#page=5","Abrir facsímil")</f>
        <v>Abrir facsímil</v>
      </c>
      <c r="K4084" s="3" t="s">
        <v>22</v>
      </c>
    </row>
    <row r="4085" spans="1:11" ht="42" customHeight="1">
      <c r="A4085" s="2" t="s">
        <v>8713</v>
      </c>
      <c r="B4085" s="2" t="s">
        <v>8713</v>
      </c>
      <c r="C4085" s="2" t="s">
        <v>16</v>
      </c>
      <c r="D4085" s="2" t="s">
        <v>97</v>
      </c>
      <c r="E4085" s="5">
        <v>-31499</v>
      </c>
      <c r="F4085" s="3" t="s">
        <v>220</v>
      </c>
      <c r="G4085" s="3" t="s">
        <v>54</v>
      </c>
      <c r="H4085" s="2" t="s">
        <v>20</v>
      </c>
      <c r="I4085" s="2" t="s">
        <v>8714</v>
      </c>
      <c r="J4085" s="3" t="str">
        <f>HYPERLINK("https://www.boe.es/gazeta/dias/1813/10/03/pdfs/GMR-1813-53E.pdf#page=3","Abrir facsímil")</f>
        <v>Abrir facsímil</v>
      </c>
      <c r="K4085" s="3" t="s">
        <v>22</v>
      </c>
    </row>
    <row r="4086" spans="1:11" ht="42" customHeight="1">
      <c r="A4086" s="2" t="s">
        <v>8715</v>
      </c>
      <c r="B4086" s="2" t="s">
        <v>8715</v>
      </c>
      <c r="C4086" s="2" t="s">
        <v>16</v>
      </c>
      <c r="D4086" s="2" t="s">
        <v>17</v>
      </c>
      <c r="E4086" s="5">
        <v>-31763</v>
      </c>
      <c r="F4086" s="3" t="s">
        <v>668</v>
      </c>
      <c r="G4086" s="3" t="s">
        <v>82</v>
      </c>
      <c r="H4086" s="2" t="s">
        <v>20</v>
      </c>
      <c r="I4086" s="2" t="s">
        <v>8716</v>
      </c>
      <c r="J4086" s="3" t="str">
        <f>HYPERLINK("https://www.boe.es/gazeta/dias/1813/01/12/pdfs/GRE-1813-5.pdf#page=5","Abrir facsímil")</f>
        <v>Abrir facsímil</v>
      </c>
      <c r="K4086" s="3" t="s">
        <v>22</v>
      </c>
    </row>
    <row r="4087" spans="1:11" ht="42" customHeight="1">
      <c r="A4087" s="2" t="s">
        <v>8717</v>
      </c>
      <c r="B4087" s="2" t="s">
        <v>8717</v>
      </c>
      <c r="C4087" s="2" t="s">
        <v>16</v>
      </c>
      <c r="D4087" s="2" t="s">
        <v>97</v>
      </c>
      <c r="E4087" s="5">
        <v>-31499</v>
      </c>
      <c r="F4087" s="3" t="s">
        <v>220</v>
      </c>
      <c r="G4087" s="3" t="s">
        <v>54</v>
      </c>
      <c r="H4087" s="2" t="s">
        <v>20</v>
      </c>
      <c r="I4087" s="2" t="s">
        <v>8718</v>
      </c>
      <c r="J4087" s="3" t="str">
        <f>HYPERLINK("https://www.boe.es/gazeta/dias/1813/10/03/pdfs/GMR-1813-53E.pdf#page=3","Abrir facsímil")</f>
        <v>Abrir facsímil</v>
      </c>
      <c r="K4087" s="3" t="s">
        <v>22</v>
      </c>
    </row>
    <row r="4088" spans="1:11" ht="42" customHeight="1">
      <c r="A4088" s="2" t="s">
        <v>8719</v>
      </c>
      <c r="B4088" s="2" t="s">
        <v>8719</v>
      </c>
      <c r="C4088" s="2" t="s">
        <v>16</v>
      </c>
      <c r="D4088" s="2" t="s">
        <v>17</v>
      </c>
      <c r="E4088" s="5">
        <v>-31465</v>
      </c>
      <c r="F4088" s="3" t="s">
        <v>2930</v>
      </c>
      <c r="G4088" s="3" t="s">
        <v>8720</v>
      </c>
      <c r="H4088" s="2" t="s">
        <v>20</v>
      </c>
      <c r="I4088" s="2" t="s">
        <v>8721</v>
      </c>
      <c r="J4088" s="3" t="str">
        <f>HYPERLINK("https://www.boe.es/gazeta/dias/1813/11/06/pdfs/GRE-1813-145.pdf#page=2","Abrir facsímil")</f>
        <v>Abrir facsímil</v>
      </c>
      <c r="K4088" s="3" t="s">
        <v>22</v>
      </c>
    </row>
    <row r="4089" spans="1:11" ht="42" customHeight="1">
      <c r="A4089" s="2" t="s">
        <v>8719</v>
      </c>
      <c r="B4089" s="2" t="s">
        <v>8719</v>
      </c>
      <c r="C4089" s="2" t="s">
        <v>16</v>
      </c>
      <c r="D4089" s="2" t="s">
        <v>17</v>
      </c>
      <c r="E4089" s="5">
        <v>-31462</v>
      </c>
      <c r="F4089" s="3" t="s">
        <v>542</v>
      </c>
      <c r="G4089" s="3" t="s">
        <v>2156</v>
      </c>
      <c r="H4089" s="2" t="s">
        <v>20</v>
      </c>
      <c r="I4089" s="2" t="s">
        <v>8722</v>
      </c>
      <c r="J4089" s="3" t="str">
        <f>HYPERLINK("https://www.boe.es/gazeta/dias/1813/11/09/pdfs/GRE-1813-146.pdf#page=5","Abrir facsímil")</f>
        <v>Abrir facsímil</v>
      </c>
      <c r="K4089" s="3" t="s">
        <v>22</v>
      </c>
    </row>
    <row r="4090" spans="1:11" ht="42" customHeight="1">
      <c r="A4090" s="2" t="s">
        <v>8723</v>
      </c>
      <c r="B4090" s="2" t="s">
        <v>8723</v>
      </c>
      <c r="C4090" s="2" t="s">
        <v>16</v>
      </c>
      <c r="D4090" s="2" t="s">
        <v>17</v>
      </c>
      <c r="E4090" s="5">
        <v>-31728</v>
      </c>
      <c r="F4090" s="3" t="s">
        <v>2887</v>
      </c>
      <c r="G4090" s="3" t="s">
        <v>65</v>
      </c>
      <c r="H4090" s="2" t="s">
        <v>20</v>
      </c>
      <c r="I4090" s="2" t="s">
        <v>8724</v>
      </c>
      <c r="J4090" s="3" t="str">
        <f>HYPERLINK("https://www.boe.es/gazeta/dias/1813/02/16/pdfs/GMD-1813-47.pdf#page=1","Abrir facsímil")</f>
        <v>Abrir facsímil</v>
      </c>
      <c r="K4090" s="3" t="s">
        <v>22</v>
      </c>
    </row>
    <row r="4091" spans="1:11" ht="42" customHeight="1">
      <c r="A4091" s="2" t="s">
        <v>8725</v>
      </c>
      <c r="B4091" s="2" t="s">
        <v>8725</v>
      </c>
      <c r="C4091" s="2" t="s">
        <v>16</v>
      </c>
      <c r="D4091" s="2" t="s">
        <v>17</v>
      </c>
      <c r="E4091" s="5">
        <v>-31451</v>
      </c>
      <c r="F4091" s="3" t="s">
        <v>2325</v>
      </c>
      <c r="G4091" s="3" t="s">
        <v>58</v>
      </c>
      <c r="H4091" s="2" t="s">
        <v>20</v>
      </c>
      <c r="I4091" s="2" t="s">
        <v>8726</v>
      </c>
      <c r="J4091" s="3" t="str">
        <f>HYPERLINK("https://www.boe.es/gazeta/dias/1813/11/20/pdfs/GMR-1813-77.pdf#page=2","Abrir facsímil")</f>
        <v>Abrir facsímil</v>
      </c>
      <c r="K4091" s="3" t="s">
        <v>22</v>
      </c>
    </row>
    <row r="4092" spans="1:11" ht="42" customHeight="1">
      <c r="A4092" s="2" t="s">
        <v>8725</v>
      </c>
      <c r="B4092" s="2" t="s">
        <v>8725</v>
      </c>
      <c r="C4092" s="2" t="s">
        <v>16</v>
      </c>
      <c r="D4092" s="2" t="s">
        <v>17</v>
      </c>
      <c r="E4092" s="5">
        <v>-31446</v>
      </c>
      <c r="F4092" s="3" t="s">
        <v>1078</v>
      </c>
      <c r="G4092" s="3" t="s">
        <v>65</v>
      </c>
      <c r="H4092" s="2" t="s">
        <v>20</v>
      </c>
      <c r="I4092" s="2" t="s">
        <v>8727</v>
      </c>
      <c r="J4092" s="3" t="str">
        <f>HYPERLINK("https://www.boe.es/gazeta/dias/1813/11/25/pdfs/GRE-1813-154.pdf#page=1","Abrir facsímil")</f>
        <v>Abrir facsímil</v>
      </c>
      <c r="K4092" s="3" t="s">
        <v>22</v>
      </c>
    </row>
    <row r="4093" spans="1:11" ht="42" customHeight="1">
      <c r="A4093" s="2" t="s">
        <v>8728</v>
      </c>
      <c r="B4093" s="2" t="s">
        <v>8728</v>
      </c>
      <c r="C4093" s="2" t="s">
        <v>16</v>
      </c>
      <c r="D4093" s="2" t="s">
        <v>17</v>
      </c>
      <c r="E4093" s="5">
        <v>-31497</v>
      </c>
      <c r="F4093" s="3" t="s">
        <v>223</v>
      </c>
      <c r="G4093" s="3" t="s">
        <v>82</v>
      </c>
      <c r="H4093" s="2" t="s">
        <v>20</v>
      </c>
      <c r="I4093" s="2" t="s">
        <v>8729</v>
      </c>
      <c r="J4093" s="3" t="str">
        <f>HYPERLINK("https://www.boe.es/gazeta/dias/1813/10/05/pdfs/GRE-1813-130.pdf#page=5","Abrir facsímil")</f>
        <v>Abrir facsímil</v>
      </c>
      <c r="K4093" s="3" t="s">
        <v>22</v>
      </c>
    </row>
    <row r="4094" spans="1:11" ht="42" customHeight="1">
      <c r="A4094" s="2" t="s">
        <v>8730</v>
      </c>
      <c r="B4094" s="2" t="s">
        <v>8730</v>
      </c>
      <c r="C4094" s="2" t="s">
        <v>34</v>
      </c>
      <c r="D4094" s="2" t="s">
        <v>35</v>
      </c>
      <c r="E4094" s="5">
        <v>-31638</v>
      </c>
      <c r="F4094" s="3" t="s">
        <v>1635</v>
      </c>
      <c r="G4094" s="3" t="s">
        <v>8731</v>
      </c>
      <c r="H4094" s="2" t="s">
        <v>20</v>
      </c>
      <c r="I4094" s="2" t="s">
        <v>8732</v>
      </c>
      <c r="J4094" s="3" t="str">
        <f>HYPERLINK("https://www.boe.es/gazeta/dias/1813/05/17/pdfs/GMD-1813-137.pdf#page=3","Abrir facsímil")</f>
        <v>Abrir facsímil</v>
      </c>
      <c r="K4094" s="3" t="s">
        <v>22</v>
      </c>
    </row>
    <row r="4095" spans="1:11" ht="42" customHeight="1">
      <c r="A4095" s="2" t="s">
        <v>8733</v>
      </c>
      <c r="B4095" s="2" t="s">
        <v>8733</v>
      </c>
      <c r="C4095" s="2" t="s">
        <v>34</v>
      </c>
      <c r="D4095" s="2" t="s">
        <v>35</v>
      </c>
      <c r="E4095" s="5">
        <v>-31637</v>
      </c>
      <c r="F4095" s="3" t="s">
        <v>855</v>
      </c>
      <c r="G4095" s="3" t="s">
        <v>58</v>
      </c>
      <c r="H4095" s="2" t="s">
        <v>20</v>
      </c>
      <c r="I4095" s="2" t="s">
        <v>8734</v>
      </c>
      <c r="J4095" s="3" t="str">
        <f>HYPERLINK("https://www.boe.es/gazeta/dias/1813/05/18/pdfs/GMD-1813-138.pdf#page=2","Abrir facsímil")</f>
        <v>Abrir facsímil</v>
      </c>
      <c r="K4095" s="3" t="s">
        <v>22</v>
      </c>
    </row>
    <row r="4096" spans="1:11" ht="42" customHeight="1">
      <c r="A4096" s="2" t="s">
        <v>8733</v>
      </c>
      <c r="B4096" s="2" t="s">
        <v>8733</v>
      </c>
      <c r="C4096" s="2" t="s">
        <v>34</v>
      </c>
      <c r="D4096" s="2" t="s">
        <v>35</v>
      </c>
      <c r="E4096" s="5">
        <v>-31612</v>
      </c>
      <c r="F4096" s="3" t="s">
        <v>5784</v>
      </c>
      <c r="G4096" s="3" t="s">
        <v>65</v>
      </c>
      <c r="H4096" s="2" t="s">
        <v>20</v>
      </c>
      <c r="I4096" s="2" t="s">
        <v>8735</v>
      </c>
      <c r="J4096" s="3" t="str">
        <f>HYPERLINK("https://www.boe.es/gazeta/dias/1813/06/12/pdfs/GRE-1813-73.pdf#page=1","Abrir facsímil")</f>
        <v>Abrir facsímil</v>
      </c>
      <c r="K4096" s="3" t="s">
        <v>22</v>
      </c>
    </row>
    <row r="4097" spans="1:11" ht="42" customHeight="1">
      <c r="A4097" s="2" t="s">
        <v>8733</v>
      </c>
      <c r="B4097" s="2" t="s">
        <v>8733</v>
      </c>
      <c r="C4097" s="2" t="s">
        <v>34</v>
      </c>
      <c r="D4097" s="2" t="s">
        <v>35</v>
      </c>
      <c r="E4097" s="5">
        <v>-31609</v>
      </c>
      <c r="F4097" s="3" t="s">
        <v>584</v>
      </c>
      <c r="G4097" s="3" t="s">
        <v>65</v>
      </c>
      <c r="H4097" s="2" t="s">
        <v>20</v>
      </c>
      <c r="I4097" s="2" t="s">
        <v>8736</v>
      </c>
      <c r="J4097" s="3" t="str">
        <f>HYPERLINK("https://www.boe.es/gazeta/dias/1813/06/15/pdfs/GRE-1813-74.pdf#page=1","Abrir facsímil")</f>
        <v>Abrir facsímil</v>
      </c>
      <c r="K4097" s="3" t="s">
        <v>22</v>
      </c>
    </row>
    <row r="4098" spans="1:11" ht="42" customHeight="1">
      <c r="A4098" s="2" t="s">
        <v>8737</v>
      </c>
      <c r="B4098" s="2" t="s">
        <v>8737</v>
      </c>
      <c r="C4098" s="2" t="s">
        <v>16</v>
      </c>
      <c r="D4098" s="2" t="s">
        <v>17</v>
      </c>
      <c r="E4098" s="5">
        <v>-31754</v>
      </c>
      <c r="F4098" s="3" t="s">
        <v>2608</v>
      </c>
      <c r="G4098" s="3" t="s">
        <v>54</v>
      </c>
      <c r="H4098" s="2" t="s">
        <v>20</v>
      </c>
      <c r="I4098" s="2" t="s">
        <v>8738</v>
      </c>
      <c r="J4098" s="3" t="str">
        <f>HYPERLINK("https://www.boe.es/gazeta/dias/1813/01/21/pdfs/GMD-1813-21.pdf#page=3","Abrir facsímil")</f>
        <v>Abrir facsímil</v>
      </c>
      <c r="K4098" s="3" t="s">
        <v>22</v>
      </c>
    </row>
    <row r="4099" spans="1:11" ht="42" customHeight="1">
      <c r="A4099" s="2" t="s">
        <v>8739</v>
      </c>
      <c r="B4099" s="2" t="s">
        <v>8739</v>
      </c>
      <c r="C4099" s="2" t="s">
        <v>16</v>
      </c>
      <c r="D4099" s="2" t="s">
        <v>17</v>
      </c>
      <c r="E4099" s="5">
        <v>-31497</v>
      </c>
      <c r="F4099" s="3" t="s">
        <v>223</v>
      </c>
      <c r="G4099" s="3" t="s">
        <v>95</v>
      </c>
      <c r="H4099" s="2" t="s">
        <v>20</v>
      </c>
      <c r="I4099" s="2" t="s">
        <v>8740</v>
      </c>
      <c r="J4099" s="3" t="str">
        <f>HYPERLINK("https://www.boe.es/gazeta/dias/1813/10/05/pdfs/GRE-1813-130.pdf#page=6","Abrir facsímil")</f>
        <v>Abrir facsímil</v>
      </c>
      <c r="K4099" s="3" t="s">
        <v>22</v>
      </c>
    </row>
    <row r="4100" spans="1:11" ht="42" customHeight="1">
      <c r="A4100" s="2" t="s">
        <v>8741</v>
      </c>
      <c r="B4100" s="2" t="s">
        <v>8741</v>
      </c>
      <c r="C4100" s="2" t="s">
        <v>16</v>
      </c>
      <c r="D4100" s="2" t="s">
        <v>17</v>
      </c>
      <c r="E4100" s="5">
        <v>-31766</v>
      </c>
      <c r="F4100" s="3" t="s">
        <v>1356</v>
      </c>
      <c r="G4100" s="3" t="s">
        <v>1357</v>
      </c>
      <c r="H4100" s="2" t="s">
        <v>20</v>
      </c>
      <c r="I4100" s="2" t="s">
        <v>8742</v>
      </c>
      <c r="J4100" s="3" t="str">
        <f>HYPERLINK("https://www.boe.es/gazeta/dias/1813/01/09/pdfs/GRE-1813-4.pdf#page=3","Abrir facsímil")</f>
        <v>Abrir facsímil</v>
      </c>
      <c r="K4100" s="3" t="s">
        <v>22</v>
      </c>
    </row>
    <row r="4101" spans="1:11" ht="42" customHeight="1">
      <c r="A4101" s="2" t="s">
        <v>8743</v>
      </c>
      <c r="B4101" s="2" t="s">
        <v>8743</v>
      </c>
      <c r="C4101" s="2" t="s">
        <v>16</v>
      </c>
      <c r="D4101" s="2" t="s">
        <v>17</v>
      </c>
      <c r="E4101" s="5">
        <v>-31728</v>
      </c>
      <c r="F4101" s="3" t="s">
        <v>1434</v>
      </c>
      <c r="G4101" s="3" t="s">
        <v>58</v>
      </c>
      <c r="H4101" s="2" t="s">
        <v>20</v>
      </c>
      <c r="I4101" s="2" t="s">
        <v>8744</v>
      </c>
      <c r="J4101" s="3" t="str">
        <f>HYPERLINK("https://www.boe.es/gazeta/dias/1813/02/16/pdfs/GRE-1813-20.pdf#page=2","Abrir facsímil")</f>
        <v>Abrir facsímil</v>
      </c>
      <c r="K4101" s="3" t="s">
        <v>22</v>
      </c>
    </row>
    <row r="4102" spans="1:11" ht="42" customHeight="1">
      <c r="A4102" s="2" t="s">
        <v>8745</v>
      </c>
      <c r="B4102" s="2" t="s">
        <v>8745</v>
      </c>
      <c r="C4102" s="2" t="s">
        <v>16</v>
      </c>
      <c r="D4102" s="2" t="s">
        <v>17</v>
      </c>
      <c r="E4102" s="5">
        <v>-31690</v>
      </c>
      <c r="F4102" s="3" t="s">
        <v>2575</v>
      </c>
      <c r="G4102" s="3" t="s">
        <v>65</v>
      </c>
      <c r="H4102" s="2" t="s">
        <v>20</v>
      </c>
      <c r="I4102" s="2" t="s">
        <v>8746</v>
      </c>
      <c r="J4102" s="3" t="str">
        <f>HYPERLINK("https://www.boe.es/gazeta/dias/1813/03/26/pdfs/GMD-1813-85.pdf#page=1","Abrir facsímil")</f>
        <v>Abrir facsímil</v>
      </c>
      <c r="K4102" s="3" t="s">
        <v>22</v>
      </c>
    </row>
    <row r="4103" spans="1:11" ht="42" customHeight="1">
      <c r="A4103" s="2" t="s">
        <v>8747</v>
      </c>
      <c r="B4103" s="2" t="s">
        <v>8747</v>
      </c>
      <c r="C4103" s="2" t="s">
        <v>16</v>
      </c>
      <c r="D4103" s="2" t="s">
        <v>17</v>
      </c>
      <c r="E4103" s="5">
        <v>-31754</v>
      </c>
      <c r="F4103" s="3" t="s">
        <v>2608</v>
      </c>
      <c r="G4103" s="3" t="s">
        <v>54</v>
      </c>
      <c r="H4103" s="2" t="s">
        <v>20</v>
      </c>
      <c r="I4103" s="2" t="s">
        <v>8748</v>
      </c>
      <c r="J4103" s="3" t="str">
        <f>HYPERLINK("https://www.boe.es/gazeta/dias/1813/01/21/pdfs/GMD-1813-21.pdf#page=3","Abrir facsímil")</f>
        <v>Abrir facsímil</v>
      </c>
      <c r="K4103" s="3" t="s">
        <v>22</v>
      </c>
    </row>
    <row r="4104" spans="1:11" ht="42" customHeight="1">
      <c r="A4104" s="2" t="s">
        <v>8749</v>
      </c>
      <c r="B4104" s="2" t="s">
        <v>8749</v>
      </c>
      <c r="C4104" s="2" t="s">
        <v>16</v>
      </c>
      <c r="D4104" s="2" t="s">
        <v>17</v>
      </c>
      <c r="E4104" s="5">
        <v>-31733</v>
      </c>
      <c r="F4104" s="3" t="s">
        <v>3036</v>
      </c>
      <c r="G4104" s="3" t="s">
        <v>82</v>
      </c>
      <c r="H4104" s="2" t="s">
        <v>20</v>
      </c>
      <c r="I4104" s="2" t="s">
        <v>8750</v>
      </c>
      <c r="J4104" s="3" t="str">
        <f>HYPERLINK("https://www.boe.es/gazeta/dias/1813/02/11/pdfs/GRE-1813-18.pdf#page=5","Abrir facsímil")</f>
        <v>Abrir facsímil</v>
      </c>
      <c r="K4104" s="3" t="s">
        <v>22</v>
      </c>
    </row>
    <row r="4105" spans="1:11" ht="42" customHeight="1">
      <c r="A4105" s="2" t="s">
        <v>8751</v>
      </c>
      <c r="B4105" s="2" t="s">
        <v>8751</v>
      </c>
      <c r="C4105" s="2" t="s">
        <v>16</v>
      </c>
      <c r="D4105" s="2" t="s">
        <v>17</v>
      </c>
      <c r="E4105" s="5">
        <v>-31558</v>
      </c>
      <c r="F4105" s="3" t="s">
        <v>1288</v>
      </c>
      <c r="G4105" s="3" t="s">
        <v>65</v>
      </c>
      <c r="H4105" s="2" t="s">
        <v>20</v>
      </c>
      <c r="I4105" s="2" t="s">
        <v>8752</v>
      </c>
      <c r="J4105" s="3" t="str">
        <f>HYPERLINK("https://www.boe.es/gazeta/dias/1813/08/05/pdfs/GMR-1813-24.pdf#page=1","Abrir facsímil")</f>
        <v>Abrir facsímil</v>
      </c>
      <c r="K4105" s="3" t="s">
        <v>22</v>
      </c>
    </row>
    <row r="4106" spans="1:11" ht="42" customHeight="1">
      <c r="A4106" s="2" t="s">
        <v>8753</v>
      </c>
      <c r="B4106" s="2" t="s">
        <v>8753</v>
      </c>
      <c r="C4106" s="2" t="s">
        <v>16</v>
      </c>
      <c r="D4106" s="2" t="s">
        <v>17</v>
      </c>
      <c r="E4106" s="5">
        <v>-31413</v>
      </c>
      <c r="F4106" s="3" t="s">
        <v>149</v>
      </c>
      <c r="G4106" s="3" t="s">
        <v>54</v>
      </c>
      <c r="H4106" s="2" t="s">
        <v>20</v>
      </c>
      <c r="I4106" s="2" t="s">
        <v>8754</v>
      </c>
      <c r="J4106" s="3" t="str">
        <f>HYPERLINK("https://www.boe.es/gazeta/dias/1813/12/28/pdfs/GMR-1813-93.pdf#page=3","Abrir facsímil")</f>
        <v>Abrir facsímil</v>
      </c>
      <c r="K4106" s="3" t="s">
        <v>22</v>
      </c>
    </row>
    <row r="4107" spans="1:11" ht="42" customHeight="1">
      <c r="A4107" s="2" t="s">
        <v>8755</v>
      </c>
      <c r="B4107" s="2" t="s">
        <v>8755</v>
      </c>
      <c r="C4107" s="2" t="s">
        <v>16</v>
      </c>
      <c r="D4107" s="2" t="s">
        <v>17</v>
      </c>
      <c r="E4107" s="5">
        <v>-31724</v>
      </c>
      <c r="F4107" s="3" t="s">
        <v>684</v>
      </c>
      <c r="G4107" s="3" t="s">
        <v>1495</v>
      </c>
      <c r="H4107" s="2" t="s">
        <v>20</v>
      </c>
      <c r="I4107" s="2" t="s">
        <v>8756</v>
      </c>
      <c r="J4107" s="3" t="str">
        <f>HYPERLINK("https://www.boe.es/gazeta/dias/1813/02/20/pdfs/GMD-1813-51.pdf#page=4","Abrir facsímil")</f>
        <v>Abrir facsímil</v>
      </c>
      <c r="K4107" s="3" t="s">
        <v>22</v>
      </c>
    </row>
    <row r="4108" spans="1:11" ht="42" customHeight="1">
      <c r="A4108" s="2" t="s">
        <v>8757</v>
      </c>
      <c r="B4108" s="2" t="s">
        <v>8757</v>
      </c>
      <c r="C4108" s="2" t="s">
        <v>16</v>
      </c>
      <c r="D4108" s="2" t="s">
        <v>17</v>
      </c>
      <c r="E4108" s="5">
        <v>-31606</v>
      </c>
      <c r="F4108" s="3" t="s">
        <v>124</v>
      </c>
      <c r="G4108" s="3" t="s">
        <v>58</v>
      </c>
      <c r="H4108" s="2" t="s">
        <v>20</v>
      </c>
      <c r="I4108" s="2" t="s">
        <v>8758</v>
      </c>
      <c r="J4108" s="3" t="str">
        <f>HYPERLINK("https://www.boe.es/gazeta/dias/1813/06/18/pdfs/GMR-1813-7.pdf#page=2","Abrir facsímil")</f>
        <v>Abrir facsímil</v>
      </c>
      <c r="K4108" s="3" t="s">
        <v>22</v>
      </c>
    </row>
    <row r="4109" spans="1:11" ht="42" customHeight="1">
      <c r="A4109" s="2" t="s">
        <v>8759</v>
      </c>
      <c r="B4109" s="2" t="s">
        <v>8759</v>
      </c>
      <c r="C4109" s="2" t="s">
        <v>16</v>
      </c>
      <c r="D4109" s="2" t="s">
        <v>17</v>
      </c>
      <c r="E4109" s="5">
        <v>-31773</v>
      </c>
      <c r="F4109" s="3" t="s">
        <v>3667</v>
      </c>
      <c r="G4109" s="3" t="s">
        <v>2765</v>
      </c>
      <c r="H4109" s="2" t="s">
        <v>20</v>
      </c>
      <c r="I4109" s="2" t="s">
        <v>8760</v>
      </c>
      <c r="J4109" s="3" t="str">
        <f>HYPERLINK("https://www.boe.es/gazeta/dias/1813/01/02/pdfs/GRE-1813-1.pdf#page=4","Abrir facsímil")</f>
        <v>Abrir facsímil</v>
      </c>
      <c r="K4109" s="3" t="s">
        <v>22</v>
      </c>
    </row>
    <row r="4110" spans="1:11" ht="42" customHeight="1">
      <c r="A4110" s="2" t="s">
        <v>8759</v>
      </c>
      <c r="B4110" s="2" t="s">
        <v>8759</v>
      </c>
      <c r="C4110" s="2" t="s">
        <v>16</v>
      </c>
      <c r="D4110" s="2" t="s">
        <v>17</v>
      </c>
      <c r="E4110" s="5">
        <v>-31773</v>
      </c>
      <c r="F4110" s="3" t="s">
        <v>3667</v>
      </c>
      <c r="G4110" s="3" t="s">
        <v>58</v>
      </c>
      <c r="H4110" s="2" t="s">
        <v>20</v>
      </c>
      <c r="I4110" s="2" t="s">
        <v>8761</v>
      </c>
      <c r="J4110" s="3" t="str">
        <f>HYPERLINK("https://www.boe.es/gazeta/dias/1813/01/02/pdfs/GRE-1813-1.pdf#page=2","Abrir facsímil")</f>
        <v>Abrir facsímil</v>
      </c>
      <c r="K4110" s="3" t="s">
        <v>22</v>
      </c>
    </row>
    <row r="4111" spans="1:11" ht="42" customHeight="1">
      <c r="A4111" s="2" t="s">
        <v>8759</v>
      </c>
      <c r="B4111" s="2" t="s">
        <v>8759</v>
      </c>
      <c r="C4111" s="2" t="s">
        <v>16</v>
      </c>
      <c r="D4111" s="2" t="s">
        <v>17</v>
      </c>
      <c r="E4111" s="5">
        <v>-31770</v>
      </c>
      <c r="F4111" s="3" t="s">
        <v>1738</v>
      </c>
      <c r="G4111" s="3" t="s">
        <v>2984</v>
      </c>
      <c r="H4111" s="2" t="s">
        <v>20</v>
      </c>
      <c r="I4111" s="2" t="s">
        <v>8762</v>
      </c>
      <c r="J4111" s="3" t="str">
        <f>HYPERLINK("https://www.boe.es/gazeta/dias/1813/01/05/pdfs/GRE-1813-2.pdf#page=4","Abrir facsímil")</f>
        <v>Abrir facsímil</v>
      </c>
      <c r="K4111" s="3" t="s">
        <v>22</v>
      </c>
    </row>
    <row r="4112" spans="1:11" ht="42" customHeight="1">
      <c r="A4112" s="2" t="s">
        <v>8759</v>
      </c>
      <c r="B4112" s="2" t="s">
        <v>8759</v>
      </c>
      <c r="C4112" s="2" t="s">
        <v>25</v>
      </c>
      <c r="D4112" s="2" t="s">
        <v>26</v>
      </c>
      <c r="E4112" s="5">
        <v>-31770</v>
      </c>
      <c r="F4112" s="3" t="s">
        <v>188</v>
      </c>
      <c r="G4112" s="3" t="s">
        <v>65</v>
      </c>
      <c r="H4112" s="2" t="s">
        <v>20</v>
      </c>
      <c r="I4112" s="2" t="s">
        <v>8763</v>
      </c>
      <c r="J4112" s="3" t="str">
        <f>HYPERLINK("https://www.boe.es/gazeta/dias/1813/01/05/pdfs/GRE-1813-3.pdf#page=1","Abrir facsímil")</f>
        <v>Abrir facsímil</v>
      </c>
      <c r="K4112" s="3" t="s">
        <v>22</v>
      </c>
    </row>
    <row r="4113" spans="1:11" ht="42" customHeight="1">
      <c r="A4113" s="2" t="s">
        <v>8759</v>
      </c>
      <c r="B4113" s="2" t="s">
        <v>8759</v>
      </c>
      <c r="C4113" s="2" t="s">
        <v>25</v>
      </c>
      <c r="D4113" s="2" t="s">
        <v>26</v>
      </c>
      <c r="E4113" s="5">
        <v>-31768</v>
      </c>
      <c r="F4113" s="3" t="s">
        <v>188</v>
      </c>
      <c r="G4113" s="3" t="s">
        <v>65</v>
      </c>
      <c r="H4113" s="2" t="s">
        <v>20</v>
      </c>
      <c r="I4113" s="2" t="s">
        <v>8763</v>
      </c>
      <c r="J4113" s="3" t="str">
        <f>HYPERLINK("https://www.boe.es/gazeta/dias/1813/01/07/pdfs/GRE-1813-3.pdf#page=1","Abrir facsímil")</f>
        <v>Abrir facsímil</v>
      </c>
      <c r="K4113" s="3" t="s">
        <v>22</v>
      </c>
    </row>
    <row r="4114" spans="1:11" ht="42" customHeight="1">
      <c r="A4114" s="2" t="s">
        <v>8759</v>
      </c>
      <c r="B4114" s="2" t="s">
        <v>8759</v>
      </c>
      <c r="C4114" s="2" t="s">
        <v>16</v>
      </c>
      <c r="D4114" s="2" t="s">
        <v>17</v>
      </c>
      <c r="E4114" s="5">
        <v>-31766</v>
      </c>
      <c r="F4114" s="3" t="s">
        <v>1356</v>
      </c>
      <c r="G4114" s="3" t="s">
        <v>4701</v>
      </c>
      <c r="H4114" s="2" t="s">
        <v>20</v>
      </c>
      <c r="I4114" s="2" t="s">
        <v>8764</v>
      </c>
      <c r="J4114" s="3" t="str">
        <f>HYPERLINK("https://www.boe.es/gazeta/dias/1813/01/09/pdfs/GRE-1813-4.pdf#page=4","Abrir facsímil")</f>
        <v>Abrir facsímil</v>
      </c>
      <c r="K4114" s="3" t="s">
        <v>22</v>
      </c>
    </row>
    <row r="4115" spans="1:11" ht="42" customHeight="1">
      <c r="A4115" s="2" t="s">
        <v>8759</v>
      </c>
      <c r="B4115" s="2" t="s">
        <v>8759</v>
      </c>
      <c r="C4115" s="2" t="s">
        <v>25</v>
      </c>
      <c r="D4115" s="2" t="s">
        <v>26</v>
      </c>
      <c r="E4115" s="5">
        <v>-31763</v>
      </c>
      <c r="F4115" s="3" t="s">
        <v>668</v>
      </c>
      <c r="G4115" s="3" t="s">
        <v>19</v>
      </c>
      <c r="H4115" s="2" t="s">
        <v>20</v>
      </c>
      <c r="I4115" s="2" t="s">
        <v>8765</v>
      </c>
      <c r="J4115" s="3" t="str">
        <f>HYPERLINK("https://www.boe.es/gazeta/dias/1813/01/12/pdfs/GRE-1813-5.pdf#page=4","Abrir facsímil")</f>
        <v>Abrir facsímil</v>
      </c>
      <c r="K4115" s="3" t="s">
        <v>22</v>
      </c>
    </row>
    <row r="4116" spans="1:11" ht="42" customHeight="1">
      <c r="A4116" s="2" t="s">
        <v>8759</v>
      </c>
      <c r="B4116" s="2" t="s">
        <v>8759</v>
      </c>
      <c r="C4116" s="2" t="s">
        <v>16</v>
      </c>
      <c r="D4116" s="2" t="s">
        <v>17</v>
      </c>
      <c r="E4116" s="5">
        <v>-31761</v>
      </c>
      <c r="F4116" s="3" t="s">
        <v>376</v>
      </c>
      <c r="G4116" s="3" t="s">
        <v>377</v>
      </c>
      <c r="H4116" s="2" t="s">
        <v>20</v>
      </c>
      <c r="I4116" s="2" t="s">
        <v>8766</v>
      </c>
      <c r="J4116" s="3" t="str">
        <f>HYPERLINK("https://www.boe.es/gazeta/dias/1813/01/14/pdfs/GRE-1813-6.pdf#page=3","Abrir facsímil")</f>
        <v>Abrir facsímil</v>
      </c>
      <c r="K4116" s="3" t="s">
        <v>22</v>
      </c>
    </row>
    <row r="4117" spans="1:11" ht="42" customHeight="1">
      <c r="A4117" s="2" t="s">
        <v>8759</v>
      </c>
      <c r="B4117" s="2" t="s">
        <v>8759</v>
      </c>
      <c r="C4117" s="2" t="s">
        <v>16</v>
      </c>
      <c r="D4117" s="2" t="s">
        <v>17</v>
      </c>
      <c r="E4117" s="5">
        <v>-31759</v>
      </c>
      <c r="F4117" s="3" t="s">
        <v>419</v>
      </c>
      <c r="G4117" s="3" t="s">
        <v>54</v>
      </c>
      <c r="H4117" s="2" t="s">
        <v>20</v>
      </c>
      <c r="I4117" s="2" t="s">
        <v>8767</v>
      </c>
      <c r="J4117" s="3" t="str">
        <f>HYPERLINK("https://www.boe.es/gazeta/dias/1813/01/16/pdfs/GRE-1813-7.pdf#page=3","Abrir facsímil")</f>
        <v>Abrir facsímil</v>
      </c>
      <c r="K4117" s="3" t="s">
        <v>22</v>
      </c>
    </row>
    <row r="4118" spans="1:11" ht="42" customHeight="1">
      <c r="A4118" s="2" t="s">
        <v>8759</v>
      </c>
      <c r="B4118" s="2" t="s">
        <v>8759</v>
      </c>
      <c r="C4118" s="2" t="s">
        <v>16</v>
      </c>
      <c r="D4118" s="2" t="s">
        <v>17</v>
      </c>
      <c r="E4118" s="5">
        <v>-31752</v>
      </c>
      <c r="F4118" s="3" t="s">
        <v>182</v>
      </c>
      <c r="G4118" s="3" t="s">
        <v>553</v>
      </c>
      <c r="H4118" s="2" t="s">
        <v>20</v>
      </c>
      <c r="I4118" s="2" t="s">
        <v>8768</v>
      </c>
      <c r="J4118" s="3" t="str">
        <f>HYPERLINK("https://www.boe.es/gazeta/dias/1813/01/23/pdfs/GRE-1813-10.pdf#page=4","Abrir facsímil")</f>
        <v>Abrir facsímil</v>
      </c>
      <c r="K4118" s="3" t="s">
        <v>22</v>
      </c>
    </row>
    <row r="4119" spans="1:11" ht="42" customHeight="1">
      <c r="A4119" s="2" t="s">
        <v>8759</v>
      </c>
      <c r="B4119" s="2" t="s">
        <v>8759</v>
      </c>
      <c r="C4119" s="2" t="s">
        <v>16</v>
      </c>
      <c r="D4119" s="2" t="s">
        <v>17</v>
      </c>
      <c r="E4119" s="5">
        <v>-31752</v>
      </c>
      <c r="F4119" s="3" t="s">
        <v>182</v>
      </c>
      <c r="G4119" s="3" t="s">
        <v>54</v>
      </c>
      <c r="H4119" s="2" t="s">
        <v>20</v>
      </c>
      <c r="I4119" s="2" t="s">
        <v>8769</v>
      </c>
      <c r="J4119" s="3" t="str">
        <f>HYPERLINK("https://www.boe.es/gazeta/dias/1813/01/23/pdfs/GRE-1813-10.pdf#page=3","Abrir facsímil")</f>
        <v>Abrir facsímil</v>
      </c>
      <c r="K4119" s="3" t="s">
        <v>22</v>
      </c>
    </row>
    <row r="4120" spans="1:11" ht="42" customHeight="1">
      <c r="A4120" s="2" t="s">
        <v>8759</v>
      </c>
      <c r="B4120" s="2" t="s">
        <v>8759</v>
      </c>
      <c r="C4120" s="2" t="s">
        <v>16</v>
      </c>
      <c r="D4120" s="2" t="s">
        <v>17</v>
      </c>
      <c r="E4120" s="5">
        <v>-31742</v>
      </c>
      <c r="F4120" s="3" t="s">
        <v>2667</v>
      </c>
      <c r="G4120" s="3" t="s">
        <v>65</v>
      </c>
      <c r="H4120" s="2" t="s">
        <v>20</v>
      </c>
      <c r="I4120" s="2" t="s">
        <v>8770</v>
      </c>
      <c r="J4120" s="3" t="str">
        <f>HYPERLINK("https://www.boe.es/gazeta/dias/1813/02/02/pdfs/GRE-1813-14.pdf#page=1","Abrir facsímil")</f>
        <v>Abrir facsímil</v>
      </c>
      <c r="K4120" s="3" t="s">
        <v>22</v>
      </c>
    </row>
    <row r="4121" spans="1:11" ht="42" customHeight="1">
      <c r="A4121" s="2" t="s">
        <v>8759</v>
      </c>
      <c r="B4121" s="2" t="s">
        <v>8759</v>
      </c>
      <c r="C4121" s="2" t="s">
        <v>16</v>
      </c>
      <c r="D4121" s="2" t="s">
        <v>17</v>
      </c>
      <c r="E4121" s="5">
        <v>-31735</v>
      </c>
      <c r="F4121" s="3" t="s">
        <v>558</v>
      </c>
      <c r="G4121" s="3" t="s">
        <v>559</v>
      </c>
      <c r="H4121" s="2" t="s">
        <v>20</v>
      </c>
      <c r="I4121" s="2" t="s">
        <v>8771</v>
      </c>
      <c r="J4121" s="3" t="str">
        <f>HYPERLINK("https://www.boe.es/gazeta/dias/1813/02/09/pdfs/GRE-1813-17.pdf#page=5","Abrir facsímil")</f>
        <v>Abrir facsímil</v>
      </c>
      <c r="K4121" s="3" t="s">
        <v>22</v>
      </c>
    </row>
    <row r="4122" spans="1:11" ht="42" customHeight="1">
      <c r="A4122" s="2" t="s">
        <v>8759</v>
      </c>
      <c r="B4122" s="2" t="s">
        <v>8759</v>
      </c>
      <c r="C4122" s="2" t="s">
        <v>16</v>
      </c>
      <c r="D4122" s="2" t="s">
        <v>17</v>
      </c>
      <c r="E4122" s="5">
        <v>-31733</v>
      </c>
      <c r="F4122" s="3" t="s">
        <v>3036</v>
      </c>
      <c r="G4122" s="3" t="s">
        <v>58</v>
      </c>
      <c r="H4122" s="2" t="s">
        <v>20</v>
      </c>
      <c r="I4122" s="2" t="s">
        <v>8772</v>
      </c>
      <c r="J4122" s="3" t="str">
        <f>HYPERLINK("https://www.boe.es/gazeta/dias/1813/02/11/pdfs/GRE-1813-18.pdf#page=2","Abrir facsímil")</f>
        <v>Abrir facsímil</v>
      </c>
      <c r="K4122" s="3" t="s">
        <v>22</v>
      </c>
    </row>
    <row r="4123" spans="1:11" ht="42" customHeight="1">
      <c r="A4123" s="2" t="s">
        <v>8759</v>
      </c>
      <c r="B4123" s="2" t="s">
        <v>8759</v>
      </c>
      <c r="C4123" s="2" t="s">
        <v>16</v>
      </c>
      <c r="D4123" s="2" t="s">
        <v>17</v>
      </c>
      <c r="E4123" s="5">
        <v>-31733</v>
      </c>
      <c r="F4123" s="3" t="s">
        <v>3036</v>
      </c>
      <c r="G4123" s="3" t="s">
        <v>54</v>
      </c>
      <c r="H4123" s="2" t="s">
        <v>20</v>
      </c>
      <c r="I4123" s="2" t="s">
        <v>8773</v>
      </c>
      <c r="J4123" s="3" t="str">
        <f>HYPERLINK("https://www.boe.es/gazeta/dias/1813/02/11/pdfs/GRE-1813-18.pdf#page=3","Abrir facsímil")</f>
        <v>Abrir facsímil</v>
      </c>
      <c r="K4123" s="3" t="s">
        <v>22</v>
      </c>
    </row>
    <row r="4124" spans="1:11" ht="42" customHeight="1">
      <c r="A4124" s="2" t="s">
        <v>8759</v>
      </c>
      <c r="B4124" s="2" t="s">
        <v>8759</v>
      </c>
      <c r="C4124" s="2" t="s">
        <v>16</v>
      </c>
      <c r="D4124" s="2" t="s">
        <v>17</v>
      </c>
      <c r="E4124" s="5">
        <v>-31728</v>
      </c>
      <c r="F4124" s="3" t="s">
        <v>1434</v>
      </c>
      <c r="G4124" s="3" t="s">
        <v>65</v>
      </c>
      <c r="H4124" s="2" t="s">
        <v>20</v>
      </c>
      <c r="I4124" s="2" t="s">
        <v>8774</v>
      </c>
      <c r="J4124" s="3" t="str">
        <f>HYPERLINK("https://www.boe.es/gazeta/dias/1813/02/16/pdfs/GRE-1813-20.pdf#page=1","Abrir facsímil")</f>
        <v>Abrir facsímil</v>
      </c>
      <c r="K4124" s="3" t="s">
        <v>22</v>
      </c>
    </row>
    <row r="4125" spans="1:11" ht="42" customHeight="1">
      <c r="A4125" s="2" t="s">
        <v>8759</v>
      </c>
      <c r="B4125" s="2" t="s">
        <v>8759</v>
      </c>
      <c r="C4125" s="2" t="s">
        <v>16</v>
      </c>
      <c r="D4125" s="2" t="s">
        <v>17</v>
      </c>
      <c r="E4125" s="5">
        <v>-31728</v>
      </c>
      <c r="F4125" s="3" t="s">
        <v>1434</v>
      </c>
      <c r="G4125" s="3" t="s">
        <v>58</v>
      </c>
      <c r="H4125" s="2" t="s">
        <v>20</v>
      </c>
      <c r="I4125" s="2" t="s">
        <v>8775</v>
      </c>
      <c r="J4125" s="3" t="str">
        <f>HYPERLINK("https://www.boe.es/gazeta/dias/1813/02/16/pdfs/GRE-1813-20.pdf#page=2","Abrir facsímil")</f>
        <v>Abrir facsímil</v>
      </c>
      <c r="K4125" s="3" t="s">
        <v>22</v>
      </c>
    </row>
    <row r="4126" spans="1:11" ht="42" customHeight="1">
      <c r="A4126" s="2" t="s">
        <v>8759</v>
      </c>
      <c r="B4126" s="2" t="s">
        <v>8759</v>
      </c>
      <c r="C4126" s="2" t="s">
        <v>16</v>
      </c>
      <c r="D4126" s="2" t="s">
        <v>17</v>
      </c>
      <c r="E4126" s="5">
        <v>-31726</v>
      </c>
      <c r="F4126" s="3" t="s">
        <v>533</v>
      </c>
      <c r="G4126" s="3" t="s">
        <v>534</v>
      </c>
      <c r="H4126" s="2" t="s">
        <v>20</v>
      </c>
      <c r="I4126" s="2" t="s">
        <v>8776</v>
      </c>
      <c r="J4126" s="3" t="str">
        <f>HYPERLINK("https://www.boe.es/gazeta/dias/1813/02/18/pdfs/GRE-1813-21.pdf#page=4","Abrir facsímil")</f>
        <v>Abrir facsímil</v>
      </c>
      <c r="K4126" s="3" t="s">
        <v>22</v>
      </c>
    </row>
    <row r="4127" spans="1:11" ht="42" customHeight="1">
      <c r="A4127" s="2" t="s">
        <v>8759</v>
      </c>
      <c r="B4127" s="2" t="s">
        <v>8759</v>
      </c>
      <c r="C4127" s="2" t="s">
        <v>16</v>
      </c>
      <c r="D4127" s="2" t="s">
        <v>17</v>
      </c>
      <c r="E4127" s="5">
        <v>-31724</v>
      </c>
      <c r="F4127" s="3" t="s">
        <v>626</v>
      </c>
      <c r="G4127" s="3" t="s">
        <v>54</v>
      </c>
      <c r="H4127" s="2" t="s">
        <v>20</v>
      </c>
      <c r="I4127" s="2" t="s">
        <v>8777</v>
      </c>
      <c r="J4127" s="3" t="str">
        <f>HYPERLINK("https://www.boe.es/gazeta/dias/1813/02/20/pdfs/GRE-1813-22.pdf#page=3","Abrir facsímil")</f>
        <v>Abrir facsímil</v>
      </c>
      <c r="K4127" s="3" t="s">
        <v>22</v>
      </c>
    </row>
    <row r="4128" spans="1:11" ht="42" customHeight="1">
      <c r="A4128" s="2" t="s">
        <v>8759</v>
      </c>
      <c r="B4128" s="2" t="s">
        <v>8759</v>
      </c>
      <c r="C4128" s="2" t="s">
        <v>16</v>
      </c>
      <c r="D4128" s="2" t="s">
        <v>17</v>
      </c>
      <c r="E4128" s="5">
        <v>-31721</v>
      </c>
      <c r="F4128" s="3" t="s">
        <v>562</v>
      </c>
      <c r="G4128" s="3" t="s">
        <v>563</v>
      </c>
      <c r="H4128" s="2" t="s">
        <v>20</v>
      </c>
      <c r="I4128" s="2" t="s">
        <v>8778</v>
      </c>
      <c r="J4128" s="3" t="str">
        <f>HYPERLINK("https://www.boe.es/gazeta/dias/1813/02/23/pdfs/GRE-1813-23.pdf#page=4","Abrir facsímil")</f>
        <v>Abrir facsímil</v>
      </c>
      <c r="K4128" s="3" t="s">
        <v>22</v>
      </c>
    </row>
    <row r="4129" spans="1:11" ht="42" customHeight="1">
      <c r="A4129" s="2" t="s">
        <v>8759</v>
      </c>
      <c r="B4129" s="2" t="s">
        <v>8759</v>
      </c>
      <c r="C4129" s="2" t="s">
        <v>16</v>
      </c>
      <c r="D4129" s="2" t="s">
        <v>17</v>
      </c>
      <c r="E4129" s="5">
        <v>-31710</v>
      </c>
      <c r="F4129" s="3" t="s">
        <v>2689</v>
      </c>
      <c r="G4129" s="3" t="s">
        <v>65</v>
      </c>
      <c r="H4129" s="2" t="s">
        <v>20</v>
      </c>
      <c r="I4129" s="2" t="s">
        <v>8779</v>
      </c>
      <c r="J4129" s="3" t="str">
        <f>HYPERLINK("https://www.boe.es/gazeta/dias/1813/03/06/pdfs/GRE-1813-29.pdf#page=1","Abrir facsímil")</f>
        <v>Abrir facsímil</v>
      </c>
      <c r="K4129" s="3" t="s">
        <v>22</v>
      </c>
    </row>
    <row r="4130" spans="1:11" ht="42" customHeight="1">
      <c r="A4130" s="2" t="s">
        <v>8759</v>
      </c>
      <c r="B4130" s="2" t="s">
        <v>8759</v>
      </c>
      <c r="C4130" s="2" t="s">
        <v>16</v>
      </c>
      <c r="D4130" s="2" t="s">
        <v>17</v>
      </c>
      <c r="E4130" s="5">
        <v>-31696</v>
      </c>
      <c r="F4130" s="3" t="s">
        <v>520</v>
      </c>
      <c r="G4130" s="3" t="s">
        <v>529</v>
      </c>
      <c r="H4130" s="2" t="s">
        <v>20</v>
      </c>
      <c r="I4130" s="2" t="s">
        <v>8780</v>
      </c>
      <c r="J4130" s="3" t="str">
        <f>HYPERLINK("https://www.boe.es/gazeta/dias/1813/03/20/pdfs/GRE-1813-35.pdf#page=6","Abrir facsímil")</f>
        <v>Abrir facsímil</v>
      </c>
      <c r="K4130" s="3" t="s">
        <v>22</v>
      </c>
    </row>
    <row r="4131" spans="1:11" ht="42" customHeight="1">
      <c r="A4131" s="2" t="s">
        <v>8759</v>
      </c>
      <c r="B4131" s="2" t="s">
        <v>8759</v>
      </c>
      <c r="C4131" s="2" t="s">
        <v>16</v>
      </c>
      <c r="D4131" s="2" t="s">
        <v>17</v>
      </c>
      <c r="E4131" s="5">
        <v>-31686</v>
      </c>
      <c r="F4131" s="3" t="s">
        <v>372</v>
      </c>
      <c r="G4131" s="3" t="s">
        <v>65</v>
      </c>
      <c r="H4131" s="2" t="s">
        <v>20</v>
      </c>
      <c r="I4131" s="2" t="s">
        <v>8781</v>
      </c>
      <c r="J4131" s="3" t="str">
        <f>HYPERLINK("https://www.boe.es/gazeta/dias/1813/03/30/pdfs/GRE-1813-39.pdf#page=1","Abrir facsímil")</f>
        <v>Abrir facsímil</v>
      </c>
      <c r="K4131" s="3" t="s">
        <v>22</v>
      </c>
    </row>
    <row r="4132" spans="1:11" ht="42" customHeight="1">
      <c r="A4132" s="2" t="s">
        <v>8759</v>
      </c>
      <c r="B4132" s="2" t="s">
        <v>8759</v>
      </c>
      <c r="C4132" s="2" t="s">
        <v>16</v>
      </c>
      <c r="D4132" s="2" t="s">
        <v>17</v>
      </c>
      <c r="E4132" s="5">
        <v>-31658</v>
      </c>
      <c r="F4132" s="3" t="s">
        <v>1654</v>
      </c>
      <c r="G4132" s="3" t="s">
        <v>1655</v>
      </c>
      <c r="H4132" s="2" t="s">
        <v>20</v>
      </c>
      <c r="I4132" s="2" t="s">
        <v>8782</v>
      </c>
      <c r="J4132" s="3" t="str">
        <f>HYPERLINK("https://www.boe.es/gazeta/dias/1813/04/27/pdfs/GMD-1813-117.pdf#page=1","Abrir facsímil")</f>
        <v>Abrir facsímil</v>
      </c>
      <c r="K4132" s="3" t="s">
        <v>22</v>
      </c>
    </row>
    <row r="4133" spans="1:11" ht="42" customHeight="1">
      <c r="A4133" s="2" t="s">
        <v>8759</v>
      </c>
      <c r="B4133" s="2" t="s">
        <v>8759</v>
      </c>
      <c r="C4133" s="2" t="s">
        <v>16</v>
      </c>
      <c r="D4133" s="2" t="s">
        <v>17</v>
      </c>
      <c r="E4133" s="5">
        <v>-31642</v>
      </c>
      <c r="F4133" s="3" t="s">
        <v>582</v>
      </c>
      <c r="G4133" s="3" t="s">
        <v>58</v>
      </c>
      <c r="H4133" s="2" t="s">
        <v>20</v>
      </c>
      <c r="I4133" s="2" t="s">
        <v>8783</v>
      </c>
      <c r="J4133" s="3" t="str">
        <f>HYPERLINK("https://www.boe.es/gazeta/dias/1813/05/13/pdfs/GRE-1813-59.pdf#page=2","Abrir facsímil")</f>
        <v>Abrir facsímil</v>
      </c>
      <c r="K4133" s="3" t="s">
        <v>22</v>
      </c>
    </row>
    <row r="4134" spans="1:11" ht="42" customHeight="1">
      <c r="A4134" s="2" t="s">
        <v>8759</v>
      </c>
      <c r="B4134" s="2" t="s">
        <v>8759</v>
      </c>
      <c r="C4134" s="2" t="s">
        <v>16</v>
      </c>
      <c r="D4134" s="2" t="s">
        <v>17</v>
      </c>
      <c r="E4134" s="5">
        <v>-31621</v>
      </c>
      <c r="F4134" s="3" t="s">
        <v>1825</v>
      </c>
      <c r="G4134" s="3" t="s">
        <v>19</v>
      </c>
      <c r="H4134" s="2" t="s">
        <v>20</v>
      </c>
      <c r="I4134" s="2" t="s">
        <v>8784</v>
      </c>
      <c r="J4134" s="3" t="str">
        <f>HYPERLINK("https://www.boe.es/gazeta/dias/1813/06/03/pdfs/GMR-1813-1.pdf#page=4","Abrir facsímil")</f>
        <v>Abrir facsímil</v>
      </c>
      <c r="K4134" s="3" t="s">
        <v>22</v>
      </c>
    </row>
    <row r="4135" spans="1:11" ht="42" customHeight="1">
      <c r="A4135" s="2" t="s">
        <v>8785</v>
      </c>
      <c r="B4135" s="2" t="s">
        <v>8785</v>
      </c>
      <c r="C4135" s="2" t="s">
        <v>16</v>
      </c>
      <c r="D4135" s="2" t="s">
        <v>17</v>
      </c>
      <c r="E4135" s="5">
        <v>-31616</v>
      </c>
      <c r="F4135" s="3" t="s">
        <v>2201</v>
      </c>
      <c r="G4135" s="3" t="s">
        <v>54</v>
      </c>
      <c r="H4135" s="2" t="s">
        <v>20</v>
      </c>
      <c r="I4135" s="2" t="s">
        <v>8786</v>
      </c>
      <c r="J4135" s="3" t="str">
        <f>HYPERLINK("https://www.boe.es/gazeta/dias/1813/06/08/pdfs/GMR-1813-3.pdf#page=3","Abrir facsímil")</f>
        <v>Abrir facsímil</v>
      </c>
      <c r="K4135" s="3" t="s">
        <v>22</v>
      </c>
    </row>
    <row r="4136" spans="1:11" ht="42" customHeight="1">
      <c r="A4136" s="2" t="s">
        <v>8759</v>
      </c>
      <c r="B4136" s="2" t="s">
        <v>8759</v>
      </c>
      <c r="C4136" s="2" t="s">
        <v>16</v>
      </c>
      <c r="D4136" s="2" t="s">
        <v>17</v>
      </c>
      <c r="E4136" s="5">
        <v>-31614</v>
      </c>
      <c r="F4136" s="3" t="s">
        <v>498</v>
      </c>
      <c r="G4136" s="3" t="s">
        <v>82</v>
      </c>
      <c r="H4136" s="2" t="s">
        <v>20</v>
      </c>
      <c r="I4136" s="2" t="s">
        <v>8787</v>
      </c>
      <c r="J4136" s="3" t="str">
        <f>HYPERLINK("https://www.boe.es/gazeta/dias/1813/06/10/pdfs/GRE-1813-72.pdf#page=5","Abrir facsímil")</f>
        <v>Abrir facsímil</v>
      </c>
      <c r="K4136" s="3" t="s">
        <v>22</v>
      </c>
    </row>
    <row r="4137" spans="1:11" ht="42" customHeight="1">
      <c r="A4137" s="2" t="s">
        <v>8759</v>
      </c>
      <c r="B4137" s="2" t="s">
        <v>8759</v>
      </c>
      <c r="C4137" s="2" t="s">
        <v>16</v>
      </c>
      <c r="D4137" s="2" t="s">
        <v>17</v>
      </c>
      <c r="E4137" s="5">
        <v>-31613</v>
      </c>
      <c r="F4137" s="3" t="s">
        <v>1629</v>
      </c>
      <c r="G4137" s="3" t="s">
        <v>19</v>
      </c>
      <c r="H4137" s="2" t="s">
        <v>20</v>
      </c>
      <c r="I4137" s="2" t="s">
        <v>8788</v>
      </c>
      <c r="J4137" s="3" t="str">
        <f>HYPERLINK("https://www.boe.es/gazeta/dias/1813/06/11/pdfs/GMR-1813-4.pdf#page=4","Abrir facsímil")</f>
        <v>Abrir facsímil</v>
      </c>
      <c r="K4137" s="3" t="s">
        <v>22</v>
      </c>
    </row>
    <row r="4138" spans="1:11" ht="42" customHeight="1">
      <c r="A4138" s="2" t="s">
        <v>8759</v>
      </c>
      <c r="B4138" s="2" t="s">
        <v>8759</v>
      </c>
      <c r="C4138" s="2" t="s">
        <v>16</v>
      </c>
      <c r="D4138" s="2" t="s">
        <v>17</v>
      </c>
      <c r="E4138" s="5">
        <v>-31605</v>
      </c>
      <c r="F4138" s="3" t="s">
        <v>884</v>
      </c>
      <c r="G4138" s="3" t="s">
        <v>19</v>
      </c>
      <c r="H4138" s="2" t="s">
        <v>20</v>
      </c>
      <c r="I4138" s="2" t="s">
        <v>8789</v>
      </c>
      <c r="J4138" s="3" t="str">
        <f>HYPERLINK("https://www.boe.es/gazeta/dias/1813/06/19/pdfs/GRE-1813-76.pdf#page=4","Abrir facsímil")</f>
        <v>Abrir facsímil</v>
      </c>
      <c r="K4138" s="3" t="s">
        <v>22</v>
      </c>
    </row>
    <row r="4139" spans="1:11" ht="42" customHeight="1">
      <c r="A4139" s="2" t="s">
        <v>8759</v>
      </c>
      <c r="B4139" s="2" t="s">
        <v>8759</v>
      </c>
      <c r="C4139" s="2" t="s">
        <v>16</v>
      </c>
      <c r="D4139" s="2" t="s">
        <v>17</v>
      </c>
      <c r="E4139" s="5">
        <v>-31602</v>
      </c>
      <c r="F4139" s="3" t="s">
        <v>2117</v>
      </c>
      <c r="G4139" s="3" t="s">
        <v>58</v>
      </c>
      <c r="H4139" s="2" t="s">
        <v>20</v>
      </c>
      <c r="I4139" s="2" t="s">
        <v>8790</v>
      </c>
      <c r="J4139" s="3" t="str">
        <f>HYPERLINK("https://www.boe.es/gazeta/dias/1813/06/22/pdfs/GMR-1813-9.pdf#page=2","Abrir facsímil")</f>
        <v>Abrir facsímil</v>
      </c>
      <c r="K4139" s="3" t="s">
        <v>22</v>
      </c>
    </row>
    <row r="4140" spans="1:11" ht="42" customHeight="1">
      <c r="A4140" s="2" t="s">
        <v>8759</v>
      </c>
      <c r="B4140" s="2" t="s">
        <v>8759</v>
      </c>
      <c r="C4140" s="2" t="s">
        <v>16</v>
      </c>
      <c r="D4140" s="2" t="s">
        <v>17</v>
      </c>
      <c r="E4140" s="5">
        <v>-31588</v>
      </c>
      <c r="F4140" s="3" t="s">
        <v>1535</v>
      </c>
      <c r="G4140" s="3" t="s">
        <v>19</v>
      </c>
      <c r="H4140" s="2" t="s">
        <v>20</v>
      </c>
      <c r="I4140" s="2" t="s">
        <v>8791</v>
      </c>
      <c r="J4140" s="3" t="str">
        <f>HYPERLINK("https://www.boe.es/gazeta/dias/1813/07/06/pdfs/GMR-1813-15.pdf#page=4","Abrir facsímil")</f>
        <v>Abrir facsímil</v>
      </c>
      <c r="K4140" s="3" t="s">
        <v>22</v>
      </c>
    </row>
    <row r="4141" spans="1:11" ht="42" customHeight="1">
      <c r="A4141" s="2" t="s">
        <v>8759</v>
      </c>
      <c r="B4141" s="2" t="s">
        <v>8759</v>
      </c>
      <c r="C4141" s="2" t="s">
        <v>16</v>
      </c>
      <c r="D4141" s="2" t="s">
        <v>17</v>
      </c>
      <c r="E4141" s="5">
        <v>-31588</v>
      </c>
      <c r="F4141" s="3" t="s">
        <v>2402</v>
      </c>
      <c r="G4141" s="3" t="s">
        <v>65</v>
      </c>
      <c r="H4141" s="2" t="s">
        <v>20</v>
      </c>
      <c r="I4141" s="2" t="s">
        <v>8792</v>
      </c>
      <c r="J4141" s="3" t="str">
        <f>HYPERLINK("https://www.boe.es/gazeta/dias/1813/07/06/pdfs/GRE-1813-84.pdf#page=1","Abrir facsímil")</f>
        <v>Abrir facsímil</v>
      </c>
      <c r="K4141" s="3" t="s">
        <v>22</v>
      </c>
    </row>
    <row r="4142" spans="1:11" ht="42" customHeight="1">
      <c r="A4142" s="2" t="s">
        <v>8759</v>
      </c>
      <c r="B4142" s="2" t="s">
        <v>8759</v>
      </c>
      <c r="C4142" s="2" t="s">
        <v>16</v>
      </c>
      <c r="D4142" s="2" t="s">
        <v>17</v>
      </c>
      <c r="E4142" s="5">
        <v>-31578</v>
      </c>
      <c r="F4142" s="3" t="s">
        <v>974</v>
      </c>
      <c r="G4142" s="3" t="s">
        <v>2367</v>
      </c>
      <c r="H4142" s="2" t="s">
        <v>20</v>
      </c>
      <c r="I4142" s="2" t="s">
        <v>8793</v>
      </c>
      <c r="J4142" s="3" t="str">
        <f>HYPERLINK("https://www.boe.es/gazeta/dias/1813/07/16/pdfs/GMR-1813-18.pdf#page=6","Abrir facsímil")</f>
        <v>Abrir facsímil</v>
      </c>
      <c r="K4142" s="3" t="s">
        <v>22</v>
      </c>
    </row>
    <row r="4143" spans="1:11" ht="42" customHeight="1">
      <c r="A4143" s="2" t="s">
        <v>8759</v>
      </c>
      <c r="B4143" s="2" t="s">
        <v>8759</v>
      </c>
      <c r="C4143" s="2" t="s">
        <v>25</v>
      </c>
      <c r="D4143" s="2" t="s">
        <v>26</v>
      </c>
      <c r="E4143" s="5">
        <v>-31544</v>
      </c>
      <c r="F4143" s="3" t="s">
        <v>44</v>
      </c>
      <c r="G4143" s="3" t="s">
        <v>65</v>
      </c>
      <c r="H4143" s="2" t="s">
        <v>20</v>
      </c>
      <c r="I4143" s="2" t="s">
        <v>8794</v>
      </c>
      <c r="J4143" s="3" t="str">
        <f>HYPERLINK("https://www.boe.es/gazeta/dias/1813/08/19/pdfs/GMR-1813-30.pdf#page=1","Abrir facsímil")</f>
        <v>Abrir facsímil</v>
      </c>
      <c r="K4143" s="3" t="s">
        <v>22</v>
      </c>
    </row>
    <row r="4144" spans="1:11" ht="42" customHeight="1">
      <c r="A4144" s="2" t="s">
        <v>8795</v>
      </c>
      <c r="B4144" s="2" t="s">
        <v>8796</v>
      </c>
      <c r="C4144" s="2" t="s">
        <v>16</v>
      </c>
      <c r="D4144" s="2" t="s">
        <v>17</v>
      </c>
      <c r="E4144" s="5">
        <v>-31728</v>
      </c>
      <c r="F4144" s="3" t="s">
        <v>1434</v>
      </c>
      <c r="G4144" s="3" t="s">
        <v>54</v>
      </c>
      <c r="H4144" s="2" t="s">
        <v>20</v>
      </c>
      <c r="I4144" s="2" t="s">
        <v>8797</v>
      </c>
      <c r="J4144" s="3" t="str">
        <f>HYPERLINK("https://www.boe.es/gazeta/dias/1813/02/16/pdfs/GRE-1813-20.pdf#page=3","Abrir facsímil")</f>
        <v>Abrir facsímil</v>
      </c>
      <c r="K4144" s="3" t="s">
        <v>22</v>
      </c>
    </row>
    <row r="4145" spans="1:11" ht="42" customHeight="1">
      <c r="A4145" s="2" t="s">
        <v>8798</v>
      </c>
      <c r="B4145" s="2" t="s">
        <v>8799</v>
      </c>
      <c r="C4145" s="2" t="s">
        <v>34</v>
      </c>
      <c r="D4145" s="2" t="s">
        <v>35</v>
      </c>
      <c r="E4145" s="5">
        <v>-31709</v>
      </c>
      <c r="F4145" s="3" t="s">
        <v>36</v>
      </c>
      <c r="G4145" s="3" t="s">
        <v>303</v>
      </c>
      <c r="H4145" s="2" t="s">
        <v>29</v>
      </c>
      <c r="I4145" s="2" t="s">
        <v>8800</v>
      </c>
      <c r="J4145" s="3" t="str">
        <f>HYPERLINK("https://www.boe.es/gazeta/dias/1813/03/07/pdfs/GMD-1813-66.pdf#page=3","Abrir facsímil")</f>
        <v>Abrir facsímil</v>
      </c>
      <c r="K4145" s="3" t="s">
        <v>31</v>
      </c>
    </row>
    <row r="4146" spans="1:11" ht="42" customHeight="1">
      <c r="A4146" s="2" t="s">
        <v>8801</v>
      </c>
      <c r="B4146" s="2" t="s">
        <v>8802</v>
      </c>
      <c r="C4146" s="2" t="s">
        <v>16</v>
      </c>
      <c r="D4146" s="2" t="s">
        <v>17</v>
      </c>
      <c r="E4146" s="5">
        <v>-31451</v>
      </c>
      <c r="F4146" s="3" t="s">
        <v>127</v>
      </c>
      <c r="G4146" s="3" t="s">
        <v>7730</v>
      </c>
      <c r="H4146" s="2" t="s">
        <v>29</v>
      </c>
      <c r="I4146" s="2" t="s">
        <v>8803</v>
      </c>
      <c r="J4146" s="3" t="str">
        <f>HYPERLINK("https://www.boe.es/gazeta/dias/1813/11/20/pdfs/GRE-1813-152.pdf#page=6","Abrir facsímil")</f>
        <v>Abrir facsímil</v>
      </c>
      <c r="K4146" s="3" t="s">
        <v>31</v>
      </c>
    </row>
    <row r="4147" spans="1:11" ht="42" customHeight="1">
      <c r="A4147" s="2" t="s">
        <v>8804</v>
      </c>
      <c r="B4147" s="2" t="s">
        <v>8805</v>
      </c>
      <c r="C4147" s="2" t="s">
        <v>435</v>
      </c>
      <c r="D4147" s="2" t="s">
        <v>26</v>
      </c>
      <c r="E4147" s="5">
        <v>-31479</v>
      </c>
      <c r="F4147" s="3" t="s">
        <v>322</v>
      </c>
      <c r="G4147" s="3" t="s">
        <v>178</v>
      </c>
      <c r="H4147" s="2" t="s">
        <v>29</v>
      </c>
      <c r="I4147" s="2" t="s">
        <v>8806</v>
      </c>
      <c r="J4147" s="3" t="str">
        <f>HYPERLINK("https://www.boe.es/gazeta/dias/1813/10/23/pdfs/GMR-1813-63.pdf#page=11","Abrir facsímil")</f>
        <v>Abrir facsímil</v>
      </c>
      <c r="K4147" s="3" t="s">
        <v>31</v>
      </c>
    </row>
    <row r="4148" spans="1:11" ht="42" customHeight="1">
      <c r="A4148" s="2" t="s">
        <v>8807</v>
      </c>
      <c r="B4148" s="2" t="s">
        <v>8808</v>
      </c>
      <c r="C4148" s="2" t="s">
        <v>25</v>
      </c>
      <c r="D4148" s="2" t="s">
        <v>26</v>
      </c>
      <c r="E4148" s="5">
        <v>-31476</v>
      </c>
      <c r="F4148" s="3" t="s">
        <v>229</v>
      </c>
      <c r="G4148" s="3" t="s">
        <v>230</v>
      </c>
      <c r="H4148" s="2" t="s">
        <v>29</v>
      </c>
      <c r="I4148" s="2" t="s">
        <v>8809</v>
      </c>
      <c r="J4148" s="3" t="str">
        <f>HYPERLINK("https://www.boe.es/gazeta/dias/1813/10/26/pdfs/GRE-1813-140.pdf#page=6","Abrir facsímil")</f>
        <v>Abrir facsímil</v>
      </c>
      <c r="K4148" s="3" t="s">
        <v>31</v>
      </c>
    </row>
    <row r="4149" spans="1:11" ht="42" customHeight="1">
      <c r="A4149" s="2" t="s">
        <v>8810</v>
      </c>
      <c r="B4149" s="2" t="s">
        <v>8810</v>
      </c>
      <c r="C4149" s="2" t="s">
        <v>16</v>
      </c>
      <c r="D4149" s="2" t="s">
        <v>97</v>
      </c>
      <c r="E4149" s="5">
        <v>-31525</v>
      </c>
      <c r="F4149" s="3" t="s">
        <v>6355</v>
      </c>
      <c r="G4149" s="3" t="s">
        <v>65</v>
      </c>
      <c r="H4149" s="2" t="s">
        <v>20</v>
      </c>
      <c r="I4149" s="2" t="s">
        <v>8811</v>
      </c>
      <c r="J4149" s="3" t="str">
        <f>HYPERLINK("https://www.boe.es/gazeta/dias/1813/09/07/pdfs/GMR-1813-39E.pdf#page=1","Abrir facsímil")</f>
        <v>Abrir facsímil</v>
      </c>
      <c r="K4149" s="3" t="s">
        <v>22</v>
      </c>
    </row>
    <row r="4150" spans="1:11" ht="42" customHeight="1">
      <c r="A4150" s="2" t="s">
        <v>8812</v>
      </c>
      <c r="B4150" s="2" t="s">
        <v>8813</v>
      </c>
      <c r="C4150" s="2" t="s">
        <v>25</v>
      </c>
      <c r="D4150" s="2" t="s">
        <v>26</v>
      </c>
      <c r="E4150" s="5">
        <v>-31481</v>
      </c>
      <c r="F4150" s="3" t="s">
        <v>40</v>
      </c>
      <c r="G4150" s="3" t="s">
        <v>28</v>
      </c>
      <c r="H4150" s="2" t="s">
        <v>20</v>
      </c>
      <c r="I4150" s="2" t="s">
        <v>8814</v>
      </c>
      <c r="J4150" s="3" t="str">
        <f>HYPERLINK("https://www.boe.es/gazeta/dias/1813/10/21/pdfs/GMR-1813-62.pdf#page=8","Abrir facsímil")</f>
        <v>Abrir facsímil</v>
      </c>
      <c r="K4150" s="3" t="s">
        <v>22</v>
      </c>
    </row>
    <row r="4151" spans="1:11" ht="42" customHeight="1">
      <c r="A4151" s="2" t="s">
        <v>8815</v>
      </c>
      <c r="B4151" s="2" t="s">
        <v>8816</v>
      </c>
      <c r="C4151" s="2" t="s">
        <v>34</v>
      </c>
      <c r="D4151" s="2" t="s">
        <v>35</v>
      </c>
      <c r="E4151" s="5">
        <v>-31472</v>
      </c>
      <c r="F4151" s="3" t="s">
        <v>143</v>
      </c>
      <c r="G4151" s="3" t="s">
        <v>998</v>
      </c>
      <c r="H4151" s="2" t="s">
        <v>20</v>
      </c>
      <c r="I4151" s="2" t="s">
        <v>8817</v>
      </c>
      <c r="J4151" s="3" t="str">
        <f>HYPERLINK("https://www.boe.es/gazeta/dias/1813/10/30/pdfs/GMR-1813-66.pdf#page=6","Abrir facsímil")</f>
        <v>Abrir facsímil</v>
      </c>
      <c r="K4151" s="3" t="s">
        <v>22</v>
      </c>
    </row>
    <row r="4152" spans="1:11" ht="42" customHeight="1">
      <c r="A4152" s="2" t="s">
        <v>8818</v>
      </c>
      <c r="B4152" s="2" t="s">
        <v>8818</v>
      </c>
      <c r="C4152" s="2" t="s">
        <v>34</v>
      </c>
      <c r="D4152" s="2" t="s">
        <v>35</v>
      </c>
      <c r="E4152" s="5">
        <v>-31642</v>
      </c>
      <c r="F4152" s="3" t="s">
        <v>2091</v>
      </c>
      <c r="G4152" s="3" t="s">
        <v>54</v>
      </c>
      <c r="H4152" s="2" t="s">
        <v>20</v>
      </c>
      <c r="I4152" s="2" t="s">
        <v>8819</v>
      </c>
      <c r="J4152" s="3" t="str">
        <f>HYPERLINK("https://www.boe.es/gazeta/dias/1813/05/13/pdfs/GMD-1813-133.pdf#page=3","Abrir facsímil")</f>
        <v>Abrir facsímil</v>
      </c>
      <c r="K4152" s="3" t="s">
        <v>22</v>
      </c>
    </row>
    <row r="4153" spans="1:11" ht="42" customHeight="1">
      <c r="A4153" s="2" t="s">
        <v>8820</v>
      </c>
      <c r="B4153" s="2" t="s">
        <v>8820</v>
      </c>
      <c r="C4153" s="2" t="s">
        <v>16</v>
      </c>
      <c r="D4153" s="2" t="s">
        <v>17</v>
      </c>
      <c r="E4153" s="5">
        <v>-31595</v>
      </c>
      <c r="F4153" s="3" t="s">
        <v>70</v>
      </c>
      <c r="G4153" s="3" t="s">
        <v>54</v>
      </c>
      <c r="H4153" s="2" t="s">
        <v>20</v>
      </c>
      <c r="I4153" s="2" t="s">
        <v>8821</v>
      </c>
      <c r="J4153" s="3" t="str">
        <f>HYPERLINK("https://www.boe.es/gazeta/dias/1813/06/29/pdfs/GMR-1813-13.pdf#page=3","Abrir facsímil")</f>
        <v>Abrir facsímil</v>
      </c>
      <c r="K4153" s="3" t="s">
        <v>22</v>
      </c>
    </row>
    <row r="4154" spans="1:11" ht="42" customHeight="1">
      <c r="A4154" s="2" t="s">
        <v>8822</v>
      </c>
      <c r="B4154" s="2" t="s">
        <v>8823</v>
      </c>
      <c r="C4154" s="2" t="s">
        <v>25</v>
      </c>
      <c r="D4154" s="2" t="s">
        <v>26</v>
      </c>
      <c r="E4154" s="5">
        <v>-31745</v>
      </c>
      <c r="F4154" s="3" t="s">
        <v>445</v>
      </c>
      <c r="G4154" s="3" t="s">
        <v>28</v>
      </c>
      <c r="H4154" s="2" t="s">
        <v>20</v>
      </c>
      <c r="I4154" s="2" t="s">
        <v>8824</v>
      </c>
      <c r="J4154" s="3" t="str">
        <f>HYPERLINK("https://www.boe.es/gazeta/dias/1813/01/30/pdfs/GRE-1813-13.pdf#page=8","Abrir facsímil")</f>
        <v>Abrir facsímil</v>
      </c>
      <c r="K4154" s="3" t="s">
        <v>22</v>
      </c>
    </row>
    <row r="4155" spans="1:11" ht="42" customHeight="1">
      <c r="A4155" s="2" t="s">
        <v>8825</v>
      </c>
      <c r="B4155" s="2" t="s">
        <v>8826</v>
      </c>
      <c r="C4155" s="2" t="s">
        <v>25</v>
      </c>
      <c r="D4155" s="2" t="s">
        <v>26</v>
      </c>
      <c r="E4155" s="5">
        <v>-31752</v>
      </c>
      <c r="F4155" s="3" t="s">
        <v>182</v>
      </c>
      <c r="G4155" s="3" t="s">
        <v>183</v>
      </c>
      <c r="H4155" s="2" t="s">
        <v>20</v>
      </c>
      <c r="I4155" s="2" t="s">
        <v>8827</v>
      </c>
      <c r="J4155" s="3" t="str">
        <f>HYPERLINK("https://www.boe.es/gazeta/dias/1813/01/23/pdfs/GRE-1813-10.pdf#page=8","Abrir facsímil")</f>
        <v>Abrir facsímil</v>
      </c>
      <c r="K4155" s="3" t="s">
        <v>22</v>
      </c>
    </row>
    <row r="4156" spans="1:11" ht="42" customHeight="1">
      <c r="A4156" s="2" t="s">
        <v>8828</v>
      </c>
      <c r="B4156" s="2" t="s">
        <v>8829</v>
      </c>
      <c r="C4156" s="2" t="s">
        <v>16</v>
      </c>
      <c r="D4156" s="2" t="s">
        <v>17</v>
      </c>
      <c r="E4156" s="5">
        <v>-31714</v>
      </c>
      <c r="F4156" s="3" t="s">
        <v>479</v>
      </c>
      <c r="G4156" s="3" t="s">
        <v>480</v>
      </c>
      <c r="H4156" s="2" t="s">
        <v>20</v>
      </c>
      <c r="I4156" s="2" t="s">
        <v>8830</v>
      </c>
      <c r="J4156" s="3" t="str">
        <f>HYPERLINK("https://www.boe.es/gazeta/dias/1813/03/02/pdfs/GRE-1813-27.pdf#page=5","Abrir facsímil")</f>
        <v>Abrir facsímil</v>
      </c>
      <c r="K4156" s="3" t="s">
        <v>22</v>
      </c>
    </row>
    <row r="4157" spans="1:11" ht="42" customHeight="1">
      <c r="A4157" s="2" t="s">
        <v>8831</v>
      </c>
      <c r="B4157" s="2" t="s">
        <v>8831</v>
      </c>
      <c r="C4157" s="2" t="s">
        <v>16</v>
      </c>
      <c r="D4157" s="2" t="s">
        <v>17</v>
      </c>
      <c r="E4157" s="5">
        <v>-31502</v>
      </c>
      <c r="F4157" s="3" t="s">
        <v>1363</v>
      </c>
      <c r="G4157" s="3" t="s">
        <v>82</v>
      </c>
      <c r="H4157" s="2" t="s">
        <v>20</v>
      </c>
      <c r="I4157" s="2" t="s">
        <v>8832</v>
      </c>
      <c r="J4157" s="3" t="str">
        <f>HYPERLINK("https://www.boe.es/gazeta/dias/1813/09/30/pdfs/GRE-1813-128.pdf#page=5","Abrir facsímil")</f>
        <v>Abrir facsímil</v>
      </c>
      <c r="K4157" s="3" t="s">
        <v>22</v>
      </c>
    </row>
    <row r="4158" spans="1:11" ht="42" customHeight="1">
      <c r="A4158" s="2" t="s">
        <v>8833</v>
      </c>
      <c r="B4158" s="2" t="s">
        <v>8834</v>
      </c>
      <c r="C4158" s="2" t="s">
        <v>16</v>
      </c>
      <c r="D4158" s="2" t="s">
        <v>17</v>
      </c>
      <c r="E4158" s="5">
        <v>-31460</v>
      </c>
      <c r="F4158" s="3" t="s">
        <v>599</v>
      </c>
      <c r="G4158" s="3" t="s">
        <v>849</v>
      </c>
      <c r="H4158" s="2" t="s">
        <v>20</v>
      </c>
      <c r="I4158" s="2" t="s">
        <v>8835</v>
      </c>
      <c r="J4158" s="3" t="str">
        <f>HYPERLINK("https://www.boe.es/gazeta/dias/1813/11/11/pdfs/GMR-1813-72.pdf#page=12","Abrir facsímil")</f>
        <v>Abrir facsímil</v>
      </c>
      <c r="K4158" s="3" t="s">
        <v>22</v>
      </c>
    </row>
    <row r="4159" spans="1:11" ht="42" customHeight="1">
      <c r="A4159" s="2" t="s">
        <v>8836</v>
      </c>
      <c r="B4159" s="2" t="s">
        <v>8836</v>
      </c>
      <c r="C4159" s="2" t="s">
        <v>25</v>
      </c>
      <c r="D4159" s="2" t="s">
        <v>26</v>
      </c>
      <c r="E4159" s="5">
        <v>-31742</v>
      </c>
      <c r="F4159" s="3" t="s">
        <v>2051</v>
      </c>
      <c r="G4159" s="3" t="s">
        <v>19</v>
      </c>
      <c r="H4159" s="2" t="s">
        <v>20</v>
      </c>
      <c r="I4159" s="2" t="s">
        <v>8837</v>
      </c>
      <c r="J4159" s="3" t="str">
        <f>HYPERLINK("https://www.boe.es/gazeta/dias/1813/02/02/pdfs/GMD-1813-33.pdf#page=4","Abrir facsímil")</f>
        <v>Abrir facsímil</v>
      </c>
      <c r="K4159" s="3" t="s">
        <v>22</v>
      </c>
    </row>
    <row r="4160" spans="1:11" ht="42" customHeight="1">
      <c r="A4160" s="2" t="s">
        <v>8838</v>
      </c>
      <c r="B4160" s="2" t="s">
        <v>8839</v>
      </c>
      <c r="C4160" s="2" t="s">
        <v>25</v>
      </c>
      <c r="D4160" s="2" t="s">
        <v>26</v>
      </c>
      <c r="E4160" s="5">
        <v>-31689</v>
      </c>
      <c r="F4160" s="3" t="s">
        <v>48</v>
      </c>
      <c r="G4160" s="3" t="s">
        <v>5904</v>
      </c>
      <c r="H4160" s="2" t="s">
        <v>20</v>
      </c>
      <c r="I4160" s="2" t="s">
        <v>8840</v>
      </c>
      <c r="J4160" s="3" t="str">
        <f>HYPERLINK("https://www.boe.es/gazeta/dias/1813/03/27/pdfs/GRE-1813-38.pdf#page=6","Abrir facsímil")</f>
        <v>Abrir facsímil</v>
      </c>
      <c r="K4160" s="3" t="s">
        <v>22</v>
      </c>
    </row>
    <row r="4161" spans="1:11" ht="42" customHeight="1">
      <c r="A4161" s="2" t="s">
        <v>8838</v>
      </c>
      <c r="B4161" s="2" t="s">
        <v>8839</v>
      </c>
      <c r="C4161" s="2" t="s">
        <v>6059</v>
      </c>
      <c r="D4161" s="2" t="s">
        <v>35</v>
      </c>
      <c r="E4161" s="5">
        <v>-31689</v>
      </c>
      <c r="F4161" s="3" t="s">
        <v>48</v>
      </c>
      <c r="G4161" s="3" t="s">
        <v>49</v>
      </c>
      <c r="H4161" s="2" t="s">
        <v>20</v>
      </c>
      <c r="I4161" s="2" t="s">
        <v>8841</v>
      </c>
      <c r="J4161" s="3" t="str">
        <f>HYPERLINK("https://www.boe.es/gazeta/dias/1813/03/27/pdfs/GRE-1813-38.pdf#page=7","Abrir facsímil")</f>
        <v>Abrir facsímil</v>
      </c>
      <c r="K4161" s="3" t="s">
        <v>22</v>
      </c>
    </row>
    <row r="4162" spans="1:11" ht="42" customHeight="1">
      <c r="A4162" s="2" t="s">
        <v>8838</v>
      </c>
      <c r="B4162" s="2" t="s">
        <v>8839</v>
      </c>
      <c r="C4162" s="2" t="s">
        <v>16</v>
      </c>
      <c r="D4162" s="2" t="s">
        <v>17</v>
      </c>
      <c r="E4162" s="5">
        <v>-31677</v>
      </c>
      <c r="F4162" s="3" t="s">
        <v>76</v>
      </c>
      <c r="G4162" s="3" t="s">
        <v>95</v>
      </c>
      <c r="H4162" s="2" t="s">
        <v>20</v>
      </c>
      <c r="I4162" s="2" t="s">
        <v>8842</v>
      </c>
      <c r="J4162" s="3" t="str">
        <f>HYPERLINK("https://www.boe.es/gazeta/dias/1813/04/08/pdfs/GRE-1813-43.pdf#page=6","Abrir facsímil")</f>
        <v>Abrir facsímil</v>
      </c>
      <c r="K4162" s="3" t="s">
        <v>22</v>
      </c>
    </row>
    <row r="4163" spans="1:11" ht="42" customHeight="1">
      <c r="A4163" s="2" t="s">
        <v>8838</v>
      </c>
      <c r="B4163" s="2" t="s">
        <v>8839</v>
      </c>
      <c r="C4163" s="2" t="s">
        <v>16</v>
      </c>
      <c r="D4163" s="2" t="s">
        <v>17</v>
      </c>
      <c r="E4163" s="5">
        <v>-31670</v>
      </c>
      <c r="F4163" s="3" t="s">
        <v>92</v>
      </c>
      <c r="G4163" s="3" t="s">
        <v>1243</v>
      </c>
      <c r="H4163" s="2" t="s">
        <v>20</v>
      </c>
      <c r="I4163" s="2" t="s">
        <v>8843</v>
      </c>
      <c r="J4163" s="3" t="str">
        <f>HYPERLINK("https://www.boe.es/gazeta/dias/1813/04/15/pdfs/GRE-1813-46.pdf#page=8","Abrir facsímil")</f>
        <v>Abrir facsímil</v>
      </c>
      <c r="K4163" s="3" t="s">
        <v>22</v>
      </c>
    </row>
    <row r="4164" spans="1:11" ht="42" customHeight="1">
      <c r="A4164" s="2" t="s">
        <v>8838</v>
      </c>
      <c r="B4164" s="2" t="s">
        <v>8839</v>
      </c>
      <c r="C4164" s="2" t="s">
        <v>25</v>
      </c>
      <c r="D4164" s="2" t="s">
        <v>26</v>
      </c>
      <c r="E4164" s="5">
        <v>-31663</v>
      </c>
      <c r="F4164" s="3" t="s">
        <v>2638</v>
      </c>
      <c r="G4164" s="3" t="s">
        <v>5913</v>
      </c>
      <c r="H4164" s="2" t="s">
        <v>20</v>
      </c>
      <c r="I4164" s="2" t="s">
        <v>8844</v>
      </c>
      <c r="J4164" s="3" t="str">
        <f>HYPERLINK("https://www.boe.es/gazeta/dias/1813/04/22/pdfs/GRE-1813-50.pdf#page=5","Abrir facsímil")</f>
        <v>Abrir facsímil</v>
      </c>
      <c r="K4164" s="3" t="s">
        <v>22</v>
      </c>
    </row>
    <row r="4165" spans="1:11" ht="42" customHeight="1">
      <c r="A4165" s="2" t="s">
        <v>8838</v>
      </c>
      <c r="B4165" s="2" t="s">
        <v>8839</v>
      </c>
      <c r="C4165" s="2" t="s">
        <v>16</v>
      </c>
      <c r="D4165" s="2" t="s">
        <v>17</v>
      </c>
      <c r="E4165" s="5">
        <v>-31572</v>
      </c>
      <c r="F4165" s="3" t="s">
        <v>317</v>
      </c>
      <c r="G4165" s="3" t="s">
        <v>28</v>
      </c>
      <c r="H4165" s="2" t="s">
        <v>20</v>
      </c>
      <c r="I4165" s="2" t="s">
        <v>8845</v>
      </c>
      <c r="J4165" s="3" t="str">
        <f>HYPERLINK("https://www.boe.es/gazeta/dias/1813/07/22/pdfs/GRE-1813-93.pdf#page=8","Abrir facsímil")</f>
        <v>Abrir facsímil</v>
      </c>
      <c r="K4165" s="3" t="s">
        <v>22</v>
      </c>
    </row>
    <row r="4166" spans="1:11" ht="42" customHeight="1">
      <c r="A4166" s="2" t="s">
        <v>8846</v>
      </c>
      <c r="B4166" s="2" t="s">
        <v>8847</v>
      </c>
      <c r="C4166" s="2" t="s">
        <v>34</v>
      </c>
      <c r="D4166" s="2" t="s">
        <v>35</v>
      </c>
      <c r="E4166" s="5">
        <v>-31709</v>
      </c>
      <c r="F4166" s="3" t="s">
        <v>36</v>
      </c>
      <c r="G4166" s="3" t="s">
        <v>19</v>
      </c>
      <c r="H4166" s="2" t="s">
        <v>20</v>
      </c>
      <c r="I4166" s="2" t="s">
        <v>8848</v>
      </c>
      <c r="J4166" s="3" t="str">
        <f>HYPERLINK("https://www.boe.es/gazeta/dias/1813/03/07/pdfs/GMD-1813-66.pdf#page=4","Abrir facsímil")</f>
        <v>Abrir facsímil</v>
      </c>
      <c r="K4166" s="3" t="s">
        <v>22</v>
      </c>
    </row>
    <row r="4167" spans="1:11" ht="42" customHeight="1">
      <c r="A4167" s="2" t="s">
        <v>8849</v>
      </c>
      <c r="B4167" s="2" t="s">
        <v>8849</v>
      </c>
      <c r="C4167" s="2" t="s">
        <v>16</v>
      </c>
      <c r="D4167" s="2" t="s">
        <v>17</v>
      </c>
      <c r="E4167" s="5">
        <v>-31621</v>
      </c>
      <c r="F4167" s="3" t="s">
        <v>1825</v>
      </c>
      <c r="G4167" s="3" t="s">
        <v>19</v>
      </c>
      <c r="H4167" s="2" t="s">
        <v>20</v>
      </c>
      <c r="I4167" s="2" t="s">
        <v>8850</v>
      </c>
      <c r="J4167" s="3" t="str">
        <f>HYPERLINK("https://www.boe.es/gazeta/dias/1813/06/03/pdfs/GMR-1813-1.pdf#page=4","Abrir facsímil")</f>
        <v>Abrir facsímil</v>
      </c>
      <c r="K4167" s="3" t="s">
        <v>22</v>
      </c>
    </row>
    <row r="4168" spans="1:11" ht="42" customHeight="1">
      <c r="A4168" s="2" t="s">
        <v>8851</v>
      </c>
      <c r="B4168" s="2" t="s">
        <v>8851</v>
      </c>
      <c r="C4168" s="2" t="s">
        <v>25</v>
      </c>
      <c r="D4168" s="2" t="s">
        <v>26</v>
      </c>
      <c r="E4168" s="5">
        <v>-31631</v>
      </c>
      <c r="F4168" s="3" t="s">
        <v>2792</v>
      </c>
      <c r="G4168" s="3" t="s">
        <v>65</v>
      </c>
      <c r="H4168" s="2" t="s">
        <v>20</v>
      </c>
      <c r="I4168" s="2" t="s">
        <v>8852</v>
      </c>
      <c r="J4168" s="3" t="str">
        <f>HYPERLINK("https://www.boe.es/gazeta/dias/1813/05/24/pdfs/GMD-1813-144.pdf#page=1","Abrir facsímil")</f>
        <v>Abrir facsímil</v>
      </c>
      <c r="K4168" s="3" t="s">
        <v>22</v>
      </c>
    </row>
    <row r="4169" spans="1:11" ht="42" customHeight="1">
      <c r="A4169" s="2" t="s">
        <v>8853</v>
      </c>
      <c r="B4169" s="2" t="s">
        <v>8853</v>
      </c>
      <c r="C4169" s="2" t="s">
        <v>16</v>
      </c>
      <c r="D4169" s="2" t="s">
        <v>17</v>
      </c>
      <c r="E4169" s="5">
        <v>-31462</v>
      </c>
      <c r="F4169" s="3" t="s">
        <v>1028</v>
      </c>
      <c r="G4169" s="3" t="s">
        <v>82</v>
      </c>
      <c r="H4169" s="2" t="s">
        <v>20</v>
      </c>
      <c r="I4169" s="2" t="s">
        <v>8854</v>
      </c>
      <c r="J4169" s="3" t="str">
        <f>HYPERLINK("https://www.boe.es/gazeta/dias/1813/11/09/pdfs/GMR-1813-71.pdf#page=5","Abrir facsímil")</f>
        <v>Abrir facsímil</v>
      </c>
      <c r="K4169" s="3" t="s">
        <v>22</v>
      </c>
    </row>
    <row r="4170" spans="1:11" ht="42" customHeight="1">
      <c r="A4170" s="2" t="s">
        <v>8855</v>
      </c>
      <c r="B4170" s="2" t="s">
        <v>8856</v>
      </c>
      <c r="C4170" s="2" t="s">
        <v>25</v>
      </c>
      <c r="D4170" s="2" t="s">
        <v>26</v>
      </c>
      <c r="E4170" s="5">
        <v>-31714</v>
      </c>
      <c r="F4170" s="3" t="s">
        <v>479</v>
      </c>
      <c r="G4170" s="3" t="s">
        <v>1002</v>
      </c>
      <c r="H4170" s="2" t="s">
        <v>20</v>
      </c>
      <c r="I4170" s="2" t="s">
        <v>8857</v>
      </c>
      <c r="J4170" s="3" t="str">
        <f>HYPERLINK("https://www.boe.es/gazeta/dias/1813/03/02/pdfs/GRE-1813-27.pdf#page=7","Abrir facsímil")</f>
        <v>Abrir facsímil</v>
      </c>
      <c r="K4170" s="3" t="s">
        <v>22</v>
      </c>
    </row>
    <row r="4171" spans="1:11" ht="42" customHeight="1">
      <c r="A4171" s="2" t="s">
        <v>8858</v>
      </c>
      <c r="B4171" s="2" t="s">
        <v>8859</v>
      </c>
      <c r="C4171" s="2" t="s">
        <v>25</v>
      </c>
      <c r="D4171" s="2" t="s">
        <v>26</v>
      </c>
      <c r="E4171" s="5">
        <v>-31719</v>
      </c>
      <c r="F4171" s="3" t="s">
        <v>1770</v>
      </c>
      <c r="G4171" s="3" t="s">
        <v>95</v>
      </c>
      <c r="H4171" s="2" t="s">
        <v>20</v>
      </c>
      <c r="I4171" s="2" t="s">
        <v>8860</v>
      </c>
      <c r="J4171" s="3" t="str">
        <f>HYPERLINK("https://www.boe.es/gazeta/dias/1813/02/25/pdfs/GRE-1813-24.pdf#page=6","Abrir facsímil")</f>
        <v>Abrir facsímil</v>
      </c>
      <c r="K4171" s="3" t="s">
        <v>22</v>
      </c>
    </row>
    <row r="4172" spans="1:11" ht="42" customHeight="1">
      <c r="A4172" s="2" t="s">
        <v>8858</v>
      </c>
      <c r="B4172" s="2" t="s">
        <v>8859</v>
      </c>
      <c r="C4172" s="2" t="s">
        <v>25</v>
      </c>
      <c r="D4172" s="2" t="s">
        <v>26</v>
      </c>
      <c r="E4172" s="5">
        <v>-31719</v>
      </c>
      <c r="F4172" s="3" t="s">
        <v>1770</v>
      </c>
      <c r="G4172" s="3" t="s">
        <v>28</v>
      </c>
      <c r="H4172" s="2" t="s">
        <v>20</v>
      </c>
      <c r="I4172" s="2" t="s">
        <v>8861</v>
      </c>
      <c r="J4172" s="3" t="str">
        <f>HYPERLINK("https://www.boe.es/gazeta/dias/1813/02/25/pdfs/GRE-1813-24.pdf#page=8","Abrir facsímil")</f>
        <v>Abrir facsímil</v>
      </c>
      <c r="K4172" s="3" t="s">
        <v>22</v>
      </c>
    </row>
    <row r="4173" spans="1:11" ht="42" customHeight="1">
      <c r="A4173" s="2" t="s">
        <v>8858</v>
      </c>
      <c r="B4173" s="2" t="s">
        <v>8859</v>
      </c>
      <c r="C4173" s="2" t="s">
        <v>25</v>
      </c>
      <c r="D4173" s="2" t="s">
        <v>26</v>
      </c>
      <c r="E4173" s="5">
        <v>-31714</v>
      </c>
      <c r="F4173" s="3" t="s">
        <v>479</v>
      </c>
      <c r="G4173" s="3" t="s">
        <v>1002</v>
      </c>
      <c r="H4173" s="2" t="s">
        <v>20</v>
      </c>
      <c r="I4173" s="2" t="s">
        <v>8862</v>
      </c>
      <c r="J4173" s="3" t="str">
        <f>HYPERLINK("https://www.boe.es/gazeta/dias/1813/03/02/pdfs/GRE-1813-27.pdf#page=7","Abrir facsímil")</f>
        <v>Abrir facsímil</v>
      </c>
      <c r="K4173" s="3" t="s">
        <v>22</v>
      </c>
    </row>
    <row r="4174" spans="1:11" ht="42" customHeight="1">
      <c r="A4174" s="2" t="s">
        <v>8863</v>
      </c>
      <c r="B4174" s="2" t="s">
        <v>8863</v>
      </c>
      <c r="C4174" s="2" t="s">
        <v>277</v>
      </c>
      <c r="D4174" s="2" t="s">
        <v>26</v>
      </c>
      <c r="E4174" s="5">
        <v>-31638</v>
      </c>
      <c r="F4174" s="3" t="s">
        <v>1635</v>
      </c>
      <c r="G4174" s="3" t="s">
        <v>58</v>
      </c>
      <c r="H4174" s="2" t="s">
        <v>20</v>
      </c>
      <c r="I4174" s="2" t="s">
        <v>8864</v>
      </c>
      <c r="J4174" s="3" t="str">
        <f>HYPERLINK("https://www.boe.es/gazeta/dias/1813/05/17/pdfs/GMD-1813-137.pdf#page=2","Abrir facsímil")</f>
        <v>Abrir facsímil</v>
      </c>
      <c r="K4174" s="3" t="s">
        <v>22</v>
      </c>
    </row>
    <row r="4175" spans="1:11" ht="42" customHeight="1">
      <c r="A4175" s="2" t="s">
        <v>8865</v>
      </c>
      <c r="B4175" s="2" t="s">
        <v>8865</v>
      </c>
      <c r="C4175" s="2" t="s">
        <v>16</v>
      </c>
      <c r="D4175" s="2" t="s">
        <v>17</v>
      </c>
      <c r="E4175" s="5">
        <v>-31537</v>
      </c>
      <c r="F4175" s="3" t="s">
        <v>138</v>
      </c>
      <c r="G4175" s="3" t="s">
        <v>65</v>
      </c>
      <c r="H4175" s="2" t="s">
        <v>20</v>
      </c>
      <c r="I4175" s="2" t="s">
        <v>8866</v>
      </c>
      <c r="J4175" s="3" t="str">
        <f>HYPERLINK("https://www.boe.es/gazeta/dias/1813/08/26/pdfs/GMR-1813-33.pdf#page=1","Abrir facsímil")</f>
        <v>Abrir facsímil</v>
      </c>
      <c r="K4175" s="3" t="s">
        <v>22</v>
      </c>
    </row>
    <row r="4176" spans="1:11" ht="42" customHeight="1">
      <c r="A4176" s="2" t="s">
        <v>8865</v>
      </c>
      <c r="B4176" s="2" t="s">
        <v>8865</v>
      </c>
      <c r="C4176" s="2" t="s">
        <v>16</v>
      </c>
      <c r="D4176" s="2" t="s">
        <v>17</v>
      </c>
      <c r="E4176" s="5">
        <v>-31537</v>
      </c>
      <c r="F4176" s="3" t="s">
        <v>138</v>
      </c>
      <c r="G4176" s="3" t="s">
        <v>58</v>
      </c>
      <c r="H4176" s="2" t="s">
        <v>20</v>
      </c>
      <c r="I4176" s="2" t="s">
        <v>8867</v>
      </c>
      <c r="J4176" s="3" t="str">
        <f>HYPERLINK("https://www.boe.es/gazeta/dias/1813/08/26/pdfs/GMR-1813-33.pdf#page=2","Abrir facsímil")</f>
        <v>Abrir facsímil</v>
      </c>
      <c r="K4176" s="3" t="s">
        <v>22</v>
      </c>
    </row>
    <row r="4177" spans="1:11" ht="42" customHeight="1">
      <c r="A4177" s="2" t="s">
        <v>8865</v>
      </c>
      <c r="B4177" s="2" t="s">
        <v>8865</v>
      </c>
      <c r="C4177" s="2" t="s">
        <v>16</v>
      </c>
      <c r="D4177" s="2" t="s">
        <v>17</v>
      </c>
      <c r="E4177" s="5">
        <v>-31444</v>
      </c>
      <c r="F4177" s="3" t="s">
        <v>389</v>
      </c>
      <c r="G4177" s="3" t="s">
        <v>95</v>
      </c>
      <c r="H4177" s="2" t="s">
        <v>20</v>
      </c>
      <c r="I4177" s="2" t="s">
        <v>8868</v>
      </c>
      <c r="J4177" s="3" t="str">
        <f>HYPERLINK("https://www.boe.es/gazeta/dias/1813/11/27/pdfs/GMR-1813-80.pdf#page=6","Abrir facsímil")</f>
        <v>Abrir facsímil</v>
      </c>
      <c r="K4177" s="3" t="s">
        <v>22</v>
      </c>
    </row>
    <row r="4178" spans="1:11" ht="42" customHeight="1">
      <c r="A4178" s="2" t="s">
        <v>8869</v>
      </c>
      <c r="B4178" s="2" t="s">
        <v>8870</v>
      </c>
      <c r="C4178" s="2" t="s">
        <v>25</v>
      </c>
      <c r="D4178" s="2" t="s">
        <v>26</v>
      </c>
      <c r="E4178" s="5">
        <v>-31770</v>
      </c>
      <c r="F4178" s="3" t="s">
        <v>1738</v>
      </c>
      <c r="G4178" s="3" t="s">
        <v>95</v>
      </c>
      <c r="H4178" s="2" t="s">
        <v>20</v>
      </c>
      <c r="I4178" s="2" t="s">
        <v>8871</v>
      </c>
      <c r="J4178" s="3" t="str">
        <f>HYPERLINK("https://www.boe.es/gazeta/dias/1813/01/05/pdfs/GRE-1813-2.pdf#page=6","Abrir facsímil")</f>
        <v>Abrir facsímil</v>
      </c>
      <c r="K4178" s="3" t="s">
        <v>22</v>
      </c>
    </row>
    <row r="4179" spans="1:11" ht="42" customHeight="1">
      <c r="A4179" s="2" t="s">
        <v>8869</v>
      </c>
      <c r="B4179" s="2" t="s">
        <v>8870</v>
      </c>
      <c r="C4179" s="2" t="s">
        <v>16</v>
      </c>
      <c r="D4179" s="2" t="s">
        <v>17</v>
      </c>
      <c r="E4179" s="5">
        <v>-31770</v>
      </c>
      <c r="F4179" s="3" t="s">
        <v>188</v>
      </c>
      <c r="G4179" s="3" t="s">
        <v>8872</v>
      </c>
      <c r="H4179" s="2" t="s">
        <v>20</v>
      </c>
      <c r="I4179" s="2" t="s">
        <v>8873</v>
      </c>
      <c r="J4179" s="3" t="str">
        <f>HYPERLINK("https://www.boe.es/gazeta/dias/1813/01/05/pdfs/GRE-1813-3.pdf#page=7","Abrir facsímil")</f>
        <v>Abrir facsímil</v>
      </c>
      <c r="K4179" s="3" t="s">
        <v>22</v>
      </c>
    </row>
    <row r="4180" spans="1:11" ht="42" customHeight="1">
      <c r="A4180" s="2" t="s">
        <v>8869</v>
      </c>
      <c r="B4180" s="2" t="s">
        <v>8870</v>
      </c>
      <c r="C4180" s="2" t="s">
        <v>16</v>
      </c>
      <c r="D4180" s="2" t="s">
        <v>17</v>
      </c>
      <c r="E4180" s="5">
        <v>-31768</v>
      </c>
      <c r="F4180" s="3" t="s">
        <v>188</v>
      </c>
      <c r="G4180" s="3" t="s">
        <v>8872</v>
      </c>
      <c r="H4180" s="2" t="s">
        <v>20</v>
      </c>
      <c r="I4180" s="2" t="s">
        <v>8873</v>
      </c>
      <c r="J4180" s="3" t="str">
        <f>HYPERLINK("https://www.boe.es/gazeta/dias/1813/01/07/pdfs/GRE-1813-3.pdf#page=7","Abrir facsímil")</f>
        <v>Abrir facsímil</v>
      </c>
      <c r="K4180" s="3" t="s">
        <v>22</v>
      </c>
    </row>
    <row r="4181" spans="1:11" ht="42" customHeight="1">
      <c r="A4181" s="2" t="s">
        <v>8869</v>
      </c>
      <c r="B4181" s="2" t="s">
        <v>8870</v>
      </c>
      <c r="C4181" s="2" t="s">
        <v>16</v>
      </c>
      <c r="D4181" s="2" t="s">
        <v>17</v>
      </c>
      <c r="E4181" s="5">
        <v>-31745</v>
      </c>
      <c r="F4181" s="3" t="s">
        <v>445</v>
      </c>
      <c r="G4181" s="3" t="s">
        <v>8874</v>
      </c>
      <c r="H4181" s="2" t="s">
        <v>20</v>
      </c>
      <c r="I4181" s="2" t="s">
        <v>8875</v>
      </c>
      <c r="J4181" s="3" t="str">
        <f>HYPERLINK("https://www.boe.es/gazeta/dias/1813/01/30/pdfs/GRE-1813-13.pdf#page=5","Abrir facsímil")</f>
        <v>Abrir facsímil</v>
      </c>
      <c r="K4181" s="3" t="s">
        <v>22</v>
      </c>
    </row>
    <row r="4182" spans="1:11" ht="42" customHeight="1">
      <c r="A4182" s="2" t="s">
        <v>8869</v>
      </c>
      <c r="B4182" s="2" t="s">
        <v>8870</v>
      </c>
      <c r="C4182" s="2" t="s">
        <v>16</v>
      </c>
      <c r="D4182" s="2" t="s">
        <v>17</v>
      </c>
      <c r="E4182" s="5">
        <v>-31481</v>
      </c>
      <c r="F4182" s="3" t="s">
        <v>380</v>
      </c>
      <c r="G4182" s="3" t="s">
        <v>794</v>
      </c>
      <c r="H4182" s="2" t="s">
        <v>20</v>
      </c>
      <c r="I4182" s="2" t="s">
        <v>8876</v>
      </c>
      <c r="J4182" s="3" t="str">
        <f>HYPERLINK("https://www.boe.es/gazeta/dias/1813/10/21/pdfs/GRE-1813-137.pdf#page=7","Abrir facsímil")</f>
        <v>Abrir facsímil</v>
      </c>
      <c r="K4182" s="3" t="s">
        <v>22</v>
      </c>
    </row>
    <row r="4183" spans="1:11" ht="42" customHeight="1">
      <c r="A4183" s="2" t="s">
        <v>8877</v>
      </c>
      <c r="B4183" s="2" t="s">
        <v>8878</v>
      </c>
      <c r="C4183" s="2" t="s">
        <v>25</v>
      </c>
      <c r="D4183" s="2" t="s">
        <v>26</v>
      </c>
      <c r="E4183" s="5">
        <v>-31745</v>
      </c>
      <c r="F4183" s="3" t="s">
        <v>445</v>
      </c>
      <c r="G4183" s="3" t="s">
        <v>475</v>
      </c>
      <c r="H4183" s="2" t="s">
        <v>20</v>
      </c>
      <c r="I4183" s="2" t="s">
        <v>8879</v>
      </c>
      <c r="J4183" s="3" t="str">
        <f>HYPERLINK("https://www.boe.es/gazeta/dias/1813/01/30/pdfs/GRE-1813-13.pdf#page=7","Abrir facsímil")</f>
        <v>Abrir facsímil</v>
      </c>
      <c r="K4183" s="3" t="s">
        <v>22</v>
      </c>
    </row>
    <row r="4184" spans="1:11" ht="42" customHeight="1">
      <c r="A4184" s="2" t="s">
        <v>8877</v>
      </c>
      <c r="B4184" s="2" t="s">
        <v>8878</v>
      </c>
      <c r="C4184" s="2" t="s">
        <v>16</v>
      </c>
      <c r="D4184" s="2" t="s">
        <v>17</v>
      </c>
      <c r="E4184" s="5">
        <v>-31637</v>
      </c>
      <c r="F4184" s="3" t="s">
        <v>234</v>
      </c>
      <c r="G4184" s="3" t="s">
        <v>19</v>
      </c>
      <c r="H4184" s="2" t="s">
        <v>20</v>
      </c>
      <c r="I4184" s="2" t="s">
        <v>8880</v>
      </c>
      <c r="J4184" s="3" t="str">
        <f>HYPERLINK("https://www.boe.es/gazeta/dias/1813/05/18/pdfs/GRE-1813-61.pdf#page=4","Abrir facsímil")</f>
        <v>Abrir facsímil</v>
      </c>
      <c r="K4184" s="3" t="s">
        <v>22</v>
      </c>
    </row>
    <row r="4185" spans="1:11" ht="42" customHeight="1">
      <c r="A4185" s="2" t="s">
        <v>8881</v>
      </c>
      <c r="B4185" s="2" t="s">
        <v>8882</v>
      </c>
      <c r="C4185" s="2" t="s">
        <v>16</v>
      </c>
      <c r="D4185" s="2" t="s">
        <v>17</v>
      </c>
      <c r="E4185" s="5">
        <v>-31726</v>
      </c>
      <c r="F4185" s="3" t="s">
        <v>533</v>
      </c>
      <c r="G4185" s="3" t="s">
        <v>1377</v>
      </c>
      <c r="H4185" s="2" t="s">
        <v>20</v>
      </c>
      <c r="I4185" s="2" t="s">
        <v>8883</v>
      </c>
      <c r="J4185" s="3" t="str">
        <f>HYPERLINK("https://www.boe.es/gazeta/dias/1813/02/18/pdfs/GRE-1813-21.pdf#page=3","Abrir facsímil")</f>
        <v>Abrir facsímil</v>
      </c>
      <c r="K4185" s="3" t="s">
        <v>22</v>
      </c>
    </row>
    <row r="4186" spans="1:11" ht="42" customHeight="1">
      <c r="A4186" s="2" t="s">
        <v>8884</v>
      </c>
      <c r="B4186" s="2" t="s">
        <v>8884</v>
      </c>
      <c r="C4186" s="2" t="s">
        <v>16</v>
      </c>
      <c r="D4186" s="2" t="s">
        <v>17</v>
      </c>
      <c r="E4186" s="5">
        <v>-31654</v>
      </c>
      <c r="F4186" s="3" t="s">
        <v>1519</v>
      </c>
      <c r="G4186" s="3" t="s">
        <v>1638</v>
      </c>
      <c r="H4186" s="2" t="s">
        <v>20</v>
      </c>
      <c r="I4186" s="2" t="s">
        <v>8885</v>
      </c>
      <c r="J4186" s="3" t="str">
        <f>HYPERLINK("https://www.boe.es/gazeta/dias/1813/05/01/pdfs/GRE-1813-54.pdf#page=6","Abrir facsímil")</f>
        <v>Abrir facsímil</v>
      </c>
      <c r="K4186" s="3" t="s">
        <v>22</v>
      </c>
    </row>
    <row r="4187" spans="1:11" ht="42" customHeight="1">
      <c r="A4187" s="2" t="s">
        <v>8886</v>
      </c>
      <c r="B4187" s="2" t="s">
        <v>8886</v>
      </c>
      <c r="C4187" s="2" t="s">
        <v>16</v>
      </c>
      <c r="D4187" s="2" t="s">
        <v>17</v>
      </c>
      <c r="E4187" s="5">
        <v>-31602</v>
      </c>
      <c r="F4187" s="3" t="s">
        <v>2117</v>
      </c>
      <c r="G4187" s="3" t="s">
        <v>178</v>
      </c>
      <c r="H4187" s="2" t="s">
        <v>20</v>
      </c>
      <c r="I4187" s="2" t="s">
        <v>8887</v>
      </c>
      <c r="J4187" s="3" t="str">
        <f>HYPERLINK("https://www.boe.es/gazeta/dias/1813/06/22/pdfs/GMR-1813-9.pdf#page=11","Abrir facsímil")</f>
        <v>Abrir facsímil</v>
      </c>
      <c r="K4187" s="3" t="s">
        <v>22</v>
      </c>
    </row>
    <row r="4188" spans="1:11" ht="42" customHeight="1">
      <c r="A4188" s="2" t="s">
        <v>8888</v>
      </c>
      <c r="B4188" s="2" t="s">
        <v>8889</v>
      </c>
      <c r="C4188" s="2" t="s">
        <v>16</v>
      </c>
      <c r="D4188" s="2" t="s">
        <v>17</v>
      </c>
      <c r="E4188" s="5">
        <v>-31602</v>
      </c>
      <c r="F4188" s="3" t="s">
        <v>2117</v>
      </c>
      <c r="G4188" s="3" t="s">
        <v>178</v>
      </c>
      <c r="H4188" s="2" t="s">
        <v>20</v>
      </c>
      <c r="I4188" s="2" t="s">
        <v>8890</v>
      </c>
      <c r="J4188" s="3" t="str">
        <f>HYPERLINK("https://www.boe.es/gazeta/dias/1813/06/22/pdfs/GMR-1813-9.pdf#page=11","Abrir facsímil")</f>
        <v>Abrir facsímil</v>
      </c>
      <c r="K4188" s="3" t="s">
        <v>22</v>
      </c>
    </row>
    <row r="4189" spans="1:11" ht="42" customHeight="1">
      <c r="A4189" s="2" t="s">
        <v>8888</v>
      </c>
      <c r="B4189" s="2" t="s">
        <v>8889</v>
      </c>
      <c r="C4189" s="2" t="s">
        <v>16</v>
      </c>
      <c r="D4189" s="2" t="s">
        <v>17</v>
      </c>
      <c r="E4189" s="5">
        <v>-31602</v>
      </c>
      <c r="F4189" s="3" t="s">
        <v>2117</v>
      </c>
      <c r="G4189" s="3" t="s">
        <v>258</v>
      </c>
      <c r="H4189" s="2" t="s">
        <v>20</v>
      </c>
      <c r="I4189" s="2" t="s">
        <v>8891</v>
      </c>
      <c r="J4189" s="3" t="str">
        <f>HYPERLINK("https://www.boe.es/gazeta/dias/1813/06/22/pdfs/GMR-1813-9.pdf#page=12","Abrir facsímil")</f>
        <v>Abrir facsímil</v>
      </c>
      <c r="K4189" s="3" t="s">
        <v>22</v>
      </c>
    </row>
    <row r="4190" spans="1:11" ht="42" customHeight="1">
      <c r="A4190" s="2" t="s">
        <v>8892</v>
      </c>
      <c r="B4190" s="2" t="s">
        <v>8893</v>
      </c>
      <c r="C4190" s="2" t="s">
        <v>16</v>
      </c>
      <c r="D4190" s="2" t="s">
        <v>17</v>
      </c>
      <c r="E4190" s="5">
        <v>-31567</v>
      </c>
      <c r="F4190" s="3" t="s">
        <v>820</v>
      </c>
      <c r="G4190" s="3" t="s">
        <v>7681</v>
      </c>
      <c r="H4190" s="2" t="s">
        <v>20</v>
      </c>
      <c r="I4190" s="2" t="s">
        <v>8894</v>
      </c>
      <c r="J4190" s="3" t="str">
        <f>HYPERLINK("https://www.boe.es/gazeta/dias/1813/07/27/pdfs/GMR-1813-21.pdf#page=11","Abrir facsímil")</f>
        <v>Abrir facsímil</v>
      </c>
      <c r="K4190" s="3" t="s">
        <v>22</v>
      </c>
    </row>
    <row r="4191" spans="1:11" ht="42" customHeight="1">
      <c r="A4191" s="2" t="s">
        <v>8895</v>
      </c>
      <c r="B4191" s="2" t="s">
        <v>8896</v>
      </c>
      <c r="C4191" s="2" t="s">
        <v>16</v>
      </c>
      <c r="D4191" s="2" t="s">
        <v>17</v>
      </c>
      <c r="E4191" s="5">
        <v>-31759</v>
      </c>
      <c r="F4191" s="3" t="s">
        <v>419</v>
      </c>
      <c r="G4191" s="3" t="s">
        <v>420</v>
      </c>
      <c r="H4191" s="2" t="s">
        <v>20</v>
      </c>
      <c r="I4191" s="2" t="s">
        <v>8897</v>
      </c>
      <c r="J4191" s="3" t="str">
        <f>HYPERLINK("https://www.boe.es/gazeta/dias/1813/01/16/pdfs/GRE-1813-7.pdf#page=8","Abrir facsímil")</f>
        <v>Abrir facsímil</v>
      </c>
      <c r="K4191" s="3" t="s">
        <v>22</v>
      </c>
    </row>
    <row r="4192" spans="1:11" ht="42" customHeight="1">
      <c r="A4192" s="2" t="s">
        <v>8898</v>
      </c>
      <c r="B4192" s="2" t="s">
        <v>8899</v>
      </c>
      <c r="C4192" s="2" t="s">
        <v>187</v>
      </c>
      <c r="D4192" s="2" t="s">
        <v>26</v>
      </c>
      <c r="E4192" s="5">
        <v>-31745</v>
      </c>
      <c r="F4192" s="3" t="s">
        <v>445</v>
      </c>
      <c r="G4192" s="3" t="s">
        <v>28</v>
      </c>
      <c r="H4192" s="2" t="s">
        <v>20</v>
      </c>
      <c r="I4192" s="2" t="s">
        <v>8900</v>
      </c>
      <c r="J4192" s="3" t="str">
        <f>HYPERLINK("https://www.boe.es/gazeta/dias/1813/01/30/pdfs/GRE-1813-13.pdf#page=8","Abrir facsímil")</f>
        <v>Abrir facsímil</v>
      </c>
      <c r="K4192" s="3" t="s">
        <v>22</v>
      </c>
    </row>
    <row r="4193" spans="1:11" ht="42" customHeight="1">
      <c r="A4193" s="2" t="s">
        <v>8901</v>
      </c>
      <c r="B4193" s="2" t="s">
        <v>8901</v>
      </c>
      <c r="C4193" s="2" t="s">
        <v>16</v>
      </c>
      <c r="D4193" s="2" t="s">
        <v>17</v>
      </c>
      <c r="E4193" s="5">
        <v>-31578</v>
      </c>
      <c r="F4193" s="3" t="s">
        <v>974</v>
      </c>
      <c r="G4193" s="3" t="s">
        <v>65</v>
      </c>
      <c r="H4193" s="2" t="s">
        <v>20</v>
      </c>
      <c r="I4193" s="2" t="s">
        <v>8902</v>
      </c>
      <c r="J4193" s="3" t="str">
        <f>HYPERLINK("https://www.boe.es/gazeta/dias/1813/07/16/pdfs/GMR-1813-18.pdf#page=1","Abrir facsímil")</f>
        <v>Abrir facsímil</v>
      </c>
      <c r="K4193" s="3" t="s">
        <v>22</v>
      </c>
    </row>
    <row r="4194" spans="1:11" ht="42" customHeight="1">
      <c r="A4194" s="2" t="s">
        <v>8903</v>
      </c>
      <c r="B4194" s="2" t="s">
        <v>8903</v>
      </c>
      <c r="C4194" s="2" t="s">
        <v>16</v>
      </c>
      <c r="D4194" s="2" t="s">
        <v>17</v>
      </c>
      <c r="E4194" s="5">
        <v>-31455</v>
      </c>
      <c r="F4194" s="3" t="s">
        <v>693</v>
      </c>
      <c r="G4194" s="3" t="s">
        <v>54</v>
      </c>
      <c r="H4194" s="2" t="s">
        <v>20</v>
      </c>
      <c r="I4194" s="2" t="s">
        <v>8904</v>
      </c>
      <c r="J4194" s="3" t="str">
        <f>HYPERLINK("https://www.boe.es/gazeta/dias/1813/11/16/pdfs/GRE-1813-150.pdf#page=3","Abrir facsímil")</f>
        <v>Abrir facsímil</v>
      </c>
      <c r="K4194" s="3" t="s">
        <v>22</v>
      </c>
    </row>
    <row r="4195" spans="1:11" ht="42" customHeight="1">
      <c r="A4195" s="2" t="s">
        <v>8905</v>
      </c>
      <c r="B4195" s="2" t="s">
        <v>8905</v>
      </c>
      <c r="C4195" s="2" t="s">
        <v>16</v>
      </c>
      <c r="D4195" s="2" t="s">
        <v>17</v>
      </c>
      <c r="E4195" s="5">
        <v>-31659</v>
      </c>
      <c r="F4195" s="3" t="s">
        <v>3041</v>
      </c>
      <c r="G4195" s="3" t="s">
        <v>65</v>
      </c>
      <c r="H4195" s="2" t="s">
        <v>20</v>
      </c>
      <c r="I4195" s="2" t="s">
        <v>8906</v>
      </c>
      <c r="J4195" s="3" t="str">
        <f>HYPERLINK("https://www.boe.es/gazeta/dias/1813/04/26/pdfs/GMD-1813-116.pdf#page=1","Abrir facsímil")</f>
        <v>Abrir facsímil</v>
      </c>
      <c r="K4195" s="3" t="s">
        <v>22</v>
      </c>
    </row>
    <row r="4196" spans="1:11" ht="42" customHeight="1">
      <c r="A4196" s="2" t="s">
        <v>8907</v>
      </c>
      <c r="B4196" s="2" t="s">
        <v>8908</v>
      </c>
      <c r="C4196" s="2" t="s">
        <v>34</v>
      </c>
      <c r="D4196" s="2" t="s">
        <v>35</v>
      </c>
      <c r="E4196" s="5">
        <v>-31709</v>
      </c>
      <c r="F4196" s="3" t="s">
        <v>36</v>
      </c>
      <c r="G4196" s="3" t="s">
        <v>19</v>
      </c>
      <c r="H4196" s="2" t="s">
        <v>20</v>
      </c>
      <c r="I4196" s="2" t="s">
        <v>8909</v>
      </c>
      <c r="J4196" s="3" t="str">
        <f>HYPERLINK("https://www.boe.es/gazeta/dias/1813/03/07/pdfs/GMD-1813-66.pdf#page=4","Abrir facsímil")</f>
        <v>Abrir facsímil</v>
      </c>
      <c r="K4196" s="3" t="s">
        <v>22</v>
      </c>
    </row>
    <row r="4197" spans="1:11" ht="42" customHeight="1">
      <c r="A4197" s="2" t="s">
        <v>8910</v>
      </c>
      <c r="B4197" s="2" t="s">
        <v>8910</v>
      </c>
      <c r="C4197" s="2" t="s">
        <v>16</v>
      </c>
      <c r="D4197" s="2" t="s">
        <v>17</v>
      </c>
      <c r="E4197" s="5">
        <v>-31726</v>
      </c>
      <c r="F4197" s="3" t="s">
        <v>493</v>
      </c>
      <c r="G4197" s="3" t="s">
        <v>54</v>
      </c>
      <c r="H4197" s="2" t="s">
        <v>20</v>
      </c>
      <c r="I4197" s="2" t="s">
        <v>8911</v>
      </c>
      <c r="J4197" s="3" t="str">
        <f>HYPERLINK("https://www.boe.es/gazeta/dias/1813/02/18/pdfs/GMD-1813-49.pdf#page=3","Abrir facsímil")</f>
        <v>Abrir facsímil</v>
      </c>
      <c r="K4197" s="3" t="s">
        <v>22</v>
      </c>
    </row>
    <row r="4198" spans="1:11" ht="42" customHeight="1">
      <c r="A4198" s="2" t="s">
        <v>8912</v>
      </c>
      <c r="B4198" s="2" t="s">
        <v>8912</v>
      </c>
      <c r="C4198" s="2" t="s">
        <v>16</v>
      </c>
      <c r="D4198" s="2" t="s">
        <v>17</v>
      </c>
      <c r="E4198" s="5">
        <v>-31724</v>
      </c>
      <c r="F4198" s="3" t="s">
        <v>684</v>
      </c>
      <c r="G4198" s="3" t="s">
        <v>1495</v>
      </c>
      <c r="H4198" s="2" t="s">
        <v>20</v>
      </c>
      <c r="I4198" s="2" t="s">
        <v>8913</v>
      </c>
      <c r="J4198" s="3" t="str">
        <f>HYPERLINK("https://www.boe.es/gazeta/dias/1813/02/20/pdfs/GMD-1813-51.pdf#page=4","Abrir facsímil")</f>
        <v>Abrir facsímil</v>
      </c>
      <c r="K4198" s="3" t="s">
        <v>22</v>
      </c>
    </row>
    <row r="4199" spans="1:11" ht="42" customHeight="1">
      <c r="A4199" s="2" t="s">
        <v>8914</v>
      </c>
      <c r="B4199" s="2" t="s">
        <v>8915</v>
      </c>
      <c r="C4199" s="2" t="s">
        <v>34</v>
      </c>
      <c r="D4199" s="2" t="s">
        <v>35</v>
      </c>
      <c r="E4199" s="5">
        <v>-31584</v>
      </c>
      <c r="F4199" s="3" t="s">
        <v>114</v>
      </c>
      <c r="G4199" s="3" t="s">
        <v>28</v>
      </c>
      <c r="H4199" s="2" t="s">
        <v>20</v>
      </c>
      <c r="I4199" s="2" t="s">
        <v>8916</v>
      </c>
      <c r="J4199" s="3" t="str">
        <f>HYPERLINK("https://www.boe.es/gazeta/dias/1813/07/10/pdfs/GRE-1813-86.pdf#page=8","Abrir facsímil")</f>
        <v>Abrir facsímil</v>
      </c>
      <c r="K4199" s="3" t="s">
        <v>22</v>
      </c>
    </row>
    <row r="4200" spans="1:11" ht="42" customHeight="1">
      <c r="A4200" s="2" t="s">
        <v>8917</v>
      </c>
      <c r="B4200" s="2" t="s">
        <v>8918</v>
      </c>
      <c r="C4200" s="2" t="s">
        <v>16</v>
      </c>
      <c r="D4200" s="2" t="s">
        <v>17</v>
      </c>
      <c r="E4200" s="5">
        <v>-31738</v>
      </c>
      <c r="F4200" s="3" t="s">
        <v>556</v>
      </c>
      <c r="G4200" s="3" t="s">
        <v>28</v>
      </c>
      <c r="H4200" s="2" t="s">
        <v>20</v>
      </c>
      <c r="I4200" s="2" t="s">
        <v>8919</v>
      </c>
      <c r="J4200" s="3" t="str">
        <f>HYPERLINK("https://www.boe.es/gazeta/dias/1813/02/06/pdfs/GRE-1813-16.pdf#page=8","Abrir facsímil")</f>
        <v>Abrir facsímil</v>
      </c>
      <c r="K4200" s="3" t="s">
        <v>22</v>
      </c>
    </row>
    <row r="4201" spans="1:11" ht="42" customHeight="1">
      <c r="A4201" s="2" t="s">
        <v>8920</v>
      </c>
      <c r="B4201" s="2" t="s">
        <v>8921</v>
      </c>
      <c r="C4201" s="2" t="s">
        <v>25</v>
      </c>
      <c r="D4201" s="2" t="s">
        <v>26</v>
      </c>
      <c r="E4201" s="5">
        <v>-31574</v>
      </c>
      <c r="F4201" s="3" t="s">
        <v>1343</v>
      </c>
      <c r="G4201" s="3" t="s">
        <v>82</v>
      </c>
      <c r="H4201" s="2" t="s">
        <v>20</v>
      </c>
      <c r="I4201" s="2" t="s">
        <v>8922</v>
      </c>
      <c r="J4201" s="3" t="str">
        <f>HYPERLINK("https://www.boe.es/gazeta/dias/1813/07/20/pdfs/GMR-1813-19.pdf#page=5","Abrir facsímil")</f>
        <v>Abrir facsímil</v>
      </c>
      <c r="K4201" s="3" t="s">
        <v>22</v>
      </c>
    </row>
    <row r="4202" spans="1:11" ht="42" customHeight="1">
      <c r="A4202" s="2" t="s">
        <v>8923</v>
      </c>
      <c r="B4202" s="2" t="s">
        <v>8923</v>
      </c>
      <c r="C4202" s="2" t="s">
        <v>16</v>
      </c>
      <c r="D4202" s="2" t="s">
        <v>17</v>
      </c>
      <c r="E4202" s="5">
        <v>-31509</v>
      </c>
      <c r="F4202" s="3" t="s">
        <v>202</v>
      </c>
      <c r="G4202" s="3" t="s">
        <v>58</v>
      </c>
      <c r="H4202" s="2" t="s">
        <v>20</v>
      </c>
      <c r="I4202" s="2" t="s">
        <v>8924</v>
      </c>
      <c r="J4202" s="3" t="str">
        <f>HYPERLINK("https://www.boe.es/gazeta/dias/1813/09/23/pdfs/GMR-1813-47.pdf#page=2","Abrir facsímil")</f>
        <v>Abrir facsímil</v>
      </c>
      <c r="K4202" s="3" t="s">
        <v>22</v>
      </c>
    </row>
    <row r="4203" spans="1:11" ht="42" customHeight="1">
      <c r="A4203" s="2" t="s">
        <v>8925</v>
      </c>
      <c r="B4203" s="2" t="s">
        <v>8925</v>
      </c>
      <c r="C4203" s="2" t="s">
        <v>16</v>
      </c>
      <c r="D4203" s="2" t="s">
        <v>17</v>
      </c>
      <c r="E4203" s="5">
        <v>-31749</v>
      </c>
      <c r="F4203" s="3" t="s">
        <v>1515</v>
      </c>
      <c r="G4203" s="3" t="s">
        <v>65</v>
      </c>
      <c r="H4203" s="2" t="s">
        <v>20</v>
      </c>
      <c r="I4203" s="2" t="s">
        <v>8926</v>
      </c>
      <c r="J4203" s="3" t="str">
        <f>HYPERLINK("https://www.boe.es/gazeta/dias/1813/01/26/pdfs/GRE-1813-11.pdf#page=1","Abrir facsímil")</f>
        <v>Abrir facsímil</v>
      </c>
      <c r="K4203" s="3" t="s">
        <v>22</v>
      </c>
    </row>
    <row r="4204" spans="1:11" ht="42" customHeight="1">
      <c r="A4204" s="2" t="s">
        <v>8927</v>
      </c>
      <c r="B4204" s="2" t="s">
        <v>8927</v>
      </c>
      <c r="C4204" s="2" t="s">
        <v>16</v>
      </c>
      <c r="D4204" s="2" t="s">
        <v>17</v>
      </c>
      <c r="E4204" s="5">
        <v>-31746</v>
      </c>
      <c r="F4204" s="3" t="s">
        <v>1566</v>
      </c>
      <c r="G4204" s="3" t="s">
        <v>54</v>
      </c>
      <c r="H4204" s="2" t="s">
        <v>20</v>
      </c>
      <c r="I4204" s="2" t="s">
        <v>8928</v>
      </c>
      <c r="J4204" s="3" t="str">
        <f>HYPERLINK("https://www.boe.es/gazeta/dias/1813/01/29/pdfs/GMD-1813-29.pdf#page=3","Abrir facsímil")</f>
        <v>Abrir facsímil</v>
      </c>
      <c r="K4204" s="3" t="s">
        <v>22</v>
      </c>
    </row>
    <row r="4205" spans="1:11" ht="42" customHeight="1">
      <c r="A4205" s="2" t="s">
        <v>8929</v>
      </c>
      <c r="B4205" s="2" t="s">
        <v>8929</v>
      </c>
      <c r="C4205" s="2" t="s">
        <v>16</v>
      </c>
      <c r="D4205" s="2" t="s">
        <v>17</v>
      </c>
      <c r="E4205" s="5">
        <v>-31706</v>
      </c>
      <c r="F4205" s="3" t="s">
        <v>2256</v>
      </c>
      <c r="G4205" s="3" t="s">
        <v>54</v>
      </c>
      <c r="H4205" s="2" t="s">
        <v>20</v>
      </c>
      <c r="I4205" s="2" t="s">
        <v>8930</v>
      </c>
      <c r="J4205" s="3" t="str">
        <f>HYPERLINK("https://www.boe.es/gazeta/dias/1813/03/10/pdfs/GMD-1813-69.pdf#page=3","Abrir facsímil")</f>
        <v>Abrir facsímil</v>
      </c>
      <c r="K4205" s="3" t="s">
        <v>22</v>
      </c>
    </row>
    <row r="4206" spans="1:11" ht="42" customHeight="1">
      <c r="A4206" s="2" t="s">
        <v>8929</v>
      </c>
      <c r="B4206" s="2" t="s">
        <v>8929</v>
      </c>
      <c r="C4206" s="2" t="s">
        <v>16</v>
      </c>
      <c r="D4206" s="2" t="s">
        <v>17</v>
      </c>
      <c r="E4206" s="5">
        <v>-31648</v>
      </c>
      <c r="F4206" s="3" t="s">
        <v>3263</v>
      </c>
      <c r="G4206" s="3" t="s">
        <v>19</v>
      </c>
      <c r="H4206" s="2" t="s">
        <v>20</v>
      </c>
      <c r="I4206" s="2" t="s">
        <v>8931</v>
      </c>
      <c r="J4206" s="3" t="str">
        <f>HYPERLINK("https://www.boe.es/gazeta/dias/1813/05/07/pdfs/GMD-1813-127.pdf#page=4","Abrir facsímil")</f>
        <v>Abrir facsímil</v>
      </c>
      <c r="K4206" s="3" t="s">
        <v>22</v>
      </c>
    </row>
    <row r="4207" spans="1:11" ht="42" customHeight="1">
      <c r="A4207" s="2" t="s">
        <v>8929</v>
      </c>
      <c r="B4207" s="2" t="s">
        <v>8929</v>
      </c>
      <c r="C4207" s="2" t="s">
        <v>16</v>
      </c>
      <c r="D4207" s="2" t="s">
        <v>17</v>
      </c>
      <c r="E4207" s="5">
        <v>-31535</v>
      </c>
      <c r="F4207" s="3" t="s">
        <v>894</v>
      </c>
      <c r="G4207" s="3" t="s">
        <v>895</v>
      </c>
      <c r="H4207" s="2" t="s">
        <v>20</v>
      </c>
      <c r="I4207" s="2" t="s">
        <v>8932</v>
      </c>
      <c r="J4207" s="3" t="str">
        <f>HYPERLINK("https://www.boe.es/gazeta/dias/1813/08/28/pdfs/GMR-1813-34.pdf#page=3","Abrir facsímil")</f>
        <v>Abrir facsímil</v>
      </c>
      <c r="K4207" s="3" t="s">
        <v>22</v>
      </c>
    </row>
    <row r="4208" spans="1:11" ht="42" customHeight="1">
      <c r="A4208" s="2" t="s">
        <v>8929</v>
      </c>
      <c r="B4208" s="2" t="s">
        <v>8929</v>
      </c>
      <c r="C4208" s="2" t="s">
        <v>16</v>
      </c>
      <c r="D4208" s="2" t="s">
        <v>17</v>
      </c>
      <c r="E4208" s="5">
        <v>-31530</v>
      </c>
      <c r="F4208" s="3" t="s">
        <v>319</v>
      </c>
      <c r="G4208" s="3" t="s">
        <v>54</v>
      </c>
      <c r="H4208" s="2" t="s">
        <v>20</v>
      </c>
      <c r="I4208" s="2" t="s">
        <v>8933</v>
      </c>
      <c r="J4208" s="3" t="str">
        <f>HYPERLINK("https://www.boe.es/gazeta/dias/1813/09/02/pdfs/GRE-1813-112.pdf#page=3","Abrir facsímil")</f>
        <v>Abrir facsímil</v>
      </c>
      <c r="K4208" s="3" t="s">
        <v>22</v>
      </c>
    </row>
    <row r="4209" spans="1:11" ht="42" customHeight="1">
      <c r="A4209" s="2" t="s">
        <v>8934</v>
      </c>
      <c r="B4209" s="2" t="s">
        <v>8935</v>
      </c>
      <c r="C4209" s="2" t="s">
        <v>25</v>
      </c>
      <c r="D4209" s="2" t="s">
        <v>26</v>
      </c>
      <c r="E4209" s="5">
        <v>-31675</v>
      </c>
      <c r="F4209" s="3" t="s">
        <v>27</v>
      </c>
      <c r="G4209" s="3" t="s">
        <v>648</v>
      </c>
      <c r="H4209" s="2" t="s">
        <v>20</v>
      </c>
      <c r="I4209" s="2" t="s">
        <v>8936</v>
      </c>
      <c r="J4209" s="3" t="str">
        <f>HYPERLINK("https://www.boe.es/gazeta/dias/1813/04/10/pdfs/GRE-1813-44.pdf#page=7","Abrir facsímil")</f>
        <v>Abrir facsímil</v>
      </c>
      <c r="K4209" s="3" t="s">
        <v>22</v>
      </c>
    </row>
    <row r="4210" spans="1:11" ht="42" customHeight="1">
      <c r="A4210" s="2" t="s">
        <v>8937</v>
      </c>
      <c r="B4210" s="2" t="s">
        <v>8937</v>
      </c>
      <c r="C4210" s="2" t="s">
        <v>16</v>
      </c>
      <c r="D4210" s="2" t="s">
        <v>17</v>
      </c>
      <c r="E4210" s="5">
        <v>-31646</v>
      </c>
      <c r="F4210" s="3" t="s">
        <v>1523</v>
      </c>
      <c r="G4210" s="3" t="s">
        <v>58</v>
      </c>
      <c r="H4210" s="2" t="s">
        <v>20</v>
      </c>
      <c r="I4210" s="2" t="s">
        <v>8938</v>
      </c>
      <c r="J4210" s="3" t="str">
        <f>HYPERLINK("https://www.boe.es/gazeta/dias/1813/05/09/pdfs/GMD-1813-129.pdf#page=2","Abrir facsímil")</f>
        <v>Abrir facsímil</v>
      </c>
      <c r="K4210" s="3" t="s">
        <v>22</v>
      </c>
    </row>
    <row r="4211" spans="1:11" ht="42" customHeight="1">
      <c r="A4211" s="2" t="s">
        <v>8939</v>
      </c>
      <c r="B4211" s="2" t="s">
        <v>8939</v>
      </c>
      <c r="C4211" s="2" t="s">
        <v>16</v>
      </c>
      <c r="D4211" s="2" t="s">
        <v>17</v>
      </c>
      <c r="E4211" s="5">
        <v>-31754</v>
      </c>
      <c r="F4211" s="3" t="s">
        <v>899</v>
      </c>
      <c r="G4211" s="3" t="s">
        <v>82</v>
      </c>
      <c r="H4211" s="2" t="s">
        <v>20</v>
      </c>
      <c r="I4211" s="2" t="s">
        <v>8940</v>
      </c>
      <c r="J4211" s="3" t="str">
        <f>HYPERLINK("https://www.boe.es/gazeta/dias/1813/01/21/pdfs/GRE-1813-9.pdf#page=5","Abrir facsímil")</f>
        <v>Abrir facsímil</v>
      </c>
      <c r="K4211" s="3" t="s">
        <v>22</v>
      </c>
    </row>
    <row r="4212" spans="1:11" ht="42" customHeight="1">
      <c r="A4212" s="2" t="s">
        <v>8939</v>
      </c>
      <c r="B4212" s="2" t="s">
        <v>8939</v>
      </c>
      <c r="C4212" s="2" t="s">
        <v>16</v>
      </c>
      <c r="D4212" s="2" t="s">
        <v>17</v>
      </c>
      <c r="E4212" s="5">
        <v>-31752</v>
      </c>
      <c r="F4212" s="3" t="s">
        <v>182</v>
      </c>
      <c r="G4212" s="3" t="s">
        <v>54</v>
      </c>
      <c r="H4212" s="2" t="s">
        <v>20</v>
      </c>
      <c r="I4212" s="2" t="s">
        <v>8941</v>
      </c>
      <c r="J4212" s="3" t="str">
        <f>HYPERLINK("https://www.boe.es/gazeta/dias/1813/01/23/pdfs/GRE-1813-10.pdf#page=3","Abrir facsímil")</f>
        <v>Abrir facsímil</v>
      </c>
      <c r="K4212" s="3" t="s">
        <v>22</v>
      </c>
    </row>
    <row r="4213" spans="1:11" ht="42" customHeight="1">
      <c r="A4213" s="2" t="s">
        <v>8939</v>
      </c>
      <c r="B4213" s="2" t="s">
        <v>8939</v>
      </c>
      <c r="C4213" s="2" t="s">
        <v>16</v>
      </c>
      <c r="D4213" s="2" t="s">
        <v>17</v>
      </c>
      <c r="E4213" s="5">
        <v>-31749</v>
      </c>
      <c r="F4213" s="3" t="s">
        <v>1515</v>
      </c>
      <c r="G4213" s="3" t="s">
        <v>65</v>
      </c>
      <c r="H4213" s="2" t="s">
        <v>20</v>
      </c>
      <c r="I4213" s="2" t="s">
        <v>8942</v>
      </c>
      <c r="J4213" s="3" t="str">
        <f>HYPERLINK("https://www.boe.es/gazeta/dias/1813/01/26/pdfs/GRE-1813-11.pdf#page=1","Abrir facsímil")</f>
        <v>Abrir facsímil</v>
      </c>
      <c r="K4213" s="3" t="s">
        <v>22</v>
      </c>
    </row>
    <row r="4214" spans="1:11" ht="42" customHeight="1">
      <c r="A4214" s="2" t="s">
        <v>8939</v>
      </c>
      <c r="B4214" s="2" t="s">
        <v>8939</v>
      </c>
      <c r="C4214" s="2" t="s">
        <v>16</v>
      </c>
      <c r="D4214" s="2" t="s">
        <v>17</v>
      </c>
      <c r="E4214" s="5">
        <v>-31740</v>
      </c>
      <c r="F4214" s="3" t="s">
        <v>354</v>
      </c>
      <c r="G4214" s="3" t="s">
        <v>6579</v>
      </c>
      <c r="H4214" s="2" t="s">
        <v>20</v>
      </c>
      <c r="I4214" s="2" t="s">
        <v>8943</v>
      </c>
      <c r="J4214" s="3" t="str">
        <f>HYPERLINK("https://www.boe.es/gazeta/dias/1813/02/04/pdfs/GRE-1813-15.pdf#page=2","Abrir facsímil")</f>
        <v>Abrir facsímil</v>
      </c>
      <c r="K4214" s="3" t="s">
        <v>22</v>
      </c>
    </row>
    <row r="4215" spans="1:11" ht="42" customHeight="1">
      <c r="A4215" s="2" t="s">
        <v>8939</v>
      </c>
      <c r="B4215" s="2" t="s">
        <v>8939</v>
      </c>
      <c r="C4215" s="2" t="s">
        <v>16</v>
      </c>
      <c r="D4215" s="2" t="s">
        <v>17</v>
      </c>
      <c r="E4215" s="5">
        <v>-31629</v>
      </c>
      <c r="F4215" s="3" t="s">
        <v>1146</v>
      </c>
      <c r="G4215" s="3" t="s">
        <v>65</v>
      </c>
      <c r="H4215" s="2" t="s">
        <v>20</v>
      </c>
      <c r="I4215" s="2" t="s">
        <v>8944</v>
      </c>
      <c r="J4215" s="3" t="str">
        <f>HYPERLINK("https://www.boe.es/gazeta/dias/1813/05/26/pdfs/GMD-1813-146.pdf#page=1","Abrir facsímil")</f>
        <v>Abrir facsímil</v>
      </c>
      <c r="K4215" s="3" t="s">
        <v>22</v>
      </c>
    </row>
    <row r="4216" spans="1:11" ht="42" customHeight="1">
      <c r="A4216" s="2" t="s">
        <v>8945</v>
      </c>
      <c r="B4216" s="2" t="s">
        <v>8946</v>
      </c>
      <c r="C4216" s="2" t="s">
        <v>16</v>
      </c>
      <c r="D4216" s="2" t="s">
        <v>17</v>
      </c>
      <c r="E4216" s="5">
        <v>-31738</v>
      </c>
      <c r="F4216" s="3" t="s">
        <v>556</v>
      </c>
      <c r="G4216" s="3" t="s">
        <v>3260</v>
      </c>
      <c r="H4216" s="2" t="s">
        <v>20</v>
      </c>
      <c r="I4216" s="2" t="s">
        <v>8947</v>
      </c>
      <c r="J4216" s="3" t="str">
        <f>HYPERLINK("https://www.boe.es/gazeta/dias/1813/02/06/pdfs/GRE-1813-16.pdf#page=7","Abrir facsímil")</f>
        <v>Abrir facsímil</v>
      </c>
      <c r="K4216" s="3" t="s">
        <v>22</v>
      </c>
    </row>
    <row r="4217" spans="1:11" ht="42" customHeight="1">
      <c r="A4217" s="2" t="s">
        <v>8948</v>
      </c>
      <c r="B4217" s="2" t="s">
        <v>8948</v>
      </c>
      <c r="C4217" s="2" t="s">
        <v>16</v>
      </c>
      <c r="D4217" s="2" t="s">
        <v>17</v>
      </c>
      <c r="E4217" s="5">
        <v>-31743</v>
      </c>
      <c r="F4217" s="3" t="s">
        <v>2711</v>
      </c>
      <c r="G4217" s="3" t="s">
        <v>54</v>
      </c>
      <c r="H4217" s="2" t="s">
        <v>20</v>
      </c>
      <c r="I4217" s="2" t="s">
        <v>8949</v>
      </c>
      <c r="J4217" s="3" t="str">
        <f>HYPERLINK("https://www.boe.es/gazeta/dias/1813/02/01/pdfs/GMD-1813-32.pdf#page=3","Abrir facsímil")</f>
        <v>Abrir facsímil</v>
      </c>
      <c r="K4217" s="3" t="s">
        <v>22</v>
      </c>
    </row>
    <row r="4218" spans="1:11" ht="42" customHeight="1">
      <c r="A4218" s="2" t="s">
        <v>8950</v>
      </c>
      <c r="B4218" s="2" t="s">
        <v>8950</v>
      </c>
      <c r="C4218" s="2" t="s">
        <v>16</v>
      </c>
      <c r="D4218" s="2" t="s">
        <v>17</v>
      </c>
      <c r="E4218" s="5">
        <v>-31743</v>
      </c>
      <c r="F4218" s="3" t="s">
        <v>2711</v>
      </c>
      <c r="G4218" s="3" t="s">
        <v>19</v>
      </c>
      <c r="H4218" s="2" t="s">
        <v>20</v>
      </c>
      <c r="I4218" s="2" t="s">
        <v>8951</v>
      </c>
      <c r="J4218" s="3" t="str">
        <f>HYPERLINK("https://www.boe.es/gazeta/dias/1813/02/01/pdfs/GMD-1813-32.pdf#page=4","Abrir facsímil")</f>
        <v>Abrir facsímil</v>
      </c>
      <c r="K4218" s="3" t="s">
        <v>22</v>
      </c>
    </row>
    <row r="4219" spans="1:11" ht="42" customHeight="1">
      <c r="A4219" s="2" t="s">
        <v>8950</v>
      </c>
      <c r="B4219" s="2" t="s">
        <v>8950</v>
      </c>
      <c r="C4219" s="2" t="s">
        <v>16</v>
      </c>
      <c r="D4219" s="2" t="s">
        <v>17</v>
      </c>
      <c r="E4219" s="5">
        <v>-31571</v>
      </c>
      <c r="F4219" s="3" t="s">
        <v>788</v>
      </c>
      <c r="G4219" s="3" t="s">
        <v>2048</v>
      </c>
      <c r="H4219" s="2" t="s">
        <v>20</v>
      </c>
      <c r="I4219" s="2" t="s">
        <v>8952</v>
      </c>
      <c r="J4219" s="3" t="str">
        <f>HYPERLINK("https://www.boe.es/gazeta/dias/1813/07/23/pdfs/GMR-1813-20.pdf#page=3","Abrir facsímil")</f>
        <v>Abrir facsímil</v>
      </c>
      <c r="K4219" s="3" t="s">
        <v>22</v>
      </c>
    </row>
    <row r="4220" spans="1:11" ht="42" customHeight="1">
      <c r="A4220" s="2" t="s">
        <v>8953</v>
      </c>
      <c r="B4220" s="2" t="s">
        <v>8953</v>
      </c>
      <c r="C4220" s="2" t="s">
        <v>16</v>
      </c>
      <c r="D4220" s="2" t="s">
        <v>97</v>
      </c>
      <c r="E4220" s="5">
        <v>-31446</v>
      </c>
      <c r="F4220" s="3" t="s">
        <v>1877</v>
      </c>
      <c r="G4220" s="3" t="s">
        <v>58</v>
      </c>
      <c r="H4220" s="2" t="s">
        <v>20</v>
      </c>
      <c r="I4220" s="2" t="s">
        <v>8954</v>
      </c>
      <c r="J4220" s="3" t="str">
        <f>HYPERLINK("https://www.boe.es/gazeta/dias/1813/11/25/pdfs/GRE-1813-155E.pdf#page=2","Abrir facsímil")</f>
        <v>Abrir facsímil</v>
      </c>
      <c r="K4220" s="3" t="s">
        <v>22</v>
      </c>
    </row>
    <row r="4221" spans="1:11" ht="42" customHeight="1">
      <c r="A4221" s="2" t="s">
        <v>8955</v>
      </c>
      <c r="B4221" s="2" t="s">
        <v>8956</v>
      </c>
      <c r="C4221" s="2" t="s">
        <v>16</v>
      </c>
      <c r="D4221" s="2" t="s">
        <v>17</v>
      </c>
      <c r="E4221" s="5">
        <v>-31709</v>
      </c>
      <c r="F4221" s="3" t="s">
        <v>36</v>
      </c>
      <c r="G4221" s="3" t="s">
        <v>19</v>
      </c>
      <c r="H4221" s="2" t="s">
        <v>20</v>
      </c>
      <c r="I4221" s="2" t="s">
        <v>8957</v>
      </c>
      <c r="J4221" s="3" t="str">
        <f>HYPERLINK("https://www.boe.es/gazeta/dias/1813/03/07/pdfs/GMD-1813-66.pdf#page=4","Abrir facsímil")</f>
        <v>Abrir facsímil</v>
      </c>
      <c r="K4221" s="3" t="s">
        <v>22</v>
      </c>
    </row>
    <row r="4222" spans="1:11" ht="42" customHeight="1">
      <c r="A4222" s="2" t="s">
        <v>8958</v>
      </c>
      <c r="B4222" s="2" t="s">
        <v>8959</v>
      </c>
      <c r="C4222" s="2" t="s">
        <v>25</v>
      </c>
      <c r="D4222" s="2" t="s">
        <v>26</v>
      </c>
      <c r="E4222" s="5">
        <v>-31752</v>
      </c>
      <c r="F4222" s="3" t="s">
        <v>182</v>
      </c>
      <c r="G4222" s="3" t="s">
        <v>183</v>
      </c>
      <c r="H4222" s="2" t="s">
        <v>20</v>
      </c>
      <c r="I4222" s="2" t="s">
        <v>8960</v>
      </c>
      <c r="J4222" s="3" t="str">
        <f>HYPERLINK("https://www.boe.es/gazeta/dias/1813/01/23/pdfs/GRE-1813-10.pdf#page=8","Abrir facsímil")</f>
        <v>Abrir facsímil</v>
      </c>
      <c r="K4222" s="3" t="s">
        <v>22</v>
      </c>
    </row>
    <row r="4223" spans="1:11" ht="42" customHeight="1">
      <c r="A4223" s="2" t="s">
        <v>8961</v>
      </c>
      <c r="B4223" s="2" t="s">
        <v>8962</v>
      </c>
      <c r="C4223" s="2" t="s">
        <v>16</v>
      </c>
      <c r="D4223" s="2" t="s">
        <v>17</v>
      </c>
      <c r="E4223" s="5">
        <v>-31416</v>
      </c>
      <c r="F4223" s="3" t="s">
        <v>278</v>
      </c>
      <c r="G4223" s="3" t="s">
        <v>207</v>
      </c>
      <c r="H4223" s="2" t="s">
        <v>20</v>
      </c>
      <c r="I4223" s="2" t="s">
        <v>8963</v>
      </c>
      <c r="J4223" s="3" t="str">
        <f>HYPERLINK("https://www.boe.es/gazeta/dias/1813/12/25/pdfs/GMR-1813-92.pdf#page=10","Abrir facsímil")</f>
        <v>Abrir facsímil</v>
      </c>
      <c r="K4223" s="3" t="s">
        <v>22</v>
      </c>
    </row>
    <row r="4224" spans="1:11" ht="42" customHeight="1">
      <c r="A4224" s="2" t="s">
        <v>8964</v>
      </c>
      <c r="B4224" s="2" t="s">
        <v>8964</v>
      </c>
      <c r="C4224" s="2" t="s">
        <v>16</v>
      </c>
      <c r="D4224" s="2" t="s">
        <v>17</v>
      </c>
      <c r="E4224" s="5">
        <v>-31728</v>
      </c>
      <c r="F4224" s="3" t="s">
        <v>1434</v>
      </c>
      <c r="G4224" s="3" t="s">
        <v>54</v>
      </c>
      <c r="H4224" s="2" t="s">
        <v>20</v>
      </c>
      <c r="I4224" s="2" t="s">
        <v>8965</v>
      </c>
      <c r="J4224" s="3" t="str">
        <f>HYPERLINK("https://www.boe.es/gazeta/dias/1813/02/16/pdfs/GRE-1813-20.pdf#page=3","Abrir facsímil")</f>
        <v>Abrir facsímil</v>
      </c>
      <c r="K4224" s="3" t="s">
        <v>22</v>
      </c>
    </row>
    <row r="4225" spans="1:11" ht="42" customHeight="1">
      <c r="A4225" s="2" t="s">
        <v>8966</v>
      </c>
      <c r="B4225" s="2" t="s">
        <v>8966</v>
      </c>
      <c r="C4225" s="2" t="s">
        <v>16</v>
      </c>
      <c r="D4225" s="2" t="s">
        <v>17</v>
      </c>
      <c r="E4225" s="5">
        <v>-31582</v>
      </c>
      <c r="F4225" s="3" t="s">
        <v>907</v>
      </c>
      <c r="G4225" s="3" t="s">
        <v>58</v>
      </c>
      <c r="H4225" s="2" t="s">
        <v>20</v>
      </c>
      <c r="I4225" s="2" t="s">
        <v>8967</v>
      </c>
      <c r="J4225" s="3" t="str">
        <f>HYPERLINK("https://www.boe.es/gazeta/dias/1813/07/12/pdfs/GRE-1813-87.pdf#page=2","Abrir facsímil")</f>
        <v>Abrir facsímil</v>
      </c>
      <c r="K4225" s="3" t="s">
        <v>22</v>
      </c>
    </row>
    <row r="4226" spans="1:11" ht="42" customHeight="1">
      <c r="A4226" s="2" t="s">
        <v>8966</v>
      </c>
      <c r="B4226" s="2" t="s">
        <v>8966</v>
      </c>
      <c r="C4226" s="2" t="s">
        <v>16</v>
      </c>
      <c r="D4226" s="2" t="s">
        <v>17</v>
      </c>
      <c r="E4226" s="5">
        <v>-31571</v>
      </c>
      <c r="F4226" s="3" t="s">
        <v>788</v>
      </c>
      <c r="G4226" s="3" t="s">
        <v>910</v>
      </c>
      <c r="H4226" s="2" t="s">
        <v>20</v>
      </c>
      <c r="I4226" s="2" t="s">
        <v>8968</v>
      </c>
      <c r="J4226" s="3" t="str">
        <f>HYPERLINK("https://www.boe.es/gazeta/dias/1813/07/23/pdfs/GMR-1813-20.pdf#page=10","Abrir facsímil")</f>
        <v>Abrir facsímil</v>
      </c>
      <c r="K4226" s="3" t="s">
        <v>22</v>
      </c>
    </row>
    <row r="4227" spans="1:11" ht="42" customHeight="1">
      <c r="A4227" s="2" t="s">
        <v>8966</v>
      </c>
      <c r="B4227" s="2" t="s">
        <v>8966</v>
      </c>
      <c r="C4227" s="2" t="s">
        <v>16</v>
      </c>
      <c r="D4227" s="2" t="s">
        <v>17</v>
      </c>
      <c r="E4227" s="5">
        <v>-31530</v>
      </c>
      <c r="F4227" s="3" t="s">
        <v>319</v>
      </c>
      <c r="G4227" s="3" t="s">
        <v>320</v>
      </c>
      <c r="H4227" s="2" t="s">
        <v>20</v>
      </c>
      <c r="I4227" s="2" t="s">
        <v>8969</v>
      </c>
      <c r="J4227" s="3" t="str">
        <f>HYPERLINK("https://www.boe.es/gazeta/dias/1813/09/02/pdfs/GRE-1813-112.pdf#page=6","Abrir facsímil")</f>
        <v>Abrir facsímil</v>
      </c>
      <c r="K4227" s="3" t="s">
        <v>22</v>
      </c>
    </row>
    <row r="4228" spans="1:11" ht="42" customHeight="1">
      <c r="A4228" s="2" t="s">
        <v>8970</v>
      </c>
      <c r="B4228" s="2" t="s">
        <v>8970</v>
      </c>
      <c r="C4228" s="2" t="s">
        <v>16</v>
      </c>
      <c r="D4228" s="2" t="s">
        <v>17</v>
      </c>
      <c r="E4228" s="5">
        <v>-31462</v>
      </c>
      <c r="F4228" s="3" t="s">
        <v>1028</v>
      </c>
      <c r="G4228" s="3" t="s">
        <v>54</v>
      </c>
      <c r="H4228" s="2" t="s">
        <v>20</v>
      </c>
      <c r="I4228" s="2" t="s">
        <v>8971</v>
      </c>
      <c r="J4228" s="3" t="str">
        <f>HYPERLINK("https://www.boe.es/gazeta/dias/1813/11/09/pdfs/GMR-1813-71.pdf#page=3","Abrir facsímil")</f>
        <v>Abrir facsímil</v>
      </c>
      <c r="K4228" s="3" t="s">
        <v>22</v>
      </c>
    </row>
    <row r="4229" spans="1:11" ht="42" customHeight="1">
      <c r="A4229" s="2" t="s">
        <v>8972</v>
      </c>
      <c r="B4229" s="2" t="s">
        <v>8972</v>
      </c>
      <c r="C4229" s="2" t="s">
        <v>16</v>
      </c>
      <c r="D4229" s="2" t="s">
        <v>17</v>
      </c>
      <c r="E4229" s="5">
        <v>-31462</v>
      </c>
      <c r="F4229" s="3" t="s">
        <v>542</v>
      </c>
      <c r="G4229" s="3" t="s">
        <v>19</v>
      </c>
      <c r="H4229" s="2" t="s">
        <v>20</v>
      </c>
      <c r="I4229" s="2" t="s">
        <v>8973</v>
      </c>
      <c r="J4229" s="3" t="str">
        <f>HYPERLINK("https://www.boe.es/gazeta/dias/1813/11/09/pdfs/GRE-1813-146.pdf#page=4","Abrir facsímil")</f>
        <v>Abrir facsímil</v>
      </c>
      <c r="K4229" s="3" t="s">
        <v>22</v>
      </c>
    </row>
    <row r="4230" spans="1:11" ht="42" customHeight="1">
      <c r="A4230" s="2" t="s">
        <v>8974</v>
      </c>
      <c r="B4230" s="2" t="s">
        <v>8974</v>
      </c>
      <c r="C4230" s="2" t="s">
        <v>25</v>
      </c>
      <c r="D4230" s="2" t="s">
        <v>26</v>
      </c>
      <c r="E4230" s="5">
        <v>-31772</v>
      </c>
      <c r="F4230" s="3" t="s">
        <v>709</v>
      </c>
      <c r="G4230" s="3" t="s">
        <v>54</v>
      </c>
      <c r="H4230" s="2" t="s">
        <v>20</v>
      </c>
      <c r="I4230" s="2" t="s">
        <v>8975</v>
      </c>
      <c r="J4230" s="3" t="str">
        <f>HYPERLINK("https://www.boe.es/gazeta/dias/1813/01/03/pdfs/GRE-1813-69.pdf#page=3","Abrir facsímil")</f>
        <v>Abrir facsímil</v>
      </c>
      <c r="K4230" s="3" t="s">
        <v>22</v>
      </c>
    </row>
    <row r="4231" spans="1:11" ht="42" customHeight="1">
      <c r="A4231" s="2" t="s">
        <v>8974</v>
      </c>
      <c r="B4231" s="2" t="s">
        <v>8974</v>
      </c>
      <c r="C4231" s="2" t="s">
        <v>25</v>
      </c>
      <c r="D4231" s="2" t="s">
        <v>26</v>
      </c>
      <c r="E4231" s="5">
        <v>-31621</v>
      </c>
      <c r="F4231" s="3" t="s">
        <v>709</v>
      </c>
      <c r="G4231" s="3" t="s">
        <v>54</v>
      </c>
      <c r="H4231" s="2" t="s">
        <v>20</v>
      </c>
      <c r="I4231" s="2" t="s">
        <v>8975</v>
      </c>
      <c r="J4231" s="3" t="str">
        <f>HYPERLINK("https://www.boe.es/gazeta/dias/1813/06/03/pdfs/GRE-1813-69.pdf#page=3","Abrir facsímil")</f>
        <v>Abrir facsímil</v>
      </c>
      <c r="K4231" s="3" t="s">
        <v>22</v>
      </c>
    </row>
    <row r="4232" spans="1:11" ht="42" customHeight="1">
      <c r="A4232" s="2" t="s">
        <v>8974</v>
      </c>
      <c r="B4232" s="2" t="s">
        <v>8974</v>
      </c>
      <c r="C4232" s="2" t="s">
        <v>16</v>
      </c>
      <c r="D4232" s="2" t="s">
        <v>17</v>
      </c>
      <c r="E4232" s="5">
        <v>-31609</v>
      </c>
      <c r="F4232" s="3" t="s">
        <v>711</v>
      </c>
      <c r="G4232" s="3" t="s">
        <v>65</v>
      </c>
      <c r="H4232" s="2" t="s">
        <v>20</v>
      </c>
      <c r="I4232" s="2" t="s">
        <v>8976</v>
      </c>
      <c r="J4232" s="3" t="str">
        <f>HYPERLINK("https://www.boe.es/gazeta/dias/1813/06/15/pdfs/GMR-1813-6.pdf#page=1","Abrir facsímil")</f>
        <v>Abrir facsímil</v>
      </c>
      <c r="K4232" s="3" t="s">
        <v>22</v>
      </c>
    </row>
    <row r="4233" spans="1:11" ht="42" customHeight="1">
      <c r="A4233" s="2" t="s">
        <v>8974</v>
      </c>
      <c r="B4233" s="2" t="s">
        <v>8974</v>
      </c>
      <c r="C4233" s="2" t="s">
        <v>16</v>
      </c>
      <c r="D4233" s="2" t="s">
        <v>17</v>
      </c>
      <c r="E4233" s="5">
        <v>-31509</v>
      </c>
      <c r="F4233" s="3" t="s">
        <v>202</v>
      </c>
      <c r="G4233" s="3" t="s">
        <v>65</v>
      </c>
      <c r="H4233" s="2" t="s">
        <v>20</v>
      </c>
      <c r="I4233" s="2" t="s">
        <v>8977</v>
      </c>
      <c r="J4233" s="3" t="str">
        <f>HYPERLINK("https://www.boe.es/gazeta/dias/1813/09/23/pdfs/GMR-1813-47.pdf#page=1","Abrir facsímil")</f>
        <v>Abrir facsímil</v>
      </c>
      <c r="K4233" s="3" t="s">
        <v>22</v>
      </c>
    </row>
    <row r="4234" spans="1:11" ht="42" customHeight="1">
      <c r="A4234" s="2" t="s">
        <v>8974</v>
      </c>
      <c r="B4234" s="2" t="s">
        <v>8974</v>
      </c>
      <c r="C4234" s="2" t="s">
        <v>16</v>
      </c>
      <c r="D4234" s="2" t="s">
        <v>17</v>
      </c>
      <c r="E4234" s="5">
        <v>-31467</v>
      </c>
      <c r="F4234" s="3" t="s">
        <v>1464</v>
      </c>
      <c r="G4234" s="3" t="s">
        <v>6318</v>
      </c>
      <c r="H4234" s="2" t="s">
        <v>20</v>
      </c>
      <c r="I4234" s="2" t="s">
        <v>8978</v>
      </c>
      <c r="J4234" s="3" t="str">
        <f>HYPERLINK("https://www.boe.es/gazeta/dias/1813/11/04/pdfs/GRE-1813-144.pdf#page=3","Abrir facsímil")</f>
        <v>Abrir facsímil</v>
      </c>
      <c r="K4234" s="3" t="s">
        <v>22</v>
      </c>
    </row>
    <row r="4235" spans="1:11" ht="42" customHeight="1">
      <c r="A4235" s="2" t="s">
        <v>8979</v>
      </c>
      <c r="B4235" s="2" t="s">
        <v>8979</v>
      </c>
      <c r="C4235" s="2" t="s">
        <v>16</v>
      </c>
      <c r="D4235" s="2" t="s">
        <v>17</v>
      </c>
      <c r="E4235" s="5">
        <v>-31460</v>
      </c>
      <c r="F4235" s="3" t="s">
        <v>599</v>
      </c>
      <c r="G4235" s="3" t="s">
        <v>54</v>
      </c>
      <c r="H4235" s="2" t="s">
        <v>20</v>
      </c>
      <c r="I4235" s="2" t="s">
        <v>8980</v>
      </c>
      <c r="J4235" s="3" t="str">
        <f>HYPERLINK("https://www.boe.es/gazeta/dias/1813/11/11/pdfs/GMR-1813-72.pdf#page=3","Abrir facsímil")</f>
        <v>Abrir facsímil</v>
      </c>
      <c r="K4235" s="3" t="s">
        <v>22</v>
      </c>
    </row>
    <row r="4236" spans="1:11" ht="42" customHeight="1">
      <c r="A4236" s="2" t="s">
        <v>8974</v>
      </c>
      <c r="B4236" s="2" t="s">
        <v>8974</v>
      </c>
      <c r="C4236" s="2" t="s">
        <v>16</v>
      </c>
      <c r="D4236" s="2" t="s">
        <v>97</v>
      </c>
      <c r="E4236" s="5">
        <v>-31446</v>
      </c>
      <c r="F4236" s="3" t="s">
        <v>1877</v>
      </c>
      <c r="G4236" s="3" t="s">
        <v>1948</v>
      </c>
      <c r="H4236" s="2" t="s">
        <v>20</v>
      </c>
      <c r="I4236" s="2" t="s">
        <v>8981</v>
      </c>
      <c r="J4236" s="3" t="str">
        <f>HYPERLINK("https://www.boe.es/gazeta/dias/1813/11/25/pdfs/GRE-1813-155E.pdf#page=7","Abrir facsímil")</f>
        <v>Abrir facsímil</v>
      </c>
      <c r="K4236" s="3" t="s">
        <v>22</v>
      </c>
    </row>
    <row r="4237" spans="1:11" ht="42" customHeight="1">
      <c r="A4237" s="2" t="s">
        <v>8974</v>
      </c>
      <c r="B4237" s="2" t="s">
        <v>8974</v>
      </c>
      <c r="C4237" s="2" t="s">
        <v>16</v>
      </c>
      <c r="D4237" s="2" t="s">
        <v>17</v>
      </c>
      <c r="E4237" s="5">
        <v>-31441</v>
      </c>
      <c r="F4237" s="3" t="s">
        <v>1933</v>
      </c>
      <c r="G4237" s="3" t="s">
        <v>54</v>
      </c>
      <c r="H4237" s="2" t="s">
        <v>20</v>
      </c>
      <c r="I4237" s="2" t="s">
        <v>8982</v>
      </c>
      <c r="J4237" s="3" t="str">
        <f>HYPERLINK("https://www.boe.es/gazeta/dias/1813/11/30/pdfs/GMR-1813-81.pdf#page=3","Abrir facsímil")</f>
        <v>Abrir facsímil</v>
      </c>
      <c r="K4237" s="3" t="s">
        <v>22</v>
      </c>
    </row>
    <row r="4238" spans="1:11" ht="42" customHeight="1">
      <c r="A4238" s="2" t="s">
        <v>8974</v>
      </c>
      <c r="B4238" s="2" t="s">
        <v>8974</v>
      </c>
      <c r="C4238" s="2" t="s">
        <v>16</v>
      </c>
      <c r="D4238" s="2" t="s">
        <v>17</v>
      </c>
      <c r="E4238" s="5">
        <v>-31427</v>
      </c>
      <c r="F4238" s="3" t="s">
        <v>489</v>
      </c>
      <c r="G4238" s="3" t="s">
        <v>54</v>
      </c>
      <c r="H4238" s="2" t="s">
        <v>20</v>
      </c>
      <c r="I4238" s="2" t="s">
        <v>8983</v>
      </c>
      <c r="J4238" s="3" t="str">
        <f>HYPERLINK("https://www.boe.es/gazeta/dias/1813/12/14/pdfs/GMR-1813-87.pdf#page=3","Abrir facsímil")</f>
        <v>Abrir facsímil</v>
      </c>
      <c r="K4238" s="3" t="s">
        <v>22</v>
      </c>
    </row>
    <row r="4239" spans="1:11" ht="42" customHeight="1">
      <c r="A4239" s="2" t="s">
        <v>8974</v>
      </c>
      <c r="B4239" s="2" t="s">
        <v>8974</v>
      </c>
      <c r="C4239" s="2" t="s">
        <v>16</v>
      </c>
      <c r="D4239" s="2" t="s">
        <v>17</v>
      </c>
      <c r="E4239" s="5">
        <v>-31427</v>
      </c>
      <c r="F4239" s="3" t="s">
        <v>489</v>
      </c>
      <c r="G4239" s="3" t="s">
        <v>19</v>
      </c>
      <c r="H4239" s="2" t="s">
        <v>20</v>
      </c>
      <c r="I4239" s="2" t="s">
        <v>8984</v>
      </c>
      <c r="J4239" s="3" t="str">
        <f>HYPERLINK("https://www.boe.es/gazeta/dias/1813/12/14/pdfs/GMR-1813-87.pdf#page=4","Abrir facsímil")</f>
        <v>Abrir facsímil</v>
      </c>
      <c r="K4239" s="3" t="s">
        <v>22</v>
      </c>
    </row>
    <row r="4240" spans="1:11" ht="42" customHeight="1">
      <c r="A4240" s="2" t="s">
        <v>8985</v>
      </c>
      <c r="B4240" s="2" t="s">
        <v>8985</v>
      </c>
      <c r="C4240" s="2" t="s">
        <v>16</v>
      </c>
      <c r="D4240" s="2" t="s">
        <v>17</v>
      </c>
      <c r="E4240" s="5">
        <v>-31518</v>
      </c>
      <c r="F4240" s="3" t="s">
        <v>1090</v>
      </c>
      <c r="G4240" s="3" t="s">
        <v>58</v>
      </c>
      <c r="H4240" s="2" t="s">
        <v>20</v>
      </c>
      <c r="I4240" s="2" t="s">
        <v>8986</v>
      </c>
      <c r="J4240" s="3" t="str">
        <f>HYPERLINK("https://www.boe.es/gazeta/dias/1813/09/14/pdfs/GMR-1813-42.pdf#page=2","Abrir facsímil")</f>
        <v>Abrir facsímil</v>
      </c>
      <c r="K4240" s="3" t="s">
        <v>22</v>
      </c>
    </row>
    <row r="4241" spans="1:11" ht="42" customHeight="1">
      <c r="A4241" s="2" t="s">
        <v>8987</v>
      </c>
      <c r="B4241" s="2" t="s">
        <v>8987</v>
      </c>
      <c r="C4241" s="2" t="s">
        <v>16</v>
      </c>
      <c r="D4241" s="2" t="s">
        <v>17</v>
      </c>
      <c r="E4241" s="5">
        <v>-31731</v>
      </c>
      <c r="F4241" s="3" t="s">
        <v>866</v>
      </c>
      <c r="G4241" s="3" t="s">
        <v>3662</v>
      </c>
      <c r="H4241" s="2" t="s">
        <v>20</v>
      </c>
      <c r="I4241" s="2" t="s">
        <v>8988</v>
      </c>
      <c r="J4241" s="3" t="str">
        <f>HYPERLINK("https://www.boe.es/gazeta/dias/1813/02/13/pdfs/GRE-1813-19.pdf#page=4","Abrir facsímil")</f>
        <v>Abrir facsímil</v>
      </c>
      <c r="K4241" s="3" t="s">
        <v>22</v>
      </c>
    </row>
    <row r="4242" spans="1:11" ht="42" customHeight="1">
      <c r="A4242" s="2" t="s">
        <v>8987</v>
      </c>
      <c r="B4242" s="2" t="s">
        <v>8987</v>
      </c>
      <c r="C4242" s="2" t="s">
        <v>16</v>
      </c>
      <c r="D4242" s="2" t="s">
        <v>17</v>
      </c>
      <c r="E4242" s="5">
        <v>-31606</v>
      </c>
      <c r="F4242" s="3" t="s">
        <v>124</v>
      </c>
      <c r="G4242" s="3" t="s">
        <v>54</v>
      </c>
      <c r="H4242" s="2" t="s">
        <v>20</v>
      </c>
      <c r="I4242" s="2" t="s">
        <v>8989</v>
      </c>
      <c r="J4242" s="3" t="str">
        <f>HYPERLINK("https://www.boe.es/gazeta/dias/1813/06/18/pdfs/GMR-1813-7.pdf#page=3","Abrir facsímil")</f>
        <v>Abrir facsímil</v>
      </c>
      <c r="K4242" s="3" t="s">
        <v>22</v>
      </c>
    </row>
    <row r="4243" spans="1:11" ht="42" customHeight="1">
      <c r="A4243" s="2" t="s">
        <v>8990</v>
      </c>
      <c r="B4243" s="2" t="s">
        <v>8990</v>
      </c>
      <c r="C4243" s="2" t="s">
        <v>16</v>
      </c>
      <c r="D4243" s="2" t="s">
        <v>17</v>
      </c>
      <c r="E4243" s="5">
        <v>-31733</v>
      </c>
      <c r="F4243" s="3" t="s">
        <v>3036</v>
      </c>
      <c r="G4243" s="3" t="s">
        <v>7278</v>
      </c>
      <c r="H4243" s="2" t="s">
        <v>20</v>
      </c>
      <c r="I4243" s="2" t="s">
        <v>8991</v>
      </c>
      <c r="J4243" s="3" t="str">
        <f>HYPERLINK("https://www.boe.es/gazeta/dias/1813/02/11/pdfs/GRE-1813-18.pdf#page=4","Abrir facsímil")</f>
        <v>Abrir facsímil</v>
      </c>
      <c r="K4243" s="3" t="s">
        <v>22</v>
      </c>
    </row>
    <row r="4244" spans="1:11" ht="42" customHeight="1">
      <c r="A4244" s="2" t="s">
        <v>8992</v>
      </c>
      <c r="B4244" s="2" t="s">
        <v>8992</v>
      </c>
      <c r="C4244" s="2" t="s">
        <v>16</v>
      </c>
      <c r="D4244" s="2" t="s">
        <v>17</v>
      </c>
      <c r="E4244" s="5">
        <v>-31644</v>
      </c>
      <c r="F4244" s="3" t="s">
        <v>3904</v>
      </c>
      <c r="G4244" s="3" t="s">
        <v>4709</v>
      </c>
      <c r="H4244" s="2" t="s">
        <v>20</v>
      </c>
      <c r="I4244" s="2" t="s">
        <v>8993</v>
      </c>
      <c r="J4244" s="3" t="str">
        <f>HYPERLINK("https://www.boe.es/gazeta/dias/1813/05/11/pdfs/GRE-1813-58.pdf#page=2","Abrir facsímil")</f>
        <v>Abrir facsímil</v>
      </c>
      <c r="K4244" s="3" t="s">
        <v>22</v>
      </c>
    </row>
    <row r="4245" spans="1:11" ht="42" customHeight="1">
      <c r="A4245" s="2" t="s">
        <v>8994</v>
      </c>
      <c r="B4245" s="2" t="s">
        <v>8995</v>
      </c>
      <c r="C4245" s="2" t="s">
        <v>16</v>
      </c>
      <c r="D4245" s="2" t="s">
        <v>97</v>
      </c>
      <c r="E4245" s="5">
        <v>-31519</v>
      </c>
      <c r="F4245" s="3" t="s">
        <v>312</v>
      </c>
      <c r="G4245" s="3" t="s">
        <v>313</v>
      </c>
      <c r="H4245" s="2" t="s">
        <v>20</v>
      </c>
      <c r="I4245" s="2" t="s">
        <v>8996</v>
      </c>
      <c r="J4245" s="3" t="str">
        <f>HYPERLINK("https://www.boe.es/gazeta/dias/1813/09/13/pdfs/GRE-1813-118E.pdf#page=9","Abrir facsímil")</f>
        <v>Abrir facsímil</v>
      </c>
      <c r="K4245" s="3" t="s">
        <v>22</v>
      </c>
    </row>
    <row r="4246" spans="1:11" ht="42" customHeight="1">
      <c r="A4246" s="2" t="s">
        <v>8997</v>
      </c>
      <c r="B4246" s="2" t="s">
        <v>8997</v>
      </c>
      <c r="C4246" s="2" t="s">
        <v>34</v>
      </c>
      <c r="D4246" s="2" t="s">
        <v>35</v>
      </c>
      <c r="E4246" s="5">
        <v>-31643</v>
      </c>
      <c r="F4246" s="3" t="s">
        <v>2610</v>
      </c>
      <c r="G4246" s="3" t="s">
        <v>54</v>
      </c>
      <c r="H4246" s="2" t="s">
        <v>20</v>
      </c>
      <c r="I4246" s="2" t="s">
        <v>8998</v>
      </c>
      <c r="J4246" s="3" t="str">
        <f>HYPERLINK("https://www.boe.es/gazeta/dias/1813/05/12/pdfs/GMD-1813-132.pdf#page=3","Abrir facsímil")</f>
        <v>Abrir facsímil</v>
      </c>
      <c r="K4246" s="3" t="s">
        <v>22</v>
      </c>
    </row>
    <row r="4247" spans="1:11" ht="42" customHeight="1">
      <c r="A4247" s="2" t="s">
        <v>8997</v>
      </c>
      <c r="B4247" s="2" t="s">
        <v>8997</v>
      </c>
      <c r="C4247" s="2" t="s">
        <v>16</v>
      </c>
      <c r="D4247" s="2" t="s">
        <v>17</v>
      </c>
      <c r="E4247" s="5">
        <v>-31642</v>
      </c>
      <c r="F4247" s="3" t="s">
        <v>2091</v>
      </c>
      <c r="G4247" s="3" t="s">
        <v>54</v>
      </c>
      <c r="H4247" s="2" t="s">
        <v>20</v>
      </c>
      <c r="I4247" s="2" t="s">
        <v>8999</v>
      </c>
      <c r="J4247" s="3" t="str">
        <f>HYPERLINK("https://www.boe.es/gazeta/dias/1813/05/13/pdfs/GMD-1813-133.pdf#page=3","Abrir facsímil")</f>
        <v>Abrir facsímil</v>
      </c>
      <c r="K4247" s="3" t="s">
        <v>22</v>
      </c>
    </row>
    <row r="4248" spans="1:11" ht="42" customHeight="1">
      <c r="A4248" s="2" t="s">
        <v>9000</v>
      </c>
      <c r="B4248" s="2" t="s">
        <v>9000</v>
      </c>
      <c r="C4248" s="2" t="s">
        <v>25</v>
      </c>
      <c r="D4248" s="2" t="s">
        <v>26</v>
      </c>
      <c r="E4248" s="5">
        <v>-31643</v>
      </c>
      <c r="F4248" s="3" t="s">
        <v>2610</v>
      </c>
      <c r="G4248" s="3" t="s">
        <v>54</v>
      </c>
      <c r="H4248" s="2" t="s">
        <v>20</v>
      </c>
      <c r="I4248" s="2" t="s">
        <v>9001</v>
      </c>
      <c r="J4248" s="3" t="str">
        <f>HYPERLINK("https://www.boe.es/gazeta/dias/1813/05/12/pdfs/GMD-1813-132.pdf#page=3","Abrir facsímil")</f>
        <v>Abrir facsímil</v>
      </c>
      <c r="K4248" s="3" t="s">
        <v>22</v>
      </c>
    </row>
    <row r="4249" spans="1:11" ht="42" customHeight="1">
      <c r="A4249" s="2" t="s">
        <v>9002</v>
      </c>
      <c r="B4249" s="2" t="s">
        <v>9002</v>
      </c>
      <c r="C4249" s="2" t="s">
        <v>16</v>
      </c>
      <c r="D4249" s="2" t="s">
        <v>17</v>
      </c>
      <c r="E4249" s="5">
        <v>-31656</v>
      </c>
      <c r="F4249" s="3" t="s">
        <v>415</v>
      </c>
      <c r="G4249" s="3" t="s">
        <v>65</v>
      </c>
      <c r="H4249" s="2" t="s">
        <v>20</v>
      </c>
      <c r="I4249" s="2" t="s">
        <v>9003</v>
      </c>
      <c r="J4249" s="3" t="str">
        <f>HYPERLINK("https://www.boe.es/gazeta/dias/1813/04/29/pdfs/GMD-1813-119.pdf#page=1","Abrir facsímil")</f>
        <v>Abrir facsímil</v>
      </c>
      <c r="K4249" s="3" t="s">
        <v>22</v>
      </c>
    </row>
    <row r="4250" spans="1:11" ht="42" customHeight="1">
      <c r="A4250" s="2" t="s">
        <v>9004</v>
      </c>
      <c r="B4250" s="2" t="s">
        <v>9004</v>
      </c>
      <c r="C4250" s="2" t="s">
        <v>16</v>
      </c>
      <c r="D4250" s="2" t="s">
        <v>17</v>
      </c>
      <c r="E4250" s="5">
        <v>-31647</v>
      </c>
      <c r="F4250" s="3" t="s">
        <v>5110</v>
      </c>
      <c r="G4250" s="3" t="s">
        <v>54</v>
      </c>
      <c r="H4250" s="2" t="s">
        <v>20</v>
      </c>
      <c r="I4250" s="2" t="s">
        <v>9005</v>
      </c>
      <c r="J4250" s="3" t="str">
        <f>HYPERLINK("https://www.boe.es/gazeta/dias/1813/05/08/pdfs/GMD-1813-128.pdf#page=3","Abrir facsímil")</f>
        <v>Abrir facsímil</v>
      </c>
      <c r="K4250" s="3" t="s">
        <v>22</v>
      </c>
    </row>
    <row r="4251" spans="1:11" ht="42" customHeight="1">
      <c r="A4251" s="2" t="s">
        <v>9006</v>
      </c>
      <c r="B4251" s="2" t="s">
        <v>9006</v>
      </c>
      <c r="C4251" s="2" t="s">
        <v>16</v>
      </c>
      <c r="D4251" s="2" t="s">
        <v>17</v>
      </c>
      <c r="E4251" s="5">
        <v>-31458</v>
      </c>
      <c r="F4251" s="3" t="s">
        <v>2315</v>
      </c>
      <c r="G4251" s="3" t="s">
        <v>54</v>
      </c>
      <c r="H4251" s="2" t="s">
        <v>20</v>
      </c>
      <c r="I4251" s="2" t="s">
        <v>9007</v>
      </c>
      <c r="J4251" s="3" t="str">
        <f>HYPERLINK("https://www.boe.es/gazeta/dias/1813/11/13/pdfs/GMR-1813-73.pdf#page=3","Abrir facsímil")</f>
        <v>Abrir facsímil</v>
      </c>
      <c r="K4251" s="3" t="s">
        <v>22</v>
      </c>
    </row>
    <row r="4252" spans="1:11" ht="42" customHeight="1">
      <c r="A4252" s="2" t="s">
        <v>9004</v>
      </c>
      <c r="B4252" s="2" t="s">
        <v>9004</v>
      </c>
      <c r="C4252" s="2" t="s">
        <v>16</v>
      </c>
      <c r="D4252" s="2" t="s">
        <v>17</v>
      </c>
      <c r="E4252" s="5">
        <v>-31453</v>
      </c>
      <c r="F4252" s="3" t="s">
        <v>695</v>
      </c>
      <c r="G4252" s="3" t="s">
        <v>58</v>
      </c>
      <c r="H4252" s="2" t="s">
        <v>20</v>
      </c>
      <c r="I4252" s="2" t="s">
        <v>9008</v>
      </c>
      <c r="J4252" s="3" t="str">
        <f>HYPERLINK("https://www.boe.es/gazeta/dias/1813/11/18/pdfs/GRE-1813-151.pdf#page=2","Abrir facsímil")</f>
        <v>Abrir facsímil</v>
      </c>
      <c r="K4252" s="3" t="s">
        <v>22</v>
      </c>
    </row>
    <row r="4253" spans="1:11" ht="42" customHeight="1">
      <c r="A4253" s="2" t="s">
        <v>9009</v>
      </c>
      <c r="B4253" s="2" t="s">
        <v>9010</v>
      </c>
      <c r="C4253" s="2" t="s">
        <v>25</v>
      </c>
      <c r="D4253" s="2" t="s">
        <v>26</v>
      </c>
      <c r="E4253" s="5">
        <v>-31745</v>
      </c>
      <c r="F4253" s="3" t="s">
        <v>445</v>
      </c>
      <c r="G4253" s="3" t="s">
        <v>28</v>
      </c>
      <c r="H4253" s="2" t="s">
        <v>20</v>
      </c>
      <c r="I4253" s="2" t="s">
        <v>9011</v>
      </c>
      <c r="J4253" s="3" t="str">
        <f>HYPERLINK("https://www.boe.es/gazeta/dias/1813/01/30/pdfs/GRE-1813-13.pdf#page=8","Abrir facsímil")</f>
        <v>Abrir facsímil</v>
      </c>
      <c r="K4253" s="3" t="s">
        <v>22</v>
      </c>
    </row>
    <row r="4254" spans="1:11" ht="42" customHeight="1">
      <c r="A4254" s="2" t="s">
        <v>9012</v>
      </c>
      <c r="B4254" s="2" t="s">
        <v>9013</v>
      </c>
      <c r="C4254" s="2" t="s">
        <v>16</v>
      </c>
      <c r="D4254" s="2" t="s">
        <v>17</v>
      </c>
      <c r="E4254" s="5">
        <v>-31745</v>
      </c>
      <c r="F4254" s="3" t="s">
        <v>445</v>
      </c>
      <c r="G4254" s="3" t="s">
        <v>19</v>
      </c>
      <c r="H4254" s="2" t="s">
        <v>20</v>
      </c>
      <c r="I4254" s="2" t="s">
        <v>9014</v>
      </c>
      <c r="J4254" s="3" t="str">
        <f>HYPERLINK("https://www.boe.es/gazeta/dias/1813/01/30/pdfs/GRE-1813-13.pdf#page=4","Abrir facsímil")</f>
        <v>Abrir facsímil</v>
      </c>
      <c r="K4254" s="3" t="s">
        <v>22</v>
      </c>
    </row>
    <row r="4255" spans="1:11" ht="42" customHeight="1">
      <c r="A4255" s="2" t="s">
        <v>9015</v>
      </c>
      <c r="B4255" s="2" t="s">
        <v>9015</v>
      </c>
      <c r="C4255" s="2" t="s">
        <v>16</v>
      </c>
      <c r="D4255" s="2" t="s">
        <v>17</v>
      </c>
      <c r="E4255" s="5">
        <v>-31752</v>
      </c>
      <c r="F4255" s="3" t="s">
        <v>182</v>
      </c>
      <c r="G4255" s="3" t="s">
        <v>58</v>
      </c>
      <c r="H4255" s="2" t="s">
        <v>20</v>
      </c>
      <c r="I4255" s="2" t="s">
        <v>9016</v>
      </c>
      <c r="J4255" s="3" t="str">
        <f>HYPERLINK("https://www.boe.es/gazeta/dias/1813/01/23/pdfs/GRE-1813-10.pdf#page=2","Abrir facsímil")</f>
        <v>Abrir facsímil</v>
      </c>
      <c r="K4255" s="3" t="s">
        <v>22</v>
      </c>
    </row>
    <row r="4256" spans="1:11" ht="42" customHeight="1">
      <c r="A4256" s="2" t="s">
        <v>9017</v>
      </c>
      <c r="B4256" s="2" t="s">
        <v>9017</v>
      </c>
      <c r="C4256" s="2" t="s">
        <v>16</v>
      </c>
      <c r="D4256" s="2" t="s">
        <v>17</v>
      </c>
      <c r="E4256" s="5">
        <v>-31728</v>
      </c>
      <c r="F4256" s="3" t="s">
        <v>1434</v>
      </c>
      <c r="G4256" s="3" t="s">
        <v>1818</v>
      </c>
      <c r="H4256" s="2" t="s">
        <v>20</v>
      </c>
      <c r="I4256" s="2" t="s">
        <v>9018</v>
      </c>
      <c r="J4256" s="3" t="str">
        <f>HYPERLINK("https://www.boe.es/gazeta/dias/1813/02/16/pdfs/GRE-1813-20.pdf#page=5","Abrir facsímil")</f>
        <v>Abrir facsímil</v>
      </c>
      <c r="K4256" s="3" t="s">
        <v>22</v>
      </c>
    </row>
    <row r="4257" spans="1:11" ht="42" customHeight="1">
      <c r="A4257" s="2" t="s">
        <v>9019</v>
      </c>
      <c r="B4257" s="2" t="s">
        <v>9019</v>
      </c>
      <c r="C4257" s="2" t="s">
        <v>16</v>
      </c>
      <c r="D4257" s="2" t="s">
        <v>17</v>
      </c>
      <c r="E4257" s="5">
        <v>-31418</v>
      </c>
      <c r="F4257" s="3" t="s">
        <v>1529</v>
      </c>
      <c r="G4257" s="3" t="s">
        <v>54</v>
      </c>
      <c r="H4257" s="2" t="s">
        <v>20</v>
      </c>
      <c r="I4257" s="2" t="s">
        <v>9020</v>
      </c>
      <c r="J4257" s="3" t="str">
        <f>HYPERLINK("https://www.boe.es/gazeta/dias/1813/12/23/pdfs/GMR-1813-91.pdf#page=3","Abrir facsímil")</f>
        <v>Abrir facsímil</v>
      </c>
      <c r="K4257" s="3" t="s">
        <v>22</v>
      </c>
    </row>
    <row r="4258" spans="1:11" ht="42" customHeight="1">
      <c r="A4258" s="2" t="s">
        <v>9021</v>
      </c>
      <c r="B4258" s="2" t="s">
        <v>9022</v>
      </c>
      <c r="C4258" s="2" t="s">
        <v>25</v>
      </c>
      <c r="D4258" s="2" t="s">
        <v>26</v>
      </c>
      <c r="E4258" s="5">
        <v>-31745</v>
      </c>
      <c r="F4258" s="3" t="s">
        <v>445</v>
      </c>
      <c r="G4258" s="3" t="s">
        <v>28</v>
      </c>
      <c r="H4258" s="2" t="s">
        <v>20</v>
      </c>
      <c r="I4258" s="2" t="s">
        <v>9023</v>
      </c>
      <c r="J4258" s="3" t="str">
        <f>HYPERLINK("https://www.boe.es/gazeta/dias/1813/01/30/pdfs/GRE-1813-13.pdf#page=8","Abrir facsímil")</f>
        <v>Abrir facsímil</v>
      </c>
      <c r="K4258" s="3" t="s">
        <v>22</v>
      </c>
    </row>
    <row r="4259" spans="1:11" ht="42" customHeight="1">
      <c r="A4259" s="2" t="s">
        <v>9024</v>
      </c>
      <c r="B4259" s="2" t="s">
        <v>9025</v>
      </c>
      <c r="C4259" s="2" t="s">
        <v>25</v>
      </c>
      <c r="D4259" s="2" t="s">
        <v>26</v>
      </c>
      <c r="E4259" s="5">
        <v>-31689</v>
      </c>
      <c r="F4259" s="3" t="s">
        <v>48</v>
      </c>
      <c r="G4259" s="3" t="s">
        <v>162</v>
      </c>
      <c r="H4259" s="2" t="s">
        <v>20</v>
      </c>
      <c r="I4259" s="2" t="s">
        <v>9026</v>
      </c>
      <c r="J4259" s="3" t="str">
        <f>HYPERLINK("https://www.boe.es/gazeta/dias/1813/03/27/pdfs/GRE-1813-38.pdf#page=8","Abrir facsímil")</f>
        <v>Abrir facsímil</v>
      </c>
      <c r="K4259" s="3" t="s">
        <v>22</v>
      </c>
    </row>
    <row r="4260" spans="1:11" ht="42" customHeight="1">
      <c r="A4260" s="2" t="s">
        <v>9027</v>
      </c>
      <c r="B4260" s="2" t="s">
        <v>9028</v>
      </c>
      <c r="C4260" s="2" t="s">
        <v>16</v>
      </c>
      <c r="D4260" s="2" t="s">
        <v>17</v>
      </c>
      <c r="E4260" s="5">
        <v>-31628</v>
      </c>
      <c r="F4260" s="3" t="s">
        <v>358</v>
      </c>
      <c r="G4260" s="3" t="s">
        <v>359</v>
      </c>
      <c r="H4260" s="2" t="s">
        <v>20</v>
      </c>
      <c r="I4260" s="2" t="s">
        <v>9029</v>
      </c>
      <c r="J4260" s="3" t="str">
        <f>HYPERLINK("https://www.boe.es/gazeta/dias/1813/05/27/pdfs/GRE-1813-65.pdf#page=6","Abrir facsímil")</f>
        <v>Abrir facsímil</v>
      </c>
      <c r="K4260" s="3" t="s">
        <v>22</v>
      </c>
    </row>
    <row r="4261" spans="1:11" ht="42" customHeight="1">
      <c r="A4261" s="2" t="s">
        <v>9030</v>
      </c>
      <c r="B4261" s="2" t="s">
        <v>9030</v>
      </c>
      <c r="C4261" s="2" t="s">
        <v>34</v>
      </c>
      <c r="D4261" s="2" t="s">
        <v>35</v>
      </c>
      <c r="E4261" s="5">
        <v>-31514</v>
      </c>
      <c r="F4261" s="3" t="s">
        <v>2099</v>
      </c>
      <c r="G4261" s="3" t="s">
        <v>4358</v>
      </c>
      <c r="H4261" s="2" t="s">
        <v>20</v>
      </c>
      <c r="I4261" s="2" t="s">
        <v>9031</v>
      </c>
      <c r="J4261" s="3" t="str">
        <f>HYPERLINK("https://www.boe.es/gazeta/dias/1813/09/18/pdfs/GMR-1813-45.pdf#page=7","Abrir facsímil")</f>
        <v>Abrir facsímil</v>
      </c>
      <c r="K4261" s="3" t="s">
        <v>22</v>
      </c>
    </row>
    <row r="4262" spans="1:11" ht="42" customHeight="1">
      <c r="A4262" s="2" t="s">
        <v>9032</v>
      </c>
      <c r="B4262" s="2" t="s">
        <v>9033</v>
      </c>
      <c r="C4262" s="2" t="s">
        <v>34</v>
      </c>
      <c r="D4262" s="2" t="s">
        <v>35</v>
      </c>
      <c r="E4262" s="5">
        <v>-31518</v>
      </c>
      <c r="F4262" s="3" t="s">
        <v>155</v>
      </c>
      <c r="G4262" s="3" t="s">
        <v>82</v>
      </c>
      <c r="H4262" s="2" t="s">
        <v>20</v>
      </c>
      <c r="I4262" s="2" t="s">
        <v>9034</v>
      </c>
      <c r="J4262" s="3" t="str">
        <f>HYPERLINK("https://www.boe.es/gazeta/dias/1813/09/14/pdfs/GRE-1813-119.pdf#page=5","Abrir facsímil")</f>
        <v>Abrir facsímil</v>
      </c>
      <c r="K4262" s="3" t="s">
        <v>22</v>
      </c>
    </row>
    <row r="4263" spans="1:11" ht="42" customHeight="1">
      <c r="A4263" s="2" t="s">
        <v>9035</v>
      </c>
      <c r="B4263" s="2" t="s">
        <v>9036</v>
      </c>
      <c r="C4263" s="2" t="s">
        <v>25</v>
      </c>
      <c r="D4263" s="2" t="s">
        <v>26</v>
      </c>
      <c r="E4263" s="5">
        <v>-31677</v>
      </c>
      <c r="F4263" s="3" t="s">
        <v>76</v>
      </c>
      <c r="G4263" s="3" t="s">
        <v>28</v>
      </c>
      <c r="H4263" s="2" t="s">
        <v>20</v>
      </c>
      <c r="I4263" s="2" t="s">
        <v>9037</v>
      </c>
      <c r="J4263" s="3" t="str">
        <f>HYPERLINK("https://www.boe.es/gazeta/dias/1813/04/08/pdfs/GRE-1813-43.pdf#page=8","Abrir facsímil")</f>
        <v>Abrir facsímil</v>
      </c>
      <c r="K4263" s="3" t="s">
        <v>22</v>
      </c>
    </row>
    <row r="4264" spans="1:11" ht="42" customHeight="1">
      <c r="A4264" s="2" t="s">
        <v>9038</v>
      </c>
      <c r="B4264" s="2" t="s">
        <v>9039</v>
      </c>
      <c r="C4264" s="2" t="s">
        <v>25</v>
      </c>
      <c r="D4264" s="2" t="s">
        <v>26</v>
      </c>
      <c r="E4264" s="5">
        <v>-31752</v>
      </c>
      <c r="F4264" s="3" t="s">
        <v>182</v>
      </c>
      <c r="G4264" s="3" t="s">
        <v>183</v>
      </c>
      <c r="H4264" s="2" t="s">
        <v>20</v>
      </c>
      <c r="I4264" s="2" t="s">
        <v>9040</v>
      </c>
      <c r="J4264" s="3" t="str">
        <f>HYPERLINK("https://www.boe.es/gazeta/dias/1813/01/23/pdfs/GRE-1813-10.pdf#page=8","Abrir facsímil")</f>
        <v>Abrir facsímil</v>
      </c>
      <c r="K4264" s="3" t="s">
        <v>22</v>
      </c>
    </row>
    <row r="4265" spans="1:11" ht="42" customHeight="1">
      <c r="A4265" s="2" t="s">
        <v>9041</v>
      </c>
      <c r="B4265" s="2" t="s">
        <v>9042</v>
      </c>
      <c r="C4265" s="2" t="s">
        <v>34</v>
      </c>
      <c r="D4265" s="2" t="s">
        <v>35</v>
      </c>
      <c r="E4265" s="5">
        <v>-31462</v>
      </c>
      <c r="F4265" s="3" t="s">
        <v>1028</v>
      </c>
      <c r="G4265" s="3" t="s">
        <v>313</v>
      </c>
      <c r="H4265" s="2" t="s">
        <v>20</v>
      </c>
      <c r="I4265" s="2" t="s">
        <v>9043</v>
      </c>
      <c r="J4265" s="3" t="str">
        <f>HYPERLINK("https://www.boe.es/gazeta/dias/1813/11/09/pdfs/GMR-1813-71.pdf#page=9","Abrir facsímil")</f>
        <v>Abrir facsímil</v>
      </c>
      <c r="K4265" s="3" t="s">
        <v>22</v>
      </c>
    </row>
    <row r="4266" spans="1:11" ht="42" customHeight="1">
      <c r="A4266" s="2" t="s">
        <v>9044</v>
      </c>
      <c r="B4266" s="2" t="s">
        <v>9045</v>
      </c>
      <c r="C4266" s="2" t="s">
        <v>16</v>
      </c>
      <c r="D4266" s="2" t="s">
        <v>17</v>
      </c>
      <c r="E4266" s="5">
        <v>-31717</v>
      </c>
      <c r="F4266" s="3" t="s">
        <v>2338</v>
      </c>
      <c r="G4266" s="3" t="s">
        <v>5893</v>
      </c>
      <c r="H4266" s="2" t="s">
        <v>20</v>
      </c>
      <c r="I4266" s="2" t="s">
        <v>9046</v>
      </c>
      <c r="J4266" s="3" t="str">
        <f>HYPERLINK("https://www.boe.es/gazeta/dias/1813/02/27/pdfs/GRE-1813-25.pdf#page=6","Abrir facsímil")</f>
        <v>Abrir facsímil</v>
      </c>
      <c r="K4266" s="3" t="s">
        <v>22</v>
      </c>
    </row>
    <row r="4267" spans="1:11" ht="42" customHeight="1">
      <c r="A4267" s="2" t="s">
        <v>9047</v>
      </c>
      <c r="B4267" s="2" t="s">
        <v>9048</v>
      </c>
      <c r="C4267" s="2" t="s">
        <v>25</v>
      </c>
      <c r="D4267" s="2" t="s">
        <v>26</v>
      </c>
      <c r="E4267" s="5">
        <v>-31745</v>
      </c>
      <c r="F4267" s="3" t="s">
        <v>445</v>
      </c>
      <c r="G4267" s="3" t="s">
        <v>28</v>
      </c>
      <c r="H4267" s="2" t="s">
        <v>20</v>
      </c>
      <c r="I4267" s="2" t="s">
        <v>9049</v>
      </c>
      <c r="J4267" s="3" t="str">
        <f>HYPERLINK("https://www.boe.es/gazeta/dias/1813/01/30/pdfs/GRE-1813-13.pdf#page=8","Abrir facsímil")</f>
        <v>Abrir facsímil</v>
      </c>
      <c r="K4267" s="3" t="s">
        <v>22</v>
      </c>
    </row>
    <row r="4268" spans="1:11" ht="42" customHeight="1">
      <c r="A4268" s="2" t="s">
        <v>9050</v>
      </c>
      <c r="B4268" s="2" t="s">
        <v>9050</v>
      </c>
      <c r="C4268" s="2" t="s">
        <v>16</v>
      </c>
      <c r="D4268" s="2" t="s">
        <v>17</v>
      </c>
      <c r="E4268" s="5">
        <v>-31681</v>
      </c>
      <c r="F4268" s="3" t="s">
        <v>925</v>
      </c>
      <c r="G4268" s="3" t="s">
        <v>19</v>
      </c>
      <c r="H4268" s="2" t="s">
        <v>20</v>
      </c>
      <c r="I4268" s="2" t="s">
        <v>9051</v>
      </c>
      <c r="J4268" s="3" t="str">
        <f>HYPERLINK("https://www.boe.es/gazeta/dias/1813/04/04/pdfs/GMD-1813-94.pdf#page=4","Abrir facsímil")</f>
        <v>Abrir facsímil</v>
      </c>
      <c r="K4268" s="3" t="s">
        <v>22</v>
      </c>
    </row>
    <row r="4269" spans="1:11" ht="42" customHeight="1">
      <c r="A4269" s="2" t="s">
        <v>9052</v>
      </c>
      <c r="B4269" s="2" t="s">
        <v>9053</v>
      </c>
      <c r="C4269" s="2" t="s">
        <v>25</v>
      </c>
      <c r="D4269" s="2" t="s">
        <v>26</v>
      </c>
      <c r="E4269" s="5">
        <v>-31745</v>
      </c>
      <c r="F4269" s="3" t="s">
        <v>445</v>
      </c>
      <c r="G4269" s="3" t="s">
        <v>475</v>
      </c>
      <c r="H4269" s="2" t="s">
        <v>20</v>
      </c>
      <c r="I4269" s="2" t="s">
        <v>9054</v>
      </c>
      <c r="J4269" s="3" t="str">
        <f>HYPERLINK("https://www.boe.es/gazeta/dias/1813/01/30/pdfs/GRE-1813-13.pdf#page=7","Abrir facsímil")</f>
        <v>Abrir facsímil</v>
      </c>
      <c r="K4269" s="3" t="s">
        <v>22</v>
      </c>
    </row>
    <row r="4270" spans="1:11" ht="42" customHeight="1">
      <c r="A4270" s="2" t="s">
        <v>9055</v>
      </c>
      <c r="B4270" s="2" t="s">
        <v>9056</v>
      </c>
      <c r="C4270" s="2" t="s">
        <v>16</v>
      </c>
      <c r="D4270" s="2" t="s">
        <v>17</v>
      </c>
      <c r="E4270" s="5">
        <v>-31631</v>
      </c>
      <c r="F4270" s="3" t="s">
        <v>2792</v>
      </c>
      <c r="G4270" s="3" t="s">
        <v>54</v>
      </c>
      <c r="H4270" s="2" t="s">
        <v>20</v>
      </c>
      <c r="I4270" s="2" t="s">
        <v>9057</v>
      </c>
      <c r="J4270" s="3" t="str">
        <f>HYPERLINK("https://www.boe.es/gazeta/dias/1813/05/24/pdfs/GMD-1813-144.pdf#page=3","Abrir facsímil")</f>
        <v>Abrir facsímil</v>
      </c>
      <c r="K4270" s="3" t="s">
        <v>22</v>
      </c>
    </row>
    <row r="4271" spans="1:11" ht="42" customHeight="1">
      <c r="A4271" s="2" t="s">
        <v>9058</v>
      </c>
      <c r="B4271" s="2" t="s">
        <v>9059</v>
      </c>
      <c r="C4271" s="2" t="s">
        <v>16</v>
      </c>
      <c r="D4271" s="2" t="s">
        <v>17</v>
      </c>
      <c r="E4271" s="5">
        <v>-31411</v>
      </c>
      <c r="F4271" s="3" t="s">
        <v>2306</v>
      </c>
      <c r="G4271" s="3" t="s">
        <v>19</v>
      </c>
      <c r="H4271" s="2" t="s">
        <v>20</v>
      </c>
      <c r="I4271" s="2" t="s">
        <v>9060</v>
      </c>
      <c r="J4271" s="3" t="str">
        <f>HYPERLINK("https://www.boe.es/gazeta/dias/1813/12/30/pdfs/GMR-1813-94.pdf#page=4","Abrir facsímil")</f>
        <v>Abrir facsímil</v>
      </c>
      <c r="K4271" s="3" t="s">
        <v>22</v>
      </c>
    </row>
    <row r="4272" spans="1:11" ht="42" customHeight="1">
      <c r="A4272" s="2" t="s">
        <v>9061</v>
      </c>
      <c r="B4272" s="2" t="s">
        <v>9061</v>
      </c>
      <c r="C4272" s="2" t="s">
        <v>16</v>
      </c>
      <c r="D4272" s="2" t="s">
        <v>17</v>
      </c>
      <c r="E4272" s="5">
        <v>-31640</v>
      </c>
      <c r="F4272" s="3" t="s">
        <v>3174</v>
      </c>
      <c r="G4272" s="3" t="s">
        <v>65</v>
      </c>
      <c r="H4272" s="2" t="s">
        <v>20</v>
      </c>
      <c r="I4272" s="2" t="s">
        <v>9062</v>
      </c>
      <c r="J4272" s="3" t="str">
        <f>HYPERLINK("https://www.boe.es/gazeta/dias/1813/05/15/pdfs/GMD-1813-135.pdf#page=1","Abrir facsímil")</f>
        <v>Abrir facsímil</v>
      </c>
      <c r="K4272" s="3" t="s">
        <v>22</v>
      </c>
    </row>
    <row r="4273" spans="1:11" ht="42" customHeight="1">
      <c r="A4273" s="2" t="s">
        <v>9063</v>
      </c>
      <c r="B4273" s="2" t="s">
        <v>9063</v>
      </c>
      <c r="C4273" s="2" t="s">
        <v>16</v>
      </c>
      <c r="D4273" s="2" t="s">
        <v>17</v>
      </c>
      <c r="E4273" s="5">
        <v>-31465</v>
      </c>
      <c r="F4273" s="3" t="s">
        <v>407</v>
      </c>
      <c r="G4273" s="3" t="s">
        <v>19</v>
      </c>
      <c r="H4273" s="2" t="s">
        <v>20</v>
      </c>
      <c r="I4273" s="2" t="s">
        <v>9064</v>
      </c>
      <c r="J4273" s="3" t="str">
        <f>HYPERLINK("https://www.boe.es/gazeta/dias/1813/11/06/pdfs/GMR-1813-70.pdf#page=4","Abrir facsímil")</f>
        <v>Abrir facsímil</v>
      </c>
      <c r="K4273" s="3" t="s">
        <v>22</v>
      </c>
    </row>
    <row r="4274" spans="1:11" ht="42" customHeight="1">
      <c r="A4274" s="2" t="s">
        <v>9065</v>
      </c>
      <c r="B4274" s="2" t="s">
        <v>9065</v>
      </c>
      <c r="C4274" s="2" t="s">
        <v>16</v>
      </c>
      <c r="D4274" s="2" t="s">
        <v>17</v>
      </c>
      <c r="E4274" s="5">
        <v>-31592</v>
      </c>
      <c r="F4274" s="3" t="s">
        <v>1538</v>
      </c>
      <c r="G4274" s="3" t="s">
        <v>82</v>
      </c>
      <c r="H4274" s="2" t="s">
        <v>20</v>
      </c>
      <c r="I4274" s="2" t="s">
        <v>9066</v>
      </c>
      <c r="J4274" s="3" t="str">
        <f>HYPERLINK("https://www.boe.es/gazeta/dias/1813/07/02/pdfs/GMR-1813-14.pdf#page=5","Abrir facsímil")</f>
        <v>Abrir facsímil</v>
      </c>
      <c r="K4274" s="3" t="s">
        <v>22</v>
      </c>
    </row>
    <row r="4275" spans="1:11" ht="42" customHeight="1">
      <c r="A4275" s="2" t="s">
        <v>9067</v>
      </c>
      <c r="B4275" s="2" t="s">
        <v>9067</v>
      </c>
      <c r="C4275" s="2" t="s">
        <v>16</v>
      </c>
      <c r="D4275" s="2" t="s">
        <v>97</v>
      </c>
      <c r="E4275" s="5">
        <v>-31479</v>
      </c>
      <c r="F4275" s="3" t="s">
        <v>290</v>
      </c>
      <c r="G4275" s="3" t="s">
        <v>207</v>
      </c>
      <c r="H4275" s="2" t="s">
        <v>20</v>
      </c>
      <c r="I4275" s="2" t="s">
        <v>9068</v>
      </c>
      <c r="J4275" s="3" t="str">
        <f>HYPERLINK("https://www.boe.es/gazeta/dias/1813/10/23/pdfs/GRE-1813-139E.pdf#page=10","Abrir facsímil")</f>
        <v>Abrir facsímil</v>
      </c>
      <c r="K4275" s="3" t="s">
        <v>22</v>
      </c>
    </row>
    <row r="4276" spans="1:11" ht="42" customHeight="1">
      <c r="A4276" s="2" t="s">
        <v>9067</v>
      </c>
      <c r="B4276" s="2" t="s">
        <v>9067</v>
      </c>
      <c r="C4276" s="2" t="s">
        <v>16</v>
      </c>
      <c r="D4276" s="2" t="s">
        <v>97</v>
      </c>
      <c r="E4276" s="5">
        <v>-31479</v>
      </c>
      <c r="F4276" s="3" t="s">
        <v>290</v>
      </c>
      <c r="G4276" s="3" t="s">
        <v>82</v>
      </c>
      <c r="H4276" s="2" t="s">
        <v>20</v>
      </c>
      <c r="I4276" s="2" t="s">
        <v>9069</v>
      </c>
      <c r="J4276" s="3" t="str">
        <f>HYPERLINK("https://www.boe.es/gazeta/dias/1813/10/23/pdfs/GRE-1813-139E.pdf#page=5","Abrir facsímil")</f>
        <v>Abrir facsímil</v>
      </c>
      <c r="K4276" s="3" t="s">
        <v>22</v>
      </c>
    </row>
    <row r="4277" spans="1:11" ht="42" customHeight="1">
      <c r="A4277" s="2" t="s">
        <v>9067</v>
      </c>
      <c r="B4277" s="2" t="s">
        <v>9067</v>
      </c>
      <c r="C4277" s="2" t="s">
        <v>16</v>
      </c>
      <c r="D4277" s="2" t="s">
        <v>97</v>
      </c>
      <c r="E4277" s="5">
        <v>-31479</v>
      </c>
      <c r="F4277" s="3" t="s">
        <v>290</v>
      </c>
      <c r="G4277" s="3" t="s">
        <v>95</v>
      </c>
      <c r="H4277" s="2" t="s">
        <v>20</v>
      </c>
      <c r="I4277" s="2" t="s">
        <v>9070</v>
      </c>
      <c r="J4277" s="3" t="str">
        <f>HYPERLINK("https://www.boe.es/gazeta/dias/1813/10/23/pdfs/GRE-1813-139E.pdf#page=6","Abrir facsímil")</f>
        <v>Abrir facsímil</v>
      </c>
      <c r="K4277" s="3" t="s">
        <v>22</v>
      </c>
    </row>
    <row r="4278" spans="1:11" ht="42" customHeight="1">
      <c r="A4278" s="2" t="s">
        <v>9067</v>
      </c>
      <c r="B4278" s="2" t="s">
        <v>9067</v>
      </c>
      <c r="C4278" s="2" t="s">
        <v>16</v>
      </c>
      <c r="D4278" s="2" t="s">
        <v>97</v>
      </c>
      <c r="E4278" s="5">
        <v>-31479</v>
      </c>
      <c r="F4278" s="3" t="s">
        <v>290</v>
      </c>
      <c r="G4278" s="3" t="s">
        <v>87</v>
      </c>
      <c r="H4278" s="2" t="s">
        <v>20</v>
      </c>
      <c r="I4278" s="2" t="s">
        <v>9071</v>
      </c>
      <c r="J4278" s="3" t="str">
        <f>HYPERLINK("https://www.boe.es/gazeta/dias/1813/10/23/pdfs/GRE-1813-139E.pdf#page=7","Abrir facsímil")</f>
        <v>Abrir facsímil</v>
      </c>
      <c r="K4278" s="3" t="s">
        <v>22</v>
      </c>
    </row>
    <row r="4279" spans="1:11" ht="42" customHeight="1">
      <c r="A4279" s="2" t="s">
        <v>9067</v>
      </c>
      <c r="B4279" s="2" t="s">
        <v>9067</v>
      </c>
      <c r="C4279" s="2" t="s">
        <v>16</v>
      </c>
      <c r="D4279" s="2" t="s">
        <v>17</v>
      </c>
      <c r="E4279" s="5">
        <v>-31465</v>
      </c>
      <c r="F4279" s="3" t="s">
        <v>407</v>
      </c>
      <c r="G4279" s="3" t="s">
        <v>3112</v>
      </c>
      <c r="H4279" s="2" t="s">
        <v>20</v>
      </c>
      <c r="I4279" s="2" t="s">
        <v>9072</v>
      </c>
      <c r="J4279" s="3" t="str">
        <f>HYPERLINK("https://www.boe.es/gazeta/dias/1813/11/06/pdfs/GMR-1813-70.pdf#page=6","Abrir facsímil")</f>
        <v>Abrir facsímil</v>
      </c>
      <c r="K4279" s="3" t="s">
        <v>22</v>
      </c>
    </row>
    <row r="4280" spans="1:11" ht="42" customHeight="1">
      <c r="A4280" s="2" t="s">
        <v>9067</v>
      </c>
      <c r="B4280" s="2" t="s">
        <v>9067</v>
      </c>
      <c r="C4280" s="2" t="s">
        <v>16</v>
      </c>
      <c r="D4280" s="2" t="s">
        <v>17</v>
      </c>
      <c r="E4280" s="5">
        <v>-31465</v>
      </c>
      <c r="F4280" s="3" t="s">
        <v>407</v>
      </c>
      <c r="G4280" s="3" t="s">
        <v>82</v>
      </c>
      <c r="H4280" s="2" t="s">
        <v>20</v>
      </c>
      <c r="I4280" s="2" t="s">
        <v>9073</v>
      </c>
      <c r="J4280" s="3" t="str">
        <f>HYPERLINK("https://www.boe.es/gazeta/dias/1813/11/06/pdfs/GMR-1813-70.pdf#page=5","Abrir facsímil")</f>
        <v>Abrir facsímil</v>
      </c>
      <c r="K4280" s="3" t="s">
        <v>22</v>
      </c>
    </row>
    <row r="4281" spans="1:11" ht="42" customHeight="1">
      <c r="A4281" s="2" t="s">
        <v>9067</v>
      </c>
      <c r="B4281" s="2" t="s">
        <v>9067</v>
      </c>
      <c r="C4281" s="2" t="s">
        <v>16</v>
      </c>
      <c r="D4281" s="2" t="s">
        <v>17</v>
      </c>
      <c r="E4281" s="5">
        <v>-31462</v>
      </c>
      <c r="F4281" s="3" t="s">
        <v>1028</v>
      </c>
      <c r="G4281" s="3" t="s">
        <v>258</v>
      </c>
      <c r="H4281" s="2" t="s">
        <v>20</v>
      </c>
      <c r="I4281" s="2" t="s">
        <v>9074</v>
      </c>
      <c r="J4281" s="3" t="str">
        <f>HYPERLINK("https://www.boe.es/gazeta/dias/1813/11/09/pdfs/GMR-1813-71.pdf#page=12","Abrir facsímil")</f>
        <v>Abrir facsímil</v>
      </c>
      <c r="K4281" s="3" t="s">
        <v>22</v>
      </c>
    </row>
    <row r="4282" spans="1:11" ht="42" customHeight="1">
      <c r="A4282" s="2" t="s">
        <v>9075</v>
      </c>
      <c r="B4282" s="2" t="s">
        <v>9076</v>
      </c>
      <c r="C4282" s="2" t="s">
        <v>16</v>
      </c>
      <c r="D4282" s="2" t="s">
        <v>17</v>
      </c>
      <c r="E4282" s="5">
        <v>-31582</v>
      </c>
      <c r="F4282" s="3" t="s">
        <v>907</v>
      </c>
      <c r="G4282" s="3" t="s">
        <v>87</v>
      </c>
      <c r="H4282" s="2" t="s">
        <v>20</v>
      </c>
      <c r="I4282" s="2" t="s">
        <v>9077</v>
      </c>
      <c r="J4282" s="3" t="str">
        <f>HYPERLINK("https://www.boe.es/gazeta/dias/1813/07/12/pdfs/GRE-1813-87.pdf#page=7","Abrir facsímil")</f>
        <v>Abrir facsímil</v>
      </c>
      <c r="K4282" s="3" t="s">
        <v>22</v>
      </c>
    </row>
    <row r="4283" spans="1:11" ht="42" customHeight="1">
      <c r="A4283" s="2" t="s">
        <v>9078</v>
      </c>
      <c r="B4283" s="2" t="s">
        <v>9079</v>
      </c>
      <c r="C4283" s="2" t="s">
        <v>16</v>
      </c>
      <c r="D4283" s="2" t="s">
        <v>97</v>
      </c>
      <c r="E4283" s="5">
        <v>-31479</v>
      </c>
      <c r="F4283" s="3" t="s">
        <v>290</v>
      </c>
      <c r="G4283" s="3" t="s">
        <v>19</v>
      </c>
      <c r="H4283" s="2" t="s">
        <v>20</v>
      </c>
      <c r="I4283" s="2" t="s">
        <v>9080</v>
      </c>
      <c r="J4283" s="3" t="str">
        <f>HYPERLINK("https://www.boe.es/gazeta/dias/1813/10/23/pdfs/GRE-1813-139E.pdf#page=4","Abrir facsímil")</f>
        <v>Abrir facsímil</v>
      </c>
      <c r="K4283" s="3" t="s">
        <v>22</v>
      </c>
    </row>
    <row r="4284" spans="1:11" ht="42" customHeight="1">
      <c r="A4284" s="2" t="s">
        <v>9078</v>
      </c>
      <c r="B4284" s="2" t="s">
        <v>9079</v>
      </c>
      <c r="C4284" s="2" t="s">
        <v>16</v>
      </c>
      <c r="D4284" s="2" t="s">
        <v>97</v>
      </c>
      <c r="E4284" s="5">
        <v>-31479</v>
      </c>
      <c r="F4284" s="3" t="s">
        <v>290</v>
      </c>
      <c r="G4284" s="3" t="s">
        <v>28</v>
      </c>
      <c r="H4284" s="2" t="s">
        <v>20</v>
      </c>
      <c r="I4284" s="2" t="s">
        <v>9081</v>
      </c>
      <c r="J4284" s="3" t="str">
        <f>HYPERLINK("https://www.boe.es/gazeta/dias/1813/10/23/pdfs/GRE-1813-139E.pdf#page=8","Abrir facsímil")</f>
        <v>Abrir facsímil</v>
      </c>
      <c r="K4284" s="3" t="s">
        <v>22</v>
      </c>
    </row>
    <row r="4285" spans="1:11" ht="42" customHeight="1">
      <c r="A4285" s="2" t="s">
        <v>9078</v>
      </c>
      <c r="B4285" s="2" t="s">
        <v>9079</v>
      </c>
      <c r="C4285" s="2" t="s">
        <v>16</v>
      </c>
      <c r="D4285" s="2" t="s">
        <v>17</v>
      </c>
      <c r="E4285" s="5">
        <v>-31467</v>
      </c>
      <c r="F4285" s="3" t="s">
        <v>1464</v>
      </c>
      <c r="G4285" s="3" t="s">
        <v>28</v>
      </c>
      <c r="H4285" s="2" t="s">
        <v>20</v>
      </c>
      <c r="I4285" s="2" t="s">
        <v>9082</v>
      </c>
      <c r="J4285" s="3" t="str">
        <f>HYPERLINK("https://www.boe.es/gazeta/dias/1813/11/04/pdfs/GRE-1813-144.pdf#page=8","Abrir facsímil")</f>
        <v>Abrir facsímil</v>
      </c>
      <c r="K4285" s="3" t="s">
        <v>22</v>
      </c>
    </row>
    <row r="4286" spans="1:11" ht="42" customHeight="1">
      <c r="A4286" s="2" t="s">
        <v>9083</v>
      </c>
      <c r="B4286" s="2" t="s">
        <v>9084</v>
      </c>
      <c r="C4286" s="2" t="s">
        <v>16</v>
      </c>
      <c r="D4286" s="2" t="s">
        <v>17</v>
      </c>
      <c r="E4286" s="5">
        <v>-31574</v>
      </c>
      <c r="F4286" s="3" t="s">
        <v>1343</v>
      </c>
      <c r="G4286" s="3" t="s">
        <v>178</v>
      </c>
      <c r="H4286" s="2" t="s">
        <v>20</v>
      </c>
      <c r="I4286" s="2" t="s">
        <v>9085</v>
      </c>
      <c r="J4286" s="3" t="str">
        <f>HYPERLINK("https://www.boe.es/gazeta/dias/1813/07/20/pdfs/GMR-1813-19.pdf#page=11","Abrir facsímil")</f>
        <v>Abrir facsímil</v>
      </c>
      <c r="K4286" s="3" t="s">
        <v>22</v>
      </c>
    </row>
    <row r="4287" spans="1:11" ht="42" customHeight="1">
      <c r="A4287" s="2" t="s">
        <v>9086</v>
      </c>
      <c r="B4287" s="2" t="s">
        <v>9087</v>
      </c>
      <c r="C4287" s="2" t="s">
        <v>16</v>
      </c>
      <c r="D4287" s="2" t="s">
        <v>17</v>
      </c>
      <c r="E4287" s="5">
        <v>-31465</v>
      </c>
      <c r="F4287" s="3" t="s">
        <v>407</v>
      </c>
      <c r="G4287" s="3" t="s">
        <v>19</v>
      </c>
      <c r="H4287" s="2" t="s">
        <v>20</v>
      </c>
      <c r="I4287" s="2" t="s">
        <v>9088</v>
      </c>
      <c r="J4287" s="3" t="str">
        <f>HYPERLINK("https://www.boe.es/gazeta/dias/1813/11/06/pdfs/GMR-1813-70.pdf#page=4","Abrir facsímil")</f>
        <v>Abrir facsímil</v>
      </c>
      <c r="K4287" s="3" t="s">
        <v>22</v>
      </c>
    </row>
    <row r="4288" spans="1:11" ht="42" customHeight="1">
      <c r="A4288" s="2" t="s">
        <v>9086</v>
      </c>
      <c r="B4288" s="2" t="s">
        <v>9087</v>
      </c>
      <c r="C4288" s="2" t="s">
        <v>16</v>
      </c>
      <c r="D4288" s="2" t="s">
        <v>17</v>
      </c>
      <c r="E4288" s="5">
        <v>-31465</v>
      </c>
      <c r="F4288" s="3" t="s">
        <v>407</v>
      </c>
      <c r="G4288" s="3" t="s">
        <v>87</v>
      </c>
      <c r="H4288" s="2" t="s">
        <v>20</v>
      </c>
      <c r="I4288" s="2" t="s">
        <v>9089</v>
      </c>
      <c r="J4288" s="3" t="str">
        <f>HYPERLINK("https://www.boe.es/gazeta/dias/1813/11/06/pdfs/GMR-1813-70.pdf#page=7","Abrir facsímil")</f>
        <v>Abrir facsímil</v>
      </c>
      <c r="K4288" s="3" t="s">
        <v>22</v>
      </c>
    </row>
    <row r="4289" spans="1:11" ht="42" customHeight="1">
      <c r="A4289" s="2" t="s">
        <v>9090</v>
      </c>
      <c r="B4289" s="2" t="s">
        <v>9090</v>
      </c>
      <c r="C4289" s="2" t="s">
        <v>16</v>
      </c>
      <c r="D4289" s="2" t="s">
        <v>17</v>
      </c>
      <c r="E4289" s="5">
        <v>-31479</v>
      </c>
      <c r="F4289" s="3" t="s">
        <v>322</v>
      </c>
      <c r="G4289" s="3" t="s">
        <v>54</v>
      </c>
      <c r="H4289" s="2" t="s">
        <v>20</v>
      </c>
      <c r="I4289" s="2" t="s">
        <v>9091</v>
      </c>
      <c r="J4289" s="3" t="str">
        <f>HYPERLINK("https://www.boe.es/gazeta/dias/1813/10/23/pdfs/GMR-1813-63.pdf#page=3","Abrir facsímil")</f>
        <v>Abrir facsímil</v>
      </c>
      <c r="K4289" s="3" t="s">
        <v>22</v>
      </c>
    </row>
    <row r="4290" spans="1:11" ht="42" customHeight="1">
      <c r="A4290" s="2" t="s">
        <v>9092</v>
      </c>
      <c r="B4290" s="2" t="s">
        <v>9092</v>
      </c>
      <c r="C4290" s="2" t="s">
        <v>16</v>
      </c>
      <c r="D4290" s="2" t="s">
        <v>17</v>
      </c>
      <c r="E4290" s="5">
        <v>-31441</v>
      </c>
      <c r="F4290" s="3" t="s">
        <v>1933</v>
      </c>
      <c r="G4290" s="3" t="s">
        <v>58</v>
      </c>
      <c r="H4290" s="2" t="s">
        <v>20</v>
      </c>
      <c r="I4290" s="2" t="s">
        <v>9093</v>
      </c>
      <c r="J4290" s="3" t="str">
        <f>HYPERLINK("https://www.boe.es/gazeta/dias/1813/11/30/pdfs/GMR-1813-81.pdf#page=2","Abrir facsímil")</f>
        <v>Abrir facsímil</v>
      </c>
      <c r="K4290" s="3" t="s">
        <v>22</v>
      </c>
    </row>
    <row r="4291" spans="1:11" ht="42" customHeight="1">
      <c r="A4291" s="2" t="s">
        <v>9094</v>
      </c>
      <c r="B4291" s="2" t="s">
        <v>9094</v>
      </c>
      <c r="C4291" s="2" t="s">
        <v>16</v>
      </c>
      <c r="D4291" s="2" t="s">
        <v>17</v>
      </c>
      <c r="E4291" s="5">
        <v>-31592</v>
      </c>
      <c r="F4291" s="3" t="s">
        <v>1538</v>
      </c>
      <c r="G4291" s="3" t="s">
        <v>2268</v>
      </c>
      <c r="H4291" s="2" t="s">
        <v>20</v>
      </c>
      <c r="I4291" s="2" t="s">
        <v>9095</v>
      </c>
      <c r="J4291" s="3" t="str">
        <f>HYPERLINK("https://www.boe.es/gazeta/dias/1813/07/02/pdfs/GMR-1813-14.pdf#page=6","Abrir facsímil")</f>
        <v>Abrir facsímil</v>
      </c>
      <c r="K4291" s="3" t="s">
        <v>22</v>
      </c>
    </row>
    <row r="4292" spans="1:11" ht="42" customHeight="1">
      <c r="A4292" s="2" t="s">
        <v>9094</v>
      </c>
      <c r="B4292" s="2" t="s">
        <v>9094</v>
      </c>
      <c r="C4292" s="2" t="s">
        <v>16</v>
      </c>
      <c r="D4292" s="2" t="s">
        <v>97</v>
      </c>
      <c r="E4292" s="5">
        <v>-31499</v>
      </c>
      <c r="F4292" s="3" t="s">
        <v>220</v>
      </c>
      <c r="G4292" s="3" t="s">
        <v>207</v>
      </c>
      <c r="H4292" s="2" t="s">
        <v>20</v>
      </c>
      <c r="I4292" s="2" t="s">
        <v>9096</v>
      </c>
      <c r="J4292" s="3" t="str">
        <f>HYPERLINK("https://www.boe.es/gazeta/dias/1813/10/03/pdfs/GMR-1813-53E.pdf#page=10","Abrir facsímil")</f>
        <v>Abrir facsímil</v>
      </c>
      <c r="K4292" s="3" t="s">
        <v>22</v>
      </c>
    </row>
    <row r="4293" spans="1:11" ht="42" customHeight="1">
      <c r="A4293" s="2" t="s">
        <v>9094</v>
      </c>
      <c r="B4293" s="2" t="s">
        <v>9094</v>
      </c>
      <c r="C4293" s="2" t="s">
        <v>16</v>
      </c>
      <c r="D4293" s="2" t="s">
        <v>17</v>
      </c>
      <c r="E4293" s="5">
        <v>-31462</v>
      </c>
      <c r="F4293" s="3" t="s">
        <v>1028</v>
      </c>
      <c r="G4293" s="3" t="s">
        <v>82</v>
      </c>
      <c r="H4293" s="2" t="s">
        <v>20</v>
      </c>
      <c r="I4293" s="2" t="s">
        <v>9097</v>
      </c>
      <c r="J4293" s="3" t="str">
        <f>HYPERLINK("https://www.boe.es/gazeta/dias/1813/11/09/pdfs/GMR-1813-71.pdf#page=5","Abrir facsímil")</f>
        <v>Abrir facsímil</v>
      </c>
      <c r="K4293" s="3" t="s">
        <v>22</v>
      </c>
    </row>
    <row r="4294" spans="1:11" ht="42" customHeight="1">
      <c r="A4294" s="2" t="s">
        <v>9094</v>
      </c>
      <c r="B4294" s="2" t="s">
        <v>9094</v>
      </c>
      <c r="C4294" s="2" t="s">
        <v>16</v>
      </c>
      <c r="D4294" s="2" t="s">
        <v>17</v>
      </c>
      <c r="E4294" s="5">
        <v>-31453</v>
      </c>
      <c r="F4294" s="3" t="s">
        <v>887</v>
      </c>
      <c r="G4294" s="3" t="s">
        <v>58</v>
      </c>
      <c r="H4294" s="2" t="s">
        <v>20</v>
      </c>
      <c r="I4294" s="2" t="s">
        <v>9098</v>
      </c>
      <c r="J4294" s="3" t="str">
        <f>HYPERLINK("https://www.boe.es/gazeta/dias/1813/11/18/pdfs/GMR-1813-76.pdf#page=2","Abrir facsímil")</f>
        <v>Abrir facsímil</v>
      </c>
      <c r="K4294" s="3" t="s">
        <v>22</v>
      </c>
    </row>
    <row r="4295" spans="1:11" ht="42" customHeight="1">
      <c r="A4295" s="2" t="s">
        <v>9094</v>
      </c>
      <c r="B4295" s="2" t="s">
        <v>9094</v>
      </c>
      <c r="C4295" s="2" t="s">
        <v>16</v>
      </c>
      <c r="D4295" s="2" t="s">
        <v>17</v>
      </c>
      <c r="E4295" s="5">
        <v>-31453</v>
      </c>
      <c r="F4295" s="3" t="s">
        <v>887</v>
      </c>
      <c r="G4295" s="3" t="s">
        <v>82</v>
      </c>
      <c r="H4295" s="2" t="s">
        <v>20</v>
      </c>
      <c r="I4295" s="2" t="s">
        <v>9099</v>
      </c>
      <c r="J4295" s="3" t="str">
        <f>HYPERLINK("https://www.boe.es/gazeta/dias/1813/11/18/pdfs/GMR-1813-76.pdf#page=5","Abrir facsímil")</f>
        <v>Abrir facsímil</v>
      </c>
      <c r="K4295" s="3" t="s">
        <v>22</v>
      </c>
    </row>
    <row r="4296" spans="1:11" ht="42" customHeight="1">
      <c r="A4296" s="2" t="s">
        <v>9094</v>
      </c>
      <c r="B4296" s="2" t="s">
        <v>9094</v>
      </c>
      <c r="C4296" s="2" t="s">
        <v>16</v>
      </c>
      <c r="D4296" s="2" t="s">
        <v>17</v>
      </c>
      <c r="E4296" s="5">
        <v>-31430</v>
      </c>
      <c r="F4296" s="3" t="s">
        <v>1161</v>
      </c>
      <c r="G4296" s="3" t="s">
        <v>54</v>
      </c>
      <c r="H4296" s="2" t="s">
        <v>20</v>
      </c>
      <c r="I4296" s="2" t="s">
        <v>9100</v>
      </c>
      <c r="J4296" s="3" t="str">
        <f>HYPERLINK("https://www.boe.es/gazeta/dias/1813/12/11/pdfs/GMR-1813-86.pdf#page=3","Abrir facsímil")</f>
        <v>Abrir facsímil</v>
      </c>
      <c r="K4296" s="3" t="s">
        <v>22</v>
      </c>
    </row>
    <row r="4297" spans="1:11" ht="42" customHeight="1">
      <c r="A4297" s="2" t="s">
        <v>9101</v>
      </c>
      <c r="B4297" s="2" t="s">
        <v>9101</v>
      </c>
      <c r="C4297" s="2" t="s">
        <v>16</v>
      </c>
      <c r="D4297" s="2" t="s">
        <v>97</v>
      </c>
      <c r="E4297" s="5">
        <v>-31499</v>
      </c>
      <c r="F4297" s="3" t="s">
        <v>220</v>
      </c>
      <c r="G4297" s="3" t="s">
        <v>313</v>
      </c>
      <c r="H4297" s="2" t="s">
        <v>20</v>
      </c>
      <c r="I4297" s="2" t="s">
        <v>9102</v>
      </c>
      <c r="J4297" s="3" t="str">
        <f>HYPERLINK("https://www.boe.es/gazeta/dias/1813/10/03/pdfs/GMR-1813-53E.pdf#page=9","Abrir facsímil")</f>
        <v>Abrir facsímil</v>
      </c>
      <c r="K4297" s="3" t="s">
        <v>22</v>
      </c>
    </row>
    <row r="4298" spans="1:11" ht="42" customHeight="1">
      <c r="A4298" s="2" t="s">
        <v>9103</v>
      </c>
      <c r="B4298" s="2" t="s">
        <v>9103</v>
      </c>
      <c r="C4298" s="2" t="s">
        <v>16</v>
      </c>
      <c r="D4298" s="2" t="s">
        <v>97</v>
      </c>
      <c r="E4298" s="5">
        <v>-31446</v>
      </c>
      <c r="F4298" s="3" t="s">
        <v>1877</v>
      </c>
      <c r="G4298" s="3" t="s">
        <v>95</v>
      </c>
      <c r="H4298" s="2" t="s">
        <v>20</v>
      </c>
      <c r="I4298" s="2" t="s">
        <v>9104</v>
      </c>
      <c r="J4298" s="3" t="str">
        <f>HYPERLINK("https://www.boe.es/gazeta/dias/1813/11/25/pdfs/GRE-1813-155E.pdf#page=6","Abrir facsímil")</f>
        <v>Abrir facsímil</v>
      </c>
      <c r="K4298" s="3" t="s">
        <v>22</v>
      </c>
    </row>
    <row r="4299" spans="1:11" ht="42" customHeight="1">
      <c r="A4299" s="2" t="s">
        <v>9105</v>
      </c>
      <c r="B4299" s="2" t="s">
        <v>9105</v>
      </c>
      <c r="C4299" s="2" t="s">
        <v>16</v>
      </c>
      <c r="D4299" s="2" t="s">
        <v>17</v>
      </c>
      <c r="E4299" s="5">
        <v>-31694</v>
      </c>
      <c r="F4299" s="3" t="s">
        <v>2756</v>
      </c>
      <c r="G4299" s="3" t="s">
        <v>58</v>
      </c>
      <c r="H4299" s="2" t="s">
        <v>20</v>
      </c>
      <c r="I4299" s="2" t="s">
        <v>9106</v>
      </c>
      <c r="J4299" s="3" t="str">
        <f>HYPERLINK("https://www.boe.es/gazeta/dias/1813/03/22/pdfs/GMD-1813-81.pdf#page=2","Abrir facsímil")</f>
        <v>Abrir facsímil</v>
      </c>
      <c r="K4299" s="3" t="s">
        <v>22</v>
      </c>
    </row>
    <row r="4300" spans="1:11" ht="42" customHeight="1">
      <c r="A4300" s="2" t="s">
        <v>9107</v>
      </c>
      <c r="B4300" s="2" t="s">
        <v>9107</v>
      </c>
      <c r="C4300" s="2" t="s">
        <v>16</v>
      </c>
      <c r="D4300" s="2" t="s">
        <v>17</v>
      </c>
      <c r="E4300" s="5">
        <v>-31703</v>
      </c>
      <c r="F4300" s="3" t="s">
        <v>526</v>
      </c>
      <c r="G4300" s="3" t="s">
        <v>65</v>
      </c>
      <c r="H4300" s="2" t="s">
        <v>20</v>
      </c>
      <c r="I4300" s="2" t="s">
        <v>9108</v>
      </c>
      <c r="J4300" s="3" t="str">
        <f>HYPERLINK("https://www.boe.es/gazeta/dias/1813/03/13/pdfs/GMD-1813-72.pdf#page=1","Abrir facsímil")</f>
        <v>Abrir facsímil</v>
      </c>
      <c r="K4300" s="3" t="s">
        <v>22</v>
      </c>
    </row>
    <row r="4301" spans="1:11" ht="42" customHeight="1">
      <c r="A4301" s="2" t="s">
        <v>9109</v>
      </c>
      <c r="B4301" s="2" t="s">
        <v>9109</v>
      </c>
      <c r="C4301" s="2" t="s">
        <v>435</v>
      </c>
      <c r="D4301" s="2" t="s">
        <v>26</v>
      </c>
      <c r="E4301" s="5">
        <v>-31770</v>
      </c>
      <c r="F4301" s="3" t="s">
        <v>641</v>
      </c>
      <c r="G4301" s="3" t="s">
        <v>54</v>
      </c>
      <c r="H4301" s="2" t="s">
        <v>20</v>
      </c>
      <c r="I4301" s="2" t="s">
        <v>9110</v>
      </c>
      <c r="J4301" s="3" t="str">
        <f>HYPERLINK("https://www.boe.es/gazeta/dias/1813/01/05/pdfs/GMD-1813-5.pdf#page=3","Abrir facsímil")</f>
        <v>Abrir facsímil</v>
      </c>
      <c r="K4301" s="3" t="s">
        <v>22</v>
      </c>
    </row>
    <row r="4302" spans="1:11" ht="42" customHeight="1">
      <c r="A4302" s="2" t="s">
        <v>9111</v>
      </c>
      <c r="B4302" s="2" t="s">
        <v>9111</v>
      </c>
      <c r="C4302" s="2" t="s">
        <v>16</v>
      </c>
      <c r="D4302" s="2" t="s">
        <v>17</v>
      </c>
      <c r="E4302" s="5">
        <v>-31684</v>
      </c>
      <c r="F4302" s="3" t="s">
        <v>427</v>
      </c>
      <c r="G4302" s="3" t="s">
        <v>3023</v>
      </c>
      <c r="H4302" s="2" t="s">
        <v>20</v>
      </c>
      <c r="I4302" s="2" t="s">
        <v>9112</v>
      </c>
      <c r="J4302" s="3" t="str">
        <f>HYPERLINK("https://www.boe.es/gazeta/dias/1813/04/01/pdfs/GRE-1813-40.pdf#page=5","Abrir facsímil")</f>
        <v>Abrir facsímil</v>
      </c>
      <c r="K4302" s="3" t="s">
        <v>22</v>
      </c>
    </row>
    <row r="4303" spans="1:11" ht="42" customHeight="1">
      <c r="A4303" s="2" t="s">
        <v>9111</v>
      </c>
      <c r="B4303" s="2" t="s">
        <v>9111</v>
      </c>
      <c r="C4303" s="2" t="s">
        <v>25</v>
      </c>
      <c r="D4303" s="2" t="s">
        <v>26</v>
      </c>
      <c r="E4303" s="5">
        <v>-31453</v>
      </c>
      <c r="F4303" s="3" t="s">
        <v>887</v>
      </c>
      <c r="G4303" s="3" t="s">
        <v>19</v>
      </c>
      <c r="H4303" s="2" t="s">
        <v>20</v>
      </c>
      <c r="I4303" s="2" t="s">
        <v>9113</v>
      </c>
      <c r="J4303" s="3" t="str">
        <f>HYPERLINK("https://www.boe.es/gazeta/dias/1813/11/18/pdfs/GMR-1813-76.pdf#page=4","Abrir facsímil")</f>
        <v>Abrir facsímil</v>
      </c>
      <c r="K4303" s="3" t="s">
        <v>22</v>
      </c>
    </row>
    <row r="4304" spans="1:11" ht="42" customHeight="1">
      <c r="A4304" s="2" t="s">
        <v>9114</v>
      </c>
      <c r="B4304" s="2" t="s">
        <v>9114</v>
      </c>
      <c r="C4304" s="2" t="s">
        <v>16</v>
      </c>
      <c r="D4304" s="2" t="s">
        <v>17</v>
      </c>
      <c r="E4304" s="5">
        <v>-31728</v>
      </c>
      <c r="F4304" s="3" t="s">
        <v>2887</v>
      </c>
      <c r="G4304" s="3" t="s">
        <v>65</v>
      </c>
      <c r="H4304" s="2" t="s">
        <v>20</v>
      </c>
      <c r="I4304" s="2" t="s">
        <v>9115</v>
      </c>
      <c r="J4304" s="3" t="str">
        <f>HYPERLINK("https://www.boe.es/gazeta/dias/1813/02/16/pdfs/GMD-1813-47.pdf#page=1","Abrir facsímil")</f>
        <v>Abrir facsímil</v>
      </c>
      <c r="K4304" s="3" t="s">
        <v>22</v>
      </c>
    </row>
    <row r="4305" spans="1:11" ht="42" customHeight="1">
      <c r="A4305" s="2" t="s">
        <v>9114</v>
      </c>
      <c r="B4305" s="2" t="s">
        <v>9114</v>
      </c>
      <c r="C4305" s="2" t="s">
        <v>16</v>
      </c>
      <c r="D4305" s="2" t="s">
        <v>17</v>
      </c>
      <c r="E4305" s="5">
        <v>-31719</v>
      </c>
      <c r="F4305" s="3" t="s">
        <v>251</v>
      </c>
      <c r="G4305" s="3" t="s">
        <v>58</v>
      </c>
      <c r="H4305" s="2" t="s">
        <v>20</v>
      </c>
      <c r="I4305" s="2" t="s">
        <v>9116</v>
      </c>
      <c r="J4305" s="3" t="str">
        <f>HYPERLINK("https://www.boe.es/gazeta/dias/1813/02/25/pdfs/GMD-1813-56.pdf#page=2","Abrir facsímil")</f>
        <v>Abrir facsímil</v>
      </c>
      <c r="K4305" s="3" t="s">
        <v>22</v>
      </c>
    </row>
    <row r="4306" spans="1:11" ht="42" customHeight="1">
      <c r="A4306" s="2" t="s">
        <v>9114</v>
      </c>
      <c r="B4306" s="2" t="s">
        <v>9114</v>
      </c>
      <c r="C4306" s="2" t="s">
        <v>16</v>
      </c>
      <c r="D4306" s="2" t="s">
        <v>17</v>
      </c>
      <c r="E4306" s="5">
        <v>-31647</v>
      </c>
      <c r="F4306" s="3" t="s">
        <v>5110</v>
      </c>
      <c r="G4306" s="3" t="s">
        <v>54</v>
      </c>
      <c r="H4306" s="2" t="s">
        <v>20</v>
      </c>
      <c r="I4306" s="2" t="s">
        <v>9117</v>
      </c>
      <c r="J4306" s="3" t="str">
        <f>HYPERLINK("https://www.boe.es/gazeta/dias/1813/05/08/pdfs/GMD-1813-128.pdf#page=3","Abrir facsímil")</f>
        <v>Abrir facsímil</v>
      </c>
      <c r="K4306" s="3" t="s">
        <v>22</v>
      </c>
    </row>
    <row r="4307" spans="1:11" ht="42" customHeight="1">
      <c r="A4307" s="2" t="s">
        <v>9114</v>
      </c>
      <c r="B4307" s="2" t="s">
        <v>9114</v>
      </c>
      <c r="C4307" s="2" t="s">
        <v>16</v>
      </c>
      <c r="D4307" s="2" t="s">
        <v>17</v>
      </c>
      <c r="E4307" s="5">
        <v>-31616</v>
      </c>
      <c r="F4307" s="3" t="s">
        <v>2201</v>
      </c>
      <c r="G4307" s="3" t="s">
        <v>2202</v>
      </c>
      <c r="H4307" s="2" t="s">
        <v>20</v>
      </c>
      <c r="I4307" s="2" t="s">
        <v>9118</v>
      </c>
      <c r="J4307" s="3" t="str">
        <f>HYPERLINK("https://www.boe.es/gazeta/dias/1813/06/08/pdfs/GMR-1813-3.pdf#page=5","Abrir facsímil")</f>
        <v>Abrir facsímil</v>
      </c>
      <c r="K4307" s="3" t="s">
        <v>22</v>
      </c>
    </row>
    <row r="4308" spans="1:11" ht="42" customHeight="1">
      <c r="A4308" s="2" t="s">
        <v>9114</v>
      </c>
      <c r="B4308" s="2" t="s">
        <v>9114</v>
      </c>
      <c r="C4308" s="2" t="s">
        <v>16</v>
      </c>
      <c r="D4308" s="2" t="s">
        <v>17</v>
      </c>
      <c r="E4308" s="5">
        <v>-31599</v>
      </c>
      <c r="F4308" s="3" t="s">
        <v>2470</v>
      </c>
      <c r="G4308" s="3" t="s">
        <v>58</v>
      </c>
      <c r="H4308" s="2" t="s">
        <v>20</v>
      </c>
      <c r="I4308" s="2" t="s">
        <v>9119</v>
      </c>
      <c r="J4308" s="3" t="str">
        <f>HYPERLINK("https://www.boe.es/gazeta/dias/1813/06/25/pdfs/GMR-1813-11.pdf#page=2","Abrir facsímil")</f>
        <v>Abrir facsímil</v>
      </c>
      <c r="K4308" s="3" t="s">
        <v>22</v>
      </c>
    </row>
    <row r="4309" spans="1:11" ht="42" customHeight="1">
      <c r="A4309" s="2" t="s">
        <v>9114</v>
      </c>
      <c r="B4309" s="2" t="s">
        <v>9114</v>
      </c>
      <c r="C4309" s="2" t="s">
        <v>16</v>
      </c>
      <c r="D4309" s="2" t="s">
        <v>17</v>
      </c>
      <c r="E4309" s="5">
        <v>-31598</v>
      </c>
      <c r="F4309" s="3" t="s">
        <v>286</v>
      </c>
      <c r="G4309" s="3" t="s">
        <v>54</v>
      </c>
      <c r="H4309" s="2" t="s">
        <v>20</v>
      </c>
      <c r="I4309" s="2" t="s">
        <v>9120</v>
      </c>
      <c r="J4309" s="3" t="str">
        <f>HYPERLINK("https://www.boe.es/gazeta/dias/1813/06/26/pdfs/GRE-1813-79.pdf#page=3","Abrir facsímil")</f>
        <v>Abrir facsímil</v>
      </c>
      <c r="K4309" s="3" t="s">
        <v>22</v>
      </c>
    </row>
    <row r="4310" spans="1:11" ht="42" customHeight="1">
      <c r="A4310" s="2" t="s">
        <v>9114</v>
      </c>
      <c r="B4310" s="2" t="s">
        <v>9114</v>
      </c>
      <c r="C4310" s="2" t="s">
        <v>16</v>
      </c>
      <c r="D4310" s="2" t="s">
        <v>17</v>
      </c>
      <c r="E4310" s="5">
        <v>-31598</v>
      </c>
      <c r="F4310" s="3" t="s">
        <v>286</v>
      </c>
      <c r="G4310" s="3" t="s">
        <v>19</v>
      </c>
      <c r="H4310" s="2" t="s">
        <v>20</v>
      </c>
      <c r="I4310" s="2" t="s">
        <v>9121</v>
      </c>
      <c r="J4310" s="3" t="str">
        <f>HYPERLINK("https://www.boe.es/gazeta/dias/1813/06/26/pdfs/GRE-1813-79.pdf#page=4","Abrir facsímil")</f>
        <v>Abrir facsímil</v>
      </c>
      <c r="K4310" s="3" t="s">
        <v>22</v>
      </c>
    </row>
    <row r="4311" spans="1:11" ht="42" customHeight="1">
      <c r="A4311" s="2" t="s">
        <v>9114</v>
      </c>
      <c r="B4311" s="2" t="s">
        <v>9114</v>
      </c>
      <c r="C4311" s="2" t="s">
        <v>16</v>
      </c>
      <c r="D4311" s="2" t="s">
        <v>17</v>
      </c>
      <c r="E4311" s="5">
        <v>-31595</v>
      </c>
      <c r="F4311" s="3" t="s">
        <v>70</v>
      </c>
      <c r="G4311" s="3" t="s">
        <v>54</v>
      </c>
      <c r="H4311" s="2" t="s">
        <v>20</v>
      </c>
      <c r="I4311" s="2" t="s">
        <v>9122</v>
      </c>
      <c r="J4311" s="3" t="str">
        <f>HYPERLINK("https://www.boe.es/gazeta/dias/1813/06/29/pdfs/GMR-1813-13.pdf#page=3","Abrir facsímil")</f>
        <v>Abrir facsímil</v>
      </c>
      <c r="K4311" s="3" t="s">
        <v>22</v>
      </c>
    </row>
    <row r="4312" spans="1:11" ht="42" customHeight="1">
      <c r="A4312" s="2" t="s">
        <v>9114</v>
      </c>
      <c r="B4312" s="2" t="s">
        <v>9114</v>
      </c>
      <c r="C4312" s="2" t="s">
        <v>16</v>
      </c>
      <c r="D4312" s="2" t="s">
        <v>17</v>
      </c>
      <c r="E4312" s="5">
        <v>-31585</v>
      </c>
      <c r="F4312" s="3" t="s">
        <v>177</v>
      </c>
      <c r="G4312" s="3" t="s">
        <v>54</v>
      </c>
      <c r="H4312" s="2" t="s">
        <v>20</v>
      </c>
      <c r="I4312" s="2" t="s">
        <v>9123</v>
      </c>
      <c r="J4312" s="3" t="str">
        <f>HYPERLINK("https://www.boe.es/gazeta/dias/1813/07/09/pdfs/GMR-1813-16.pdf#page=3","Abrir facsímil")</f>
        <v>Abrir facsímil</v>
      </c>
      <c r="K4312" s="3" t="s">
        <v>22</v>
      </c>
    </row>
    <row r="4313" spans="1:11" ht="42" customHeight="1">
      <c r="A4313" s="2" t="s">
        <v>9114</v>
      </c>
      <c r="B4313" s="2" t="s">
        <v>9114</v>
      </c>
      <c r="C4313" s="2" t="s">
        <v>16</v>
      </c>
      <c r="D4313" s="2" t="s">
        <v>17</v>
      </c>
      <c r="E4313" s="5">
        <v>-31585</v>
      </c>
      <c r="F4313" s="3" t="s">
        <v>177</v>
      </c>
      <c r="G4313" s="3" t="s">
        <v>19</v>
      </c>
      <c r="H4313" s="2" t="s">
        <v>20</v>
      </c>
      <c r="I4313" s="2" t="s">
        <v>9124</v>
      </c>
      <c r="J4313" s="3" t="str">
        <f>HYPERLINK("https://www.boe.es/gazeta/dias/1813/07/09/pdfs/GMR-1813-16.pdf#page=4","Abrir facsímil")</f>
        <v>Abrir facsímil</v>
      </c>
      <c r="K4313" s="3" t="s">
        <v>22</v>
      </c>
    </row>
    <row r="4314" spans="1:11" ht="42" customHeight="1">
      <c r="A4314" s="2" t="s">
        <v>9114</v>
      </c>
      <c r="B4314" s="2" t="s">
        <v>9114</v>
      </c>
      <c r="C4314" s="2" t="s">
        <v>16</v>
      </c>
      <c r="D4314" s="2" t="s">
        <v>17</v>
      </c>
      <c r="E4314" s="5">
        <v>-31581</v>
      </c>
      <c r="F4314" s="3" t="s">
        <v>1321</v>
      </c>
      <c r="G4314" s="3" t="s">
        <v>58</v>
      </c>
      <c r="H4314" s="2" t="s">
        <v>20</v>
      </c>
      <c r="I4314" s="2" t="s">
        <v>9125</v>
      </c>
      <c r="J4314" s="3" t="str">
        <f>HYPERLINK("https://www.boe.es/gazeta/dias/1813/07/13/pdfs/GMR-1813-17.pdf#page=2","Abrir facsímil")</f>
        <v>Abrir facsímil</v>
      </c>
      <c r="K4314" s="3" t="s">
        <v>22</v>
      </c>
    </row>
    <row r="4315" spans="1:11" ht="42" customHeight="1">
      <c r="A4315" s="2" t="s">
        <v>9114</v>
      </c>
      <c r="B4315" s="2" t="s">
        <v>9114</v>
      </c>
      <c r="C4315" s="2" t="s">
        <v>16</v>
      </c>
      <c r="D4315" s="2" t="s">
        <v>17</v>
      </c>
      <c r="E4315" s="5">
        <v>-31581</v>
      </c>
      <c r="F4315" s="3" t="s">
        <v>1321</v>
      </c>
      <c r="G4315" s="3" t="s">
        <v>82</v>
      </c>
      <c r="H4315" s="2" t="s">
        <v>20</v>
      </c>
      <c r="I4315" s="2" t="s">
        <v>9126</v>
      </c>
      <c r="J4315" s="3" t="str">
        <f>HYPERLINK("https://www.boe.es/gazeta/dias/1813/07/13/pdfs/GMR-1813-17.pdf#page=5","Abrir facsímil")</f>
        <v>Abrir facsímil</v>
      </c>
      <c r="K4315" s="3" t="s">
        <v>22</v>
      </c>
    </row>
    <row r="4316" spans="1:11" ht="42" customHeight="1">
      <c r="A4316" s="2" t="s">
        <v>9114</v>
      </c>
      <c r="B4316" s="2" t="s">
        <v>9114</v>
      </c>
      <c r="C4316" s="2" t="s">
        <v>16</v>
      </c>
      <c r="D4316" s="2" t="s">
        <v>97</v>
      </c>
      <c r="E4316" s="5">
        <v>-31499</v>
      </c>
      <c r="F4316" s="3" t="s">
        <v>220</v>
      </c>
      <c r="G4316" s="3" t="s">
        <v>87</v>
      </c>
      <c r="H4316" s="2" t="s">
        <v>20</v>
      </c>
      <c r="I4316" s="2" t="s">
        <v>9127</v>
      </c>
      <c r="J4316" s="3" t="str">
        <f>HYPERLINK("https://www.boe.es/gazeta/dias/1813/10/03/pdfs/GMR-1813-53E.pdf#page=7","Abrir facsímil")</f>
        <v>Abrir facsímil</v>
      </c>
      <c r="K4316" s="3" t="s">
        <v>22</v>
      </c>
    </row>
    <row r="4317" spans="1:11" ht="42" customHeight="1">
      <c r="A4317" s="2" t="s">
        <v>9114</v>
      </c>
      <c r="B4317" s="2" t="s">
        <v>9114</v>
      </c>
      <c r="C4317" s="2" t="s">
        <v>16</v>
      </c>
      <c r="D4317" s="2" t="s">
        <v>97</v>
      </c>
      <c r="E4317" s="5">
        <v>-31499</v>
      </c>
      <c r="F4317" s="3" t="s">
        <v>220</v>
      </c>
      <c r="G4317" s="3" t="s">
        <v>28</v>
      </c>
      <c r="H4317" s="2" t="s">
        <v>20</v>
      </c>
      <c r="I4317" s="2" t="s">
        <v>9128</v>
      </c>
      <c r="J4317" s="3" t="str">
        <f>HYPERLINK("https://www.boe.es/gazeta/dias/1813/10/03/pdfs/GMR-1813-53E.pdf#page=8","Abrir facsímil")</f>
        <v>Abrir facsímil</v>
      </c>
      <c r="K4317" s="3" t="s">
        <v>22</v>
      </c>
    </row>
    <row r="4318" spans="1:11" ht="42" customHeight="1">
      <c r="A4318" s="2" t="s">
        <v>9114</v>
      </c>
      <c r="B4318" s="2" t="s">
        <v>9114</v>
      </c>
      <c r="C4318" s="2" t="s">
        <v>16</v>
      </c>
      <c r="D4318" s="2" t="s">
        <v>17</v>
      </c>
      <c r="E4318" s="5">
        <v>-31495</v>
      </c>
      <c r="F4318" s="3" t="s">
        <v>484</v>
      </c>
      <c r="G4318" s="3" t="s">
        <v>65</v>
      </c>
      <c r="H4318" s="2" t="s">
        <v>20</v>
      </c>
      <c r="I4318" s="2" t="s">
        <v>9129</v>
      </c>
      <c r="J4318" s="3" t="str">
        <f>HYPERLINK("https://www.boe.es/gazeta/dias/1813/10/07/pdfs/GRE-1813-131.pdf#page=1","Abrir facsímil")</f>
        <v>Abrir facsímil</v>
      </c>
      <c r="K4318" s="3" t="s">
        <v>22</v>
      </c>
    </row>
    <row r="4319" spans="1:11" ht="42" customHeight="1">
      <c r="A4319" s="2" t="s">
        <v>9114</v>
      </c>
      <c r="B4319" s="2" t="s">
        <v>9114</v>
      </c>
      <c r="C4319" s="2" t="s">
        <v>16</v>
      </c>
      <c r="D4319" s="2" t="s">
        <v>17</v>
      </c>
      <c r="E4319" s="5">
        <v>-31462</v>
      </c>
      <c r="F4319" s="3" t="s">
        <v>1028</v>
      </c>
      <c r="G4319" s="3" t="s">
        <v>19</v>
      </c>
      <c r="H4319" s="2" t="s">
        <v>20</v>
      </c>
      <c r="I4319" s="2" t="s">
        <v>9130</v>
      </c>
      <c r="J4319" s="3" t="str">
        <f>HYPERLINK("https://www.boe.es/gazeta/dias/1813/11/09/pdfs/GMR-1813-71.pdf#page=4","Abrir facsímil")</f>
        <v>Abrir facsímil</v>
      </c>
      <c r="K4319" s="3" t="s">
        <v>22</v>
      </c>
    </row>
    <row r="4320" spans="1:11" ht="42" customHeight="1">
      <c r="A4320" s="2" t="s">
        <v>9114</v>
      </c>
      <c r="B4320" s="2" t="s">
        <v>9114</v>
      </c>
      <c r="C4320" s="2" t="s">
        <v>16</v>
      </c>
      <c r="D4320" s="2" t="s">
        <v>17</v>
      </c>
      <c r="E4320" s="5">
        <v>-31453</v>
      </c>
      <c r="F4320" s="3" t="s">
        <v>887</v>
      </c>
      <c r="G4320" s="3" t="s">
        <v>2210</v>
      </c>
      <c r="H4320" s="2" t="s">
        <v>20</v>
      </c>
      <c r="I4320" s="2" t="s">
        <v>9131</v>
      </c>
      <c r="J4320" s="3" t="str">
        <f>HYPERLINK("https://www.boe.es/gazeta/dias/1813/11/18/pdfs/GMR-1813-76.pdf#page=9","Abrir facsímil")</f>
        <v>Abrir facsímil</v>
      </c>
      <c r="K4320" s="3" t="s">
        <v>22</v>
      </c>
    </row>
    <row r="4321" spans="1:11" ht="42" customHeight="1">
      <c r="A4321" s="2" t="s">
        <v>9114</v>
      </c>
      <c r="B4321" s="2" t="s">
        <v>9114</v>
      </c>
      <c r="C4321" s="2" t="s">
        <v>16</v>
      </c>
      <c r="D4321" s="2" t="s">
        <v>17</v>
      </c>
      <c r="E4321" s="5">
        <v>-31453</v>
      </c>
      <c r="F4321" s="3" t="s">
        <v>887</v>
      </c>
      <c r="G4321" s="3" t="s">
        <v>82</v>
      </c>
      <c r="H4321" s="2" t="s">
        <v>20</v>
      </c>
      <c r="I4321" s="2" t="s">
        <v>9132</v>
      </c>
      <c r="J4321" s="3" t="str">
        <f>HYPERLINK("https://www.boe.es/gazeta/dias/1813/11/18/pdfs/GMR-1813-76.pdf#page=5","Abrir facsímil")</f>
        <v>Abrir facsímil</v>
      </c>
      <c r="K4321" s="3" t="s">
        <v>22</v>
      </c>
    </row>
    <row r="4322" spans="1:11" ht="42" customHeight="1">
      <c r="A4322" s="2" t="s">
        <v>9133</v>
      </c>
      <c r="B4322" s="2" t="s">
        <v>9134</v>
      </c>
      <c r="C4322" s="2" t="s">
        <v>187</v>
      </c>
      <c r="D4322" s="2" t="s">
        <v>26</v>
      </c>
      <c r="E4322" s="5">
        <v>-31546</v>
      </c>
      <c r="F4322" s="3" t="s">
        <v>461</v>
      </c>
      <c r="G4322" s="3" t="s">
        <v>28</v>
      </c>
      <c r="H4322" s="2" t="s">
        <v>20</v>
      </c>
      <c r="I4322" s="2" t="s">
        <v>9135</v>
      </c>
      <c r="J4322" s="3" t="str">
        <f>HYPERLINK("https://www.boe.es/gazeta/dias/1813/08/17/pdfs/GMR-1813-29.pdf#page=8","Abrir facsímil")</f>
        <v>Abrir facsímil</v>
      </c>
      <c r="K4322" s="3" t="s">
        <v>22</v>
      </c>
    </row>
    <row r="4323" spans="1:11" ht="42" customHeight="1">
      <c r="A4323" s="2" t="s">
        <v>9136</v>
      </c>
      <c r="B4323" s="2" t="s">
        <v>9137</v>
      </c>
      <c r="C4323" s="2" t="s">
        <v>16</v>
      </c>
      <c r="D4323" s="2" t="s">
        <v>17</v>
      </c>
      <c r="E4323" s="5">
        <v>-31521</v>
      </c>
      <c r="F4323" s="3" t="s">
        <v>1282</v>
      </c>
      <c r="G4323" s="3" t="s">
        <v>95</v>
      </c>
      <c r="H4323" s="2" t="s">
        <v>20</v>
      </c>
      <c r="I4323" s="2" t="s">
        <v>9138</v>
      </c>
      <c r="J4323" s="3" t="str">
        <f>HYPERLINK("https://www.boe.es/gazeta/dias/1813/09/11/pdfs/GMR-1813-41.pdf#page=6","Abrir facsímil")</f>
        <v>Abrir facsímil</v>
      </c>
      <c r="K4323" s="3" t="s">
        <v>22</v>
      </c>
    </row>
    <row r="4324" spans="1:11" ht="42" customHeight="1">
      <c r="A4324" s="2" t="s">
        <v>9136</v>
      </c>
      <c r="B4324" s="2" t="s">
        <v>9137</v>
      </c>
      <c r="C4324" s="2" t="s">
        <v>16</v>
      </c>
      <c r="D4324" s="2" t="s">
        <v>17</v>
      </c>
      <c r="E4324" s="5">
        <v>-31521</v>
      </c>
      <c r="F4324" s="3" t="s">
        <v>1282</v>
      </c>
      <c r="G4324" s="3" t="s">
        <v>28</v>
      </c>
      <c r="H4324" s="2" t="s">
        <v>20</v>
      </c>
      <c r="I4324" s="2" t="s">
        <v>9139</v>
      </c>
      <c r="J4324" s="3" t="str">
        <f>HYPERLINK("https://www.boe.es/gazeta/dias/1813/09/11/pdfs/GMR-1813-41.pdf#page=8","Abrir facsímil")</f>
        <v>Abrir facsímil</v>
      </c>
      <c r="K4324" s="3" t="s">
        <v>22</v>
      </c>
    </row>
    <row r="4325" spans="1:11" ht="42" customHeight="1">
      <c r="A4325" s="2" t="s">
        <v>9140</v>
      </c>
      <c r="B4325" s="2" t="s">
        <v>9141</v>
      </c>
      <c r="C4325" s="2" t="s">
        <v>16</v>
      </c>
      <c r="D4325" s="2" t="s">
        <v>17</v>
      </c>
      <c r="E4325" s="5">
        <v>-31585</v>
      </c>
      <c r="F4325" s="3" t="s">
        <v>177</v>
      </c>
      <c r="G4325" s="3" t="s">
        <v>178</v>
      </c>
      <c r="H4325" s="2" t="s">
        <v>29</v>
      </c>
      <c r="I4325" s="2" t="s">
        <v>9142</v>
      </c>
      <c r="J4325" s="3" t="str">
        <f>HYPERLINK("https://www.boe.es/gazeta/dias/1813/07/09/pdfs/GMR-1813-16.pdf#page=11","Abrir facsímil")</f>
        <v>Abrir facsímil</v>
      </c>
      <c r="K4325" s="3" t="s">
        <v>31</v>
      </c>
    </row>
    <row r="4326" spans="1:11" ht="42" customHeight="1">
      <c r="A4326" s="2" t="s">
        <v>9143</v>
      </c>
      <c r="B4326" s="2" t="s">
        <v>9144</v>
      </c>
      <c r="C4326" s="2" t="s">
        <v>34</v>
      </c>
      <c r="D4326" s="2" t="s">
        <v>35</v>
      </c>
      <c r="E4326" s="5">
        <v>-31434</v>
      </c>
      <c r="F4326" s="3" t="s">
        <v>18</v>
      </c>
      <c r="G4326" s="3" t="s">
        <v>28</v>
      </c>
      <c r="H4326" s="2" t="s">
        <v>20</v>
      </c>
      <c r="I4326" s="2" t="s">
        <v>9145</v>
      </c>
      <c r="J4326" s="3" t="str">
        <f>HYPERLINK("https://www.boe.es/gazeta/dias/1813/12/07/pdfs/GRE-1813-161.pdf#page=8","Abrir facsímil")</f>
        <v>Abrir facsímil</v>
      </c>
      <c r="K4326" s="3" t="s">
        <v>22</v>
      </c>
    </row>
    <row r="4327" spans="1:11" ht="42" customHeight="1">
      <c r="A4327" s="2" t="s">
        <v>9146</v>
      </c>
      <c r="B4327" s="2" t="s">
        <v>9147</v>
      </c>
      <c r="C4327" s="2" t="s">
        <v>16</v>
      </c>
      <c r="D4327" s="2" t="s">
        <v>17</v>
      </c>
      <c r="E4327" s="5">
        <v>-31719</v>
      </c>
      <c r="F4327" s="3" t="s">
        <v>251</v>
      </c>
      <c r="G4327" s="3" t="s">
        <v>19</v>
      </c>
      <c r="H4327" s="2" t="s">
        <v>20</v>
      </c>
      <c r="I4327" s="2" t="s">
        <v>9148</v>
      </c>
      <c r="J4327" s="3" t="str">
        <f>HYPERLINK("https://www.boe.es/gazeta/dias/1813/02/25/pdfs/GMD-1813-56.pdf#page=4","Abrir facsímil")</f>
        <v>Abrir facsímil</v>
      </c>
      <c r="K4327" s="3" t="s">
        <v>22</v>
      </c>
    </row>
    <row r="4328" spans="1:11" ht="42" customHeight="1">
      <c r="A4328" s="2" t="s">
        <v>9149</v>
      </c>
      <c r="B4328" s="2" t="s">
        <v>9149</v>
      </c>
      <c r="C4328" s="2" t="s">
        <v>16</v>
      </c>
      <c r="D4328" s="2" t="s">
        <v>17</v>
      </c>
      <c r="E4328" s="5">
        <v>-31574</v>
      </c>
      <c r="F4328" s="3" t="s">
        <v>1343</v>
      </c>
      <c r="G4328" s="3" t="s">
        <v>54</v>
      </c>
      <c r="H4328" s="2" t="s">
        <v>20</v>
      </c>
      <c r="I4328" s="2" t="s">
        <v>9150</v>
      </c>
      <c r="J4328" s="3" t="str">
        <f>HYPERLINK("https://www.boe.es/gazeta/dias/1813/07/20/pdfs/GMR-1813-19.pdf#page=3","Abrir facsímil")</f>
        <v>Abrir facsímil</v>
      </c>
      <c r="K4328" s="3" t="s">
        <v>22</v>
      </c>
    </row>
    <row r="4329" spans="1:11" ht="42" customHeight="1">
      <c r="A4329" s="2" t="s">
        <v>9151</v>
      </c>
      <c r="B4329" s="2" t="s">
        <v>9152</v>
      </c>
      <c r="C4329" s="2" t="s">
        <v>16</v>
      </c>
      <c r="D4329" s="2" t="s">
        <v>17</v>
      </c>
      <c r="E4329" s="5">
        <v>-31628</v>
      </c>
      <c r="F4329" s="3" t="s">
        <v>358</v>
      </c>
      <c r="G4329" s="3" t="s">
        <v>359</v>
      </c>
      <c r="H4329" s="2" t="s">
        <v>20</v>
      </c>
      <c r="I4329" s="2" t="s">
        <v>9153</v>
      </c>
      <c r="J4329" s="3" t="str">
        <f>HYPERLINK("https://www.boe.es/gazeta/dias/1813/05/27/pdfs/GRE-1813-65.pdf#page=6","Abrir facsímil")</f>
        <v>Abrir facsímil</v>
      </c>
      <c r="K4329" s="3" t="s">
        <v>22</v>
      </c>
    </row>
    <row r="4330" spans="1:11" ht="42" customHeight="1">
      <c r="A4330" s="2" t="s">
        <v>9154</v>
      </c>
      <c r="B4330" s="2" t="s">
        <v>9154</v>
      </c>
      <c r="C4330" s="2" t="s">
        <v>16</v>
      </c>
      <c r="D4330" s="2" t="s">
        <v>17</v>
      </c>
      <c r="E4330" s="5">
        <v>-31516</v>
      </c>
      <c r="F4330" s="3" t="s">
        <v>1685</v>
      </c>
      <c r="G4330" s="3" t="s">
        <v>95</v>
      </c>
      <c r="H4330" s="2" t="s">
        <v>20</v>
      </c>
      <c r="I4330" s="2" t="s">
        <v>9155</v>
      </c>
      <c r="J4330" s="3" t="str">
        <f>HYPERLINK("https://www.boe.es/gazeta/dias/1813/09/16/pdfs/GRE-1813-120.pdf#page=6","Abrir facsímil")</f>
        <v>Abrir facsímil</v>
      </c>
      <c r="K4330" s="3" t="s">
        <v>22</v>
      </c>
    </row>
    <row r="4331" spans="1:11" ht="42" customHeight="1">
      <c r="A4331" s="2" t="s">
        <v>9156</v>
      </c>
      <c r="B4331" s="2" t="s">
        <v>9157</v>
      </c>
      <c r="C4331" s="2" t="s">
        <v>34</v>
      </c>
      <c r="D4331" s="2" t="s">
        <v>35</v>
      </c>
      <c r="E4331" s="5">
        <v>-31542</v>
      </c>
      <c r="F4331" s="3" t="s">
        <v>347</v>
      </c>
      <c r="G4331" s="3" t="s">
        <v>95</v>
      </c>
      <c r="H4331" s="2" t="s">
        <v>20</v>
      </c>
      <c r="I4331" s="2" t="s">
        <v>9158</v>
      </c>
      <c r="J4331" s="3" t="str">
        <f>HYPERLINK("https://www.boe.es/gazeta/dias/1813/08/21/pdfs/GMR-1813-31.pdf#page=6","Abrir facsímil")</f>
        <v>Abrir facsímil</v>
      </c>
      <c r="K4331" s="3" t="s">
        <v>22</v>
      </c>
    </row>
    <row r="4332" spans="1:11" ht="42" customHeight="1">
      <c r="A4332" s="2" t="s">
        <v>9159</v>
      </c>
      <c r="B4332" s="2" t="s">
        <v>9160</v>
      </c>
      <c r="C4332" s="2" t="s">
        <v>6059</v>
      </c>
      <c r="D4332" s="2" t="s">
        <v>35</v>
      </c>
      <c r="E4332" s="5">
        <v>-31511</v>
      </c>
      <c r="F4332" s="3" t="s">
        <v>935</v>
      </c>
      <c r="G4332" s="3" t="s">
        <v>95</v>
      </c>
      <c r="H4332" s="2" t="s">
        <v>20</v>
      </c>
      <c r="I4332" s="2" t="s">
        <v>9161</v>
      </c>
      <c r="J4332" s="3" t="str">
        <f>HYPERLINK("https://www.boe.es/gazeta/dias/1813/09/21/pdfs/GMR-1813-46.pdf#page=6","Abrir facsímil")</f>
        <v>Abrir facsímil</v>
      </c>
      <c r="K4332" s="3" t="s">
        <v>22</v>
      </c>
    </row>
    <row r="4333" spans="1:11" ht="42" customHeight="1">
      <c r="A4333" s="2" t="s">
        <v>9162</v>
      </c>
      <c r="B4333" s="2" t="s">
        <v>9162</v>
      </c>
      <c r="C4333" s="2" t="s">
        <v>16</v>
      </c>
      <c r="D4333" s="2" t="s">
        <v>17</v>
      </c>
      <c r="E4333" s="5">
        <v>-31726</v>
      </c>
      <c r="F4333" s="3" t="s">
        <v>493</v>
      </c>
      <c r="G4333" s="3" t="s">
        <v>19</v>
      </c>
      <c r="H4333" s="2" t="s">
        <v>20</v>
      </c>
      <c r="I4333" s="2" t="s">
        <v>9163</v>
      </c>
      <c r="J4333" s="3" t="str">
        <f>HYPERLINK("https://www.boe.es/gazeta/dias/1813/02/18/pdfs/GMD-1813-49.pdf#page=4","Abrir facsímil")</f>
        <v>Abrir facsímil</v>
      </c>
      <c r="K4333" s="3" t="s">
        <v>22</v>
      </c>
    </row>
    <row r="4334" spans="1:11" ht="42" customHeight="1">
      <c r="A4334" s="2" t="s">
        <v>9164</v>
      </c>
      <c r="B4334" s="2" t="s">
        <v>9164</v>
      </c>
      <c r="C4334" s="2" t="s">
        <v>16</v>
      </c>
      <c r="D4334" s="2" t="s">
        <v>17</v>
      </c>
      <c r="E4334" s="5">
        <v>-31516</v>
      </c>
      <c r="F4334" s="3" t="s">
        <v>1685</v>
      </c>
      <c r="G4334" s="3" t="s">
        <v>95</v>
      </c>
      <c r="H4334" s="2" t="s">
        <v>20</v>
      </c>
      <c r="I4334" s="2" t="s">
        <v>9165</v>
      </c>
      <c r="J4334" s="3" t="str">
        <f>HYPERLINK("https://www.boe.es/gazeta/dias/1813/09/16/pdfs/GRE-1813-120.pdf#page=6","Abrir facsímil")</f>
        <v>Abrir facsímil</v>
      </c>
      <c r="K4334" s="3" t="s">
        <v>22</v>
      </c>
    </row>
    <row r="4335" spans="1:11" ht="42" customHeight="1">
      <c r="A4335" s="2" t="s">
        <v>9166</v>
      </c>
      <c r="B4335" s="2" t="s">
        <v>9167</v>
      </c>
      <c r="C4335" s="2" t="s">
        <v>25</v>
      </c>
      <c r="D4335" s="2" t="s">
        <v>26</v>
      </c>
      <c r="E4335" s="5">
        <v>-31481</v>
      </c>
      <c r="F4335" s="3" t="s">
        <v>40</v>
      </c>
      <c r="G4335" s="3" t="s">
        <v>28</v>
      </c>
      <c r="H4335" s="2" t="s">
        <v>20</v>
      </c>
      <c r="I4335" s="2" t="s">
        <v>9168</v>
      </c>
      <c r="J4335" s="3" t="str">
        <f>HYPERLINK("https://www.boe.es/gazeta/dias/1813/10/21/pdfs/GMR-1813-62.pdf#page=8","Abrir facsímil")</f>
        <v>Abrir facsímil</v>
      </c>
      <c r="K4335" s="3" t="s">
        <v>22</v>
      </c>
    </row>
    <row r="4336" spans="1:11" ht="42" customHeight="1">
      <c r="A4336" s="2" t="s">
        <v>9169</v>
      </c>
      <c r="B4336" s="2" t="s">
        <v>9169</v>
      </c>
      <c r="C4336" s="2" t="s">
        <v>16</v>
      </c>
      <c r="D4336" s="2" t="s">
        <v>17</v>
      </c>
      <c r="E4336" s="5">
        <v>-31448</v>
      </c>
      <c r="F4336" s="3" t="s">
        <v>325</v>
      </c>
      <c r="G4336" s="3" t="s">
        <v>54</v>
      </c>
      <c r="H4336" s="2" t="s">
        <v>20</v>
      </c>
      <c r="I4336" s="2" t="s">
        <v>9170</v>
      </c>
      <c r="J4336" s="3" t="str">
        <f>HYPERLINK("https://www.boe.es/gazeta/dias/1813/11/23/pdfs/GMR-1813-78.pdf#page=3","Abrir facsímil")</f>
        <v>Abrir facsímil</v>
      </c>
      <c r="K4336" s="3" t="s">
        <v>22</v>
      </c>
    </row>
    <row r="4337" spans="1:11" ht="42" customHeight="1">
      <c r="A4337" s="2" t="s">
        <v>9171</v>
      </c>
      <c r="B4337" s="2" t="s">
        <v>9171</v>
      </c>
      <c r="C4337" s="2" t="s">
        <v>16</v>
      </c>
      <c r="D4337" s="2" t="s">
        <v>17</v>
      </c>
      <c r="E4337" s="5">
        <v>-31660</v>
      </c>
      <c r="F4337" s="3" t="s">
        <v>1632</v>
      </c>
      <c r="G4337" s="3" t="s">
        <v>65</v>
      </c>
      <c r="H4337" s="2" t="s">
        <v>20</v>
      </c>
      <c r="I4337" s="2" t="s">
        <v>9172</v>
      </c>
      <c r="J4337" s="3" t="str">
        <f>HYPERLINK("https://www.boe.es/gazeta/dias/1813/04/25/pdfs/GMD-1813-115.pdf#page=1","Abrir facsímil")</f>
        <v>Abrir facsímil</v>
      </c>
      <c r="K4337" s="3" t="s">
        <v>22</v>
      </c>
    </row>
    <row r="4338" spans="1:11" ht="42" customHeight="1">
      <c r="A4338" s="2" t="s">
        <v>9171</v>
      </c>
      <c r="B4338" s="2" t="s">
        <v>9171</v>
      </c>
      <c r="C4338" s="2" t="s">
        <v>16</v>
      </c>
      <c r="D4338" s="2" t="s">
        <v>17</v>
      </c>
      <c r="E4338" s="5">
        <v>-31525</v>
      </c>
      <c r="F4338" s="3" t="s">
        <v>135</v>
      </c>
      <c r="G4338" s="3" t="s">
        <v>54</v>
      </c>
      <c r="H4338" s="2" t="s">
        <v>20</v>
      </c>
      <c r="I4338" s="2" t="s">
        <v>9173</v>
      </c>
      <c r="J4338" s="3" t="str">
        <f>HYPERLINK("https://www.boe.es/gazeta/dias/1813/09/07/pdfs/GMR-1813-38.pdf#page=3","Abrir facsímil")</f>
        <v>Abrir facsímil</v>
      </c>
      <c r="K4338" s="3" t="s">
        <v>22</v>
      </c>
    </row>
    <row r="4339" spans="1:11" ht="42" customHeight="1">
      <c r="A4339" s="2" t="s">
        <v>9174</v>
      </c>
      <c r="B4339" s="2" t="s">
        <v>9174</v>
      </c>
      <c r="C4339" s="2" t="s">
        <v>16</v>
      </c>
      <c r="D4339" s="2" t="s">
        <v>97</v>
      </c>
      <c r="E4339" s="5">
        <v>-31445</v>
      </c>
      <c r="F4339" s="3" t="s">
        <v>299</v>
      </c>
      <c r="G4339" s="3" t="s">
        <v>300</v>
      </c>
      <c r="H4339" s="2" t="s">
        <v>20</v>
      </c>
      <c r="I4339" s="2" t="s">
        <v>9175</v>
      </c>
      <c r="J4339" s="3" t="str">
        <f>HYPERLINK("https://www.boe.es/gazeta/dias/1813/11/26/pdfs/GRE-1813-156E.pdf#page=3","Abrir facsímil")</f>
        <v>Abrir facsímil</v>
      </c>
      <c r="K4339" s="3" t="s">
        <v>22</v>
      </c>
    </row>
    <row r="4340" spans="1:11" ht="42" customHeight="1">
      <c r="A4340" s="2" t="s">
        <v>9174</v>
      </c>
      <c r="B4340" s="2" t="s">
        <v>9174</v>
      </c>
      <c r="C4340" s="2" t="s">
        <v>16</v>
      </c>
      <c r="D4340" s="2" t="s">
        <v>17</v>
      </c>
      <c r="E4340" s="5">
        <v>-31432</v>
      </c>
      <c r="F4340" s="3" t="s">
        <v>702</v>
      </c>
      <c r="G4340" s="3" t="s">
        <v>19</v>
      </c>
      <c r="H4340" s="2" t="s">
        <v>20</v>
      </c>
      <c r="I4340" s="2" t="s">
        <v>9176</v>
      </c>
      <c r="J4340" s="3" t="str">
        <f>HYPERLINK("https://www.boe.es/gazeta/dias/1813/12/09/pdfs/GMR-1813-85.pdf#page=4","Abrir facsímil")</f>
        <v>Abrir facsímil</v>
      </c>
      <c r="K4340" s="3" t="s">
        <v>22</v>
      </c>
    </row>
    <row r="4341" spans="1:11" ht="42" customHeight="1">
      <c r="A4341" s="2" t="s">
        <v>9174</v>
      </c>
      <c r="B4341" s="2" t="s">
        <v>9174</v>
      </c>
      <c r="C4341" s="2" t="s">
        <v>16</v>
      </c>
      <c r="D4341" s="2" t="s">
        <v>17</v>
      </c>
      <c r="E4341" s="5">
        <v>-31432</v>
      </c>
      <c r="F4341" s="3" t="s">
        <v>702</v>
      </c>
      <c r="G4341" s="3" t="s">
        <v>82</v>
      </c>
      <c r="H4341" s="2" t="s">
        <v>20</v>
      </c>
      <c r="I4341" s="2" t="s">
        <v>9177</v>
      </c>
      <c r="J4341" s="3" t="str">
        <f>HYPERLINK("https://www.boe.es/gazeta/dias/1813/12/09/pdfs/GMR-1813-85.pdf#page=5","Abrir facsímil")</f>
        <v>Abrir facsímil</v>
      </c>
      <c r="K4341" s="3" t="s">
        <v>22</v>
      </c>
    </row>
    <row r="4342" spans="1:11" ht="42" customHeight="1">
      <c r="A4342" s="2" t="s">
        <v>9178</v>
      </c>
      <c r="B4342" s="2" t="s">
        <v>9178</v>
      </c>
      <c r="C4342" s="2" t="s">
        <v>16</v>
      </c>
      <c r="D4342" s="2" t="s">
        <v>97</v>
      </c>
      <c r="E4342" s="5">
        <v>-31519</v>
      </c>
      <c r="F4342" s="3" t="s">
        <v>312</v>
      </c>
      <c r="G4342" s="3" t="s">
        <v>19</v>
      </c>
      <c r="H4342" s="2" t="s">
        <v>20</v>
      </c>
      <c r="I4342" s="2" t="s">
        <v>9179</v>
      </c>
      <c r="J4342" s="3" t="str">
        <f>HYPERLINK("https://www.boe.es/gazeta/dias/1813/09/13/pdfs/GRE-1813-118E.pdf#page=4","Abrir facsímil")</f>
        <v>Abrir facsímil</v>
      </c>
      <c r="K4342" s="3" t="s">
        <v>22</v>
      </c>
    </row>
    <row r="4343" spans="1:11" ht="42" customHeight="1">
      <c r="A4343" s="2" t="s">
        <v>9178</v>
      </c>
      <c r="B4343" s="2" t="s">
        <v>9178</v>
      </c>
      <c r="C4343" s="2" t="s">
        <v>16</v>
      </c>
      <c r="D4343" s="2" t="s">
        <v>17</v>
      </c>
      <c r="E4343" s="5">
        <v>-31511</v>
      </c>
      <c r="F4343" s="3" t="s">
        <v>935</v>
      </c>
      <c r="G4343" s="3" t="s">
        <v>178</v>
      </c>
      <c r="H4343" s="2" t="s">
        <v>20</v>
      </c>
      <c r="I4343" s="2" t="s">
        <v>9180</v>
      </c>
      <c r="J4343" s="3" t="str">
        <f>HYPERLINK("https://www.boe.es/gazeta/dias/1813/09/21/pdfs/GMR-1813-46.pdf#page=11","Abrir facsímil")</f>
        <v>Abrir facsímil</v>
      </c>
      <c r="K4343" s="3" t="s">
        <v>22</v>
      </c>
    </row>
    <row r="4344" spans="1:11" ht="42" customHeight="1">
      <c r="A4344" s="2" t="s">
        <v>9181</v>
      </c>
      <c r="B4344" s="2" t="s">
        <v>9181</v>
      </c>
      <c r="C4344" s="2" t="s">
        <v>16</v>
      </c>
      <c r="D4344" s="2" t="s">
        <v>17</v>
      </c>
      <c r="E4344" s="5">
        <v>-31469</v>
      </c>
      <c r="F4344" s="3" t="s">
        <v>1311</v>
      </c>
      <c r="G4344" s="3" t="s">
        <v>9182</v>
      </c>
      <c r="H4344" s="2" t="s">
        <v>20</v>
      </c>
      <c r="I4344" s="2" t="s">
        <v>9183</v>
      </c>
      <c r="J4344" s="3" t="str">
        <f>HYPERLINK("https://www.boe.es/gazeta/dias/1813/11/02/pdfs/GMR-1813-67.pdf#page=3","Abrir facsímil")</f>
        <v>Abrir facsímil</v>
      </c>
      <c r="K4344" s="3" t="s">
        <v>22</v>
      </c>
    </row>
    <row r="4345" spans="1:11" ht="42" customHeight="1">
      <c r="A4345" s="2" t="s">
        <v>9184</v>
      </c>
      <c r="B4345" s="2" t="s">
        <v>9185</v>
      </c>
      <c r="C4345" s="2" t="s">
        <v>16</v>
      </c>
      <c r="D4345" s="2" t="s">
        <v>97</v>
      </c>
      <c r="E4345" s="5">
        <v>-31519</v>
      </c>
      <c r="F4345" s="3" t="s">
        <v>312</v>
      </c>
      <c r="G4345" s="3" t="s">
        <v>65</v>
      </c>
      <c r="H4345" s="2" t="s">
        <v>20</v>
      </c>
      <c r="I4345" s="2" t="s">
        <v>9186</v>
      </c>
      <c r="J4345" s="3" t="str">
        <f>HYPERLINK("https://www.boe.es/gazeta/dias/1813/09/13/pdfs/GRE-1813-118E.pdf#page=1","Abrir facsímil")</f>
        <v>Abrir facsímil</v>
      </c>
      <c r="K4345" s="3" t="s">
        <v>22</v>
      </c>
    </row>
    <row r="4346" spans="1:11" ht="42" customHeight="1">
      <c r="A4346" s="2" t="s">
        <v>9187</v>
      </c>
      <c r="B4346" s="2" t="s">
        <v>9188</v>
      </c>
      <c r="C4346" s="2" t="s">
        <v>34</v>
      </c>
      <c r="D4346" s="2" t="s">
        <v>35</v>
      </c>
      <c r="E4346" s="5">
        <v>-31504</v>
      </c>
      <c r="F4346" s="3" t="s">
        <v>192</v>
      </c>
      <c r="G4346" s="3" t="s">
        <v>82</v>
      </c>
      <c r="H4346" s="2" t="s">
        <v>20</v>
      </c>
      <c r="I4346" s="2" t="s">
        <v>9189</v>
      </c>
      <c r="J4346" s="3" t="str">
        <f>HYPERLINK("https://www.boe.es/gazeta/dias/1813/09/28/pdfs/GRE-1813-127.pdf#page=5","Abrir facsímil")</f>
        <v>Abrir facsímil</v>
      </c>
      <c r="K4346" s="3" t="s">
        <v>22</v>
      </c>
    </row>
    <row r="4347" spans="1:11" ht="42" customHeight="1">
      <c r="A4347" s="2" t="s">
        <v>9187</v>
      </c>
      <c r="B4347" s="2" t="s">
        <v>9188</v>
      </c>
      <c r="C4347" s="2" t="s">
        <v>34</v>
      </c>
      <c r="D4347" s="2" t="s">
        <v>35</v>
      </c>
      <c r="E4347" s="5">
        <v>-31495</v>
      </c>
      <c r="F4347" s="3" t="s">
        <v>194</v>
      </c>
      <c r="G4347" s="3" t="s">
        <v>812</v>
      </c>
      <c r="H4347" s="2" t="s">
        <v>20</v>
      </c>
      <c r="I4347" s="2" t="s">
        <v>9190</v>
      </c>
      <c r="J4347" s="3" t="str">
        <f>HYPERLINK("https://www.boe.es/gazeta/dias/1813/10/07/pdfs/GMR-1813-55.pdf#page=4","Abrir facsímil")</f>
        <v>Abrir facsímil</v>
      </c>
      <c r="K4347" s="3" t="s">
        <v>22</v>
      </c>
    </row>
    <row r="4348" spans="1:11" ht="42" customHeight="1">
      <c r="A4348" s="2" t="s">
        <v>9191</v>
      </c>
      <c r="B4348" s="2" t="s">
        <v>9192</v>
      </c>
      <c r="C4348" s="2" t="s">
        <v>16</v>
      </c>
      <c r="D4348" s="2" t="s">
        <v>17</v>
      </c>
      <c r="E4348" s="5">
        <v>-31630</v>
      </c>
      <c r="F4348" s="3" t="s">
        <v>1324</v>
      </c>
      <c r="G4348" s="3" t="s">
        <v>3155</v>
      </c>
      <c r="H4348" s="2" t="s">
        <v>20</v>
      </c>
      <c r="I4348" s="2" t="s">
        <v>9193</v>
      </c>
      <c r="J4348" s="3" t="str">
        <f>HYPERLINK("https://www.boe.es/gazeta/dias/1813/05/25/pdfs/GRE-1813-64.pdf#page=8","Abrir facsímil")</f>
        <v>Abrir facsímil</v>
      </c>
      <c r="K4348" s="3" t="s">
        <v>22</v>
      </c>
    </row>
    <row r="4349" spans="1:11" ht="42" customHeight="1">
      <c r="A4349" s="2" t="s">
        <v>9194</v>
      </c>
      <c r="B4349" s="2" t="s">
        <v>9194</v>
      </c>
      <c r="C4349" s="2" t="s">
        <v>16</v>
      </c>
      <c r="D4349" s="2" t="s">
        <v>17</v>
      </c>
      <c r="E4349" s="5">
        <v>-31479</v>
      </c>
      <c r="F4349" s="3" t="s">
        <v>322</v>
      </c>
      <c r="G4349" s="3" t="s">
        <v>95</v>
      </c>
      <c r="H4349" s="2" t="s">
        <v>20</v>
      </c>
      <c r="I4349" s="2" t="s">
        <v>9195</v>
      </c>
      <c r="J4349" s="3" t="str">
        <f>HYPERLINK("https://www.boe.es/gazeta/dias/1813/10/23/pdfs/GMR-1813-63.pdf#page=6","Abrir facsímil")</f>
        <v>Abrir facsímil</v>
      </c>
      <c r="K4349" s="3" t="s">
        <v>22</v>
      </c>
    </row>
    <row r="4350" spans="1:11" ht="42" customHeight="1">
      <c r="A4350" s="2" t="s">
        <v>9194</v>
      </c>
      <c r="B4350" s="2" t="s">
        <v>9194</v>
      </c>
      <c r="C4350" s="2" t="s">
        <v>16</v>
      </c>
      <c r="D4350" s="2" t="s">
        <v>17</v>
      </c>
      <c r="E4350" s="5">
        <v>-31462</v>
      </c>
      <c r="F4350" s="3" t="s">
        <v>1028</v>
      </c>
      <c r="G4350" s="3" t="s">
        <v>82</v>
      </c>
      <c r="H4350" s="2" t="s">
        <v>20</v>
      </c>
      <c r="I4350" s="2" t="s">
        <v>9196</v>
      </c>
      <c r="J4350" s="3" t="str">
        <f>HYPERLINK("https://www.boe.es/gazeta/dias/1813/11/09/pdfs/GMR-1813-71.pdf#page=5","Abrir facsímil")</f>
        <v>Abrir facsímil</v>
      </c>
      <c r="K4350" s="3" t="s">
        <v>22</v>
      </c>
    </row>
    <row r="4351" spans="1:11" ht="42" customHeight="1">
      <c r="A4351" s="2" t="s">
        <v>9194</v>
      </c>
      <c r="B4351" s="2" t="s">
        <v>9194</v>
      </c>
      <c r="C4351" s="2" t="s">
        <v>16</v>
      </c>
      <c r="D4351" s="2" t="s">
        <v>17</v>
      </c>
      <c r="E4351" s="5">
        <v>-31451</v>
      </c>
      <c r="F4351" s="3" t="s">
        <v>2325</v>
      </c>
      <c r="G4351" s="3" t="s">
        <v>58</v>
      </c>
      <c r="H4351" s="2" t="s">
        <v>20</v>
      </c>
      <c r="I4351" s="2" t="s">
        <v>9197</v>
      </c>
      <c r="J4351" s="3" t="str">
        <f>HYPERLINK("https://www.boe.es/gazeta/dias/1813/11/20/pdfs/GMR-1813-77.pdf#page=2","Abrir facsímil")</f>
        <v>Abrir facsímil</v>
      </c>
      <c r="K4351" s="3" t="s">
        <v>22</v>
      </c>
    </row>
    <row r="4352" spans="1:11" ht="42" customHeight="1">
      <c r="A4352" s="2" t="s">
        <v>9198</v>
      </c>
      <c r="B4352" s="2" t="s">
        <v>9198</v>
      </c>
      <c r="C4352" s="2" t="s">
        <v>16</v>
      </c>
      <c r="D4352" s="2" t="s">
        <v>17</v>
      </c>
      <c r="E4352" s="5">
        <v>-31710</v>
      </c>
      <c r="F4352" s="3" t="s">
        <v>4744</v>
      </c>
      <c r="G4352" s="3" t="s">
        <v>54</v>
      </c>
      <c r="H4352" s="2" t="s">
        <v>20</v>
      </c>
      <c r="I4352" s="2" t="s">
        <v>9199</v>
      </c>
      <c r="J4352" s="3" t="str">
        <f>HYPERLINK("https://www.boe.es/gazeta/dias/1813/03/06/pdfs/GMD-1813-65.pdf#page=3","Abrir facsímil")</f>
        <v>Abrir facsímil</v>
      </c>
      <c r="K4352" s="3" t="s">
        <v>22</v>
      </c>
    </row>
    <row r="4353" spans="1:11" ht="42" customHeight="1">
      <c r="A4353" s="2" t="s">
        <v>9198</v>
      </c>
      <c r="B4353" s="2" t="s">
        <v>9198</v>
      </c>
      <c r="C4353" s="2" t="s">
        <v>16</v>
      </c>
      <c r="D4353" s="2" t="s">
        <v>17</v>
      </c>
      <c r="E4353" s="5">
        <v>-31710</v>
      </c>
      <c r="F4353" s="3" t="s">
        <v>4744</v>
      </c>
      <c r="G4353" s="3" t="s">
        <v>19</v>
      </c>
      <c r="H4353" s="2" t="s">
        <v>20</v>
      </c>
      <c r="I4353" s="2" t="s">
        <v>9200</v>
      </c>
      <c r="J4353" s="3" t="str">
        <f>HYPERLINK("https://www.boe.es/gazeta/dias/1813/03/06/pdfs/GMD-1813-65.pdf#page=4","Abrir facsímil")</f>
        <v>Abrir facsímil</v>
      </c>
      <c r="K4353" s="3" t="s">
        <v>22</v>
      </c>
    </row>
    <row r="4354" spans="1:11" ht="42" customHeight="1">
      <c r="A4354" s="2" t="s">
        <v>9198</v>
      </c>
      <c r="B4354" s="2" t="s">
        <v>9198</v>
      </c>
      <c r="C4354" s="2" t="s">
        <v>16</v>
      </c>
      <c r="D4354" s="2" t="s">
        <v>17</v>
      </c>
      <c r="E4354" s="5">
        <v>-31700</v>
      </c>
      <c r="F4354" s="3" t="s">
        <v>778</v>
      </c>
      <c r="G4354" s="3" t="s">
        <v>779</v>
      </c>
      <c r="H4354" s="2" t="s">
        <v>20</v>
      </c>
      <c r="I4354" s="2" t="s">
        <v>9201</v>
      </c>
      <c r="J4354" s="3" t="str">
        <f>HYPERLINK("https://www.boe.es/gazeta/dias/1813/03/16/pdfs/GMD-1813-75.pdf#page=3","Abrir facsímil")</f>
        <v>Abrir facsímil</v>
      </c>
      <c r="K4354" s="3" t="s">
        <v>22</v>
      </c>
    </row>
    <row r="4355" spans="1:11" ht="42" customHeight="1">
      <c r="A4355" s="2" t="s">
        <v>9202</v>
      </c>
      <c r="B4355" s="2" t="s">
        <v>9202</v>
      </c>
      <c r="C4355" s="2" t="s">
        <v>16</v>
      </c>
      <c r="D4355" s="2" t="s">
        <v>17</v>
      </c>
      <c r="E4355" s="5">
        <v>-31733</v>
      </c>
      <c r="F4355" s="3" t="s">
        <v>3036</v>
      </c>
      <c r="G4355" s="3" t="s">
        <v>7278</v>
      </c>
      <c r="H4355" s="2" t="s">
        <v>20</v>
      </c>
      <c r="I4355" s="2" t="s">
        <v>9203</v>
      </c>
      <c r="J4355" s="3" t="str">
        <f>HYPERLINK("https://www.boe.es/gazeta/dias/1813/02/11/pdfs/GRE-1813-18.pdf#page=4","Abrir facsímil")</f>
        <v>Abrir facsímil</v>
      </c>
      <c r="K4355" s="3" t="s">
        <v>22</v>
      </c>
    </row>
    <row r="4356" spans="1:11" ht="42" customHeight="1">
      <c r="A4356" s="2" t="s">
        <v>9204</v>
      </c>
      <c r="B4356" s="2" t="s">
        <v>9204</v>
      </c>
      <c r="C4356" s="2" t="s">
        <v>16</v>
      </c>
      <c r="D4356" s="2" t="s">
        <v>17</v>
      </c>
      <c r="E4356" s="5">
        <v>-31453</v>
      </c>
      <c r="F4356" s="3" t="s">
        <v>887</v>
      </c>
      <c r="G4356" s="3" t="s">
        <v>65</v>
      </c>
      <c r="H4356" s="2" t="s">
        <v>20</v>
      </c>
      <c r="I4356" s="2" t="s">
        <v>9205</v>
      </c>
      <c r="J4356" s="3" t="str">
        <f>HYPERLINK("https://www.boe.es/gazeta/dias/1813/11/18/pdfs/GMR-1813-76.pdf#page=1","Abrir facsímil")</f>
        <v>Abrir facsímil</v>
      </c>
      <c r="K4356" s="3" t="s">
        <v>22</v>
      </c>
    </row>
    <row r="4357" spans="1:11" ht="42" customHeight="1">
      <c r="A4357" s="2" t="s">
        <v>9206</v>
      </c>
      <c r="B4357" s="2" t="s">
        <v>9206</v>
      </c>
      <c r="C4357" s="2" t="s">
        <v>16</v>
      </c>
      <c r="D4357" s="2" t="s">
        <v>17</v>
      </c>
      <c r="E4357" s="5">
        <v>-31710</v>
      </c>
      <c r="F4357" s="3" t="s">
        <v>2689</v>
      </c>
      <c r="G4357" s="3" t="s">
        <v>2690</v>
      </c>
      <c r="H4357" s="2" t="s">
        <v>20</v>
      </c>
      <c r="I4357" s="2" t="s">
        <v>9207</v>
      </c>
      <c r="J4357" s="3" t="str">
        <f>HYPERLINK("https://www.boe.es/gazeta/dias/1813/03/06/pdfs/GRE-1813-29.pdf#page=4","Abrir facsímil")</f>
        <v>Abrir facsímil</v>
      </c>
      <c r="K4357" s="3" t="s">
        <v>22</v>
      </c>
    </row>
    <row r="4358" spans="1:11" ht="42" customHeight="1">
      <c r="A4358" s="2" t="s">
        <v>9208</v>
      </c>
      <c r="B4358" s="2" t="s">
        <v>9208</v>
      </c>
      <c r="C4358" s="2" t="s">
        <v>16</v>
      </c>
      <c r="D4358" s="2" t="s">
        <v>17</v>
      </c>
      <c r="E4358" s="5">
        <v>-31748</v>
      </c>
      <c r="F4358" s="3" t="s">
        <v>5041</v>
      </c>
      <c r="G4358" s="3" t="s">
        <v>54</v>
      </c>
      <c r="H4358" s="2" t="s">
        <v>20</v>
      </c>
      <c r="I4358" s="2" t="s">
        <v>9209</v>
      </c>
      <c r="J4358" s="3" t="str">
        <f>HYPERLINK("https://www.boe.es/gazeta/dias/1813/01/27/pdfs/GMD-1813-27.pdf#page=3","Abrir facsímil")</f>
        <v>Abrir facsímil</v>
      </c>
      <c r="K4358" s="3" t="s">
        <v>22</v>
      </c>
    </row>
    <row r="4359" spans="1:11" ht="42" customHeight="1">
      <c r="A4359" s="2" t="s">
        <v>9208</v>
      </c>
      <c r="B4359" s="2" t="s">
        <v>9208</v>
      </c>
      <c r="C4359" s="2" t="s">
        <v>16</v>
      </c>
      <c r="D4359" s="2" t="s">
        <v>17</v>
      </c>
      <c r="E4359" s="5">
        <v>-31638</v>
      </c>
      <c r="F4359" s="3" t="s">
        <v>1635</v>
      </c>
      <c r="G4359" s="3" t="s">
        <v>58</v>
      </c>
      <c r="H4359" s="2" t="s">
        <v>20</v>
      </c>
      <c r="I4359" s="2" t="s">
        <v>9210</v>
      </c>
      <c r="J4359" s="3" t="str">
        <f>HYPERLINK("https://www.boe.es/gazeta/dias/1813/05/17/pdfs/GMD-1813-137.pdf#page=2","Abrir facsímil")</f>
        <v>Abrir facsímil</v>
      </c>
      <c r="K4359" s="3" t="s">
        <v>22</v>
      </c>
    </row>
    <row r="4360" spans="1:11" ht="42" customHeight="1">
      <c r="A4360" s="2" t="s">
        <v>9208</v>
      </c>
      <c r="B4360" s="2" t="s">
        <v>9208</v>
      </c>
      <c r="C4360" s="2" t="s">
        <v>16</v>
      </c>
      <c r="D4360" s="2" t="s">
        <v>17</v>
      </c>
      <c r="E4360" s="5">
        <v>-31502</v>
      </c>
      <c r="F4360" s="3" t="s">
        <v>1363</v>
      </c>
      <c r="G4360" s="3" t="s">
        <v>82</v>
      </c>
      <c r="H4360" s="2" t="s">
        <v>20</v>
      </c>
      <c r="I4360" s="2" t="s">
        <v>9211</v>
      </c>
      <c r="J4360" s="3" t="str">
        <f>HYPERLINK("https://www.boe.es/gazeta/dias/1813/09/30/pdfs/GRE-1813-128.pdf#page=5","Abrir facsímil")</f>
        <v>Abrir facsímil</v>
      </c>
      <c r="K4360" s="3" t="s">
        <v>22</v>
      </c>
    </row>
    <row r="4361" spans="1:11" ht="42" customHeight="1">
      <c r="A4361" s="2" t="s">
        <v>9212</v>
      </c>
      <c r="B4361" s="2" t="s">
        <v>9212</v>
      </c>
      <c r="C4361" s="2" t="s">
        <v>16</v>
      </c>
      <c r="D4361" s="2" t="s">
        <v>17</v>
      </c>
      <c r="E4361" s="5">
        <v>-31726</v>
      </c>
      <c r="F4361" s="3" t="s">
        <v>493</v>
      </c>
      <c r="G4361" s="3" t="s">
        <v>19</v>
      </c>
      <c r="H4361" s="2" t="s">
        <v>20</v>
      </c>
      <c r="I4361" s="2" t="s">
        <v>9213</v>
      </c>
      <c r="J4361" s="3" t="str">
        <f>HYPERLINK("https://www.boe.es/gazeta/dias/1813/02/18/pdfs/GMD-1813-49.pdf#page=4","Abrir facsímil")</f>
        <v>Abrir facsímil</v>
      </c>
      <c r="K4361" s="3" t="s">
        <v>22</v>
      </c>
    </row>
    <row r="4362" spans="1:11" ht="42" customHeight="1">
      <c r="A4362" s="2" t="s">
        <v>9214</v>
      </c>
      <c r="B4362" s="2" t="s">
        <v>9214</v>
      </c>
      <c r="C4362" s="2" t="s">
        <v>16</v>
      </c>
      <c r="D4362" s="2" t="s">
        <v>17</v>
      </c>
      <c r="E4362" s="5">
        <v>-31763</v>
      </c>
      <c r="F4362" s="3" t="s">
        <v>668</v>
      </c>
      <c r="G4362" s="3" t="s">
        <v>82</v>
      </c>
      <c r="H4362" s="2" t="s">
        <v>20</v>
      </c>
      <c r="I4362" s="2" t="s">
        <v>9215</v>
      </c>
      <c r="J4362" s="3" t="str">
        <f>HYPERLINK("https://www.boe.es/gazeta/dias/1813/01/12/pdfs/GRE-1813-5.pdf#page=5","Abrir facsímil")</f>
        <v>Abrir facsímil</v>
      </c>
      <c r="K4362" s="3" t="s">
        <v>22</v>
      </c>
    </row>
    <row r="4363" spans="1:11" ht="42" customHeight="1">
      <c r="A4363" s="2" t="s">
        <v>9216</v>
      </c>
      <c r="B4363" s="2" t="s">
        <v>9217</v>
      </c>
      <c r="C4363" s="2" t="s">
        <v>16</v>
      </c>
      <c r="D4363" s="2" t="s">
        <v>17</v>
      </c>
      <c r="E4363" s="5">
        <v>-31516</v>
      </c>
      <c r="F4363" s="3" t="s">
        <v>1685</v>
      </c>
      <c r="G4363" s="3" t="s">
        <v>2625</v>
      </c>
      <c r="H4363" s="2" t="s">
        <v>29</v>
      </c>
      <c r="I4363" s="2" t="s">
        <v>9218</v>
      </c>
      <c r="J4363" s="3" t="str">
        <f>HYPERLINK("https://www.boe.es/gazeta/dias/1813/09/16/pdfs/GRE-1813-120.pdf#page=8","Abrir facsímil")</f>
        <v>Abrir facsímil</v>
      </c>
      <c r="K4363" s="3" t="s">
        <v>31</v>
      </c>
    </row>
    <row r="4364" spans="1:11" ht="42" customHeight="1">
      <c r="A4364" s="2" t="s">
        <v>9219</v>
      </c>
      <c r="B4364" s="2" t="s">
        <v>9220</v>
      </c>
      <c r="C4364" s="2" t="s">
        <v>16</v>
      </c>
      <c r="D4364" s="2" t="s">
        <v>17</v>
      </c>
      <c r="E4364" s="5">
        <v>-31516</v>
      </c>
      <c r="F4364" s="3" t="s">
        <v>1685</v>
      </c>
      <c r="G4364" s="3" t="s">
        <v>19</v>
      </c>
      <c r="H4364" s="2" t="s">
        <v>20</v>
      </c>
      <c r="I4364" s="2" t="s">
        <v>9221</v>
      </c>
      <c r="J4364" s="3" t="str">
        <f>HYPERLINK("https://www.boe.es/gazeta/dias/1813/09/16/pdfs/GRE-1813-120.pdf#page=4","Abrir facsímil")</f>
        <v>Abrir facsímil</v>
      </c>
      <c r="K4364" s="3" t="s">
        <v>22</v>
      </c>
    </row>
    <row r="4365" spans="1:11" ht="42" customHeight="1">
      <c r="A4365" s="2" t="s">
        <v>9219</v>
      </c>
      <c r="B4365" s="2" t="s">
        <v>9220</v>
      </c>
      <c r="C4365" s="2" t="s">
        <v>16</v>
      </c>
      <c r="D4365" s="2" t="s">
        <v>17</v>
      </c>
      <c r="E4365" s="5">
        <v>-31516</v>
      </c>
      <c r="F4365" s="3" t="s">
        <v>1685</v>
      </c>
      <c r="G4365" s="3" t="s">
        <v>95</v>
      </c>
      <c r="H4365" s="2" t="s">
        <v>20</v>
      </c>
      <c r="I4365" s="2" t="s">
        <v>9222</v>
      </c>
      <c r="J4365" s="3" t="str">
        <f>HYPERLINK("https://www.boe.es/gazeta/dias/1813/09/16/pdfs/GRE-1813-120.pdf#page=6","Abrir facsímil")</f>
        <v>Abrir facsímil</v>
      </c>
      <c r="K4365" s="3" t="s">
        <v>22</v>
      </c>
    </row>
    <row r="4366" spans="1:11" ht="42" customHeight="1">
      <c r="A4366" s="2" t="s">
        <v>9223</v>
      </c>
      <c r="B4366" s="2" t="s">
        <v>9224</v>
      </c>
      <c r="C4366" s="2" t="s">
        <v>16</v>
      </c>
      <c r="D4366" s="2" t="s">
        <v>17</v>
      </c>
      <c r="E4366" s="5">
        <v>-31507</v>
      </c>
      <c r="F4366" s="3" t="s">
        <v>61</v>
      </c>
      <c r="G4366" s="3" t="s">
        <v>791</v>
      </c>
      <c r="H4366" s="2" t="s">
        <v>20</v>
      </c>
      <c r="I4366" s="2" t="s">
        <v>9225</v>
      </c>
      <c r="J4366" s="3" t="str">
        <f>HYPERLINK("https://www.boe.es/gazeta/dias/1813/09/25/pdfs/GMR-1813-48.pdf#page=7","Abrir facsímil")</f>
        <v>Abrir facsímil</v>
      </c>
      <c r="K4366" s="3" t="s">
        <v>22</v>
      </c>
    </row>
    <row r="4367" spans="1:11" ht="42" customHeight="1">
      <c r="A4367" s="2" t="s">
        <v>9226</v>
      </c>
      <c r="B4367" s="2" t="s">
        <v>9226</v>
      </c>
      <c r="C4367" s="2" t="s">
        <v>16</v>
      </c>
      <c r="D4367" s="2" t="s">
        <v>17</v>
      </c>
      <c r="E4367" s="5">
        <v>-31710</v>
      </c>
      <c r="F4367" s="3" t="s">
        <v>4744</v>
      </c>
      <c r="G4367" s="3" t="s">
        <v>19</v>
      </c>
      <c r="H4367" s="2" t="s">
        <v>20</v>
      </c>
      <c r="I4367" s="2" t="s">
        <v>9227</v>
      </c>
      <c r="J4367" s="3" t="str">
        <f>HYPERLINK("https://www.boe.es/gazeta/dias/1813/03/06/pdfs/GMD-1813-65.pdf#page=4","Abrir facsímil")</f>
        <v>Abrir facsímil</v>
      </c>
      <c r="K4367" s="3" t="s">
        <v>22</v>
      </c>
    </row>
    <row r="4368" spans="1:11" ht="42" customHeight="1">
      <c r="A4368" s="2" t="s">
        <v>9228</v>
      </c>
      <c r="B4368" s="2" t="s">
        <v>9229</v>
      </c>
      <c r="C4368" s="2" t="s">
        <v>25</v>
      </c>
      <c r="D4368" s="2" t="s">
        <v>26</v>
      </c>
      <c r="E4368" s="5">
        <v>-31425</v>
      </c>
      <c r="F4368" s="3" t="s">
        <v>1669</v>
      </c>
      <c r="G4368" s="3" t="s">
        <v>19</v>
      </c>
      <c r="H4368" s="2" t="s">
        <v>29</v>
      </c>
      <c r="I4368" s="2" t="s">
        <v>9230</v>
      </c>
      <c r="J4368" s="3" t="str">
        <f>HYPERLINK("https://www.boe.es/gazeta/dias/1813/12/16/pdfs/GRE-1813-165.pdf#page=4","Abrir facsímil")</f>
        <v>Abrir facsímil</v>
      </c>
      <c r="K4368" s="3" t="s">
        <v>31</v>
      </c>
    </row>
    <row r="4369" spans="1:11" ht="42" customHeight="1">
      <c r="A4369" s="2" t="s">
        <v>9231</v>
      </c>
      <c r="B4369" s="2" t="s">
        <v>9231</v>
      </c>
      <c r="C4369" s="2" t="s">
        <v>16</v>
      </c>
      <c r="D4369" s="2" t="s">
        <v>17</v>
      </c>
      <c r="E4369" s="5">
        <v>-31640</v>
      </c>
      <c r="F4369" s="3" t="s">
        <v>3174</v>
      </c>
      <c r="G4369" s="3" t="s">
        <v>19</v>
      </c>
      <c r="H4369" s="2" t="s">
        <v>20</v>
      </c>
      <c r="I4369" s="2" t="s">
        <v>9232</v>
      </c>
      <c r="J4369" s="3" t="str">
        <f>HYPERLINK("https://www.boe.es/gazeta/dias/1813/05/15/pdfs/GMD-1813-135.pdf#page=4","Abrir facsímil")</f>
        <v>Abrir facsímil</v>
      </c>
      <c r="K4369" s="3" t="s">
        <v>22</v>
      </c>
    </row>
    <row r="4370" spans="1:11" ht="42" customHeight="1">
      <c r="A4370" s="2" t="s">
        <v>9233</v>
      </c>
      <c r="B4370" s="2" t="s">
        <v>9234</v>
      </c>
      <c r="C4370" s="2" t="s">
        <v>25</v>
      </c>
      <c r="D4370" s="2" t="s">
        <v>26</v>
      </c>
      <c r="E4370" s="5">
        <v>-31689</v>
      </c>
      <c r="F4370" s="3" t="s">
        <v>48</v>
      </c>
      <c r="G4370" s="3" t="s">
        <v>162</v>
      </c>
      <c r="H4370" s="2" t="s">
        <v>20</v>
      </c>
      <c r="I4370" s="2" t="s">
        <v>9235</v>
      </c>
      <c r="J4370" s="3" t="str">
        <f>HYPERLINK("https://www.boe.es/gazeta/dias/1813/03/27/pdfs/GRE-1813-38.pdf#page=8","Abrir facsímil")</f>
        <v>Abrir facsímil</v>
      </c>
      <c r="K4370" s="3" t="s">
        <v>22</v>
      </c>
    </row>
    <row r="4371" spans="1:11" ht="42" customHeight="1">
      <c r="A4371" s="2" t="s">
        <v>9233</v>
      </c>
      <c r="B4371" s="2" t="s">
        <v>9234</v>
      </c>
      <c r="C4371" s="2" t="s">
        <v>25</v>
      </c>
      <c r="D4371" s="2" t="s">
        <v>26</v>
      </c>
      <c r="E4371" s="5">
        <v>-31677</v>
      </c>
      <c r="F4371" s="3" t="s">
        <v>76</v>
      </c>
      <c r="G4371" s="3" t="s">
        <v>28</v>
      </c>
      <c r="H4371" s="2" t="s">
        <v>20</v>
      </c>
      <c r="I4371" s="2" t="s">
        <v>9236</v>
      </c>
      <c r="J4371" s="3" t="str">
        <f>HYPERLINK("https://www.boe.es/gazeta/dias/1813/04/08/pdfs/GRE-1813-43.pdf#page=8","Abrir facsímil")</f>
        <v>Abrir facsímil</v>
      </c>
      <c r="K4371" s="3" t="s">
        <v>22</v>
      </c>
    </row>
    <row r="4372" spans="1:11" ht="42" customHeight="1">
      <c r="A4372" s="2" t="s">
        <v>9237</v>
      </c>
      <c r="B4372" s="2" t="s">
        <v>9238</v>
      </c>
      <c r="C4372" s="2" t="s">
        <v>16</v>
      </c>
      <c r="D4372" s="2" t="s">
        <v>17</v>
      </c>
      <c r="E4372" s="5">
        <v>-31560</v>
      </c>
      <c r="F4372" s="3" t="s">
        <v>590</v>
      </c>
      <c r="G4372" s="3" t="s">
        <v>54</v>
      </c>
      <c r="H4372" s="2" t="s">
        <v>20</v>
      </c>
      <c r="I4372" s="2" t="s">
        <v>9239</v>
      </c>
      <c r="J4372" s="3" t="str">
        <f>HYPERLINK("https://www.boe.es/gazeta/dias/1813/08/03/pdfs/GRE-1813-98.pdf#page=3","Abrir facsímil")</f>
        <v>Abrir facsímil</v>
      </c>
      <c r="K4372" s="3" t="s">
        <v>22</v>
      </c>
    </row>
    <row r="4373" spans="1:11" ht="42" customHeight="1">
      <c r="A4373" s="2" t="s">
        <v>9240</v>
      </c>
      <c r="B4373" s="2" t="s">
        <v>9241</v>
      </c>
      <c r="C4373" s="2" t="s">
        <v>16</v>
      </c>
      <c r="D4373" s="2" t="s">
        <v>17</v>
      </c>
      <c r="E4373" s="5">
        <v>-31479</v>
      </c>
      <c r="F4373" s="3" t="s">
        <v>2383</v>
      </c>
      <c r="G4373" s="3" t="s">
        <v>87</v>
      </c>
      <c r="H4373" s="2" t="s">
        <v>20</v>
      </c>
      <c r="I4373" s="2" t="s">
        <v>9242</v>
      </c>
      <c r="J4373" s="3" t="str">
        <f>HYPERLINK("https://www.boe.es/gazeta/dias/1813/10/23/pdfs/GRE-1813-138.pdf#page=7","Abrir facsímil")</f>
        <v>Abrir facsímil</v>
      </c>
      <c r="K4373" s="3" t="s">
        <v>22</v>
      </c>
    </row>
    <row r="4374" spans="1:11" ht="42" customHeight="1">
      <c r="A4374" s="2" t="s">
        <v>9243</v>
      </c>
      <c r="B4374" s="2" t="s">
        <v>9244</v>
      </c>
      <c r="C4374" s="2" t="s">
        <v>16</v>
      </c>
      <c r="D4374" s="2" t="s">
        <v>17</v>
      </c>
      <c r="E4374" s="5">
        <v>-31722</v>
      </c>
      <c r="F4374" s="3" t="s">
        <v>3675</v>
      </c>
      <c r="G4374" s="3" t="s">
        <v>65</v>
      </c>
      <c r="H4374" s="2" t="s">
        <v>29</v>
      </c>
      <c r="I4374" s="2" t="s">
        <v>9245</v>
      </c>
      <c r="J4374" s="3" t="str">
        <f>HYPERLINK("https://www.boe.es/gazeta/dias/1813/02/22/pdfs/GMD-1813-53.pdf#page=1","Abrir facsímil")</f>
        <v>Abrir facsímil</v>
      </c>
      <c r="K4374" s="3" t="s">
        <v>31</v>
      </c>
    </row>
    <row r="4375" spans="1:11" ht="42" customHeight="1">
      <c r="A4375" s="2" t="s">
        <v>9246</v>
      </c>
      <c r="B4375" s="2" t="s">
        <v>9246</v>
      </c>
      <c r="C4375" s="2" t="s">
        <v>16</v>
      </c>
      <c r="D4375" s="2" t="s">
        <v>17</v>
      </c>
      <c r="E4375" s="5">
        <v>-31686</v>
      </c>
      <c r="F4375" s="3" t="s">
        <v>7037</v>
      </c>
      <c r="G4375" s="3" t="s">
        <v>65</v>
      </c>
      <c r="H4375" s="2" t="s">
        <v>20</v>
      </c>
      <c r="I4375" s="2" t="s">
        <v>9247</v>
      </c>
      <c r="J4375" s="3" t="str">
        <f>HYPERLINK("https://www.boe.es/gazeta/dias/1813/03/30/pdfs/GMD-1813-89.pdf#page=1","Abrir facsímil")</f>
        <v>Abrir facsímil</v>
      </c>
      <c r="K4375" s="3" t="s">
        <v>22</v>
      </c>
    </row>
    <row r="4376" spans="1:11" ht="42" customHeight="1">
      <c r="A4376" s="2" t="s">
        <v>9248</v>
      </c>
      <c r="B4376" s="2" t="s">
        <v>9248</v>
      </c>
      <c r="C4376" s="2" t="s">
        <v>16</v>
      </c>
      <c r="D4376" s="2" t="s">
        <v>17</v>
      </c>
      <c r="E4376" s="5">
        <v>-31720</v>
      </c>
      <c r="F4376" s="3" t="s">
        <v>672</v>
      </c>
      <c r="G4376" s="3" t="s">
        <v>65</v>
      </c>
      <c r="H4376" s="2" t="s">
        <v>20</v>
      </c>
      <c r="I4376" s="2" t="s">
        <v>9249</v>
      </c>
      <c r="J4376" s="3" t="str">
        <f>HYPERLINK("https://www.boe.es/gazeta/dias/1813/02/24/pdfs/GMD-1813-55.pdf#page=1","Abrir facsímil")</f>
        <v>Abrir facsímil</v>
      </c>
      <c r="K4376" s="3" t="s">
        <v>22</v>
      </c>
    </row>
    <row r="4377" spans="1:11" ht="42" customHeight="1">
      <c r="A4377" s="2" t="s">
        <v>9250</v>
      </c>
      <c r="B4377" s="2" t="s">
        <v>9250</v>
      </c>
      <c r="C4377" s="2" t="s">
        <v>16</v>
      </c>
      <c r="D4377" s="2" t="s">
        <v>17</v>
      </c>
      <c r="E4377" s="5">
        <v>-31656</v>
      </c>
      <c r="F4377" s="3" t="s">
        <v>415</v>
      </c>
      <c r="G4377" s="3" t="s">
        <v>65</v>
      </c>
      <c r="H4377" s="2" t="s">
        <v>20</v>
      </c>
      <c r="I4377" s="2" t="s">
        <v>9251</v>
      </c>
      <c r="J4377" s="3" t="str">
        <f>HYPERLINK("https://www.boe.es/gazeta/dias/1813/04/29/pdfs/GMD-1813-119.pdf#page=1","Abrir facsímil")</f>
        <v>Abrir facsímil</v>
      </c>
      <c r="K4377" s="3" t="s">
        <v>22</v>
      </c>
    </row>
    <row r="4378" spans="1:11" ht="42" customHeight="1">
      <c r="A4378" s="2" t="s">
        <v>9252</v>
      </c>
      <c r="B4378" s="2" t="s">
        <v>9253</v>
      </c>
      <c r="C4378" s="2" t="s">
        <v>16</v>
      </c>
      <c r="D4378" s="2" t="s">
        <v>17</v>
      </c>
      <c r="E4378" s="5">
        <v>-31560</v>
      </c>
      <c r="F4378" s="3" t="s">
        <v>590</v>
      </c>
      <c r="G4378" s="3" t="s">
        <v>87</v>
      </c>
      <c r="H4378" s="2" t="s">
        <v>20</v>
      </c>
      <c r="I4378" s="2" t="s">
        <v>9254</v>
      </c>
      <c r="J4378" s="3" t="str">
        <f>HYPERLINK("https://www.boe.es/gazeta/dias/1813/08/03/pdfs/GRE-1813-98.pdf#page=7","Abrir facsímil")</f>
        <v>Abrir facsímil</v>
      </c>
      <c r="K4378" s="3" t="s">
        <v>22</v>
      </c>
    </row>
    <row r="4379" spans="1:11" ht="42" customHeight="1">
      <c r="A4379" s="2" t="s">
        <v>9255</v>
      </c>
      <c r="B4379" s="2" t="s">
        <v>9256</v>
      </c>
      <c r="C4379" s="2" t="s">
        <v>16</v>
      </c>
      <c r="D4379" s="2" t="s">
        <v>17</v>
      </c>
      <c r="E4379" s="5">
        <v>-31728</v>
      </c>
      <c r="F4379" s="3" t="s">
        <v>1434</v>
      </c>
      <c r="G4379" s="3" t="s">
        <v>87</v>
      </c>
      <c r="H4379" s="2" t="s">
        <v>20</v>
      </c>
      <c r="I4379" s="2" t="s">
        <v>9257</v>
      </c>
      <c r="J4379" s="3" t="str">
        <f>HYPERLINK("https://www.boe.es/gazeta/dias/1813/02/16/pdfs/GRE-1813-20.pdf#page=7","Abrir facsímil")</f>
        <v>Abrir facsímil</v>
      </c>
      <c r="K4379" s="3" t="s">
        <v>22</v>
      </c>
    </row>
    <row r="4380" spans="1:11" ht="42" customHeight="1">
      <c r="A4380" s="2" t="s">
        <v>9258</v>
      </c>
      <c r="B4380" s="2" t="s">
        <v>9258</v>
      </c>
      <c r="C4380" s="2" t="s">
        <v>16</v>
      </c>
      <c r="D4380" s="2" t="s">
        <v>17</v>
      </c>
      <c r="E4380" s="5">
        <v>-31502</v>
      </c>
      <c r="F4380" s="3" t="s">
        <v>1363</v>
      </c>
      <c r="G4380" s="3" t="s">
        <v>19</v>
      </c>
      <c r="H4380" s="2" t="s">
        <v>20</v>
      </c>
      <c r="I4380" s="2" t="s">
        <v>9259</v>
      </c>
      <c r="J4380" s="3" t="str">
        <f>HYPERLINK("https://www.boe.es/gazeta/dias/1813/09/30/pdfs/GRE-1813-128.pdf#page=4","Abrir facsímil")</f>
        <v>Abrir facsímil</v>
      </c>
      <c r="K4380" s="3" t="s">
        <v>22</v>
      </c>
    </row>
    <row r="4381" spans="1:11" ht="42" customHeight="1">
      <c r="A4381" s="2" t="s">
        <v>9260</v>
      </c>
      <c r="B4381" s="2" t="s">
        <v>9260</v>
      </c>
      <c r="C4381" s="2" t="s">
        <v>16</v>
      </c>
      <c r="D4381" s="2" t="s">
        <v>17</v>
      </c>
      <c r="E4381" s="5">
        <v>-31467</v>
      </c>
      <c r="F4381" s="3" t="s">
        <v>120</v>
      </c>
      <c r="G4381" s="3" t="s">
        <v>65</v>
      </c>
      <c r="H4381" s="2" t="s">
        <v>20</v>
      </c>
      <c r="I4381" s="2" t="s">
        <v>9261</v>
      </c>
      <c r="J4381" s="3" t="str">
        <f>HYPERLINK("https://www.boe.es/gazeta/dias/1813/11/04/pdfs/GMR-1813-68.pdf#page=1","Abrir facsímil")</f>
        <v>Abrir facsímil</v>
      </c>
      <c r="K4381" s="3" t="s">
        <v>22</v>
      </c>
    </row>
    <row r="4382" spans="1:11" ht="42" customHeight="1">
      <c r="A4382" s="2" t="s">
        <v>9262</v>
      </c>
      <c r="B4382" s="2" t="s">
        <v>9262</v>
      </c>
      <c r="C4382" s="2" t="s">
        <v>16</v>
      </c>
      <c r="D4382" s="2" t="s">
        <v>17</v>
      </c>
      <c r="E4382" s="5">
        <v>-31462</v>
      </c>
      <c r="F4382" s="3" t="s">
        <v>542</v>
      </c>
      <c r="G4382" s="3" t="s">
        <v>9263</v>
      </c>
      <c r="H4382" s="2" t="s">
        <v>20</v>
      </c>
      <c r="I4382" s="2" t="s">
        <v>9264</v>
      </c>
      <c r="J4382" s="3" t="str">
        <f>HYPERLINK("https://www.boe.es/gazeta/dias/1813/11/09/pdfs/GRE-1813-146.pdf#page=8","Abrir facsímil")</f>
        <v>Abrir facsímil</v>
      </c>
      <c r="K4382" s="3" t="s">
        <v>22</v>
      </c>
    </row>
    <row r="4383" spans="1:11" ht="42" customHeight="1">
      <c r="A4383" s="2" t="s">
        <v>9265</v>
      </c>
      <c r="B4383" s="2" t="s">
        <v>9265</v>
      </c>
      <c r="C4383" s="2" t="s">
        <v>16</v>
      </c>
      <c r="D4383" s="2" t="s">
        <v>17</v>
      </c>
      <c r="E4383" s="5">
        <v>-31467</v>
      </c>
      <c r="F4383" s="3" t="s">
        <v>120</v>
      </c>
      <c r="G4383" s="3" t="s">
        <v>65</v>
      </c>
      <c r="H4383" s="2" t="s">
        <v>20</v>
      </c>
      <c r="I4383" s="2" t="s">
        <v>9266</v>
      </c>
      <c r="J4383" s="3" t="str">
        <f>HYPERLINK("https://www.boe.es/gazeta/dias/1813/11/04/pdfs/GMR-1813-68.pdf#page=1","Abrir facsímil")</f>
        <v>Abrir facsímil</v>
      </c>
      <c r="K4383" s="3" t="s">
        <v>22</v>
      </c>
    </row>
    <row r="4384" spans="1:11" ht="42" customHeight="1">
      <c r="A4384" s="2" t="s">
        <v>9265</v>
      </c>
      <c r="B4384" s="2" t="s">
        <v>9265</v>
      </c>
      <c r="C4384" s="2" t="s">
        <v>16</v>
      </c>
      <c r="D4384" s="2" t="s">
        <v>17</v>
      </c>
      <c r="E4384" s="5">
        <v>-31462</v>
      </c>
      <c r="F4384" s="3" t="s">
        <v>542</v>
      </c>
      <c r="G4384" s="3" t="s">
        <v>9263</v>
      </c>
      <c r="H4384" s="2" t="s">
        <v>20</v>
      </c>
      <c r="I4384" s="2" t="s">
        <v>9267</v>
      </c>
      <c r="J4384" s="3" t="str">
        <f>HYPERLINK("https://www.boe.es/gazeta/dias/1813/11/09/pdfs/GRE-1813-146.pdf#page=8","Abrir facsímil")</f>
        <v>Abrir facsímil</v>
      </c>
      <c r="K4384" s="3" t="s">
        <v>22</v>
      </c>
    </row>
    <row r="4385" spans="1:11" ht="42" customHeight="1">
      <c r="A4385" s="2" t="s">
        <v>9268</v>
      </c>
      <c r="B4385" s="2" t="s">
        <v>9268</v>
      </c>
      <c r="C4385" s="2" t="s">
        <v>16</v>
      </c>
      <c r="D4385" s="2" t="s">
        <v>17</v>
      </c>
      <c r="E4385" s="5">
        <v>-31448</v>
      </c>
      <c r="F4385" s="3" t="s">
        <v>325</v>
      </c>
      <c r="G4385" s="3" t="s">
        <v>313</v>
      </c>
      <c r="H4385" s="2" t="s">
        <v>20</v>
      </c>
      <c r="I4385" s="2" t="s">
        <v>9269</v>
      </c>
      <c r="J4385" s="3" t="str">
        <f>HYPERLINK("https://www.boe.es/gazeta/dias/1813/11/23/pdfs/GMR-1813-78.pdf#page=9","Abrir facsímil")</f>
        <v>Abrir facsímil</v>
      </c>
      <c r="K4385" s="3" t="s">
        <v>22</v>
      </c>
    </row>
    <row r="4386" spans="1:11" ht="42" customHeight="1">
      <c r="A4386" s="2" t="s">
        <v>9270</v>
      </c>
      <c r="B4386" s="2" t="s">
        <v>9270</v>
      </c>
      <c r="C4386" s="2" t="s">
        <v>16</v>
      </c>
      <c r="D4386" s="2" t="s">
        <v>17</v>
      </c>
      <c r="E4386" s="5">
        <v>-31453</v>
      </c>
      <c r="F4386" s="3" t="s">
        <v>887</v>
      </c>
      <c r="G4386" s="3" t="s">
        <v>1897</v>
      </c>
      <c r="H4386" s="2" t="s">
        <v>20</v>
      </c>
      <c r="I4386" s="2" t="s">
        <v>9271</v>
      </c>
      <c r="J4386" s="3" t="str">
        <f>HYPERLINK("https://www.boe.es/gazeta/dias/1813/11/18/pdfs/GMR-1813-76.pdf#page=6","Abrir facsímil")</f>
        <v>Abrir facsímil</v>
      </c>
      <c r="K4386" s="3" t="s">
        <v>22</v>
      </c>
    </row>
    <row r="4387" spans="1:11" ht="42" customHeight="1">
      <c r="A4387" s="2" t="s">
        <v>9272</v>
      </c>
      <c r="B4387" s="2" t="s">
        <v>9272</v>
      </c>
      <c r="C4387" s="2" t="s">
        <v>16</v>
      </c>
      <c r="D4387" s="2" t="s">
        <v>17</v>
      </c>
      <c r="E4387" s="5">
        <v>-31430</v>
      </c>
      <c r="F4387" s="3" t="s">
        <v>1161</v>
      </c>
      <c r="G4387" s="3" t="s">
        <v>54</v>
      </c>
      <c r="H4387" s="2" t="s">
        <v>20</v>
      </c>
      <c r="I4387" s="2" t="s">
        <v>9273</v>
      </c>
      <c r="J4387" s="3" t="str">
        <f>HYPERLINK("https://www.boe.es/gazeta/dias/1813/12/11/pdfs/GMR-1813-86.pdf#page=3","Abrir facsímil")</f>
        <v>Abrir facsímil</v>
      </c>
      <c r="K4387" s="3" t="s">
        <v>22</v>
      </c>
    </row>
    <row r="4388" spans="1:11" ht="42" customHeight="1">
      <c r="A4388" s="2" t="s">
        <v>9274</v>
      </c>
      <c r="B4388" s="2" t="s">
        <v>9274</v>
      </c>
      <c r="C4388" s="2" t="s">
        <v>34</v>
      </c>
      <c r="D4388" s="2" t="s">
        <v>35</v>
      </c>
      <c r="E4388" s="5">
        <v>-31486</v>
      </c>
      <c r="F4388" s="3" t="s">
        <v>1284</v>
      </c>
      <c r="G4388" s="3" t="s">
        <v>28</v>
      </c>
      <c r="H4388" s="2" t="s">
        <v>20</v>
      </c>
      <c r="I4388" s="2" t="s">
        <v>9275</v>
      </c>
      <c r="J4388" s="3" t="str">
        <f>HYPERLINK("https://www.boe.es/gazeta/dias/1813/10/16/pdfs/GMR-1813-60.pdf#page=8","Abrir facsímil")</f>
        <v>Abrir facsímil</v>
      </c>
      <c r="K4388" s="3" t="s">
        <v>22</v>
      </c>
    </row>
    <row r="4389" spans="1:11" ht="42" customHeight="1">
      <c r="A4389" s="2" t="s">
        <v>9276</v>
      </c>
      <c r="B4389" s="2" t="s">
        <v>9276</v>
      </c>
      <c r="C4389" s="2" t="s">
        <v>16</v>
      </c>
      <c r="D4389" s="2" t="s">
        <v>17</v>
      </c>
      <c r="E4389" s="5">
        <v>-31677</v>
      </c>
      <c r="F4389" s="3" t="s">
        <v>76</v>
      </c>
      <c r="G4389" s="3" t="s">
        <v>65</v>
      </c>
      <c r="H4389" s="2" t="s">
        <v>20</v>
      </c>
      <c r="I4389" s="2" t="s">
        <v>9277</v>
      </c>
      <c r="J4389" s="3" t="str">
        <f>HYPERLINK("https://www.boe.es/gazeta/dias/1813/04/08/pdfs/GRE-1813-43.pdf#page=1","Abrir facsímil")</f>
        <v>Abrir facsímil</v>
      </c>
      <c r="K4389" s="3" t="s">
        <v>22</v>
      </c>
    </row>
    <row r="4390" spans="1:11" ht="42" customHeight="1">
      <c r="A4390" s="2" t="s">
        <v>9278</v>
      </c>
      <c r="B4390" s="2" t="s">
        <v>9278</v>
      </c>
      <c r="C4390" s="2" t="s">
        <v>16</v>
      </c>
      <c r="D4390" s="2" t="s">
        <v>17</v>
      </c>
      <c r="E4390" s="5">
        <v>-31637</v>
      </c>
      <c r="F4390" s="3" t="s">
        <v>234</v>
      </c>
      <c r="G4390" s="3" t="s">
        <v>95</v>
      </c>
      <c r="H4390" s="2" t="s">
        <v>20</v>
      </c>
      <c r="I4390" s="2" t="s">
        <v>9279</v>
      </c>
      <c r="J4390" s="3" t="str">
        <f>HYPERLINK("https://www.boe.es/gazeta/dias/1813/05/18/pdfs/GRE-1813-61.pdf#page=6","Abrir facsímil")</f>
        <v>Abrir facsímil</v>
      </c>
      <c r="K4390" s="3" t="s">
        <v>22</v>
      </c>
    </row>
    <row r="4391" spans="1:11" ht="42" customHeight="1">
      <c r="A4391" s="2" t="s">
        <v>9280</v>
      </c>
      <c r="B4391" s="2" t="s">
        <v>9280</v>
      </c>
      <c r="C4391" s="2" t="s">
        <v>16</v>
      </c>
      <c r="D4391" s="2" t="s">
        <v>17</v>
      </c>
      <c r="E4391" s="5">
        <v>-31649</v>
      </c>
      <c r="F4391" s="3" t="s">
        <v>1057</v>
      </c>
      <c r="G4391" s="3" t="s">
        <v>7953</v>
      </c>
      <c r="H4391" s="2" t="s">
        <v>20</v>
      </c>
      <c r="I4391" s="2" t="s">
        <v>9281</v>
      </c>
      <c r="J4391" s="3" t="str">
        <f>HYPERLINK("https://www.boe.es/gazeta/dias/1813/05/06/pdfs/GRE-1813-56.pdf#page=4","Abrir facsímil")</f>
        <v>Abrir facsímil</v>
      </c>
      <c r="K4391" s="3" t="s">
        <v>22</v>
      </c>
    </row>
    <row r="4392" spans="1:11" ht="42" customHeight="1">
      <c r="A4392" s="2" t="s">
        <v>9280</v>
      </c>
      <c r="B4392" s="2" t="s">
        <v>9280</v>
      </c>
      <c r="C4392" s="2" t="s">
        <v>16</v>
      </c>
      <c r="D4392" s="2" t="s">
        <v>17</v>
      </c>
      <c r="E4392" s="5">
        <v>-31621</v>
      </c>
      <c r="F4392" s="3" t="s">
        <v>1825</v>
      </c>
      <c r="G4392" s="3" t="s">
        <v>1655</v>
      </c>
      <c r="H4392" s="2" t="s">
        <v>20</v>
      </c>
      <c r="I4392" s="2" t="s">
        <v>9282</v>
      </c>
      <c r="J4392" s="3" t="str">
        <f>HYPERLINK("https://www.boe.es/gazeta/dias/1813/06/03/pdfs/GMR-1813-1.pdf#page=2","Abrir facsímil")</f>
        <v>Abrir facsímil</v>
      </c>
      <c r="K4392" s="3" t="s">
        <v>22</v>
      </c>
    </row>
    <row r="4393" spans="1:11" ht="42" customHeight="1">
      <c r="A4393" s="2" t="s">
        <v>9280</v>
      </c>
      <c r="B4393" s="2" t="s">
        <v>9280</v>
      </c>
      <c r="C4393" s="2" t="s">
        <v>16</v>
      </c>
      <c r="D4393" s="2" t="s">
        <v>17</v>
      </c>
      <c r="E4393" s="5">
        <v>-31621</v>
      </c>
      <c r="F4393" s="3" t="s">
        <v>1825</v>
      </c>
      <c r="G4393" s="3" t="s">
        <v>54</v>
      </c>
      <c r="H4393" s="2" t="s">
        <v>20</v>
      </c>
      <c r="I4393" s="2" t="s">
        <v>9283</v>
      </c>
      <c r="J4393" s="3" t="str">
        <f>HYPERLINK("https://www.boe.es/gazeta/dias/1813/06/03/pdfs/GMR-1813-1.pdf#page=3","Abrir facsímil")</f>
        <v>Abrir facsímil</v>
      </c>
      <c r="K4393" s="3" t="s">
        <v>22</v>
      </c>
    </row>
    <row r="4394" spans="1:11" ht="42" customHeight="1">
      <c r="A4394" s="2" t="s">
        <v>9280</v>
      </c>
      <c r="B4394" s="2" t="s">
        <v>9280</v>
      </c>
      <c r="C4394" s="2" t="s">
        <v>16</v>
      </c>
      <c r="D4394" s="2" t="s">
        <v>17</v>
      </c>
      <c r="E4394" s="5">
        <v>-31618</v>
      </c>
      <c r="F4394" s="3" t="s">
        <v>1057</v>
      </c>
      <c r="G4394" s="3" t="s">
        <v>7953</v>
      </c>
      <c r="H4394" s="2" t="s">
        <v>20</v>
      </c>
      <c r="I4394" s="2" t="s">
        <v>9281</v>
      </c>
      <c r="J4394" s="3" t="str">
        <f>HYPERLINK("https://www.boe.es/gazeta/dias/1813/06/06/pdfs/GRE-1813-56.pdf#page=4","Abrir facsímil")</f>
        <v>Abrir facsímil</v>
      </c>
      <c r="K4394" s="3" t="s">
        <v>22</v>
      </c>
    </row>
    <row r="4395" spans="1:11" ht="42" customHeight="1">
      <c r="A4395" s="2" t="s">
        <v>9284</v>
      </c>
      <c r="B4395" s="2" t="s">
        <v>9284</v>
      </c>
      <c r="C4395" s="2" t="s">
        <v>16</v>
      </c>
      <c r="D4395" s="2" t="s">
        <v>17</v>
      </c>
      <c r="E4395" s="5">
        <v>-31430</v>
      </c>
      <c r="F4395" s="3" t="s">
        <v>1161</v>
      </c>
      <c r="G4395" s="3" t="s">
        <v>58</v>
      </c>
      <c r="H4395" s="2" t="s">
        <v>20</v>
      </c>
      <c r="I4395" s="2" t="s">
        <v>9285</v>
      </c>
      <c r="J4395" s="3" t="str">
        <f>HYPERLINK("https://www.boe.es/gazeta/dias/1813/12/11/pdfs/GMR-1813-86.pdf#page=2","Abrir facsímil")</f>
        <v>Abrir facsímil</v>
      </c>
      <c r="K4395" s="3" t="s">
        <v>22</v>
      </c>
    </row>
    <row r="4396" spans="1:11" ht="42" customHeight="1">
      <c r="A4396" s="2" t="s">
        <v>9286</v>
      </c>
      <c r="B4396" s="2" t="s">
        <v>9286</v>
      </c>
      <c r="C4396" s="2" t="s">
        <v>16</v>
      </c>
      <c r="D4396" s="2" t="s">
        <v>17</v>
      </c>
      <c r="E4396" s="5">
        <v>-31756</v>
      </c>
      <c r="F4396" s="3" t="s">
        <v>951</v>
      </c>
      <c r="G4396" s="3" t="s">
        <v>6421</v>
      </c>
      <c r="H4396" s="2" t="s">
        <v>20</v>
      </c>
      <c r="I4396" s="2" t="s">
        <v>9287</v>
      </c>
      <c r="J4396" s="3" t="str">
        <f>HYPERLINK("https://www.boe.es/gazeta/dias/1813/01/19/pdfs/GRE-1813-8.pdf#page=3","Abrir facsímil")</f>
        <v>Abrir facsímil</v>
      </c>
      <c r="K4396" s="3" t="s">
        <v>22</v>
      </c>
    </row>
    <row r="4397" spans="1:11" ht="42" customHeight="1">
      <c r="A4397" s="2" t="s">
        <v>9286</v>
      </c>
      <c r="B4397" s="2" t="s">
        <v>9286</v>
      </c>
      <c r="C4397" s="2" t="s">
        <v>16</v>
      </c>
      <c r="D4397" s="2" t="s">
        <v>17</v>
      </c>
      <c r="E4397" s="5">
        <v>-31654</v>
      </c>
      <c r="F4397" s="3" t="s">
        <v>852</v>
      </c>
      <c r="G4397" s="3" t="s">
        <v>65</v>
      </c>
      <c r="H4397" s="2" t="s">
        <v>20</v>
      </c>
      <c r="I4397" s="2" t="s">
        <v>9288</v>
      </c>
      <c r="J4397" s="3" t="str">
        <f>HYPERLINK("https://www.boe.es/gazeta/dias/1813/05/01/pdfs/GMD-1813-121.pdf#page=1","Abrir facsímil")</f>
        <v>Abrir facsímil</v>
      </c>
      <c r="K4397" s="3" t="s">
        <v>22</v>
      </c>
    </row>
    <row r="4398" spans="1:11" ht="42" customHeight="1">
      <c r="A4398" s="2" t="s">
        <v>9286</v>
      </c>
      <c r="B4398" s="2" t="s">
        <v>9286</v>
      </c>
      <c r="C4398" s="2" t="s">
        <v>16</v>
      </c>
      <c r="D4398" s="2" t="s">
        <v>17</v>
      </c>
      <c r="E4398" s="5">
        <v>-31644</v>
      </c>
      <c r="F4398" s="3" t="s">
        <v>3904</v>
      </c>
      <c r="G4398" s="3" t="s">
        <v>4709</v>
      </c>
      <c r="H4398" s="2" t="s">
        <v>20</v>
      </c>
      <c r="I4398" s="2" t="s">
        <v>9289</v>
      </c>
      <c r="J4398" s="3" t="str">
        <f>HYPERLINK("https://www.boe.es/gazeta/dias/1813/05/11/pdfs/GRE-1813-58.pdf#page=2","Abrir facsímil")</f>
        <v>Abrir facsímil</v>
      </c>
      <c r="K4398" s="3" t="s">
        <v>22</v>
      </c>
    </row>
    <row r="4399" spans="1:11" ht="42" customHeight="1">
      <c r="A4399" s="2" t="s">
        <v>9290</v>
      </c>
      <c r="B4399" s="2" t="s">
        <v>9291</v>
      </c>
      <c r="C4399" s="2" t="s">
        <v>25</v>
      </c>
      <c r="D4399" s="2" t="s">
        <v>26</v>
      </c>
      <c r="E4399" s="5">
        <v>-31630</v>
      </c>
      <c r="F4399" s="3" t="s">
        <v>1324</v>
      </c>
      <c r="G4399" s="3" t="s">
        <v>3731</v>
      </c>
      <c r="H4399" s="2" t="s">
        <v>20</v>
      </c>
      <c r="I4399" s="2" t="s">
        <v>9292</v>
      </c>
      <c r="J4399" s="3" t="str">
        <f>HYPERLINK("https://www.boe.es/gazeta/dias/1813/05/25/pdfs/GRE-1813-64.pdf#page=7","Abrir facsímil")</f>
        <v>Abrir facsímil</v>
      </c>
      <c r="K4399" s="3" t="s">
        <v>22</v>
      </c>
    </row>
    <row r="4400" spans="1:11" ht="42" customHeight="1">
      <c r="A4400" s="2" t="s">
        <v>9293</v>
      </c>
      <c r="B4400" s="2" t="s">
        <v>9293</v>
      </c>
      <c r="C4400" s="2" t="s">
        <v>16</v>
      </c>
      <c r="D4400" s="2" t="s">
        <v>17</v>
      </c>
      <c r="E4400" s="5">
        <v>-31483</v>
      </c>
      <c r="F4400" s="3" t="s">
        <v>1292</v>
      </c>
      <c r="G4400" s="3" t="s">
        <v>58</v>
      </c>
      <c r="H4400" s="2" t="s">
        <v>20</v>
      </c>
      <c r="I4400" s="2" t="s">
        <v>9294</v>
      </c>
      <c r="J4400" s="3" t="str">
        <f>HYPERLINK("https://www.boe.es/gazeta/dias/1813/10/19/pdfs/GMR-1813-61.pdf#page=2","Abrir facsímil")</f>
        <v>Abrir facsímil</v>
      </c>
      <c r="K4400" s="3" t="s">
        <v>22</v>
      </c>
    </row>
    <row r="4401" spans="1:11" ht="42" customHeight="1">
      <c r="A4401" s="2" t="s">
        <v>9295</v>
      </c>
      <c r="B4401" s="2" t="s">
        <v>9295</v>
      </c>
      <c r="C4401" s="2" t="s">
        <v>277</v>
      </c>
      <c r="D4401" s="2" t="s">
        <v>26</v>
      </c>
      <c r="E4401" s="5">
        <v>-31715</v>
      </c>
      <c r="F4401" s="3" t="s">
        <v>3358</v>
      </c>
      <c r="G4401" s="3" t="s">
        <v>2055</v>
      </c>
      <c r="H4401" s="2" t="s">
        <v>20</v>
      </c>
      <c r="I4401" s="2" t="s">
        <v>9296</v>
      </c>
      <c r="J4401" s="3" t="str">
        <f>HYPERLINK("https://www.boe.es/gazeta/dias/1813/03/01/pdfs/GMD-1813-60.pdf#page=3","Abrir facsímil")</f>
        <v>Abrir facsímil</v>
      </c>
      <c r="K4401" s="3" t="s">
        <v>22</v>
      </c>
    </row>
    <row r="4402" spans="1:11" ht="42" customHeight="1">
      <c r="A4402" s="2" t="s">
        <v>9297</v>
      </c>
      <c r="B4402" s="2" t="s">
        <v>9297</v>
      </c>
      <c r="C4402" s="2" t="s">
        <v>25</v>
      </c>
      <c r="D4402" s="2" t="s">
        <v>26</v>
      </c>
      <c r="E4402" s="5">
        <v>-31757</v>
      </c>
      <c r="F4402" s="3" t="s">
        <v>5611</v>
      </c>
      <c r="G4402" s="3" t="s">
        <v>54</v>
      </c>
      <c r="H4402" s="2" t="s">
        <v>20</v>
      </c>
      <c r="I4402" s="2" t="s">
        <v>9298</v>
      </c>
      <c r="J4402" s="3" t="str">
        <f>HYPERLINK("https://www.boe.es/gazeta/dias/1813/01/18/pdfs/GMD-1813-18.pdf#page=3","Abrir facsímil")</f>
        <v>Abrir facsímil</v>
      </c>
      <c r="K4402" s="3" t="s">
        <v>22</v>
      </c>
    </row>
    <row r="4403" spans="1:11" ht="42" customHeight="1">
      <c r="A4403" s="2" t="s">
        <v>9299</v>
      </c>
      <c r="B4403" s="2" t="s">
        <v>9299</v>
      </c>
      <c r="C4403" s="2" t="s">
        <v>16</v>
      </c>
      <c r="D4403" s="2" t="s">
        <v>17</v>
      </c>
      <c r="E4403" s="5">
        <v>-31672</v>
      </c>
      <c r="F4403" s="3" t="s">
        <v>3964</v>
      </c>
      <c r="G4403" s="3" t="s">
        <v>54</v>
      </c>
      <c r="H4403" s="2" t="s">
        <v>20</v>
      </c>
      <c r="I4403" s="2" t="s">
        <v>9300</v>
      </c>
      <c r="J4403" s="3" t="str">
        <f>HYPERLINK("https://www.boe.es/gazeta/dias/1813/04/13/pdfs/GMD-1813-103.pdf#page=3","Abrir facsímil")</f>
        <v>Abrir facsímil</v>
      </c>
      <c r="K4403" s="3" t="s">
        <v>22</v>
      </c>
    </row>
    <row r="4404" spans="1:11" ht="42" customHeight="1">
      <c r="A4404" s="2" t="s">
        <v>9301</v>
      </c>
      <c r="B4404" s="2" t="s">
        <v>9302</v>
      </c>
      <c r="C4404" s="2" t="s">
        <v>16</v>
      </c>
      <c r="D4404" s="2" t="s">
        <v>17</v>
      </c>
      <c r="E4404" s="5">
        <v>-31560</v>
      </c>
      <c r="F4404" s="3" t="s">
        <v>590</v>
      </c>
      <c r="G4404" s="3" t="s">
        <v>54</v>
      </c>
      <c r="H4404" s="2" t="s">
        <v>20</v>
      </c>
      <c r="I4404" s="2" t="s">
        <v>9303</v>
      </c>
      <c r="J4404" s="3" t="str">
        <f>HYPERLINK("https://www.boe.es/gazeta/dias/1813/08/03/pdfs/GRE-1813-98.pdf#page=3","Abrir facsímil")</f>
        <v>Abrir facsímil</v>
      </c>
      <c r="K4404" s="3" t="s">
        <v>22</v>
      </c>
    </row>
    <row r="4405" spans="1:11" ht="42" customHeight="1">
      <c r="A4405" s="2" t="s">
        <v>9304</v>
      </c>
      <c r="B4405" s="2" t="s">
        <v>9304</v>
      </c>
      <c r="C4405" s="2" t="s">
        <v>16</v>
      </c>
      <c r="D4405" s="2" t="s">
        <v>17</v>
      </c>
      <c r="E4405" s="5">
        <v>-31613</v>
      </c>
      <c r="F4405" s="3" t="s">
        <v>1629</v>
      </c>
      <c r="G4405" s="3" t="s">
        <v>9305</v>
      </c>
      <c r="H4405" s="2" t="s">
        <v>20</v>
      </c>
      <c r="I4405" s="2" t="s">
        <v>9306</v>
      </c>
      <c r="J4405" s="3" t="str">
        <f>HYPERLINK("https://www.boe.es/gazeta/dias/1813/06/11/pdfs/GMR-1813-4.pdf#page=7","Abrir facsímil")</f>
        <v>Abrir facsímil</v>
      </c>
      <c r="K4405" s="3" t="s">
        <v>22</v>
      </c>
    </row>
    <row r="4406" spans="1:11" ht="42" customHeight="1">
      <c r="A4406" s="2" t="s">
        <v>9304</v>
      </c>
      <c r="B4406" s="2" t="s">
        <v>9304</v>
      </c>
      <c r="C4406" s="2" t="s">
        <v>16</v>
      </c>
      <c r="D4406" s="2" t="s">
        <v>17</v>
      </c>
      <c r="E4406" s="5">
        <v>-31585</v>
      </c>
      <c r="F4406" s="3" t="s">
        <v>177</v>
      </c>
      <c r="G4406" s="3" t="s">
        <v>258</v>
      </c>
      <c r="H4406" s="2" t="s">
        <v>20</v>
      </c>
      <c r="I4406" s="2" t="s">
        <v>9307</v>
      </c>
      <c r="J4406" s="3" t="str">
        <f>HYPERLINK("https://www.boe.es/gazeta/dias/1813/07/09/pdfs/GMR-1813-16.pdf#page=12","Abrir facsímil")</f>
        <v>Abrir facsímil</v>
      </c>
      <c r="K4406" s="3" t="s">
        <v>22</v>
      </c>
    </row>
    <row r="4407" spans="1:11" ht="42" customHeight="1">
      <c r="A4407" s="2" t="s">
        <v>9308</v>
      </c>
      <c r="B4407" s="2" t="s">
        <v>9309</v>
      </c>
      <c r="C4407" s="2" t="s">
        <v>16</v>
      </c>
      <c r="D4407" s="2" t="s">
        <v>17</v>
      </c>
      <c r="E4407" s="5">
        <v>-31441</v>
      </c>
      <c r="F4407" s="3" t="s">
        <v>1933</v>
      </c>
      <c r="G4407" s="3" t="s">
        <v>19</v>
      </c>
      <c r="H4407" s="2" t="s">
        <v>20</v>
      </c>
      <c r="I4407" s="2" t="s">
        <v>9310</v>
      </c>
      <c r="J4407" s="3" t="str">
        <f>HYPERLINK("https://www.boe.es/gazeta/dias/1813/11/30/pdfs/GMR-1813-81.pdf#page=4","Abrir facsímil")</f>
        <v>Abrir facsímil</v>
      </c>
      <c r="K4407" s="3" t="s">
        <v>22</v>
      </c>
    </row>
    <row r="4408" spans="1:11" ht="42" customHeight="1">
      <c r="A4408" s="2" t="s">
        <v>9311</v>
      </c>
      <c r="B4408" s="2" t="s">
        <v>9311</v>
      </c>
      <c r="C4408" s="2" t="s">
        <v>16</v>
      </c>
      <c r="D4408" s="2" t="s">
        <v>17</v>
      </c>
      <c r="E4408" s="5">
        <v>-31462</v>
      </c>
      <c r="F4408" s="3" t="s">
        <v>542</v>
      </c>
      <c r="G4408" s="3" t="s">
        <v>95</v>
      </c>
      <c r="H4408" s="2" t="s">
        <v>20</v>
      </c>
      <c r="I4408" s="2" t="s">
        <v>9312</v>
      </c>
      <c r="J4408" s="3" t="str">
        <f>HYPERLINK("https://www.boe.es/gazeta/dias/1813/11/09/pdfs/GRE-1813-146.pdf#page=6","Abrir facsímil")</f>
        <v>Abrir facsímil</v>
      </c>
      <c r="K4408" s="3" t="s">
        <v>22</v>
      </c>
    </row>
    <row r="4409" spans="1:11" ht="42" customHeight="1">
      <c r="A4409" s="2" t="s">
        <v>9313</v>
      </c>
      <c r="B4409" s="2" t="s">
        <v>9313</v>
      </c>
      <c r="C4409" s="2" t="s">
        <v>16</v>
      </c>
      <c r="D4409" s="2" t="s">
        <v>17</v>
      </c>
      <c r="E4409" s="5">
        <v>-31458</v>
      </c>
      <c r="F4409" s="3" t="s">
        <v>1171</v>
      </c>
      <c r="G4409" s="3" t="s">
        <v>54</v>
      </c>
      <c r="H4409" s="2" t="s">
        <v>20</v>
      </c>
      <c r="I4409" s="2" t="s">
        <v>9314</v>
      </c>
      <c r="J4409" s="3" t="str">
        <f>HYPERLINK("https://www.boe.es/gazeta/dias/1813/11/13/pdfs/GRE-1813-149.pdf#page=3","Abrir facsímil")</f>
        <v>Abrir facsímil</v>
      </c>
      <c r="K4409" s="3" t="s">
        <v>22</v>
      </c>
    </row>
    <row r="4410" spans="1:11" ht="42" customHeight="1">
      <c r="A4410" s="2" t="s">
        <v>9315</v>
      </c>
      <c r="B4410" s="2" t="s">
        <v>9316</v>
      </c>
      <c r="C4410" s="2" t="s">
        <v>16</v>
      </c>
      <c r="D4410" s="2" t="s">
        <v>17</v>
      </c>
      <c r="E4410" s="5">
        <v>-31448</v>
      </c>
      <c r="F4410" s="3" t="s">
        <v>325</v>
      </c>
      <c r="G4410" s="3" t="s">
        <v>58</v>
      </c>
      <c r="H4410" s="2" t="s">
        <v>20</v>
      </c>
      <c r="I4410" s="2" t="s">
        <v>9317</v>
      </c>
      <c r="J4410" s="3" t="str">
        <f>HYPERLINK("https://www.boe.es/gazeta/dias/1813/11/23/pdfs/GMR-1813-78.pdf#page=2","Abrir facsímil")</f>
        <v>Abrir facsímil</v>
      </c>
      <c r="K4410" s="3" t="s">
        <v>22</v>
      </c>
    </row>
    <row r="4411" spans="1:11" ht="42" customHeight="1">
      <c r="A4411" s="2" t="s">
        <v>9318</v>
      </c>
      <c r="B4411" s="2" t="s">
        <v>9319</v>
      </c>
      <c r="C4411" s="2" t="s">
        <v>16</v>
      </c>
      <c r="D4411" s="2" t="s">
        <v>17</v>
      </c>
      <c r="E4411" s="5">
        <v>-31413</v>
      </c>
      <c r="F4411" s="3" t="s">
        <v>152</v>
      </c>
      <c r="G4411" s="3" t="s">
        <v>54</v>
      </c>
      <c r="H4411" s="2" t="s">
        <v>20</v>
      </c>
      <c r="I4411" s="2" t="s">
        <v>9320</v>
      </c>
      <c r="J4411" s="3" t="str">
        <f>HYPERLINK("https://www.boe.es/gazeta/dias/1813/12/28/pdfs/GRE-1813-170.pdf#page=3","Abrir facsímil")</f>
        <v>Abrir facsímil</v>
      </c>
      <c r="K4411" s="3" t="s">
        <v>22</v>
      </c>
    </row>
    <row r="4412" spans="1:11" ht="42" customHeight="1">
      <c r="A4412" s="2" t="s">
        <v>9321</v>
      </c>
      <c r="B4412" s="2" t="s">
        <v>9322</v>
      </c>
      <c r="C4412" s="2" t="s">
        <v>16</v>
      </c>
      <c r="D4412" s="2" t="s">
        <v>17</v>
      </c>
      <c r="E4412" s="5">
        <v>-31462</v>
      </c>
      <c r="F4412" s="3" t="s">
        <v>542</v>
      </c>
      <c r="G4412" s="3" t="s">
        <v>95</v>
      </c>
      <c r="H4412" s="2" t="s">
        <v>20</v>
      </c>
      <c r="I4412" s="2" t="s">
        <v>9323</v>
      </c>
      <c r="J4412" s="3" t="str">
        <f>HYPERLINK("https://www.boe.es/gazeta/dias/1813/11/09/pdfs/GRE-1813-146.pdf#page=6","Abrir facsímil")</f>
        <v>Abrir facsímil</v>
      </c>
      <c r="K4412" s="3" t="s">
        <v>22</v>
      </c>
    </row>
    <row r="4413" spans="1:11" ht="42" customHeight="1">
      <c r="A4413" s="2" t="s">
        <v>9324</v>
      </c>
      <c r="B4413" s="2" t="s">
        <v>9325</v>
      </c>
      <c r="C4413" s="2" t="s">
        <v>25</v>
      </c>
      <c r="D4413" s="2" t="s">
        <v>26</v>
      </c>
      <c r="E4413" s="5">
        <v>-31476</v>
      </c>
      <c r="F4413" s="3" t="s">
        <v>229</v>
      </c>
      <c r="G4413" s="3" t="s">
        <v>65</v>
      </c>
      <c r="H4413" s="2" t="s">
        <v>20</v>
      </c>
      <c r="I4413" s="2" t="s">
        <v>9326</v>
      </c>
      <c r="J4413" s="3" t="str">
        <f>HYPERLINK("https://www.boe.es/gazeta/dias/1813/10/26/pdfs/GRE-1813-140.pdf#page=1","Abrir facsímil")</f>
        <v>Abrir facsímil</v>
      </c>
      <c r="K4413" s="3" t="s">
        <v>22</v>
      </c>
    </row>
    <row r="4414" spans="1:11" ht="42" customHeight="1">
      <c r="A4414" s="2" t="s">
        <v>9327</v>
      </c>
      <c r="B4414" s="2" t="s">
        <v>9328</v>
      </c>
      <c r="C4414" s="2" t="s">
        <v>16</v>
      </c>
      <c r="D4414" s="2" t="s">
        <v>17</v>
      </c>
      <c r="E4414" s="5">
        <v>-31476</v>
      </c>
      <c r="F4414" s="3" t="s">
        <v>229</v>
      </c>
      <c r="G4414" s="3" t="s">
        <v>58</v>
      </c>
      <c r="H4414" s="2" t="s">
        <v>20</v>
      </c>
      <c r="I4414" s="2" t="s">
        <v>9329</v>
      </c>
      <c r="J4414" s="3" t="str">
        <f>HYPERLINK("https://www.boe.es/gazeta/dias/1813/10/26/pdfs/GRE-1813-140.pdf#page=2","Abrir facsímil")</f>
        <v>Abrir facsímil</v>
      </c>
      <c r="K4414" s="3" t="s">
        <v>22</v>
      </c>
    </row>
    <row r="4415" spans="1:11" ht="42" customHeight="1">
      <c r="A4415" s="2" t="s">
        <v>9330</v>
      </c>
      <c r="B4415" s="2" t="s">
        <v>9330</v>
      </c>
      <c r="C4415" s="2" t="s">
        <v>25</v>
      </c>
      <c r="D4415" s="2" t="s">
        <v>26</v>
      </c>
      <c r="E4415" s="5">
        <v>-31567</v>
      </c>
      <c r="F4415" s="3" t="s">
        <v>820</v>
      </c>
      <c r="G4415" s="3" t="s">
        <v>747</v>
      </c>
      <c r="H4415" s="2" t="s">
        <v>20</v>
      </c>
      <c r="I4415" s="2" t="s">
        <v>9331</v>
      </c>
      <c r="J4415" s="3" t="str">
        <f>HYPERLINK("https://www.boe.es/gazeta/dias/1813/07/27/pdfs/GMR-1813-21.pdf#page=10","Abrir facsímil")</f>
        <v>Abrir facsímil</v>
      </c>
      <c r="K4415" s="3" t="s">
        <v>22</v>
      </c>
    </row>
    <row r="4416" spans="1:11" ht="42" customHeight="1">
      <c r="A4416" s="2" t="s">
        <v>9332</v>
      </c>
      <c r="B4416" s="2" t="s">
        <v>9333</v>
      </c>
      <c r="C4416" s="2" t="s">
        <v>16</v>
      </c>
      <c r="D4416" s="2" t="s">
        <v>17</v>
      </c>
      <c r="E4416" s="5">
        <v>-31770</v>
      </c>
      <c r="F4416" s="3" t="s">
        <v>1738</v>
      </c>
      <c r="G4416" s="3" t="s">
        <v>28</v>
      </c>
      <c r="H4416" s="2" t="s">
        <v>20</v>
      </c>
      <c r="I4416" s="2" t="s">
        <v>9334</v>
      </c>
      <c r="J4416" s="3" t="str">
        <f>HYPERLINK("https://www.boe.es/gazeta/dias/1813/01/05/pdfs/GRE-1813-2.pdf#page=8","Abrir facsímil")</f>
        <v>Abrir facsímil</v>
      </c>
      <c r="K4416" s="3" t="s">
        <v>22</v>
      </c>
    </row>
    <row r="4417" spans="1:11" ht="42" customHeight="1">
      <c r="A4417" s="2" t="s">
        <v>9332</v>
      </c>
      <c r="B4417" s="2" t="s">
        <v>9333</v>
      </c>
      <c r="C4417" s="2" t="s">
        <v>34</v>
      </c>
      <c r="D4417" s="2" t="s">
        <v>35</v>
      </c>
      <c r="E4417" s="5">
        <v>-31703</v>
      </c>
      <c r="F4417" s="3" t="s">
        <v>4331</v>
      </c>
      <c r="G4417" s="3" t="s">
        <v>28</v>
      </c>
      <c r="H4417" s="2" t="s">
        <v>20</v>
      </c>
      <c r="I4417" s="2" t="s">
        <v>9335</v>
      </c>
      <c r="J4417" s="3" t="str">
        <f>HYPERLINK("https://www.boe.es/gazeta/dias/1813/03/13/pdfs/GRE-1813-32.pdf#page=8","Abrir facsímil")</f>
        <v>Abrir facsímil</v>
      </c>
      <c r="K4417" s="3" t="s">
        <v>22</v>
      </c>
    </row>
    <row r="4418" spans="1:11" ht="42" customHeight="1">
      <c r="A4418" s="2" t="s">
        <v>9332</v>
      </c>
      <c r="B4418" s="2" t="s">
        <v>9333</v>
      </c>
      <c r="C4418" s="2" t="s">
        <v>277</v>
      </c>
      <c r="D4418" s="2" t="s">
        <v>26</v>
      </c>
      <c r="E4418" s="5">
        <v>-31658</v>
      </c>
      <c r="F4418" s="3" t="s">
        <v>1113</v>
      </c>
      <c r="G4418" s="3" t="s">
        <v>28</v>
      </c>
      <c r="H4418" s="2" t="s">
        <v>20</v>
      </c>
      <c r="I4418" s="2" t="s">
        <v>9336</v>
      </c>
      <c r="J4418" s="3" t="str">
        <f>HYPERLINK("https://www.boe.es/gazeta/dias/1813/04/27/pdfs/GRE-1813-52.pdf#page=8","Abrir facsímil")</f>
        <v>Abrir facsímil</v>
      </c>
      <c r="K4418" s="3" t="s">
        <v>22</v>
      </c>
    </row>
    <row r="4419" spans="1:11" ht="42" customHeight="1">
      <c r="A4419" s="2" t="s">
        <v>9332</v>
      </c>
      <c r="B4419" s="2" t="s">
        <v>9333</v>
      </c>
      <c r="C4419" s="2" t="s">
        <v>16</v>
      </c>
      <c r="D4419" s="2" t="s">
        <v>17</v>
      </c>
      <c r="E4419" s="5">
        <v>-31444</v>
      </c>
      <c r="F4419" s="3" t="s">
        <v>2451</v>
      </c>
      <c r="G4419" s="3" t="s">
        <v>28</v>
      </c>
      <c r="H4419" s="2" t="s">
        <v>20</v>
      </c>
      <c r="I4419" s="2" t="s">
        <v>9337</v>
      </c>
      <c r="J4419" s="3" t="str">
        <f>HYPERLINK("https://www.boe.es/gazeta/dias/1813/11/27/pdfs/GRE-1813-157.pdf#page=8","Abrir facsímil")</f>
        <v>Abrir facsímil</v>
      </c>
      <c r="K4419" s="3" t="s">
        <v>22</v>
      </c>
    </row>
    <row r="4420" spans="1:11" ht="42" customHeight="1">
      <c r="A4420" s="2" t="s">
        <v>9338</v>
      </c>
      <c r="B4420" s="2" t="s">
        <v>9339</v>
      </c>
      <c r="C4420" s="2" t="s">
        <v>25</v>
      </c>
      <c r="D4420" s="2" t="s">
        <v>26</v>
      </c>
      <c r="E4420" s="5">
        <v>-31444</v>
      </c>
      <c r="F4420" s="3" t="s">
        <v>2451</v>
      </c>
      <c r="G4420" s="3" t="s">
        <v>87</v>
      </c>
      <c r="H4420" s="2" t="s">
        <v>20</v>
      </c>
      <c r="I4420" s="2" t="s">
        <v>9340</v>
      </c>
      <c r="J4420" s="3" t="str">
        <f>HYPERLINK("https://www.boe.es/gazeta/dias/1813/11/27/pdfs/GRE-1813-157.pdf#page=7","Abrir facsímil")</f>
        <v>Abrir facsímil</v>
      </c>
      <c r="K4420" s="3" t="s">
        <v>22</v>
      </c>
    </row>
    <row r="4421" spans="1:11" ht="42" customHeight="1">
      <c r="A4421" s="2" t="s">
        <v>9341</v>
      </c>
      <c r="B4421" s="2" t="s">
        <v>9342</v>
      </c>
      <c r="C4421" s="2" t="s">
        <v>34</v>
      </c>
      <c r="D4421" s="2" t="s">
        <v>35</v>
      </c>
      <c r="E4421" s="5">
        <v>-31465</v>
      </c>
      <c r="F4421" s="3" t="s">
        <v>407</v>
      </c>
      <c r="G4421" s="3" t="s">
        <v>28</v>
      </c>
      <c r="H4421" s="2" t="s">
        <v>20</v>
      </c>
      <c r="I4421" s="2" t="s">
        <v>9343</v>
      </c>
      <c r="J4421" s="3" t="str">
        <f>HYPERLINK("https://www.boe.es/gazeta/dias/1813/11/06/pdfs/GMR-1813-70.pdf#page=8","Abrir facsímil")</f>
        <v>Abrir facsímil</v>
      </c>
      <c r="K4421" s="3" t="s">
        <v>22</v>
      </c>
    </row>
    <row r="4422" spans="1:11" ht="42" customHeight="1">
      <c r="A4422" s="2" t="s">
        <v>9344</v>
      </c>
      <c r="B4422" s="2" t="s">
        <v>9344</v>
      </c>
      <c r="C4422" s="2" t="s">
        <v>16</v>
      </c>
      <c r="D4422" s="2" t="s">
        <v>17</v>
      </c>
      <c r="E4422" s="5">
        <v>-31532</v>
      </c>
      <c r="F4422" s="3" t="s">
        <v>215</v>
      </c>
      <c r="G4422" s="3" t="s">
        <v>54</v>
      </c>
      <c r="H4422" s="2" t="s">
        <v>20</v>
      </c>
      <c r="I4422" s="2" t="s">
        <v>9345</v>
      </c>
      <c r="J4422" s="3" t="str">
        <f>HYPERLINK("https://www.boe.es/gazeta/dias/1813/08/31/pdfs/GRE-1813-111.pdf#page=3","Abrir facsímil")</f>
        <v>Abrir facsímil</v>
      </c>
      <c r="K4422" s="3" t="s">
        <v>22</v>
      </c>
    </row>
    <row r="4423" spans="1:11" ht="42" customHeight="1">
      <c r="A4423" s="2" t="s">
        <v>9346</v>
      </c>
      <c r="B4423" s="2" t="s">
        <v>9347</v>
      </c>
      <c r="C4423" s="2" t="s">
        <v>16</v>
      </c>
      <c r="D4423" s="2" t="s">
        <v>17</v>
      </c>
      <c r="E4423" s="5">
        <v>-31553</v>
      </c>
      <c r="F4423" s="3" t="s">
        <v>592</v>
      </c>
      <c r="G4423" s="3" t="s">
        <v>1065</v>
      </c>
      <c r="H4423" s="2" t="s">
        <v>20</v>
      </c>
      <c r="I4423" s="2" t="s">
        <v>9348</v>
      </c>
      <c r="J4423" s="3" t="str">
        <f>HYPERLINK("https://www.boe.es/gazeta/dias/1813/08/10/pdfs/GRE-1813-101.pdf#page=7","Abrir facsímil")</f>
        <v>Abrir facsímil</v>
      </c>
      <c r="K4423" s="3" t="s">
        <v>22</v>
      </c>
    </row>
    <row r="4424" spans="1:11" ht="42" customHeight="1">
      <c r="A4424" s="2" t="s">
        <v>9349</v>
      </c>
      <c r="B4424" s="2" t="s">
        <v>9350</v>
      </c>
      <c r="C4424" s="2" t="s">
        <v>16</v>
      </c>
      <c r="D4424" s="2" t="s">
        <v>17</v>
      </c>
      <c r="E4424" s="5">
        <v>-31570</v>
      </c>
      <c r="F4424" s="3" t="s">
        <v>1803</v>
      </c>
      <c r="G4424" s="3" t="s">
        <v>19</v>
      </c>
      <c r="H4424" s="2" t="s">
        <v>20</v>
      </c>
      <c r="I4424" s="2" t="s">
        <v>9351</v>
      </c>
      <c r="J4424" s="3" t="str">
        <f>HYPERLINK("https://www.boe.es/gazeta/dias/1813/07/24/pdfs/GRE-1813-94.pdf#page=4","Abrir facsímil")</f>
        <v>Abrir facsímil</v>
      </c>
      <c r="K4424" s="3" t="s">
        <v>22</v>
      </c>
    </row>
    <row r="4425" spans="1:11" ht="42" customHeight="1">
      <c r="A4425" s="2" t="s">
        <v>9352</v>
      </c>
      <c r="B4425" s="2" t="s">
        <v>9353</v>
      </c>
      <c r="C4425" s="2" t="s">
        <v>16</v>
      </c>
      <c r="D4425" s="2" t="s">
        <v>17</v>
      </c>
      <c r="E4425" s="5">
        <v>-31626</v>
      </c>
      <c r="F4425" s="3" t="s">
        <v>64</v>
      </c>
      <c r="G4425" s="3" t="s">
        <v>3266</v>
      </c>
      <c r="H4425" s="2" t="s">
        <v>20</v>
      </c>
      <c r="I4425" s="2" t="s">
        <v>9354</v>
      </c>
      <c r="J4425" s="3" t="str">
        <f>HYPERLINK("https://www.boe.es/gazeta/dias/1813/05/29/pdfs/GRE-1813-66.pdf#page=5","Abrir facsímil")</f>
        <v>Abrir facsímil</v>
      </c>
      <c r="K4425" s="3" t="s">
        <v>22</v>
      </c>
    </row>
    <row r="4426" spans="1:11" ht="42" customHeight="1">
      <c r="A4426" s="2" t="s">
        <v>9355</v>
      </c>
      <c r="B4426" s="2" t="s">
        <v>9356</v>
      </c>
      <c r="C4426" s="2" t="s">
        <v>25</v>
      </c>
      <c r="D4426" s="2" t="s">
        <v>26</v>
      </c>
      <c r="E4426" s="5">
        <v>-31567</v>
      </c>
      <c r="F4426" s="3" t="s">
        <v>820</v>
      </c>
      <c r="G4426" s="3" t="s">
        <v>821</v>
      </c>
      <c r="H4426" s="2" t="s">
        <v>20</v>
      </c>
      <c r="I4426" s="2" t="s">
        <v>9357</v>
      </c>
      <c r="J4426" s="3" t="str">
        <f>HYPERLINK("https://www.boe.es/gazeta/dias/1813/07/27/pdfs/GMR-1813-21.pdf#page=13","Abrir facsímil")</f>
        <v>Abrir facsímil</v>
      </c>
      <c r="K4426" s="3" t="s">
        <v>22</v>
      </c>
    </row>
    <row r="4427" spans="1:11" ht="42" customHeight="1">
      <c r="A4427" s="2" t="s">
        <v>9358</v>
      </c>
      <c r="B4427" s="2" t="s">
        <v>9359</v>
      </c>
      <c r="C4427" s="2" t="s">
        <v>34</v>
      </c>
      <c r="D4427" s="2" t="s">
        <v>35</v>
      </c>
      <c r="E4427" s="5">
        <v>-31628</v>
      </c>
      <c r="F4427" s="3" t="s">
        <v>358</v>
      </c>
      <c r="G4427" s="3" t="s">
        <v>28</v>
      </c>
      <c r="H4427" s="2" t="s">
        <v>20</v>
      </c>
      <c r="I4427" s="2" t="s">
        <v>9360</v>
      </c>
      <c r="J4427" s="3" t="str">
        <f>HYPERLINK("https://www.boe.es/gazeta/dias/1813/05/27/pdfs/GRE-1813-65.pdf#page=8","Abrir facsímil")</f>
        <v>Abrir facsímil</v>
      </c>
      <c r="K4427" s="3" t="s">
        <v>22</v>
      </c>
    </row>
    <row r="4428" spans="1:11" ht="42" customHeight="1">
      <c r="A4428" s="2" t="s">
        <v>9361</v>
      </c>
      <c r="B4428" s="2" t="s">
        <v>9361</v>
      </c>
      <c r="C4428" s="2" t="s">
        <v>16</v>
      </c>
      <c r="D4428" s="2" t="s">
        <v>17</v>
      </c>
      <c r="E4428" s="5">
        <v>-31581</v>
      </c>
      <c r="F4428" s="3" t="s">
        <v>3599</v>
      </c>
      <c r="G4428" s="3" t="s">
        <v>54</v>
      </c>
      <c r="H4428" s="2" t="s">
        <v>20</v>
      </c>
      <c r="I4428" s="2" t="s">
        <v>9362</v>
      </c>
      <c r="J4428" s="3" t="str">
        <f>HYPERLINK("https://www.boe.es/gazeta/dias/1813/07/13/pdfs/GRE-1813-88.pdf#page=3","Abrir facsímil")</f>
        <v>Abrir facsímil</v>
      </c>
      <c r="K4428" s="3" t="s">
        <v>22</v>
      </c>
    </row>
    <row r="4429" spans="1:11" ht="42" customHeight="1">
      <c r="A4429" s="2" t="s">
        <v>9363</v>
      </c>
      <c r="B4429" s="2" t="s">
        <v>9363</v>
      </c>
      <c r="C4429" s="2" t="s">
        <v>16</v>
      </c>
      <c r="D4429" s="2" t="s">
        <v>17</v>
      </c>
      <c r="E4429" s="5">
        <v>-31578</v>
      </c>
      <c r="F4429" s="3" t="s">
        <v>974</v>
      </c>
      <c r="G4429" s="3" t="s">
        <v>54</v>
      </c>
      <c r="H4429" s="2" t="s">
        <v>20</v>
      </c>
      <c r="I4429" s="2" t="s">
        <v>9364</v>
      </c>
      <c r="J4429" s="3" t="str">
        <f>HYPERLINK("https://www.boe.es/gazeta/dias/1813/07/16/pdfs/GMR-1813-18.pdf#page=3","Abrir facsímil")</f>
        <v>Abrir facsímil</v>
      </c>
      <c r="K4429" s="3" t="s">
        <v>22</v>
      </c>
    </row>
    <row r="4430" spans="1:11" ht="42" customHeight="1">
      <c r="A4430" s="2" t="s">
        <v>9365</v>
      </c>
      <c r="B4430" s="2" t="s">
        <v>9366</v>
      </c>
      <c r="C4430" s="2" t="s">
        <v>16</v>
      </c>
      <c r="D4430" s="2" t="s">
        <v>17</v>
      </c>
      <c r="E4430" s="5">
        <v>-31711</v>
      </c>
      <c r="F4430" s="3" t="s">
        <v>385</v>
      </c>
      <c r="G4430" s="3" t="s">
        <v>747</v>
      </c>
      <c r="H4430" s="2" t="s">
        <v>20</v>
      </c>
      <c r="I4430" s="2" t="s">
        <v>9367</v>
      </c>
      <c r="J4430" s="3" t="str">
        <f>HYPERLINK("https://www.boe.es/gazeta/dias/1813/03/05/pdfs/GRE-1813-99.pdf#page=2","Abrir facsímil")</f>
        <v>Abrir facsímil</v>
      </c>
      <c r="K4430" s="3" t="s">
        <v>22</v>
      </c>
    </row>
    <row r="4431" spans="1:11" ht="42" customHeight="1">
      <c r="A4431" s="2" t="s">
        <v>9365</v>
      </c>
      <c r="B4431" s="2" t="s">
        <v>9366</v>
      </c>
      <c r="C4431" s="2" t="s">
        <v>16</v>
      </c>
      <c r="D4431" s="2" t="s">
        <v>17</v>
      </c>
      <c r="E4431" s="5">
        <v>-31558</v>
      </c>
      <c r="F4431" s="3" t="s">
        <v>385</v>
      </c>
      <c r="G4431" s="3" t="s">
        <v>747</v>
      </c>
      <c r="H4431" s="2" t="s">
        <v>20</v>
      </c>
      <c r="I4431" s="2" t="s">
        <v>9367</v>
      </c>
      <c r="J4431" s="3" t="str">
        <f>HYPERLINK("https://www.boe.es/gazeta/dias/1813/08/05/pdfs/GRE-1813-99.pdf#page=2","Abrir facsímil")</f>
        <v>Abrir facsímil</v>
      </c>
      <c r="K4431" s="3" t="s">
        <v>22</v>
      </c>
    </row>
    <row r="4432" spans="1:11" ht="42" customHeight="1">
      <c r="A4432" s="2" t="s">
        <v>9368</v>
      </c>
      <c r="B4432" s="2" t="s">
        <v>9369</v>
      </c>
      <c r="C4432" s="2" t="s">
        <v>34</v>
      </c>
      <c r="D4432" s="2" t="s">
        <v>35</v>
      </c>
      <c r="E4432" s="5">
        <v>-31649</v>
      </c>
      <c r="F4432" s="3" t="s">
        <v>1057</v>
      </c>
      <c r="G4432" s="3" t="s">
        <v>1304</v>
      </c>
      <c r="H4432" s="2" t="s">
        <v>20</v>
      </c>
      <c r="I4432" s="2" t="s">
        <v>9370</v>
      </c>
      <c r="J4432" s="3" t="str">
        <f>HYPERLINK("https://www.boe.es/gazeta/dias/1813/05/06/pdfs/GRE-1813-56.pdf#page=6","Abrir facsímil")</f>
        <v>Abrir facsímil</v>
      </c>
      <c r="K4432" s="3" t="s">
        <v>22</v>
      </c>
    </row>
    <row r="4433" spans="1:11" ht="42" customHeight="1">
      <c r="A4433" s="2" t="s">
        <v>9368</v>
      </c>
      <c r="B4433" s="2" t="s">
        <v>9369</v>
      </c>
      <c r="C4433" s="2" t="s">
        <v>34</v>
      </c>
      <c r="D4433" s="2" t="s">
        <v>35</v>
      </c>
      <c r="E4433" s="5">
        <v>-31618</v>
      </c>
      <c r="F4433" s="3" t="s">
        <v>1057</v>
      </c>
      <c r="G4433" s="3" t="s">
        <v>1304</v>
      </c>
      <c r="H4433" s="2" t="s">
        <v>20</v>
      </c>
      <c r="I4433" s="2" t="s">
        <v>9370</v>
      </c>
      <c r="J4433" s="3" t="str">
        <f>HYPERLINK("https://www.boe.es/gazeta/dias/1813/06/06/pdfs/GRE-1813-56.pdf#page=6","Abrir facsímil")</f>
        <v>Abrir facsímil</v>
      </c>
      <c r="K4433" s="3" t="s">
        <v>22</v>
      </c>
    </row>
    <row r="4434" spans="1:11" ht="42" customHeight="1">
      <c r="A4434" s="2" t="s">
        <v>9371</v>
      </c>
      <c r="B4434" s="2" t="s">
        <v>9371</v>
      </c>
      <c r="C4434" s="2" t="s">
        <v>16</v>
      </c>
      <c r="D4434" s="2" t="s">
        <v>17</v>
      </c>
      <c r="E4434" s="5">
        <v>-31567</v>
      </c>
      <c r="F4434" s="3" t="s">
        <v>820</v>
      </c>
      <c r="G4434" s="3" t="s">
        <v>65</v>
      </c>
      <c r="H4434" s="2" t="s">
        <v>20</v>
      </c>
      <c r="I4434" s="2" t="s">
        <v>9372</v>
      </c>
      <c r="J4434" s="3" t="str">
        <f>HYPERLINK("https://www.boe.es/gazeta/dias/1813/07/27/pdfs/GMR-1813-21.pdf#page=1","Abrir facsímil")</f>
        <v>Abrir facsímil</v>
      </c>
      <c r="K4434" s="3" t="s">
        <v>22</v>
      </c>
    </row>
    <row r="4435" spans="1:11" ht="42" customHeight="1">
      <c r="A4435" s="2" t="s">
        <v>9373</v>
      </c>
      <c r="B4435" s="2" t="s">
        <v>9374</v>
      </c>
      <c r="C4435" s="2" t="s">
        <v>16</v>
      </c>
      <c r="D4435" s="2" t="s">
        <v>17</v>
      </c>
      <c r="E4435" s="5">
        <v>-31718</v>
      </c>
      <c r="F4435" s="3" t="s">
        <v>1498</v>
      </c>
      <c r="G4435" s="3" t="s">
        <v>9375</v>
      </c>
      <c r="H4435" s="2" t="s">
        <v>20</v>
      </c>
      <c r="I4435" s="2" t="s">
        <v>9376</v>
      </c>
      <c r="J4435" s="3" t="str">
        <f>HYPERLINK("https://www.boe.es/gazeta/dias/1813/02/26/pdfs/GMD-1813-57.pdf#page=3","Abrir facsímil")</f>
        <v>Abrir facsímil</v>
      </c>
      <c r="K4435" s="3" t="s">
        <v>22</v>
      </c>
    </row>
    <row r="4436" spans="1:11" ht="42" customHeight="1">
      <c r="A4436" s="2" t="s">
        <v>9377</v>
      </c>
      <c r="B4436" s="2" t="s">
        <v>9377</v>
      </c>
      <c r="C4436" s="2" t="s">
        <v>16</v>
      </c>
      <c r="D4436" s="2" t="s">
        <v>17</v>
      </c>
      <c r="E4436" s="5">
        <v>-31441</v>
      </c>
      <c r="F4436" s="3" t="s">
        <v>1952</v>
      </c>
      <c r="G4436" s="3" t="s">
        <v>87</v>
      </c>
      <c r="H4436" s="2" t="s">
        <v>20</v>
      </c>
      <c r="I4436" s="2" t="s">
        <v>9378</v>
      </c>
      <c r="J4436" s="3" t="str">
        <f>HYPERLINK("https://www.boe.es/gazeta/dias/1813/11/30/pdfs/GRE-1813-158.pdf#page=7","Abrir facsímil")</f>
        <v>Abrir facsímil</v>
      </c>
      <c r="K4436" s="3" t="s">
        <v>22</v>
      </c>
    </row>
    <row r="4437" spans="1:11" ht="42" customHeight="1">
      <c r="A4437" s="2" t="s">
        <v>9379</v>
      </c>
      <c r="B4437" s="2" t="s">
        <v>9380</v>
      </c>
      <c r="C4437" s="2" t="s">
        <v>16</v>
      </c>
      <c r="D4437" s="2" t="s">
        <v>17</v>
      </c>
      <c r="E4437" s="5">
        <v>-31635</v>
      </c>
      <c r="F4437" s="3" t="s">
        <v>2173</v>
      </c>
      <c r="G4437" s="3" t="s">
        <v>4157</v>
      </c>
      <c r="H4437" s="2" t="s">
        <v>20</v>
      </c>
      <c r="I4437" s="2" t="s">
        <v>9381</v>
      </c>
      <c r="J4437" s="3" t="str">
        <f>HYPERLINK("https://www.boe.es/gazeta/dias/1813/05/20/pdfs/GRE-1813-62.pdf#page=4","Abrir facsímil")</f>
        <v>Abrir facsímil</v>
      </c>
      <c r="K4437" s="3" t="s">
        <v>22</v>
      </c>
    </row>
    <row r="4438" spans="1:11" ht="42" customHeight="1">
      <c r="A4438" s="2" t="s">
        <v>9382</v>
      </c>
      <c r="B4438" s="2" t="s">
        <v>9382</v>
      </c>
      <c r="C4438" s="2" t="s">
        <v>25</v>
      </c>
      <c r="D4438" s="2" t="s">
        <v>26</v>
      </c>
      <c r="E4438" s="5">
        <v>-31763</v>
      </c>
      <c r="F4438" s="3" t="s">
        <v>4470</v>
      </c>
      <c r="G4438" s="3" t="s">
        <v>54</v>
      </c>
      <c r="H4438" s="2" t="s">
        <v>20</v>
      </c>
      <c r="I4438" s="2" t="s">
        <v>9383</v>
      </c>
      <c r="J4438" s="3" t="str">
        <f>HYPERLINK("https://www.boe.es/gazeta/dias/1813/01/12/pdfs/GMD-1813-12.pdf#page=3","Abrir facsímil")</f>
        <v>Abrir facsímil</v>
      </c>
      <c r="K4438" s="3" t="s">
        <v>22</v>
      </c>
    </row>
    <row r="4439" spans="1:11" ht="42" customHeight="1">
      <c r="A4439" s="2" t="s">
        <v>9382</v>
      </c>
      <c r="B4439" s="2" t="s">
        <v>9382</v>
      </c>
      <c r="C4439" s="2" t="s">
        <v>25</v>
      </c>
      <c r="D4439" s="2" t="s">
        <v>26</v>
      </c>
      <c r="E4439" s="5">
        <v>-31761</v>
      </c>
      <c r="F4439" s="3" t="s">
        <v>6125</v>
      </c>
      <c r="G4439" s="3" t="s">
        <v>58</v>
      </c>
      <c r="H4439" s="2" t="s">
        <v>20</v>
      </c>
      <c r="I4439" s="2" t="s">
        <v>9384</v>
      </c>
      <c r="J4439" s="3" t="str">
        <f>HYPERLINK("https://www.boe.es/gazeta/dias/1813/01/14/pdfs/GMD-1813-14.pdf#page=2","Abrir facsímil")</f>
        <v>Abrir facsímil</v>
      </c>
      <c r="K4439" s="3" t="s">
        <v>22</v>
      </c>
    </row>
    <row r="4440" spans="1:11" ht="42" customHeight="1">
      <c r="A4440" s="2" t="s">
        <v>9382</v>
      </c>
      <c r="B4440" s="2" t="s">
        <v>9382</v>
      </c>
      <c r="C4440" s="2" t="s">
        <v>25</v>
      </c>
      <c r="D4440" s="2" t="s">
        <v>26</v>
      </c>
      <c r="E4440" s="5">
        <v>-31747</v>
      </c>
      <c r="F4440" s="3" t="s">
        <v>86</v>
      </c>
      <c r="G4440" s="3" t="s">
        <v>65</v>
      </c>
      <c r="H4440" s="2" t="s">
        <v>20</v>
      </c>
      <c r="I4440" s="2" t="s">
        <v>9385</v>
      </c>
      <c r="J4440" s="3" t="str">
        <f>HYPERLINK("https://www.boe.es/gazeta/dias/1813/01/28/pdfs/GRE-1813-12.pdf#page=1","Abrir facsímil")</f>
        <v>Abrir facsímil</v>
      </c>
      <c r="K4440" s="3" t="s">
        <v>22</v>
      </c>
    </row>
    <row r="4441" spans="1:11" ht="42" customHeight="1">
      <c r="A4441" s="2" t="s">
        <v>9382</v>
      </c>
      <c r="B4441" s="2" t="s">
        <v>9382</v>
      </c>
      <c r="C4441" s="2" t="s">
        <v>25</v>
      </c>
      <c r="D4441" s="2" t="s">
        <v>26</v>
      </c>
      <c r="E4441" s="5">
        <v>-31697</v>
      </c>
      <c r="F4441" s="3" t="s">
        <v>2761</v>
      </c>
      <c r="G4441" s="3" t="s">
        <v>58</v>
      </c>
      <c r="H4441" s="2" t="s">
        <v>20</v>
      </c>
      <c r="I4441" s="2" t="s">
        <v>9386</v>
      </c>
      <c r="J4441" s="3" t="str">
        <f>HYPERLINK("https://www.boe.es/gazeta/dias/1813/03/19/pdfs/GMD-1813-78.pdf#page=2","Abrir facsímil")</f>
        <v>Abrir facsímil</v>
      </c>
      <c r="K4441" s="3" t="s">
        <v>22</v>
      </c>
    </row>
    <row r="4442" spans="1:11" ht="42" customHeight="1">
      <c r="A4442" s="2" t="s">
        <v>9387</v>
      </c>
      <c r="B4442" s="2" t="s">
        <v>9387</v>
      </c>
      <c r="C4442" s="2" t="s">
        <v>25</v>
      </c>
      <c r="D4442" s="2" t="s">
        <v>26</v>
      </c>
      <c r="E4442" s="5">
        <v>-31688</v>
      </c>
      <c r="F4442" s="3" t="s">
        <v>9388</v>
      </c>
      <c r="G4442" s="3" t="s">
        <v>58</v>
      </c>
      <c r="H4442" s="2" t="s">
        <v>20</v>
      </c>
      <c r="I4442" s="2" t="s">
        <v>9389</v>
      </c>
      <c r="J4442" s="3" t="str">
        <f>HYPERLINK("https://www.boe.es/gazeta/dias/1813/03/28/pdfs/GMD-1813-87.pdf#page=2","Abrir facsímil")</f>
        <v>Abrir facsímil</v>
      </c>
      <c r="K4442" s="3" t="s">
        <v>22</v>
      </c>
    </row>
    <row r="4443" spans="1:11" ht="42" customHeight="1">
      <c r="A4443" s="2" t="s">
        <v>9390</v>
      </c>
      <c r="B4443" s="2" t="s">
        <v>9391</v>
      </c>
      <c r="C4443" s="2" t="s">
        <v>16</v>
      </c>
      <c r="D4443" s="2" t="s">
        <v>17</v>
      </c>
      <c r="E4443" s="5">
        <v>-31420</v>
      </c>
      <c r="F4443" s="3" t="s">
        <v>145</v>
      </c>
      <c r="G4443" s="3" t="s">
        <v>28</v>
      </c>
      <c r="H4443" s="2" t="s">
        <v>20</v>
      </c>
      <c r="I4443" s="2" t="s">
        <v>9392</v>
      </c>
      <c r="J4443" s="3" t="str">
        <f>HYPERLINK("https://www.boe.es/gazeta/dias/1813/12/21/pdfs/GMR-1813-90.pdf#page=8","Abrir facsímil")</f>
        <v>Abrir facsímil</v>
      </c>
      <c r="K4443" s="3" t="s">
        <v>22</v>
      </c>
    </row>
    <row r="4444" spans="1:11" ht="42" customHeight="1">
      <c r="A4444" s="2" t="s">
        <v>9393</v>
      </c>
      <c r="B4444" s="2" t="s">
        <v>9393</v>
      </c>
      <c r="C4444" s="2" t="s">
        <v>16</v>
      </c>
      <c r="D4444" s="2" t="s">
        <v>17</v>
      </c>
      <c r="E4444" s="5">
        <v>-31623</v>
      </c>
      <c r="F4444" s="3" t="s">
        <v>267</v>
      </c>
      <c r="G4444" s="3" t="s">
        <v>3502</v>
      </c>
      <c r="H4444" s="2" t="s">
        <v>20</v>
      </c>
      <c r="I4444" s="2" t="s">
        <v>9394</v>
      </c>
      <c r="J4444" s="3" t="str">
        <f>HYPERLINK("https://www.boe.es/gazeta/dias/1813/06/01/pdfs/GRE-1813-67.pdf#page=7","Abrir facsímil")</f>
        <v>Abrir facsímil</v>
      </c>
      <c r="K4444" s="3" t="s">
        <v>22</v>
      </c>
    </row>
    <row r="4445" spans="1:11" ht="42" customHeight="1">
      <c r="A4445" s="2" t="s">
        <v>9395</v>
      </c>
      <c r="B4445" s="2" t="s">
        <v>9395</v>
      </c>
      <c r="C4445" s="2" t="s">
        <v>16</v>
      </c>
      <c r="D4445" s="2" t="s">
        <v>17</v>
      </c>
      <c r="E4445" s="5">
        <v>-31592</v>
      </c>
      <c r="F4445" s="3" t="s">
        <v>175</v>
      </c>
      <c r="G4445" s="3" t="s">
        <v>471</v>
      </c>
      <c r="H4445" s="2" t="s">
        <v>20</v>
      </c>
      <c r="I4445" s="2" t="s">
        <v>9396</v>
      </c>
      <c r="J4445" s="3" t="str">
        <f>HYPERLINK("https://www.boe.es/gazeta/dias/1813/07/02/pdfs/GRE-1813-82.pdf#page=7","Abrir facsímil")</f>
        <v>Abrir facsímil</v>
      </c>
      <c r="K4445" s="3" t="s">
        <v>22</v>
      </c>
    </row>
    <row r="4446" spans="1:11" ht="42" customHeight="1">
      <c r="A4446" s="2" t="s">
        <v>9397</v>
      </c>
      <c r="B4446" s="2" t="s">
        <v>9398</v>
      </c>
      <c r="C4446" s="2" t="s">
        <v>16</v>
      </c>
      <c r="D4446" s="2" t="s">
        <v>17</v>
      </c>
      <c r="E4446" s="5">
        <v>-31525</v>
      </c>
      <c r="F4446" s="3" t="s">
        <v>1131</v>
      </c>
      <c r="G4446" s="3" t="s">
        <v>1406</v>
      </c>
      <c r="H4446" s="2" t="s">
        <v>20</v>
      </c>
      <c r="I4446" s="2" t="s">
        <v>9399</v>
      </c>
      <c r="J4446" s="3" t="str">
        <f>HYPERLINK("https://www.boe.es/gazeta/dias/1813/09/07/pdfs/GRE-1813-114.pdf#page=5","Abrir facsímil")</f>
        <v>Abrir facsímil</v>
      </c>
      <c r="K4446" s="3" t="s">
        <v>22</v>
      </c>
    </row>
    <row r="4447" spans="1:11" ht="42" customHeight="1">
      <c r="A4447" s="2" t="s">
        <v>9400</v>
      </c>
      <c r="B4447" s="2" t="s">
        <v>9401</v>
      </c>
      <c r="C4447" s="2" t="s">
        <v>16</v>
      </c>
      <c r="D4447" s="2" t="s">
        <v>17</v>
      </c>
      <c r="E4447" s="5">
        <v>-31630</v>
      </c>
      <c r="F4447" s="3" t="s">
        <v>1324</v>
      </c>
      <c r="G4447" s="3" t="s">
        <v>3731</v>
      </c>
      <c r="H4447" s="2" t="s">
        <v>20</v>
      </c>
      <c r="I4447" s="2" t="s">
        <v>9402</v>
      </c>
      <c r="J4447" s="3" t="str">
        <f>HYPERLINK("https://www.boe.es/gazeta/dias/1813/05/25/pdfs/GRE-1813-64.pdf#page=7","Abrir facsímil")</f>
        <v>Abrir facsímil</v>
      </c>
      <c r="K4447" s="3" t="s">
        <v>22</v>
      </c>
    </row>
    <row r="4448" spans="1:11" ht="42" customHeight="1">
      <c r="A4448" s="2" t="s">
        <v>9403</v>
      </c>
      <c r="B4448" s="2" t="s">
        <v>9403</v>
      </c>
      <c r="C4448" s="2" t="s">
        <v>435</v>
      </c>
      <c r="D4448" s="2" t="s">
        <v>26</v>
      </c>
      <c r="E4448" s="5">
        <v>-31629</v>
      </c>
      <c r="F4448" s="3" t="s">
        <v>1146</v>
      </c>
      <c r="G4448" s="3" t="s">
        <v>19</v>
      </c>
      <c r="H4448" s="2" t="s">
        <v>20</v>
      </c>
      <c r="I4448" s="2" t="s">
        <v>9404</v>
      </c>
      <c r="J4448" s="3" t="str">
        <f>HYPERLINK("https://www.boe.es/gazeta/dias/1813/05/26/pdfs/GMD-1813-146.pdf#page=4","Abrir facsímil")</f>
        <v>Abrir facsímil</v>
      </c>
      <c r="K4448" s="3" t="s">
        <v>22</v>
      </c>
    </row>
    <row r="4449" spans="1:11" ht="42" customHeight="1">
      <c r="A4449" s="2" t="s">
        <v>9405</v>
      </c>
      <c r="B4449" s="2" t="s">
        <v>9406</v>
      </c>
      <c r="C4449" s="2" t="s">
        <v>16</v>
      </c>
      <c r="D4449" s="2" t="s">
        <v>17</v>
      </c>
      <c r="E4449" s="5">
        <v>-31623</v>
      </c>
      <c r="F4449" s="3" t="s">
        <v>267</v>
      </c>
      <c r="G4449" s="3" t="s">
        <v>270</v>
      </c>
      <c r="H4449" s="2" t="s">
        <v>20</v>
      </c>
      <c r="I4449" s="2" t="s">
        <v>9407</v>
      </c>
      <c r="J4449" s="3" t="str">
        <f>HYPERLINK("https://www.boe.es/gazeta/dias/1813/06/01/pdfs/GRE-1813-67.pdf#page=5","Abrir facsímil")</f>
        <v>Abrir facsímil</v>
      </c>
      <c r="K4449" s="3" t="s">
        <v>22</v>
      </c>
    </row>
    <row r="4450" spans="1:11" ht="42" customHeight="1">
      <c r="A4450" s="2" t="s">
        <v>9405</v>
      </c>
      <c r="B4450" s="2" t="s">
        <v>9406</v>
      </c>
      <c r="C4450" s="2" t="s">
        <v>25</v>
      </c>
      <c r="D4450" s="2" t="s">
        <v>26</v>
      </c>
      <c r="E4450" s="5">
        <v>-31623</v>
      </c>
      <c r="F4450" s="3" t="s">
        <v>267</v>
      </c>
      <c r="G4450" s="3" t="s">
        <v>58</v>
      </c>
      <c r="H4450" s="2" t="s">
        <v>20</v>
      </c>
      <c r="I4450" s="2" t="s">
        <v>9408</v>
      </c>
      <c r="J4450" s="3" t="str">
        <f>HYPERLINK("https://www.boe.es/gazeta/dias/1813/06/01/pdfs/GRE-1813-67.pdf#page=2","Abrir facsímil")</f>
        <v>Abrir facsímil</v>
      </c>
      <c r="K4450" s="3" t="s">
        <v>22</v>
      </c>
    </row>
    <row r="4451" spans="1:11" ht="42" customHeight="1">
      <c r="A4451" s="2" t="s">
        <v>9409</v>
      </c>
      <c r="B4451" s="2" t="s">
        <v>9410</v>
      </c>
      <c r="C4451" s="2" t="s">
        <v>25</v>
      </c>
      <c r="D4451" s="2" t="s">
        <v>26</v>
      </c>
      <c r="E4451" s="5">
        <v>-31689</v>
      </c>
      <c r="F4451" s="3" t="s">
        <v>48</v>
      </c>
      <c r="G4451" s="3" t="s">
        <v>162</v>
      </c>
      <c r="H4451" s="2" t="s">
        <v>20</v>
      </c>
      <c r="I4451" s="2" t="s">
        <v>9411</v>
      </c>
      <c r="J4451" s="3" t="str">
        <f>HYPERLINK("https://www.boe.es/gazeta/dias/1813/03/27/pdfs/GRE-1813-38.pdf#page=8","Abrir facsímil")</f>
        <v>Abrir facsímil</v>
      </c>
      <c r="K4451" s="3" t="s">
        <v>22</v>
      </c>
    </row>
    <row r="4452" spans="1:11" ht="42" customHeight="1">
      <c r="A4452" s="2" t="s">
        <v>9412</v>
      </c>
      <c r="B4452" s="2" t="s">
        <v>9413</v>
      </c>
      <c r="C4452" s="2" t="s">
        <v>187</v>
      </c>
      <c r="D4452" s="2" t="s">
        <v>26</v>
      </c>
      <c r="E4452" s="5">
        <v>-31584</v>
      </c>
      <c r="F4452" s="3" t="s">
        <v>114</v>
      </c>
      <c r="G4452" s="3" t="s">
        <v>28</v>
      </c>
      <c r="H4452" s="2" t="s">
        <v>20</v>
      </c>
      <c r="I4452" s="2" t="s">
        <v>9414</v>
      </c>
      <c r="J4452" s="3" t="str">
        <f>HYPERLINK("https://www.boe.es/gazeta/dias/1813/07/10/pdfs/GRE-1813-86.pdf#page=8","Abrir facsímil")</f>
        <v>Abrir facsímil</v>
      </c>
      <c r="K4452" s="3" t="s">
        <v>22</v>
      </c>
    </row>
    <row r="4453" spans="1:11" ht="42" customHeight="1">
      <c r="A4453" s="2" t="s">
        <v>9412</v>
      </c>
      <c r="B4453" s="2" t="s">
        <v>9413</v>
      </c>
      <c r="C4453" s="2" t="s">
        <v>25</v>
      </c>
      <c r="D4453" s="2" t="s">
        <v>26</v>
      </c>
      <c r="E4453" s="5">
        <v>-31574</v>
      </c>
      <c r="F4453" s="3" t="s">
        <v>1343</v>
      </c>
      <c r="G4453" s="3" t="s">
        <v>82</v>
      </c>
      <c r="H4453" s="2" t="s">
        <v>20</v>
      </c>
      <c r="I4453" s="2" t="s">
        <v>9415</v>
      </c>
      <c r="J4453" s="3" t="str">
        <f>HYPERLINK("https://www.boe.es/gazeta/dias/1813/07/20/pdfs/GMR-1813-19.pdf#page=5","Abrir facsímil")</f>
        <v>Abrir facsímil</v>
      </c>
      <c r="K4453" s="3" t="s">
        <v>22</v>
      </c>
    </row>
    <row r="4454" spans="1:11" ht="42" customHeight="1">
      <c r="A4454" s="2" t="s">
        <v>9416</v>
      </c>
      <c r="B4454" s="2" t="s">
        <v>9417</v>
      </c>
      <c r="C4454" s="2" t="s">
        <v>16</v>
      </c>
      <c r="D4454" s="2" t="s">
        <v>17</v>
      </c>
      <c r="E4454" s="5">
        <v>-31641</v>
      </c>
      <c r="F4454" s="3" t="s">
        <v>6522</v>
      </c>
      <c r="G4454" s="3" t="s">
        <v>19</v>
      </c>
      <c r="H4454" s="2" t="s">
        <v>20</v>
      </c>
      <c r="I4454" s="2" t="s">
        <v>9418</v>
      </c>
      <c r="J4454" s="3" t="str">
        <f>HYPERLINK("https://www.boe.es/gazeta/dias/1813/05/14/pdfs/GMD-1813-134.pdf#page=4","Abrir facsímil")</f>
        <v>Abrir facsímil</v>
      </c>
      <c r="K4454" s="3" t="s">
        <v>22</v>
      </c>
    </row>
    <row r="4455" spans="1:11" ht="42" customHeight="1">
      <c r="A4455" s="2" t="s">
        <v>9419</v>
      </c>
      <c r="B4455" s="2" t="s">
        <v>9419</v>
      </c>
      <c r="C4455" s="2" t="s">
        <v>16</v>
      </c>
      <c r="D4455" s="2" t="s">
        <v>17</v>
      </c>
      <c r="E4455" s="5">
        <v>-31623</v>
      </c>
      <c r="F4455" s="3" t="s">
        <v>267</v>
      </c>
      <c r="G4455" s="3" t="s">
        <v>9420</v>
      </c>
      <c r="H4455" s="2" t="s">
        <v>20</v>
      </c>
      <c r="I4455" s="2" t="s">
        <v>9421</v>
      </c>
      <c r="J4455" s="3" t="str">
        <f>HYPERLINK("https://www.boe.es/gazeta/dias/1813/06/01/pdfs/GRE-1813-67.pdf#page=6","Abrir facsímil")</f>
        <v>Abrir facsímil</v>
      </c>
      <c r="K4455" s="3" t="s">
        <v>22</v>
      </c>
    </row>
    <row r="4456" spans="1:11" ht="42" customHeight="1">
      <c r="A4456" s="2" t="s">
        <v>9419</v>
      </c>
      <c r="B4456" s="2" t="s">
        <v>9419</v>
      </c>
      <c r="C4456" s="2" t="s">
        <v>16</v>
      </c>
      <c r="D4456" s="2" t="s">
        <v>17</v>
      </c>
      <c r="E4456" s="5">
        <v>-31609</v>
      </c>
      <c r="F4456" s="3" t="s">
        <v>711</v>
      </c>
      <c r="G4456" s="3" t="s">
        <v>82</v>
      </c>
      <c r="H4456" s="2" t="s">
        <v>20</v>
      </c>
      <c r="I4456" s="2" t="s">
        <v>9422</v>
      </c>
      <c r="J4456" s="3" t="str">
        <f>HYPERLINK("https://www.boe.es/gazeta/dias/1813/06/15/pdfs/GMR-1813-6.pdf#page=5","Abrir facsímil")</f>
        <v>Abrir facsímil</v>
      </c>
      <c r="K4456" s="3" t="s">
        <v>22</v>
      </c>
    </row>
    <row r="4457" spans="1:11" ht="42" customHeight="1">
      <c r="A4457" s="2" t="s">
        <v>9419</v>
      </c>
      <c r="B4457" s="2" t="s">
        <v>9419</v>
      </c>
      <c r="C4457" s="2" t="s">
        <v>16</v>
      </c>
      <c r="D4457" s="2" t="s">
        <v>17</v>
      </c>
      <c r="E4457" s="5">
        <v>-31469</v>
      </c>
      <c r="F4457" s="3" t="s">
        <v>1452</v>
      </c>
      <c r="G4457" s="3" t="s">
        <v>82</v>
      </c>
      <c r="H4457" s="2" t="s">
        <v>20</v>
      </c>
      <c r="I4457" s="2" t="s">
        <v>9423</v>
      </c>
      <c r="J4457" s="3" t="str">
        <f>HYPERLINK("https://www.boe.es/gazeta/dias/1813/11/02/pdfs/GRE-1813-143.pdf#page=5","Abrir facsímil")</f>
        <v>Abrir facsímil</v>
      </c>
      <c r="K4457" s="3" t="s">
        <v>22</v>
      </c>
    </row>
    <row r="4458" spans="1:11" ht="42" customHeight="1">
      <c r="A4458" s="2" t="s">
        <v>9419</v>
      </c>
      <c r="B4458" s="2" t="s">
        <v>9419</v>
      </c>
      <c r="C4458" s="2" t="s">
        <v>16</v>
      </c>
      <c r="D4458" s="2" t="s">
        <v>17</v>
      </c>
      <c r="E4458" s="5">
        <v>-31469</v>
      </c>
      <c r="F4458" s="3" t="s">
        <v>1452</v>
      </c>
      <c r="G4458" s="3" t="s">
        <v>95</v>
      </c>
      <c r="H4458" s="2" t="s">
        <v>20</v>
      </c>
      <c r="I4458" s="2" t="s">
        <v>9424</v>
      </c>
      <c r="J4458" s="3" t="str">
        <f>HYPERLINK("https://www.boe.es/gazeta/dias/1813/11/02/pdfs/GRE-1813-143.pdf#page=6","Abrir facsímil")</f>
        <v>Abrir facsímil</v>
      </c>
      <c r="K4458" s="3" t="s">
        <v>22</v>
      </c>
    </row>
    <row r="4459" spans="1:11" ht="42" customHeight="1">
      <c r="A4459" s="2" t="s">
        <v>9419</v>
      </c>
      <c r="B4459" s="2" t="s">
        <v>9419</v>
      </c>
      <c r="C4459" s="2" t="s">
        <v>16</v>
      </c>
      <c r="D4459" s="2" t="s">
        <v>17</v>
      </c>
      <c r="E4459" s="5">
        <v>-31465</v>
      </c>
      <c r="F4459" s="3" t="s">
        <v>2930</v>
      </c>
      <c r="G4459" s="3" t="s">
        <v>95</v>
      </c>
      <c r="H4459" s="2" t="s">
        <v>20</v>
      </c>
      <c r="I4459" s="2" t="s">
        <v>9425</v>
      </c>
      <c r="J4459" s="3" t="str">
        <f>HYPERLINK("https://www.boe.es/gazeta/dias/1813/11/06/pdfs/GRE-1813-145.pdf#page=6","Abrir facsímil")</f>
        <v>Abrir facsímil</v>
      </c>
      <c r="K4459" s="3" t="s">
        <v>22</v>
      </c>
    </row>
    <row r="4460" spans="1:11" ht="42" customHeight="1">
      <c r="A4460" s="2" t="s">
        <v>9419</v>
      </c>
      <c r="B4460" s="2" t="s">
        <v>9419</v>
      </c>
      <c r="C4460" s="2" t="s">
        <v>16</v>
      </c>
      <c r="D4460" s="2" t="s">
        <v>17</v>
      </c>
      <c r="E4460" s="5">
        <v>-31465</v>
      </c>
      <c r="F4460" s="3" t="s">
        <v>2930</v>
      </c>
      <c r="G4460" s="3" t="s">
        <v>87</v>
      </c>
      <c r="H4460" s="2" t="s">
        <v>20</v>
      </c>
      <c r="I4460" s="2" t="s">
        <v>9426</v>
      </c>
      <c r="J4460" s="3" t="str">
        <f>HYPERLINK("https://www.boe.es/gazeta/dias/1813/11/06/pdfs/GRE-1813-145.pdf#page=7","Abrir facsímil")</f>
        <v>Abrir facsímil</v>
      </c>
      <c r="K4460" s="3" t="s">
        <v>22</v>
      </c>
    </row>
    <row r="4461" spans="1:11" ht="42" customHeight="1">
      <c r="A4461" s="2" t="s">
        <v>9419</v>
      </c>
      <c r="B4461" s="2" t="s">
        <v>9419</v>
      </c>
      <c r="C4461" s="2" t="s">
        <v>16</v>
      </c>
      <c r="D4461" s="2" t="s">
        <v>17</v>
      </c>
      <c r="E4461" s="5">
        <v>-31465</v>
      </c>
      <c r="F4461" s="3" t="s">
        <v>2930</v>
      </c>
      <c r="G4461" s="3" t="s">
        <v>28</v>
      </c>
      <c r="H4461" s="2" t="s">
        <v>20</v>
      </c>
      <c r="I4461" s="2" t="s">
        <v>9427</v>
      </c>
      <c r="J4461" s="3" t="str">
        <f>HYPERLINK("https://www.boe.es/gazeta/dias/1813/11/06/pdfs/GRE-1813-145.pdf#page=8","Abrir facsímil")</f>
        <v>Abrir facsímil</v>
      </c>
      <c r="K4461" s="3" t="s">
        <v>22</v>
      </c>
    </row>
    <row r="4462" spans="1:11" ht="42" customHeight="1">
      <c r="A4462" s="2" t="s">
        <v>9419</v>
      </c>
      <c r="B4462" s="2" t="s">
        <v>9419</v>
      </c>
      <c r="C4462" s="2" t="s">
        <v>16</v>
      </c>
      <c r="D4462" s="2" t="s">
        <v>17</v>
      </c>
      <c r="E4462" s="5">
        <v>-31444</v>
      </c>
      <c r="F4462" s="3" t="s">
        <v>389</v>
      </c>
      <c r="G4462" s="3" t="s">
        <v>95</v>
      </c>
      <c r="H4462" s="2" t="s">
        <v>20</v>
      </c>
      <c r="I4462" s="2" t="s">
        <v>9428</v>
      </c>
      <c r="J4462" s="3" t="str">
        <f>HYPERLINK("https://www.boe.es/gazeta/dias/1813/11/27/pdfs/GMR-1813-80.pdf#page=6","Abrir facsímil")</f>
        <v>Abrir facsímil</v>
      </c>
      <c r="K4462" s="3" t="s">
        <v>22</v>
      </c>
    </row>
    <row r="4463" spans="1:11" ht="42" customHeight="1">
      <c r="A4463" s="2" t="s">
        <v>9429</v>
      </c>
      <c r="B4463" s="2" t="s">
        <v>9430</v>
      </c>
      <c r="C4463" s="2" t="s">
        <v>16</v>
      </c>
      <c r="D4463" s="2" t="s">
        <v>17</v>
      </c>
      <c r="E4463" s="5">
        <v>-31612</v>
      </c>
      <c r="F4463" s="3" t="s">
        <v>5784</v>
      </c>
      <c r="G4463" s="3" t="s">
        <v>28</v>
      </c>
      <c r="H4463" s="2" t="s">
        <v>29</v>
      </c>
      <c r="I4463" s="2" t="s">
        <v>9431</v>
      </c>
      <c r="J4463" s="3" t="str">
        <f>HYPERLINK("https://www.boe.es/gazeta/dias/1813/06/12/pdfs/GRE-1813-73.pdf#page=8","Abrir facsímil")</f>
        <v>Abrir facsímil</v>
      </c>
      <c r="K4463" s="3" t="s">
        <v>31</v>
      </c>
    </row>
    <row r="4464" spans="1:11" ht="42" customHeight="1">
      <c r="A4464" s="2" t="s">
        <v>9432</v>
      </c>
      <c r="B4464" s="2" t="s">
        <v>9433</v>
      </c>
      <c r="C4464" s="2" t="s">
        <v>16</v>
      </c>
      <c r="D4464" s="2" t="s">
        <v>17</v>
      </c>
      <c r="E4464" s="5">
        <v>-31644</v>
      </c>
      <c r="F4464" s="3" t="s">
        <v>3904</v>
      </c>
      <c r="G4464" s="3" t="s">
        <v>8060</v>
      </c>
      <c r="H4464" s="2" t="s">
        <v>20</v>
      </c>
      <c r="I4464" s="2" t="s">
        <v>9434</v>
      </c>
      <c r="J4464" s="3" t="str">
        <f>HYPERLINK("https://www.boe.es/gazeta/dias/1813/05/11/pdfs/GRE-1813-58.pdf#page=5","Abrir facsímil")</f>
        <v>Abrir facsímil</v>
      </c>
      <c r="K4464" s="3" t="s">
        <v>22</v>
      </c>
    </row>
    <row r="4465" spans="1:11" ht="42" customHeight="1">
      <c r="A4465" s="2" t="s">
        <v>9432</v>
      </c>
      <c r="B4465" s="2" t="s">
        <v>9433</v>
      </c>
      <c r="C4465" s="2" t="s">
        <v>16</v>
      </c>
      <c r="D4465" s="2" t="s">
        <v>17</v>
      </c>
      <c r="E4465" s="5">
        <v>-31609</v>
      </c>
      <c r="F4465" s="3" t="s">
        <v>711</v>
      </c>
      <c r="G4465" s="3" t="s">
        <v>82</v>
      </c>
      <c r="H4465" s="2" t="s">
        <v>20</v>
      </c>
      <c r="I4465" s="2" t="s">
        <v>9435</v>
      </c>
      <c r="J4465" s="3" t="str">
        <f>HYPERLINK("https://www.boe.es/gazeta/dias/1813/06/15/pdfs/GMR-1813-6.pdf#page=5","Abrir facsímil")</f>
        <v>Abrir facsímil</v>
      </c>
      <c r="K4465" s="3" t="s">
        <v>22</v>
      </c>
    </row>
    <row r="4466" spans="1:11" ht="42" customHeight="1">
      <c r="A4466" s="2" t="s">
        <v>9432</v>
      </c>
      <c r="B4466" s="2" t="s">
        <v>9433</v>
      </c>
      <c r="C4466" s="2" t="s">
        <v>16</v>
      </c>
      <c r="D4466" s="2" t="s">
        <v>17</v>
      </c>
      <c r="E4466" s="5">
        <v>-31479</v>
      </c>
      <c r="F4466" s="3" t="s">
        <v>322</v>
      </c>
      <c r="G4466" s="3" t="s">
        <v>87</v>
      </c>
      <c r="H4466" s="2" t="s">
        <v>20</v>
      </c>
      <c r="I4466" s="2" t="s">
        <v>9436</v>
      </c>
      <c r="J4466" s="3" t="str">
        <f>HYPERLINK("https://www.boe.es/gazeta/dias/1813/10/23/pdfs/GMR-1813-63.pdf#page=7","Abrir facsímil")</f>
        <v>Abrir facsímil</v>
      </c>
      <c r="K4466" s="3" t="s">
        <v>22</v>
      </c>
    </row>
    <row r="4467" spans="1:11" ht="42" customHeight="1">
      <c r="A4467" s="2" t="s">
        <v>9437</v>
      </c>
      <c r="B4467" s="2" t="s">
        <v>9438</v>
      </c>
      <c r="C4467" s="2" t="s">
        <v>25</v>
      </c>
      <c r="D4467" s="2" t="s">
        <v>26</v>
      </c>
      <c r="E4467" s="5">
        <v>-31476</v>
      </c>
      <c r="F4467" s="3" t="s">
        <v>158</v>
      </c>
      <c r="G4467" s="3" t="s">
        <v>28</v>
      </c>
      <c r="H4467" s="2" t="s">
        <v>20</v>
      </c>
      <c r="I4467" s="2" t="s">
        <v>9439</v>
      </c>
      <c r="J4467" s="3" t="str">
        <f>HYPERLINK("https://www.boe.es/gazeta/dias/1813/10/26/pdfs/GMR-1813-64.pdf#page=8","Abrir facsímil")</f>
        <v>Abrir facsímil</v>
      </c>
      <c r="K4467" s="3" t="s">
        <v>22</v>
      </c>
    </row>
    <row r="4468" spans="1:11" ht="42" customHeight="1">
      <c r="A4468" s="2" t="s">
        <v>9440</v>
      </c>
      <c r="B4468" s="2" t="s">
        <v>9441</v>
      </c>
      <c r="C4468" s="2" t="s">
        <v>25</v>
      </c>
      <c r="D4468" s="2" t="s">
        <v>26</v>
      </c>
      <c r="E4468" s="5">
        <v>-31745</v>
      </c>
      <c r="F4468" s="3" t="s">
        <v>445</v>
      </c>
      <c r="G4468" s="3" t="s">
        <v>28</v>
      </c>
      <c r="H4468" s="2" t="s">
        <v>20</v>
      </c>
      <c r="I4468" s="2" t="s">
        <v>9442</v>
      </c>
      <c r="J4468" s="3" t="str">
        <f>HYPERLINK("https://www.boe.es/gazeta/dias/1813/01/30/pdfs/GRE-1813-13.pdf#page=8","Abrir facsímil")</f>
        <v>Abrir facsímil</v>
      </c>
      <c r="K4468" s="3" t="s">
        <v>22</v>
      </c>
    </row>
    <row r="4469" spans="1:11" ht="42" customHeight="1">
      <c r="A4469" s="2" t="s">
        <v>9443</v>
      </c>
      <c r="B4469" s="2" t="s">
        <v>9444</v>
      </c>
      <c r="C4469" s="2" t="s">
        <v>187</v>
      </c>
      <c r="D4469" s="2" t="s">
        <v>26</v>
      </c>
      <c r="E4469" s="5">
        <v>-31719</v>
      </c>
      <c r="F4469" s="3" t="s">
        <v>251</v>
      </c>
      <c r="G4469" s="3" t="s">
        <v>19</v>
      </c>
      <c r="H4469" s="2" t="s">
        <v>20</v>
      </c>
      <c r="I4469" s="2" t="s">
        <v>9445</v>
      </c>
      <c r="J4469" s="3" t="str">
        <f>HYPERLINK("https://www.boe.es/gazeta/dias/1813/02/25/pdfs/GMD-1813-56.pdf#page=4","Abrir facsímil")</f>
        <v>Abrir facsímil</v>
      </c>
      <c r="K4469" s="3" t="s">
        <v>22</v>
      </c>
    </row>
    <row r="4470" spans="1:11" ht="42" customHeight="1">
      <c r="A4470" s="2" t="s">
        <v>9446</v>
      </c>
      <c r="B4470" s="2" t="s">
        <v>9447</v>
      </c>
      <c r="C4470" s="2" t="s">
        <v>34</v>
      </c>
      <c r="D4470" s="2" t="s">
        <v>35</v>
      </c>
      <c r="E4470" s="5">
        <v>-31709</v>
      </c>
      <c r="F4470" s="3" t="s">
        <v>36</v>
      </c>
      <c r="G4470" s="3" t="s">
        <v>19</v>
      </c>
      <c r="H4470" s="2" t="s">
        <v>20</v>
      </c>
      <c r="I4470" s="2" t="s">
        <v>9448</v>
      </c>
      <c r="J4470" s="3" t="str">
        <f>HYPERLINK("https://www.boe.es/gazeta/dias/1813/03/07/pdfs/GMD-1813-66.pdf#page=4","Abrir facsímil")</f>
        <v>Abrir facsímil</v>
      </c>
      <c r="K4470" s="3" t="s">
        <v>22</v>
      </c>
    </row>
    <row r="4471" spans="1:11" ht="42" customHeight="1">
      <c r="A4471" s="2" t="s">
        <v>9449</v>
      </c>
      <c r="B4471" s="2" t="s">
        <v>9450</v>
      </c>
      <c r="C4471" s="2" t="s">
        <v>187</v>
      </c>
      <c r="D4471" s="2" t="s">
        <v>26</v>
      </c>
      <c r="E4471" s="5">
        <v>-31649</v>
      </c>
      <c r="F4471" s="3" t="s">
        <v>3961</v>
      </c>
      <c r="G4471" s="3" t="s">
        <v>19</v>
      </c>
      <c r="H4471" s="2" t="s">
        <v>20</v>
      </c>
      <c r="I4471" s="2" t="s">
        <v>9451</v>
      </c>
      <c r="J4471" s="3" t="str">
        <f>HYPERLINK("https://www.boe.es/gazeta/dias/1813/05/06/pdfs/GMD-1813-126.pdf#page=4","Abrir facsímil")</f>
        <v>Abrir facsímil</v>
      </c>
      <c r="K4471" s="3" t="s">
        <v>22</v>
      </c>
    </row>
    <row r="4472" spans="1:11" ht="42" customHeight="1">
      <c r="A4472" s="2" t="s">
        <v>9452</v>
      </c>
      <c r="B4472" s="2" t="s">
        <v>9452</v>
      </c>
      <c r="C4472" s="2" t="s">
        <v>16</v>
      </c>
      <c r="D4472" s="2" t="s">
        <v>17</v>
      </c>
      <c r="E4472" s="5">
        <v>-31432</v>
      </c>
      <c r="F4472" s="3" t="s">
        <v>702</v>
      </c>
      <c r="G4472" s="3" t="s">
        <v>87</v>
      </c>
      <c r="H4472" s="2" t="s">
        <v>20</v>
      </c>
      <c r="I4472" s="2" t="s">
        <v>9453</v>
      </c>
      <c r="J4472" s="3" t="str">
        <f>HYPERLINK("https://www.boe.es/gazeta/dias/1813/12/09/pdfs/GMR-1813-85.pdf#page=7","Abrir facsímil")</f>
        <v>Abrir facsímil</v>
      </c>
      <c r="K4472" s="3" t="s">
        <v>22</v>
      </c>
    </row>
    <row r="4473" spans="1:11" ht="42" customHeight="1">
      <c r="A4473" s="2" t="s">
        <v>9454</v>
      </c>
      <c r="B4473" s="2" t="s">
        <v>9454</v>
      </c>
      <c r="C4473" s="2" t="s">
        <v>16</v>
      </c>
      <c r="D4473" s="2" t="s">
        <v>17</v>
      </c>
      <c r="E4473" s="5">
        <v>-31691</v>
      </c>
      <c r="F4473" s="3" t="s">
        <v>1621</v>
      </c>
      <c r="G4473" s="3" t="s">
        <v>58</v>
      </c>
      <c r="H4473" s="2" t="s">
        <v>20</v>
      </c>
      <c r="I4473" s="2" t="s">
        <v>9455</v>
      </c>
      <c r="J4473" s="3" t="str">
        <f>HYPERLINK("https://www.boe.es/gazeta/dias/1813/03/25/pdfs/GMD-1813-84.pdf#page=2","Abrir facsímil")</f>
        <v>Abrir facsímil</v>
      </c>
      <c r="K4473" s="3" t="s">
        <v>22</v>
      </c>
    </row>
    <row r="4474" spans="1:11" ht="42" customHeight="1">
      <c r="A4474" s="2" t="s">
        <v>9456</v>
      </c>
      <c r="B4474" s="2" t="s">
        <v>9456</v>
      </c>
      <c r="C4474" s="2" t="s">
        <v>16</v>
      </c>
      <c r="D4474" s="2" t="s">
        <v>17</v>
      </c>
      <c r="E4474" s="5">
        <v>-31680</v>
      </c>
      <c r="F4474" s="3" t="s">
        <v>4851</v>
      </c>
      <c r="G4474" s="3" t="s">
        <v>4852</v>
      </c>
      <c r="H4474" s="2" t="s">
        <v>20</v>
      </c>
      <c r="I4474" s="2" t="s">
        <v>9457</v>
      </c>
      <c r="J4474" s="3" t="str">
        <f>HYPERLINK("https://www.boe.es/gazeta/dias/1813/04/05/pdfs/GMD-1813-95.pdf#page=4","Abrir facsímil")</f>
        <v>Abrir facsímil</v>
      </c>
      <c r="K4474" s="3" t="s">
        <v>22</v>
      </c>
    </row>
    <row r="4475" spans="1:11" ht="42" customHeight="1">
      <c r="A4475" s="2" t="s">
        <v>9458</v>
      </c>
      <c r="B4475" s="2" t="s">
        <v>9458</v>
      </c>
      <c r="C4475" s="2" t="s">
        <v>25</v>
      </c>
      <c r="D4475" s="2" t="s">
        <v>26</v>
      </c>
      <c r="E4475" s="5">
        <v>-31745</v>
      </c>
      <c r="F4475" s="3" t="s">
        <v>445</v>
      </c>
      <c r="G4475" s="3" t="s">
        <v>28</v>
      </c>
      <c r="H4475" s="2" t="s">
        <v>20</v>
      </c>
      <c r="I4475" s="2" t="s">
        <v>9459</v>
      </c>
      <c r="J4475" s="3" t="str">
        <f>HYPERLINK("https://www.boe.es/gazeta/dias/1813/01/30/pdfs/GRE-1813-13.pdf#page=8","Abrir facsímil")</f>
        <v>Abrir facsímil</v>
      </c>
      <c r="K4475" s="3" t="s">
        <v>22</v>
      </c>
    </row>
    <row r="4476" spans="1:11" ht="42" customHeight="1">
      <c r="A4476" s="2" t="s">
        <v>9460</v>
      </c>
      <c r="B4476" s="2" t="s">
        <v>9461</v>
      </c>
      <c r="C4476" s="2" t="s">
        <v>16</v>
      </c>
      <c r="D4476" s="2" t="s">
        <v>17</v>
      </c>
      <c r="E4476" s="5">
        <v>-31759</v>
      </c>
      <c r="F4476" s="3" t="s">
        <v>419</v>
      </c>
      <c r="G4476" s="3" t="s">
        <v>420</v>
      </c>
      <c r="H4476" s="2" t="s">
        <v>20</v>
      </c>
      <c r="I4476" s="2" t="s">
        <v>9462</v>
      </c>
      <c r="J4476" s="3" t="str">
        <f>HYPERLINK("https://www.boe.es/gazeta/dias/1813/01/16/pdfs/GRE-1813-7.pdf#page=8","Abrir facsímil")</f>
        <v>Abrir facsímil</v>
      </c>
      <c r="K4476" s="3" t="s">
        <v>22</v>
      </c>
    </row>
    <row r="4477" spans="1:11" ht="42" customHeight="1">
      <c r="A4477" s="2" t="s">
        <v>9463</v>
      </c>
      <c r="B4477" s="2" t="s">
        <v>9464</v>
      </c>
      <c r="C4477" s="2" t="s">
        <v>16</v>
      </c>
      <c r="D4477" s="2" t="s">
        <v>17</v>
      </c>
      <c r="E4477" s="5">
        <v>-31579</v>
      </c>
      <c r="F4477" s="3" t="s">
        <v>609</v>
      </c>
      <c r="G4477" s="3" t="s">
        <v>87</v>
      </c>
      <c r="H4477" s="2" t="s">
        <v>20</v>
      </c>
      <c r="I4477" s="2" t="s">
        <v>9465</v>
      </c>
      <c r="J4477" s="3" t="str">
        <f>HYPERLINK("https://www.boe.es/gazeta/dias/1813/07/15/pdfs/GRE-1813-89.pdf#page=7","Abrir facsímil")</f>
        <v>Abrir facsímil</v>
      </c>
      <c r="K4477" s="3" t="s">
        <v>22</v>
      </c>
    </row>
    <row r="4478" spans="1:11" ht="42" customHeight="1">
      <c r="A4478" s="2" t="s">
        <v>9466</v>
      </c>
      <c r="B4478" s="2" t="s">
        <v>9467</v>
      </c>
      <c r="C4478" s="2" t="s">
        <v>16</v>
      </c>
      <c r="D4478" s="2" t="s">
        <v>17</v>
      </c>
      <c r="E4478" s="5">
        <v>-31766</v>
      </c>
      <c r="F4478" s="3" t="s">
        <v>1356</v>
      </c>
      <c r="G4478" s="3" t="s">
        <v>28</v>
      </c>
      <c r="H4478" s="2" t="s">
        <v>20</v>
      </c>
      <c r="I4478" s="2" t="s">
        <v>9468</v>
      </c>
      <c r="J4478" s="3" t="str">
        <f>HYPERLINK("https://www.boe.es/gazeta/dias/1813/01/09/pdfs/GRE-1813-4.pdf#page=8","Abrir facsímil")</f>
        <v>Abrir facsímil</v>
      </c>
      <c r="K4478" s="3" t="s">
        <v>22</v>
      </c>
    </row>
    <row r="4479" spans="1:11" ht="42" customHeight="1">
      <c r="A4479" s="2" t="s">
        <v>9469</v>
      </c>
      <c r="B4479" s="2" t="s">
        <v>9470</v>
      </c>
      <c r="C4479" s="2" t="s">
        <v>16</v>
      </c>
      <c r="D4479" s="2" t="s">
        <v>17</v>
      </c>
      <c r="E4479" s="5">
        <v>-31453</v>
      </c>
      <c r="F4479" s="3" t="s">
        <v>695</v>
      </c>
      <c r="G4479" s="3" t="s">
        <v>2334</v>
      </c>
      <c r="H4479" s="2" t="s">
        <v>20</v>
      </c>
      <c r="I4479" s="2" t="s">
        <v>9471</v>
      </c>
      <c r="J4479" s="3" t="str">
        <f>HYPERLINK("https://www.boe.es/gazeta/dias/1813/11/18/pdfs/GRE-1813-151.pdf#page=8","Abrir facsímil")</f>
        <v>Abrir facsímil</v>
      </c>
      <c r="K4479" s="3" t="s">
        <v>22</v>
      </c>
    </row>
    <row r="4480" spans="1:11" ht="42" customHeight="1">
      <c r="A4480" s="2" t="s">
        <v>9472</v>
      </c>
      <c r="B4480" s="2" t="s">
        <v>9473</v>
      </c>
      <c r="C4480" s="2" t="s">
        <v>25</v>
      </c>
      <c r="D4480" s="2" t="s">
        <v>26</v>
      </c>
      <c r="E4480" s="5">
        <v>-31675</v>
      </c>
      <c r="F4480" s="3" t="s">
        <v>27</v>
      </c>
      <c r="G4480" s="3" t="s">
        <v>28</v>
      </c>
      <c r="H4480" s="2" t="s">
        <v>20</v>
      </c>
      <c r="I4480" s="2" t="s">
        <v>9474</v>
      </c>
      <c r="J4480" s="3" t="str">
        <f>HYPERLINK("https://www.boe.es/gazeta/dias/1813/04/10/pdfs/GRE-1813-44.pdf#page=8","Abrir facsímil")</f>
        <v>Abrir facsímil</v>
      </c>
      <c r="K4480" s="3" t="s">
        <v>22</v>
      </c>
    </row>
    <row r="4481" spans="1:11" ht="42" customHeight="1">
      <c r="A4481" s="2" t="s">
        <v>9475</v>
      </c>
      <c r="B4481" s="2" t="s">
        <v>9476</v>
      </c>
      <c r="C4481" s="2" t="s">
        <v>34</v>
      </c>
      <c r="D4481" s="2" t="s">
        <v>35</v>
      </c>
      <c r="E4481" s="5">
        <v>-31658</v>
      </c>
      <c r="F4481" s="3" t="s">
        <v>1654</v>
      </c>
      <c r="G4481" s="3" t="s">
        <v>54</v>
      </c>
      <c r="H4481" s="2" t="s">
        <v>20</v>
      </c>
      <c r="I4481" s="2" t="s">
        <v>9477</v>
      </c>
      <c r="J4481" s="3" t="str">
        <f>HYPERLINK("https://www.boe.es/gazeta/dias/1813/04/27/pdfs/GMD-1813-117.pdf#page=3","Abrir facsímil")</f>
        <v>Abrir facsímil</v>
      </c>
      <c r="K4481" s="3" t="s">
        <v>22</v>
      </c>
    </row>
    <row r="4482" spans="1:11" ht="42" customHeight="1">
      <c r="A4482" s="2" t="s">
        <v>9478</v>
      </c>
      <c r="B4482" s="2" t="s">
        <v>9479</v>
      </c>
      <c r="C4482" s="2" t="s">
        <v>25</v>
      </c>
      <c r="D4482" s="2" t="s">
        <v>26</v>
      </c>
      <c r="E4482" s="5">
        <v>-31668</v>
      </c>
      <c r="F4482" s="3" t="s">
        <v>574</v>
      </c>
      <c r="G4482" s="3" t="s">
        <v>82</v>
      </c>
      <c r="H4482" s="2" t="s">
        <v>20</v>
      </c>
      <c r="I4482" s="2" t="s">
        <v>9480</v>
      </c>
      <c r="J4482" s="3" t="str">
        <f>HYPERLINK("https://www.boe.es/gazeta/dias/1813/04/17/pdfs/GRE-1813-48.pdf#page=5","Abrir facsímil")</f>
        <v>Abrir facsímil</v>
      </c>
      <c r="K4482" s="3" t="s">
        <v>22</v>
      </c>
    </row>
    <row r="4483" spans="1:11" ht="42" customHeight="1">
      <c r="A4483" s="2" t="s">
        <v>9481</v>
      </c>
      <c r="B4483" s="2" t="s">
        <v>9481</v>
      </c>
      <c r="C4483" s="2" t="s">
        <v>16</v>
      </c>
      <c r="D4483" s="2" t="s">
        <v>17</v>
      </c>
      <c r="E4483" s="5">
        <v>-31592</v>
      </c>
      <c r="F4483" s="3" t="s">
        <v>175</v>
      </c>
      <c r="G4483" s="3" t="s">
        <v>54</v>
      </c>
      <c r="H4483" s="2" t="s">
        <v>20</v>
      </c>
      <c r="I4483" s="2" t="s">
        <v>9482</v>
      </c>
      <c r="J4483" s="3" t="str">
        <f>HYPERLINK("https://www.boe.es/gazeta/dias/1813/07/02/pdfs/GRE-1813-82.pdf#page=3","Abrir facsímil")</f>
        <v>Abrir facsímil</v>
      </c>
      <c r="K4483" s="3" t="s">
        <v>22</v>
      </c>
    </row>
    <row r="4484" spans="1:11" ht="42" customHeight="1">
      <c r="A4484" s="2" t="s">
        <v>9483</v>
      </c>
      <c r="B4484" s="2" t="s">
        <v>9484</v>
      </c>
      <c r="C4484" s="2" t="s">
        <v>16</v>
      </c>
      <c r="D4484" s="2" t="s">
        <v>97</v>
      </c>
      <c r="E4484" s="5">
        <v>-31519</v>
      </c>
      <c r="F4484" s="3" t="s">
        <v>312</v>
      </c>
      <c r="G4484" s="3" t="s">
        <v>87</v>
      </c>
      <c r="H4484" s="2" t="s">
        <v>20</v>
      </c>
      <c r="I4484" s="2" t="s">
        <v>9485</v>
      </c>
      <c r="J4484" s="3" t="str">
        <f>HYPERLINK("https://www.boe.es/gazeta/dias/1813/09/13/pdfs/GRE-1813-118E.pdf#page=7","Abrir facsímil")</f>
        <v>Abrir facsímil</v>
      </c>
      <c r="K4484" s="3" t="s">
        <v>22</v>
      </c>
    </row>
    <row r="4485" spans="1:11" ht="42" customHeight="1">
      <c r="A4485" s="2" t="s">
        <v>9486</v>
      </c>
      <c r="B4485" s="2" t="s">
        <v>9487</v>
      </c>
      <c r="C4485" s="2" t="s">
        <v>16</v>
      </c>
      <c r="D4485" s="2" t="s">
        <v>17</v>
      </c>
      <c r="E4485" s="5">
        <v>-31585</v>
      </c>
      <c r="F4485" s="3" t="s">
        <v>177</v>
      </c>
      <c r="G4485" s="3" t="s">
        <v>821</v>
      </c>
      <c r="H4485" s="2" t="s">
        <v>20</v>
      </c>
      <c r="I4485" s="2" t="s">
        <v>9488</v>
      </c>
      <c r="J4485" s="3" t="str">
        <f>HYPERLINK("https://www.boe.es/gazeta/dias/1813/07/09/pdfs/GMR-1813-16.pdf#page=13","Abrir facsímil")</f>
        <v>Abrir facsímil</v>
      </c>
      <c r="K4485" s="3" t="s">
        <v>22</v>
      </c>
    </row>
    <row r="4486" spans="1:11" ht="42" customHeight="1">
      <c r="A4486" s="2" t="s">
        <v>9486</v>
      </c>
      <c r="B4486" s="2" t="s">
        <v>9487</v>
      </c>
      <c r="C4486" s="2" t="s">
        <v>16</v>
      </c>
      <c r="D4486" s="2" t="s">
        <v>17</v>
      </c>
      <c r="E4486" s="5">
        <v>-31579</v>
      </c>
      <c r="F4486" s="3" t="s">
        <v>609</v>
      </c>
      <c r="G4486" s="3" t="s">
        <v>95</v>
      </c>
      <c r="H4486" s="2" t="s">
        <v>20</v>
      </c>
      <c r="I4486" s="2" t="s">
        <v>9489</v>
      </c>
      <c r="J4486" s="3" t="str">
        <f>HYPERLINK("https://www.boe.es/gazeta/dias/1813/07/15/pdfs/GRE-1813-89.pdf#page=6","Abrir facsímil")</f>
        <v>Abrir facsímil</v>
      </c>
      <c r="K4486" s="3" t="s">
        <v>22</v>
      </c>
    </row>
    <row r="4487" spans="1:11" ht="42" customHeight="1">
      <c r="A4487" s="2" t="s">
        <v>9486</v>
      </c>
      <c r="B4487" s="2" t="s">
        <v>9487</v>
      </c>
      <c r="C4487" s="2" t="s">
        <v>16</v>
      </c>
      <c r="D4487" s="2" t="s">
        <v>17</v>
      </c>
      <c r="E4487" s="5">
        <v>-31521</v>
      </c>
      <c r="F4487" s="3" t="s">
        <v>1282</v>
      </c>
      <c r="G4487" s="3" t="s">
        <v>87</v>
      </c>
      <c r="H4487" s="2" t="s">
        <v>20</v>
      </c>
      <c r="I4487" s="2" t="s">
        <v>9490</v>
      </c>
      <c r="J4487" s="3" t="str">
        <f>HYPERLINK("https://www.boe.es/gazeta/dias/1813/09/11/pdfs/GMR-1813-41.pdf#page=7","Abrir facsímil")</f>
        <v>Abrir facsímil</v>
      </c>
      <c r="K4487" s="3" t="s">
        <v>22</v>
      </c>
    </row>
    <row r="4488" spans="1:11" ht="42" customHeight="1">
      <c r="A4488" s="2" t="s">
        <v>9486</v>
      </c>
      <c r="B4488" s="2" t="s">
        <v>9487</v>
      </c>
      <c r="C4488" s="2" t="s">
        <v>16</v>
      </c>
      <c r="D4488" s="2" t="s">
        <v>97</v>
      </c>
      <c r="E4488" s="5">
        <v>-31519</v>
      </c>
      <c r="F4488" s="3" t="s">
        <v>312</v>
      </c>
      <c r="G4488" s="3" t="s">
        <v>82</v>
      </c>
      <c r="H4488" s="2" t="s">
        <v>20</v>
      </c>
      <c r="I4488" s="2" t="s">
        <v>9491</v>
      </c>
      <c r="J4488" s="3" t="str">
        <f>HYPERLINK("https://www.boe.es/gazeta/dias/1813/09/13/pdfs/GRE-1813-118E.pdf#page=5","Abrir facsímil")</f>
        <v>Abrir facsímil</v>
      </c>
      <c r="K4488" s="3" t="s">
        <v>22</v>
      </c>
    </row>
    <row r="4489" spans="1:11" ht="42" customHeight="1">
      <c r="A4489" s="2" t="s">
        <v>9486</v>
      </c>
      <c r="B4489" s="2" t="s">
        <v>9487</v>
      </c>
      <c r="C4489" s="2" t="s">
        <v>16</v>
      </c>
      <c r="D4489" s="2" t="s">
        <v>17</v>
      </c>
      <c r="E4489" s="5">
        <v>-31507</v>
      </c>
      <c r="F4489" s="3" t="s">
        <v>61</v>
      </c>
      <c r="G4489" s="3" t="s">
        <v>28</v>
      </c>
      <c r="H4489" s="2" t="s">
        <v>20</v>
      </c>
      <c r="I4489" s="2" t="s">
        <v>9492</v>
      </c>
      <c r="J4489" s="3" t="str">
        <f>HYPERLINK("https://www.boe.es/gazeta/dias/1813/09/25/pdfs/GMR-1813-48.pdf#page=8","Abrir facsímil")</f>
        <v>Abrir facsímil</v>
      </c>
      <c r="K4489" s="3" t="s">
        <v>22</v>
      </c>
    </row>
    <row r="4490" spans="1:11" ht="42" customHeight="1">
      <c r="A4490" s="2" t="s">
        <v>9493</v>
      </c>
      <c r="B4490" s="2" t="s">
        <v>9493</v>
      </c>
      <c r="C4490" s="2" t="s">
        <v>16</v>
      </c>
      <c r="D4490" s="2" t="s">
        <v>17</v>
      </c>
      <c r="E4490" s="5">
        <v>-31495</v>
      </c>
      <c r="F4490" s="3" t="s">
        <v>484</v>
      </c>
      <c r="G4490" s="3" t="s">
        <v>58</v>
      </c>
      <c r="H4490" s="2" t="s">
        <v>20</v>
      </c>
      <c r="I4490" s="2" t="s">
        <v>9494</v>
      </c>
      <c r="J4490" s="3" t="str">
        <f>HYPERLINK("https://www.boe.es/gazeta/dias/1813/10/07/pdfs/GRE-1813-131.pdf#page=2","Abrir facsímil")</f>
        <v>Abrir facsímil</v>
      </c>
      <c r="K4490" s="3" t="s">
        <v>22</v>
      </c>
    </row>
    <row r="4491" spans="1:11" ht="42" customHeight="1">
      <c r="A4491" s="2" t="s">
        <v>9495</v>
      </c>
      <c r="B4491" s="2" t="s">
        <v>9495</v>
      </c>
      <c r="C4491" s="2" t="s">
        <v>16</v>
      </c>
      <c r="D4491" s="2" t="s">
        <v>17</v>
      </c>
      <c r="E4491" s="5">
        <v>-31564</v>
      </c>
      <c r="F4491" s="3" t="s">
        <v>206</v>
      </c>
      <c r="G4491" s="3" t="s">
        <v>54</v>
      </c>
      <c r="H4491" s="2" t="s">
        <v>20</v>
      </c>
      <c r="I4491" s="2" t="s">
        <v>9496</v>
      </c>
      <c r="J4491" s="3" t="str">
        <f>HYPERLINK("https://www.boe.es/gazeta/dias/1813/07/30/pdfs/GMR-1813-22.pdf#page=3","Abrir facsímil")</f>
        <v>Abrir facsímil</v>
      </c>
      <c r="K4491" s="3" t="s">
        <v>22</v>
      </c>
    </row>
    <row r="4492" spans="1:11" ht="42" customHeight="1">
      <c r="A4492" s="2" t="s">
        <v>9497</v>
      </c>
      <c r="B4492" s="2" t="s">
        <v>9497</v>
      </c>
      <c r="C4492" s="2" t="s">
        <v>16</v>
      </c>
      <c r="D4492" s="2" t="s">
        <v>17</v>
      </c>
      <c r="E4492" s="5">
        <v>-31462</v>
      </c>
      <c r="F4492" s="3" t="s">
        <v>1028</v>
      </c>
      <c r="G4492" s="3" t="s">
        <v>82</v>
      </c>
      <c r="H4492" s="2" t="s">
        <v>20</v>
      </c>
      <c r="I4492" s="2" t="s">
        <v>9498</v>
      </c>
      <c r="J4492" s="3" t="str">
        <f>HYPERLINK("https://www.boe.es/gazeta/dias/1813/11/09/pdfs/GMR-1813-71.pdf#page=5","Abrir facsímil")</f>
        <v>Abrir facsímil</v>
      </c>
      <c r="K4492" s="3" t="s">
        <v>22</v>
      </c>
    </row>
    <row r="4493" spans="1:11" ht="42" customHeight="1">
      <c r="A4493" s="2" t="s">
        <v>9497</v>
      </c>
      <c r="B4493" s="2" t="s">
        <v>9497</v>
      </c>
      <c r="C4493" s="2" t="s">
        <v>16</v>
      </c>
      <c r="D4493" s="2" t="s">
        <v>17</v>
      </c>
      <c r="E4493" s="5">
        <v>-31448</v>
      </c>
      <c r="F4493" s="3" t="s">
        <v>57</v>
      </c>
      <c r="G4493" s="3" t="s">
        <v>106</v>
      </c>
      <c r="H4493" s="2" t="s">
        <v>20</v>
      </c>
      <c r="I4493" s="2" t="s">
        <v>9499</v>
      </c>
      <c r="J4493" s="3" t="str">
        <f>HYPERLINK("https://www.boe.es/gazeta/dias/1813/11/23/pdfs/GRE-1813-153.pdf#page=1","Abrir facsímil")</f>
        <v>Abrir facsímil</v>
      </c>
      <c r="K4493" s="3" t="s">
        <v>22</v>
      </c>
    </row>
    <row r="4494" spans="1:11" ht="42" customHeight="1">
      <c r="A4494" s="2" t="s">
        <v>9497</v>
      </c>
      <c r="B4494" s="2" t="s">
        <v>9497</v>
      </c>
      <c r="C4494" s="2" t="s">
        <v>16</v>
      </c>
      <c r="D4494" s="2" t="s">
        <v>17</v>
      </c>
      <c r="E4494" s="5">
        <v>-31423</v>
      </c>
      <c r="F4494" s="3" t="s">
        <v>2465</v>
      </c>
      <c r="G4494" s="3" t="s">
        <v>54</v>
      </c>
      <c r="H4494" s="2" t="s">
        <v>20</v>
      </c>
      <c r="I4494" s="2" t="s">
        <v>9500</v>
      </c>
      <c r="J4494" s="3" t="str">
        <f>HYPERLINK("https://www.boe.es/gazeta/dias/1813/12/18/pdfs/GMR-1813-89.pdf#page=3","Abrir facsímil")</f>
        <v>Abrir facsímil</v>
      </c>
      <c r="K4494" s="3" t="s">
        <v>22</v>
      </c>
    </row>
    <row r="4495" spans="1:11" ht="42" customHeight="1">
      <c r="A4495" s="2" t="s">
        <v>9501</v>
      </c>
      <c r="B4495" s="2" t="s">
        <v>9502</v>
      </c>
      <c r="C4495" s="2" t="s">
        <v>25</v>
      </c>
      <c r="D4495" s="2" t="s">
        <v>26</v>
      </c>
      <c r="E4495" s="5">
        <v>-31684</v>
      </c>
      <c r="F4495" s="3" t="s">
        <v>427</v>
      </c>
      <c r="G4495" s="3" t="s">
        <v>1123</v>
      </c>
      <c r="H4495" s="2" t="s">
        <v>20</v>
      </c>
      <c r="I4495" s="2" t="s">
        <v>9503</v>
      </c>
      <c r="J4495" s="3" t="str">
        <f>HYPERLINK("https://www.boe.es/gazeta/dias/1813/04/01/pdfs/GRE-1813-40.pdf#page=8","Abrir facsímil")</f>
        <v>Abrir facsímil</v>
      </c>
      <c r="K4495" s="3" t="s">
        <v>22</v>
      </c>
    </row>
    <row r="4496" spans="1:11" ht="42" customHeight="1">
      <c r="A4496" s="2" t="s">
        <v>9504</v>
      </c>
      <c r="B4496" s="2" t="s">
        <v>9504</v>
      </c>
      <c r="C4496" s="2" t="s">
        <v>277</v>
      </c>
      <c r="D4496" s="2" t="s">
        <v>26</v>
      </c>
      <c r="E4496" s="5">
        <v>-31653</v>
      </c>
      <c r="F4496" s="3" t="s">
        <v>3121</v>
      </c>
      <c r="G4496" s="3" t="s">
        <v>65</v>
      </c>
      <c r="H4496" s="2" t="s">
        <v>20</v>
      </c>
      <c r="I4496" s="2" t="s">
        <v>9505</v>
      </c>
      <c r="J4496" s="3" t="str">
        <f>HYPERLINK("https://www.boe.es/gazeta/dias/1813/05/02/pdfs/GMD-1813-122.pdf#page=1","Abrir facsímil")</f>
        <v>Abrir facsímil</v>
      </c>
      <c r="K4496" s="3" t="s">
        <v>22</v>
      </c>
    </row>
    <row r="4497" spans="1:11" ht="42" customHeight="1">
      <c r="A4497" s="2" t="s">
        <v>9506</v>
      </c>
      <c r="B4497" s="2" t="s">
        <v>9507</v>
      </c>
      <c r="C4497" s="2" t="s">
        <v>34</v>
      </c>
      <c r="D4497" s="2" t="s">
        <v>35</v>
      </c>
      <c r="E4497" s="5">
        <v>-31680</v>
      </c>
      <c r="F4497" s="3" t="s">
        <v>4851</v>
      </c>
      <c r="G4497" s="3" t="s">
        <v>4852</v>
      </c>
      <c r="H4497" s="2" t="s">
        <v>29</v>
      </c>
      <c r="I4497" s="2" t="s">
        <v>9508</v>
      </c>
      <c r="J4497" s="3" t="str">
        <f>HYPERLINK("https://www.boe.es/gazeta/dias/1813/04/05/pdfs/GMD-1813-95.pdf#page=4","Abrir facsímil")</f>
        <v>Abrir facsímil</v>
      </c>
      <c r="K4497" s="3" t="s">
        <v>31</v>
      </c>
    </row>
    <row r="4498" spans="1:11" ht="42" customHeight="1">
      <c r="A4498" s="2" t="s">
        <v>9506</v>
      </c>
      <c r="B4498" s="2" t="s">
        <v>9507</v>
      </c>
      <c r="C4498" s="2" t="s">
        <v>34</v>
      </c>
      <c r="D4498" s="2" t="s">
        <v>35</v>
      </c>
      <c r="E4498" s="5">
        <v>-31675</v>
      </c>
      <c r="F4498" s="3" t="s">
        <v>2552</v>
      </c>
      <c r="G4498" s="3" t="s">
        <v>19</v>
      </c>
      <c r="H4498" s="2" t="s">
        <v>29</v>
      </c>
      <c r="I4498" s="2" t="s">
        <v>9509</v>
      </c>
      <c r="J4498" s="3" t="str">
        <f>HYPERLINK("https://www.boe.es/gazeta/dias/1813/04/10/pdfs/GMD-1813-100.pdf#page=4","Abrir facsímil")</f>
        <v>Abrir facsímil</v>
      </c>
      <c r="K4498" s="3" t="s">
        <v>31</v>
      </c>
    </row>
    <row r="4499" spans="1:11" ht="42" customHeight="1">
      <c r="A4499" s="2" t="s">
        <v>9510</v>
      </c>
      <c r="B4499" s="2" t="s">
        <v>9511</v>
      </c>
      <c r="C4499" s="2" t="s">
        <v>16</v>
      </c>
      <c r="D4499" s="2" t="s">
        <v>17</v>
      </c>
      <c r="E4499" s="5">
        <v>-31574</v>
      </c>
      <c r="F4499" s="3" t="s">
        <v>1343</v>
      </c>
      <c r="G4499" s="3" t="s">
        <v>9512</v>
      </c>
      <c r="H4499" s="2" t="s">
        <v>20</v>
      </c>
      <c r="I4499" s="2" t="s">
        <v>9513</v>
      </c>
      <c r="J4499" s="3" t="str">
        <f>HYPERLINK("https://www.boe.es/gazeta/dias/1813/07/20/pdfs/GMR-1813-19.pdf#page=8","Abrir facsímil")</f>
        <v>Abrir facsímil</v>
      </c>
      <c r="K4499" s="3" t="s">
        <v>22</v>
      </c>
    </row>
    <row r="4500" spans="1:11" ht="42" customHeight="1">
      <c r="A4500" s="2" t="s">
        <v>9514</v>
      </c>
      <c r="B4500" s="2" t="s">
        <v>9514</v>
      </c>
      <c r="C4500" s="2" t="s">
        <v>16</v>
      </c>
      <c r="D4500" s="2" t="s">
        <v>17</v>
      </c>
      <c r="E4500" s="5">
        <v>-31474</v>
      </c>
      <c r="F4500" s="3" t="s">
        <v>130</v>
      </c>
      <c r="G4500" s="3" t="s">
        <v>82</v>
      </c>
      <c r="H4500" s="2" t="s">
        <v>20</v>
      </c>
      <c r="I4500" s="2" t="s">
        <v>9515</v>
      </c>
      <c r="J4500" s="3" t="str">
        <f>HYPERLINK("https://www.boe.es/gazeta/dias/1813/10/28/pdfs/GRE-1813-141.pdf#page=5","Abrir facsímil")</f>
        <v>Abrir facsímil</v>
      </c>
      <c r="K4500" s="3" t="s">
        <v>22</v>
      </c>
    </row>
    <row r="4501" spans="1:11" ht="42" customHeight="1">
      <c r="A4501" s="2" t="s">
        <v>9516</v>
      </c>
      <c r="B4501" s="2" t="s">
        <v>9516</v>
      </c>
      <c r="C4501" s="2" t="s">
        <v>16</v>
      </c>
      <c r="D4501" s="2" t="s">
        <v>17</v>
      </c>
      <c r="E4501" s="5">
        <v>-31740</v>
      </c>
      <c r="F4501" s="3" t="s">
        <v>5259</v>
      </c>
      <c r="G4501" s="3" t="s">
        <v>58</v>
      </c>
      <c r="H4501" s="2" t="s">
        <v>20</v>
      </c>
      <c r="I4501" s="2" t="s">
        <v>9517</v>
      </c>
      <c r="J4501" s="3" t="str">
        <f>HYPERLINK("https://www.boe.es/gazeta/dias/1813/02/04/pdfs/GMD-1813-35.pdf#page=2","Abrir facsímil")</f>
        <v>Abrir facsímil</v>
      </c>
      <c r="K4501" s="3" t="s">
        <v>22</v>
      </c>
    </row>
    <row r="4502" spans="1:11" ht="42" customHeight="1">
      <c r="A4502" s="2" t="s">
        <v>9516</v>
      </c>
      <c r="B4502" s="2" t="s">
        <v>9516</v>
      </c>
      <c r="C4502" s="2" t="s">
        <v>16</v>
      </c>
      <c r="D4502" s="2" t="s">
        <v>17</v>
      </c>
      <c r="E4502" s="5">
        <v>-31502</v>
      </c>
      <c r="F4502" s="3" t="s">
        <v>1363</v>
      </c>
      <c r="G4502" s="3" t="s">
        <v>82</v>
      </c>
      <c r="H4502" s="2" t="s">
        <v>20</v>
      </c>
      <c r="I4502" s="2" t="s">
        <v>9518</v>
      </c>
      <c r="J4502" s="3" t="str">
        <f>HYPERLINK("https://www.boe.es/gazeta/dias/1813/09/30/pdfs/GRE-1813-128.pdf#page=5","Abrir facsímil")</f>
        <v>Abrir facsímil</v>
      </c>
      <c r="K4502" s="3" t="s">
        <v>22</v>
      </c>
    </row>
    <row r="4503" spans="1:11" ht="42" customHeight="1">
      <c r="A4503" s="2" t="s">
        <v>9516</v>
      </c>
      <c r="B4503" s="2" t="s">
        <v>9516</v>
      </c>
      <c r="C4503" s="2" t="s">
        <v>16</v>
      </c>
      <c r="D4503" s="2" t="s">
        <v>17</v>
      </c>
      <c r="E4503" s="5">
        <v>-31481</v>
      </c>
      <c r="F4503" s="3" t="s">
        <v>40</v>
      </c>
      <c r="G4503" s="3" t="s">
        <v>54</v>
      </c>
      <c r="H4503" s="2" t="s">
        <v>20</v>
      </c>
      <c r="I4503" s="2" t="s">
        <v>9519</v>
      </c>
      <c r="J4503" s="3" t="str">
        <f>HYPERLINK("https://www.boe.es/gazeta/dias/1813/10/21/pdfs/GMR-1813-62.pdf#page=3","Abrir facsímil")</f>
        <v>Abrir facsímil</v>
      </c>
      <c r="K4503" s="3" t="s">
        <v>22</v>
      </c>
    </row>
    <row r="4504" spans="1:11" ht="42" customHeight="1">
      <c r="A4504" s="2" t="s">
        <v>9520</v>
      </c>
      <c r="B4504" s="2" t="s">
        <v>9521</v>
      </c>
      <c r="C4504" s="2" t="s">
        <v>16</v>
      </c>
      <c r="D4504" s="2" t="s">
        <v>17</v>
      </c>
      <c r="E4504" s="5">
        <v>-31756</v>
      </c>
      <c r="F4504" s="3" t="s">
        <v>951</v>
      </c>
      <c r="G4504" s="3" t="s">
        <v>19</v>
      </c>
      <c r="H4504" s="2" t="s">
        <v>20</v>
      </c>
      <c r="I4504" s="2" t="s">
        <v>9522</v>
      </c>
      <c r="J4504" s="3" t="str">
        <f>HYPERLINK("https://www.boe.es/gazeta/dias/1813/01/19/pdfs/GRE-1813-8.pdf#page=4","Abrir facsímil")</f>
        <v>Abrir facsímil</v>
      </c>
      <c r="K4504" s="3" t="s">
        <v>22</v>
      </c>
    </row>
    <row r="4505" spans="1:11" ht="42" customHeight="1">
      <c r="A4505" s="2" t="s">
        <v>9523</v>
      </c>
      <c r="B4505" s="2" t="s">
        <v>9523</v>
      </c>
      <c r="C4505" s="2" t="s">
        <v>16</v>
      </c>
      <c r="D4505" s="2" t="s">
        <v>17</v>
      </c>
      <c r="E4505" s="5">
        <v>-31756</v>
      </c>
      <c r="F4505" s="3" t="s">
        <v>951</v>
      </c>
      <c r="G4505" s="3" t="s">
        <v>5886</v>
      </c>
      <c r="H4505" s="2" t="s">
        <v>20</v>
      </c>
      <c r="I4505" s="2" t="s">
        <v>9524</v>
      </c>
      <c r="J4505" s="3" t="str">
        <f>HYPERLINK("https://www.boe.es/gazeta/dias/1813/01/19/pdfs/GRE-1813-8.pdf#page=6","Abrir facsímil")</f>
        <v>Abrir facsímil</v>
      </c>
      <c r="K4505" s="3" t="s">
        <v>22</v>
      </c>
    </row>
    <row r="4506" spans="1:11" ht="42" customHeight="1">
      <c r="A4506" s="2" t="s">
        <v>9525</v>
      </c>
      <c r="B4506" s="2" t="s">
        <v>9526</v>
      </c>
      <c r="C4506" s="2" t="s">
        <v>16</v>
      </c>
      <c r="D4506" s="2" t="s">
        <v>17</v>
      </c>
      <c r="E4506" s="5">
        <v>-31756</v>
      </c>
      <c r="F4506" s="3" t="s">
        <v>951</v>
      </c>
      <c r="G4506" s="3" t="s">
        <v>952</v>
      </c>
      <c r="H4506" s="2" t="s">
        <v>20</v>
      </c>
      <c r="I4506" s="2" t="s">
        <v>9527</v>
      </c>
      <c r="J4506" s="3" t="str">
        <f>HYPERLINK("https://www.boe.es/gazeta/dias/1813/01/19/pdfs/GRE-1813-8.pdf#page=5","Abrir facsímil")</f>
        <v>Abrir facsímil</v>
      </c>
      <c r="K4506" s="3" t="s">
        <v>22</v>
      </c>
    </row>
    <row r="4507" spans="1:11" ht="42" customHeight="1">
      <c r="A4507" s="2" t="s">
        <v>9528</v>
      </c>
      <c r="B4507" s="2" t="s">
        <v>9528</v>
      </c>
      <c r="C4507" s="2" t="s">
        <v>16</v>
      </c>
      <c r="D4507" s="2" t="s">
        <v>17</v>
      </c>
      <c r="E4507" s="5">
        <v>-31747</v>
      </c>
      <c r="F4507" s="3" t="s">
        <v>86</v>
      </c>
      <c r="G4507" s="3" t="s">
        <v>3232</v>
      </c>
      <c r="H4507" s="2" t="s">
        <v>20</v>
      </c>
      <c r="I4507" s="2" t="s">
        <v>9529</v>
      </c>
      <c r="J4507" s="3" t="str">
        <f>HYPERLINK("https://www.boe.es/gazeta/dias/1813/01/28/pdfs/GRE-1813-12.pdf#page=6","Abrir facsímil")</f>
        <v>Abrir facsímil</v>
      </c>
      <c r="K4507" s="3" t="s">
        <v>22</v>
      </c>
    </row>
    <row r="4508" spans="1:11" ht="42" customHeight="1">
      <c r="A4508" s="2" t="s">
        <v>9530</v>
      </c>
      <c r="B4508" s="2" t="s">
        <v>9531</v>
      </c>
      <c r="C4508" s="2" t="s">
        <v>16</v>
      </c>
      <c r="D4508" s="2" t="s">
        <v>17</v>
      </c>
      <c r="E4508" s="5">
        <v>-31747</v>
      </c>
      <c r="F4508" s="3" t="s">
        <v>86</v>
      </c>
      <c r="G4508" s="3" t="s">
        <v>19</v>
      </c>
      <c r="H4508" s="2" t="s">
        <v>20</v>
      </c>
      <c r="I4508" s="2" t="s">
        <v>9532</v>
      </c>
      <c r="J4508" s="3" t="str">
        <f>HYPERLINK("https://www.boe.es/gazeta/dias/1813/01/28/pdfs/GRE-1813-12.pdf#page=4","Abrir facsímil")</f>
        <v>Abrir facsímil</v>
      </c>
      <c r="K4508" s="3" t="s">
        <v>22</v>
      </c>
    </row>
    <row r="4509" spans="1:11" ht="42" customHeight="1">
      <c r="A4509" s="2" t="s">
        <v>9530</v>
      </c>
      <c r="B4509" s="2" t="s">
        <v>9531</v>
      </c>
      <c r="C4509" s="2" t="s">
        <v>16</v>
      </c>
      <c r="D4509" s="2" t="s">
        <v>17</v>
      </c>
      <c r="E4509" s="5">
        <v>-31742</v>
      </c>
      <c r="F4509" s="3" t="s">
        <v>2667</v>
      </c>
      <c r="G4509" s="3" t="s">
        <v>9533</v>
      </c>
      <c r="H4509" s="2" t="s">
        <v>20</v>
      </c>
      <c r="I4509" s="2" t="s">
        <v>9534</v>
      </c>
      <c r="J4509" s="3" t="str">
        <f>HYPERLINK("https://www.boe.es/gazeta/dias/1813/02/02/pdfs/GRE-1813-14.pdf#page=6","Abrir facsímil")</f>
        <v>Abrir facsímil</v>
      </c>
      <c r="K4509" s="3" t="s">
        <v>22</v>
      </c>
    </row>
    <row r="4510" spans="1:11" ht="42" customHeight="1">
      <c r="A4510" s="2" t="s">
        <v>9535</v>
      </c>
      <c r="B4510" s="2" t="s">
        <v>9536</v>
      </c>
      <c r="C4510" s="2" t="s">
        <v>16</v>
      </c>
      <c r="D4510" s="2" t="s">
        <v>17</v>
      </c>
      <c r="E4510" s="5">
        <v>-31507</v>
      </c>
      <c r="F4510" s="3" t="s">
        <v>61</v>
      </c>
      <c r="G4510" s="3" t="s">
        <v>28</v>
      </c>
      <c r="H4510" s="2" t="s">
        <v>20</v>
      </c>
      <c r="I4510" s="2" t="s">
        <v>9537</v>
      </c>
      <c r="J4510" s="3" t="str">
        <f>HYPERLINK("https://www.boe.es/gazeta/dias/1813/09/25/pdfs/GMR-1813-48.pdf#page=8","Abrir facsímil")</f>
        <v>Abrir facsímil</v>
      </c>
      <c r="K4510" s="3" t="s">
        <v>22</v>
      </c>
    </row>
    <row r="4511" spans="1:11" ht="42" customHeight="1">
      <c r="A4511" s="2" t="s">
        <v>9538</v>
      </c>
      <c r="B4511" s="2" t="s">
        <v>9538</v>
      </c>
      <c r="C4511" s="2" t="s">
        <v>16</v>
      </c>
      <c r="D4511" s="2" t="s">
        <v>17</v>
      </c>
      <c r="E4511" s="5">
        <v>-31609</v>
      </c>
      <c r="F4511" s="3" t="s">
        <v>711</v>
      </c>
      <c r="G4511" s="3" t="s">
        <v>87</v>
      </c>
      <c r="H4511" s="2" t="s">
        <v>20</v>
      </c>
      <c r="I4511" s="2" t="s">
        <v>9539</v>
      </c>
      <c r="J4511" s="3" t="str">
        <f>HYPERLINK("https://www.boe.es/gazeta/dias/1813/06/15/pdfs/GMR-1813-6.pdf#page=7","Abrir facsímil")</f>
        <v>Abrir facsímil</v>
      </c>
      <c r="K4511" s="3" t="s">
        <v>22</v>
      </c>
    </row>
    <row r="4512" spans="1:11" ht="42" customHeight="1">
      <c r="A4512" s="2" t="s">
        <v>9540</v>
      </c>
      <c r="B4512" s="2" t="s">
        <v>9540</v>
      </c>
      <c r="C4512" s="2" t="s">
        <v>16</v>
      </c>
      <c r="D4512" s="2" t="s">
        <v>17</v>
      </c>
      <c r="E4512" s="5">
        <v>-31721</v>
      </c>
      <c r="F4512" s="3" t="s">
        <v>562</v>
      </c>
      <c r="G4512" s="3" t="s">
        <v>563</v>
      </c>
      <c r="H4512" s="2" t="s">
        <v>20</v>
      </c>
      <c r="I4512" s="2" t="s">
        <v>9541</v>
      </c>
      <c r="J4512" s="3" t="str">
        <f>HYPERLINK("https://www.boe.es/gazeta/dias/1813/02/23/pdfs/GRE-1813-23.pdf#page=4","Abrir facsímil")</f>
        <v>Abrir facsímil</v>
      </c>
      <c r="K4512" s="3" t="s">
        <v>22</v>
      </c>
    </row>
    <row r="4513" spans="1:11" ht="42" customHeight="1">
      <c r="A4513" s="2" t="s">
        <v>9540</v>
      </c>
      <c r="B4513" s="2" t="s">
        <v>9540</v>
      </c>
      <c r="C4513" s="2" t="s">
        <v>16</v>
      </c>
      <c r="D4513" s="2" t="s">
        <v>17</v>
      </c>
      <c r="E4513" s="5">
        <v>-31691</v>
      </c>
      <c r="F4513" s="3" t="s">
        <v>1542</v>
      </c>
      <c r="G4513" s="3" t="s">
        <v>9542</v>
      </c>
      <c r="H4513" s="2" t="s">
        <v>20</v>
      </c>
      <c r="I4513" s="2" t="s">
        <v>9543</v>
      </c>
      <c r="J4513" s="3" t="str">
        <f>HYPERLINK("https://www.boe.es/gazeta/dias/1813/03/25/pdfs/GRE-1813-37.pdf#page=7","Abrir facsímil")</f>
        <v>Abrir facsímil</v>
      </c>
      <c r="K4513" s="3" t="s">
        <v>22</v>
      </c>
    </row>
    <row r="4514" spans="1:11" ht="42" customHeight="1">
      <c r="A4514" s="2" t="s">
        <v>9540</v>
      </c>
      <c r="B4514" s="2" t="s">
        <v>9540</v>
      </c>
      <c r="C4514" s="2" t="s">
        <v>16</v>
      </c>
      <c r="D4514" s="2" t="s">
        <v>17</v>
      </c>
      <c r="E4514" s="5">
        <v>-31682</v>
      </c>
      <c r="F4514" s="3" t="s">
        <v>5159</v>
      </c>
      <c r="G4514" s="3" t="s">
        <v>6220</v>
      </c>
      <c r="H4514" s="2" t="s">
        <v>20</v>
      </c>
      <c r="I4514" s="2" t="s">
        <v>9544</v>
      </c>
      <c r="J4514" s="3" t="str">
        <f>HYPERLINK("https://www.boe.es/gazeta/dias/1813/04/03/pdfs/GRE-1813-41.pdf#page=5","Abrir facsímil")</f>
        <v>Abrir facsímil</v>
      </c>
      <c r="K4514" s="3" t="s">
        <v>22</v>
      </c>
    </row>
    <row r="4515" spans="1:11" ht="42" customHeight="1">
      <c r="A4515" s="2" t="s">
        <v>9540</v>
      </c>
      <c r="B4515" s="2" t="s">
        <v>9540</v>
      </c>
      <c r="C4515" s="2" t="s">
        <v>16</v>
      </c>
      <c r="D4515" s="2" t="s">
        <v>17</v>
      </c>
      <c r="E4515" s="5">
        <v>-31682</v>
      </c>
      <c r="F4515" s="3" t="s">
        <v>5159</v>
      </c>
      <c r="G4515" s="3" t="s">
        <v>9545</v>
      </c>
      <c r="H4515" s="2" t="s">
        <v>20</v>
      </c>
      <c r="I4515" s="2" t="s">
        <v>9546</v>
      </c>
      <c r="J4515" s="3" t="str">
        <f>HYPERLINK("https://www.boe.es/gazeta/dias/1813/04/03/pdfs/GRE-1813-41.pdf#page=6","Abrir facsímil")</f>
        <v>Abrir facsímil</v>
      </c>
      <c r="K4515" s="3" t="s">
        <v>22</v>
      </c>
    </row>
    <row r="4516" spans="1:11" ht="42" customHeight="1">
      <c r="A4516" s="2" t="s">
        <v>9540</v>
      </c>
      <c r="B4516" s="2" t="s">
        <v>9540</v>
      </c>
      <c r="C4516" s="2" t="s">
        <v>16</v>
      </c>
      <c r="D4516" s="2" t="s">
        <v>17</v>
      </c>
      <c r="E4516" s="5">
        <v>-31682</v>
      </c>
      <c r="F4516" s="3" t="s">
        <v>5159</v>
      </c>
      <c r="G4516" s="3" t="s">
        <v>5160</v>
      </c>
      <c r="H4516" s="2" t="s">
        <v>20</v>
      </c>
      <c r="I4516" s="2" t="s">
        <v>9547</v>
      </c>
      <c r="J4516" s="3" t="str">
        <f>HYPERLINK("https://www.boe.es/gazeta/dias/1813/04/03/pdfs/GRE-1813-41.pdf#page=7","Abrir facsímil")</f>
        <v>Abrir facsímil</v>
      </c>
      <c r="K4516" s="3" t="s">
        <v>22</v>
      </c>
    </row>
    <row r="4517" spans="1:11" ht="42" customHeight="1">
      <c r="A4517" s="2" t="s">
        <v>9540</v>
      </c>
      <c r="B4517" s="2" t="s">
        <v>9540</v>
      </c>
      <c r="C4517" s="2" t="s">
        <v>16</v>
      </c>
      <c r="D4517" s="2" t="s">
        <v>17</v>
      </c>
      <c r="E4517" s="5">
        <v>-31661</v>
      </c>
      <c r="F4517" s="3" t="s">
        <v>6643</v>
      </c>
      <c r="G4517" s="3" t="s">
        <v>7098</v>
      </c>
      <c r="H4517" s="2" t="s">
        <v>20</v>
      </c>
      <c r="I4517" s="2" t="s">
        <v>9548</v>
      </c>
      <c r="J4517" s="3" t="str">
        <f>HYPERLINK("https://www.boe.es/gazeta/dias/1813/04/24/pdfs/GRE-1813-51.pdf#page=6","Abrir facsímil")</f>
        <v>Abrir facsímil</v>
      </c>
      <c r="K4517" s="3" t="s">
        <v>22</v>
      </c>
    </row>
    <row r="4518" spans="1:11" ht="42" customHeight="1">
      <c r="A4518" s="2" t="s">
        <v>9540</v>
      </c>
      <c r="B4518" s="2" t="s">
        <v>9540</v>
      </c>
      <c r="C4518" s="2" t="s">
        <v>16</v>
      </c>
      <c r="D4518" s="2" t="s">
        <v>17</v>
      </c>
      <c r="E4518" s="5">
        <v>-31591</v>
      </c>
      <c r="F4518" s="3" t="s">
        <v>2123</v>
      </c>
      <c r="G4518" s="3" t="s">
        <v>87</v>
      </c>
      <c r="H4518" s="2" t="s">
        <v>20</v>
      </c>
      <c r="I4518" s="2" t="s">
        <v>9549</v>
      </c>
      <c r="J4518" s="3" t="str">
        <f>HYPERLINK("https://www.boe.es/gazeta/dias/1813/07/03/pdfs/GRE-1813-83.pdf#page=7","Abrir facsímil")</f>
        <v>Abrir facsímil</v>
      </c>
      <c r="K4518" s="3" t="s">
        <v>22</v>
      </c>
    </row>
    <row r="4519" spans="1:11" ht="42" customHeight="1">
      <c r="A4519" s="2" t="s">
        <v>9540</v>
      </c>
      <c r="B4519" s="2" t="s">
        <v>9540</v>
      </c>
      <c r="C4519" s="2" t="s">
        <v>16</v>
      </c>
      <c r="D4519" s="2" t="s">
        <v>17</v>
      </c>
      <c r="E4519" s="5">
        <v>-31588</v>
      </c>
      <c r="F4519" s="3" t="s">
        <v>1535</v>
      </c>
      <c r="G4519" s="3" t="s">
        <v>207</v>
      </c>
      <c r="H4519" s="2" t="s">
        <v>20</v>
      </c>
      <c r="I4519" s="2" t="s">
        <v>9550</v>
      </c>
      <c r="J4519" s="3" t="str">
        <f>HYPERLINK("https://www.boe.es/gazeta/dias/1813/07/06/pdfs/GMR-1813-15.pdf#page=10","Abrir facsímil")</f>
        <v>Abrir facsímil</v>
      </c>
      <c r="K4519" s="3" t="s">
        <v>22</v>
      </c>
    </row>
    <row r="4520" spans="1:11" ht="42" customHeight="1">
      <c r="A4520" s="2" t="s">
        <v>9540</v>
      </c>
      <c r="B4520" s="2" t="s">
        <v>9540</v>
      </c>
      <c r="C4520" s="2" t="s">
        <v>16</v>
      </c>
      <c r="D4520" s="2" t="s">
        <v>17</v>
      </c>
      <c r="E4520" s="5">
        <v>-31585</v>
      </c>
      <c r="F4520" s="3" t="s">
        <v>177</v>
      </c>
      <c r="G4520" s="3" t="s">
        <v>1474</v>
      </c>
      <c r="H4520" s="2" t="s">
        <v>20</v>
      </c>
      <c r="I4520" s="2" t="s">
        <v>9551</v>
      </c>
      <c r="J4520" s="3" t="str">
        <f>HYPERLINK("https://www.boe.es/gazeta/dias/1813/07/09/pdfs/GMR-1813-16.pdf#page=14","Abrir facsímil")</f>
        <v>Abrir facsímil</v>
      </c>
      <c r="K4520" s="3" t="s">
        <v>22</v>
      </c>
    </row>
    <row r="4521" spans="1:11" ht="42" customHeight="1">
      <c r="A4521" s="2" t="s">
        <v>9540</v>
      </c>
      <c r="B4521" s="2" t="s">
        <v>9540</v>
      </c>
      <c r="C4521" s="2" t="s">
        <v>16</v>
      </c>
      <c r="D4521" s="2" t="s">
        <v>17</v>
      </c>
      <c r="E4521" s="5">
        <v>-31585</v>
      </c>
      <c r="F4521" s="3" t="s">
        <v>177</v>
      </c>
      <c r="G4521" s="3" t="s">
        <v>28</v>
      </c>
      <c r="H4521" s="2" t="s">
        <v>20</v>
      </c>
      <c r="I4521" s="2" t="s">
        <v>9552</v>
      </c>
      <c r="J4521" s="3" t="str">
        <f>HYPERLINK("https://www.boe.es/gazeta/dias/1813/07/09/pdfs/GMR-1813-16.pdf#page=8","Abrir facsímil")</f>
        <v>Abrir facsímil</v>
      </c>
      <c r="K4521" s="3" t="s">
        <v>22</v>
      </c>
    </row>
    <row r="4522" spans="1:11" ht="42" customHeight="1">
      <c r="A4522" s="2" t="s">
        <v>9540</v>
      </c>
      <c r="B4522" s="2" t="s">
        <v>9540</v>
      </c>
      <c r="C4522" s="2" t="s">
        <v>16</v>
      </c>
      <c r="D4522" s="2" t="s">
        <v>17</v>
      </c>
      <c r="E4522" s="5">
        <v>-31585</v>
      </c>
      <c r="F4522" s="3" t="s">
        <v>177</v>
      </c>
      <c r="G4522" s="3" t="s">
        <v>313</v>
      </c>
      <c r="H4522" s="2" t="s">
        <v>20</v>
      </c>
      <c r="I4522" s="2" t="s">
        <v>9553</v>
      </c>
      <c r="J4522" s="3" t="str">
        <f>HYPERLINK("https://www.boe.es/gazeta/dias/1813/07/09/pdfs/GMR-1813-16.pdf#page=9","Abrir facsímil")</f>
        <v>Abrir facsímil</v>
      </c>
      <c r="K4522" s="3" t="s">
        <v>22</v>
      </c>
    </row>
    <row r="4523" spans="1:11" ht="42" customHeight="1">
      <c r="A4523" s="2" t="s">
        <v>9540</v>
      </c>
      <c r="B4523" s="2" t="s">
        <v>9540</v>
      </c>
      <c r="C4523" s="2" t="s">
        <v>16</v>
      </c>
      <c r="D4523" s="2" t="s">
        <v>17</v>
      </c>
      <c r="E4523" s="5">
        <v>-31582</v>
      </c>
      <c r="F4523" s="3" t="s">
        <v>907</v>
      </c>
      <c r="G4523" s="3" t="s">
        <v>2210</v>
      </c>
      <c r="H4523" s="2" t="s">
        <v>20</v>
      </c>
      <c r="I4523" s="2" t="s">
        <v>9554</v>
      </c>
      <c r="J4523" s="3" t="str">
        <f>HYPERLINK("https://www.boe.es/gazeta/dias/1813/07/12/pdfs/GRE-1813-87.pdf#page=5","Abrir facsímil")</f>
        <v>Abrir facsímil</v>
      </c>
      <c r="K4523" s="3" t="s">
        <v>22</v>
      </c>
    </row>
    <row r="4524" spans="1:11" ht="42" customHeight="1">
      <c r="A4524" s="2" t="s">
        <v>9540</v>
      </c>
      <c r="B4524" s="2" t="s">
        <v>9540</v>
      </c>
      <c r="C4524" s="2" t="s">
        <v>16</v>
      </c>
      <c r="D4524" s="2" t="s">
        <v>17</v>
      </c>
      <c r="E4524" s="5">
        <v>-31579</v>
      </c>
      <c r="F4524" s="3" t="s">
        <v>609</v>
      </c>
      <c r="G4524" s="3" t="s">
        <v>3601</v>
      </c>
      <c r="H4524" s="2" t="s">
        <v>20</v>
      </c>
      <c r="I4524" s="2" t="s">
        <v>9555</v>
      </c>
      <c r="J4524" s="3" t="str">
        <f>HYPERLINK("https://www.boe.es/gazeta/dias/1813/07/15/pdfs/GRE-1813-89.pdf#page=5","Abrir facsímil")</f>
        <v>Abrir facsímil</v>
      </c>
      <c r="K4524" s="3" t="s">
        <v>22</v>
      </c>
    </row>
    <row r="4525" spans="1:11" ht="42" customHeight="1">
      <c r="A4525" s="2" t="s">
        <v>9540</v>
      </c>
      <c r="B4525" s="2" t="s">
        <v>9540</v>
      </c>
      <c r="C4525" s="2" t="s">
        <v>16</v>
      </c>
      <c r="D4525" s="2" t="s">
        <v>17</v>
      </c>
      <c r="E4525" s="5">
        <v>-31579</v>
      </c>
      <c r="F4525" s="3" t="s">
        <v>609</v>
      </c>
      <c r="G4525" s="3" t="s">
        <v>95</v>
      </c>
      <c r="H4525" s="2" t="s">
        <v>20</v>
      </c>
      <c r="I4525" s="2" t="s">
        <v>9556</v>
      </c>
      <c r="J4525" s="3" t="str">
        <f>HYPERLINK("https://www.boe.es/gazeta/dias/1813/07/15/pdfs/GRE-1813-89.pdf#page=6","Abrir facsímil")</f>
        <v>Abrir facsímil</v>
      </c>
      <c r="K4525" s="3" t="s">
        <v>22</v>
      </c>
    </row>
    <row r="4526" spans="1:11" ht="42" customHeight="1">
      <c r="A4526" s="2" t="s">
        <v>9540</v>
      </c>
      <c r="B4526" s="2" t="s">
        <v>9540</v>
      </c>
      <c r="C4526" s="2" t="s">
        <v>16</v>
      </c>
      <c r="D4526" s="2" t="s">
        <v>17</v>
      </c>
      <c r="E4526" s="5">
        <v>-31574</v>
      </c>
      <c r="F4526" s="3" t="s">
        <v>1343</v>
      </c>
      <c r="G4526" s="3" t="s">
        <v>313</v>
      </c>
      <c r="H4526" s="2" t="s">
        <v>20</v>
      </c>
      <c r="I4526" s="2" t="s">
        <v>9557</v>
      </c>
      <c r="J4526" s="3" t="str">
        <f>HYPERLINK("https://www.boe.es/gazeta/dias/1813/07/20/pdfs/GMR-1813-19.pdf#page=9","Abrir facsímil")</f>
        <v>Abrir facsímil</v>
      </c>
      <c r="K4526" s="3" t="s">
        <v>22</v>
      </c>
    </row>
    <row r="4527" spans="1:11" ht="42" customHeight="1">
      <c r="A4527" s="2" t="s">
        <v>9540</v>
      </c>
      <c r="B4527" s="2" t="s">
        <v>9540</v>
      </c>
      <c r="C4527" s="2" t="s">
        <v>16</v>
      </c>
      <c r="D4527" s="2" t="s">
        <v>17</v>
      </c>
      <c r="E4527" s="5">
        <v>-31572</v>
      </c>
      <c r="F4527" s="3" t="s">
        <v>317</v>
      </c>
      <c r="G4527" s="3" t="s">
        <v>95</v>
      </c>
      <c r="H4527" s="2" t="s">
        <v>20</v>
      </c>
      <c r="I4527" s="2" t="s">
        <v>9558</v>
      </c>
      <c r="J4527" s="3" t="str">
        <f>HYPERLINK("https://www.boe.es/gazeta/dias/1813/07/22/pdfs/GRE-1813-93.pdf#page=6","Abrir facsímil")</f>
        <v>Abrir facsímil</v>
      </c>
      <c r="K4527" s="3" t="s">
        <v>22</v>
      </c>
    </row>
    <row r="4528" spans="1:11" ht="42" customHeight="1">
      <c r="A4528" s="2" t="s">
        <v>9540</v>
      </c>
      <c r="B4528" s="2" t="s">
        <v>9540</v>
      </c>
      <c r="C4528" s="2" t="s">
        <v>16</v>
      </c>
      <c r="D4528" s="2" t="s">
        <v>17</v>
      </c>
      <c r="E4528" s="5">
        <v>-31572</v>
      </c>
      <c r="F4528" s="3" t="s">
        <v>317</v>
      </c>
      <c r="G4528" s="3" t="s">
        <v>87</v>
      </c>
      <c r="H4528" s="2" t="s">
        <v>20</v>
      </c>
      <c r="I4528" s="2" t="s">
        <v>9559</v>
      </c>
      <c r="J4528" s="3" t="str">
        <f>HYPERLINK("https://www.boe.es/gazeta/dias/1813/07/22/pdfs/GRE-1813-93.pdf#page=7","Abrir facsímil")</f>
        <v>Abrir facsímil</v>
      </c>
      <c r="K4528" s="3" t="s">
        <v>22</v>
      </c>
    </row>
    <row r="4529" spans="1:11" ht="42" customHeight="1">
      <c r="A4529" s="2" t="s">
        <v>9540</v>
      </c>
      <c r="B4529" s="2" t="s">
        <v>9540</v>
      </c>
      <c r="C4529" s="2" t="s">
        <v>16</v>
      </c>
      <c r="D4529" s="2" t="s">
        <v>17</v>
      </c>
      <c r="E4529" s="5">
        <v>-31571</v>
      </c>
      <c r="F4529" s="3" t="s">
        <v>788</v>
      </c>
      <c r="G4529" s="3" t="s">
        <v>910</v>
      </c>
      <c r="H4529" s="2" t="s">
        <v>20</v>
      </c>
      <c r="I4529" s="2" t="s">
        <v>9560</v>
      </c>
      <c r="J4529" s="3" t="str">
        <f>HYPERLINK("https://www.boe.es/gazeta/dias/1813/07/23/pdfs/GMR-1813-20.pdf#page=10","Abrir facsímil")</f>
        <v>Abrir facsímil</v>
      </c>
      <c r="K4529" s="3" t="s">
        <v>22</v>
      </c>
    </row>
    <row r="4530" spans="1:11" ht="42" customHeight="1">
      <c r="A4530" s="2" t="s">
        <v>9540</v>
      </c>
      <c r="B4530" s="2" t="s">
        <v>9540</v>
      </c>
      <c r="C4530" s="2" t="s">
        <v>16</v>
      </c>
      <c r="D4530" s="2" t="s">
        <v>17</v>
      </c>
      <c r="E4530" s="5">
        <v>-31571</v>
      </c>
      <c r="F4530" s="3" t="s">
        <v>788</v>
      </c>
      <c r="G4530" s="3" t="s">
        <v>2657</v>
      </c>
      <c r="H4530" s="2" t="s">
        <v>20</v>
      </c>
      <c r="I4530" s="2" t="s">
        <v>9561</v>
      </c>
      <c r="J4530" s="3" t="str">
        <f>HYPERLINK("https://www.boe.es/gazeta/dias/1813/07/23/pdfs/GMR-1813-20.pdf#page=11","Abrir facsímil")</f>
        <v>Abrir facsímil</v>
      </c>
      <c r="K4530" s="3" t="s">
        <v>22</v>
      </c>
    </row>
    <row r="4531" spans="1:11" ht="42" customHeight="1">
      <c r="A4531" s="2" t="s">
        <v>9540</v>
      </c>
      <c r="B4531" s="2" t="s">
        <v>9540</v>
      </c>
      <c r="C4531" s="2" t="s">
        <v>16</v>
      </c>
      <c r="D4531" s="2" t="s">
        <v>17</v>
      </c>
      <c r="E4531" s="5">
        <v>-31571</v>
      </c>
      <c r="F4531" s="3" t="s">
        <v>788</v>
      </c>
      <c r="G4531" s="3" t="s">
        <v>789</v>
      </c>
      <c r="H4531" s="2" t="s">
        <v>20</v>
      </c>
      <c r="I4531" s="2" t="s">
        <v>9562</v>
      </c>
      <c r="J4531" s="3" t="str">
        <f>HYPERLINK("https://www.boe.es/gazeta/dias/1813/07/23/pdfs/GMR-1813-20.pdf#page=12","Abrir facsímil")</f>
        <v>Abrir facsímil</v>
      </c>
      <c r="K4531" s="3" t="s">
        <v>22</v>
      </c>
    </row>
    <row r="4532" spans="1:11" ht="42" customHeight="1">
      <c r="A4532" s="2" t="s">
        <v>9540</v>
      </c>
      <c r="B4532" s="2" t="s">
        <v>9540</v>
      </c>
      <c r="C4532" s="2" t="s">
        <v>16</v>
      </c>
      <c r="D4532" s="2" t="s">
        <v>97</v>
      </c>
      <c r="E4532" s="5">
        <v>-31548</v>
      </c>
      <c r="F4532" s="3" t="s">
        <v>1680</v>
      </c>
      <c r="G4532" s="3" t="s">
        <v>58</v>
      </c>
      <c r="H4532" s="2" t="s">
        <v>20</v>
      </c>
      <c r="I4532" s="2" t="s">
        <v>9563</v>
      </c>
      <c r="J4532" s="3" t="str">
        <f>HYPERLINK("https://www.boe.es/gazeta/dias/1813/08/15/pdfs/GRE-1813-104E.pdf#page=2","Abrir facsímil")</f>
        <v>Abrir facsímil</v>
      </c>
      <c r="K4532" s="3" t="s">
        <v>22</v>
      </c>
    </row>
    <row r="4533" spans="1:11" ht="42" customHeight="1">
      <c r="A4533" s="2" t="s">
        <v>9540</v>
      </c>
      <c r="B4533" s="2" t="s">
        <v>9540</v>
      </c>
      <c r="C4533" s="2" t="s">
        <v>16</v>
      </c>
      <c r="D4533" s="2" t="s">
        <v>97</v>
      </c>
      <c r="E4533" s="5">
        <v>-31548</v>
      </c>
      <c r="F4533" s="3" t="s">
        <v>1680</v>
      </c>
      <c r="G4533" s="3" t="s">
        <v>28</v>
      </c>
      <c r="H4533" s="2" t="s">
        <v>20</v>
      </c>
      <c r="I4533" s="2" t="s">
        <v>9564</v>
      </c>
      <c r="J4533" s="3" t="str">
        <f>HYPERLINK("https://www.boe.es/gazeta/dias/1813/08/15/pdfs/GRE-1813-104E.pdf#page=8","Abrir facsímil")</f>
        <v>Abrir facsímil</v>
      </c>
      <c r="K4533" s="3" t="s">
        <v>22</v>
      </c>
    </row>
    <row r="4534" spans="1:11" ht="42" customHeight="1">
      <c r="A4534" s="2" t="s">
        <v>9540</v>
      </c>
      <c r="B4534" s="2" t="s">
        <v>9540</v>
      </c>
      <c r="C4534" s="2" t="s">
        <v>16</v>
      </c>
      <c r="D4534" s="2" t="s">
        <v>17</v>
      </c>
      <c r="E4534" s="5">
        <v>-31537</v>
      </c>
      <c r="F4534" s="3" t="s">
        <v>138</v>
      </c>
      <c r="G4534" s="3" t="s">
        <v>1474</v>
      </c>
      <c r="H4534" s="2" t="s">
        <v>20</v>
      </c>
      <c r="I4534" s="2" t="s">
        <v>9565</v>
      </c>
      <c r="J4534" s="3" t="str">
        <f>HYPERLINK("https://www.boe.es/gazeta/dias/1813/08/26/pdfs/GMR-1813-33.pdf#page=14","Abrir facsímil")</f>
        <v>Abrir facsímil</v>
      </c>
      <c r="K4534" s="3" t="s">
        <v>22</v>
      </c>
    </row>
    <row r="4535" spans="1:11" ht="42" customHeight="1">
      <c r="A4535" s="2" t="s">
        <v>9540</v>
      </c>
      <c r="B4535" s="2" t="s">
        <v>9540</v>
      </c>
      <c r="C4535" s="2" t="s">
        <v>16</v>
      </c>
      <c r="D4535" s="2" t="s">
        <v>17</v>
      </c>
      <c r="E4535" s="5">
        <v>-31530</v>
      </c>
      <c r="F4535" s="3" t="s">
        <v>319</v>
      </c>
      <c r="G4535" s="3" t="s">
        <v>320</v>
      </c>
      <c r="H4535" s="2" t="s">
        <v>20</v>
      </c>
      <c r="I4535" s="2" t="s">
        <v>9566</v>
      </c>
      <c r="J4535" s="3" t="str">
        <f>HYPERLINK("https://www.boe.es/gazeta/dias/1813/09/02/pdfs/GRE-1813-112.pdf#page=6","Abrir facsímil")</f>
        <v>Abrir facsímil</v>
      </c>
      <c r="K4535" s="3" t="s">
        <v>22</v>
      </c>
    </row>
    <row r="4536" spans="1:11" ht="42" customHeight="1">
      <c r="A4536" s="2" t="s">
        <v>9540</v>
      </c>
      <c r="B4536" s="2" t="s">
        <v>9540</v>
      </c>
      <c r="C4536" s="2" t="s">
        <v>34</v>
      </c>
      <c r="D4536" s="2" t="s">
        <v>35</v>
      </c>
      <c r="E4536" s="5">
        <v>-31521</v>
      </c>
      <c r="F4536" s="3" t="s">
        <v>1256</v>
      </c>
      <c r="G4536" s="3" t="s">
        <v>3407</v>
      </c>
      <c r="H4536" s="2" t="s">
        <v>20</v>
      </c>
      <c r="I4536" s="2" t="s">
        <v>9567</v>
      </c>
      <c r="J4536" s="3" t="str">
        <f>HYPERLINK("https://www.boe.es/gazeta/dias/1813/09/11/pdfs/GRE-1813-116.pdf#page=6","Abrir facsímil")</f>
        <v>Abrir facsímil</v>
      </c>
      <c r="K4536" s="3" t="s">
        <v>22</v>
      </c>
    </row>
    <row r="4537" spans="1:11" ht="42" customHeight="1">
      <c r="A4537" s="2" t="s">
        <v>9540</v>
      </c>
      <c r="B4537" s="2" t="s">
        <v>9540</v>
      </c>
      <c r="C4537" s="2" t="s">
        <v>16</v>
      </c>
      <c r="D4537" s="2" t="s">
        <v>17</v>
      </c>
      <c r="E4537" s="5">
        <v>-31521</v>
      </c>
      <c r="F4537" s="3" t="s">
        <v>1256</v>
      </c>
      <c r="G4537" s="3" t="s">
        <v>82</v>
      </c>
      <c r="H4537" s="2" t="s">
        <v>20</v>
      </c>
      <c r="I4537" s="2" t="s">
        <v>9568</v>
      </c>
      <c r="J4537" s="3" t="str">
        <f>HYPERLINK("https://www.boe.es/gazeta/dias/1813/09/11/pdfs/GRE-1813-116.pdf#page=5","Abrir facsímil")</f>
        <v>Abrir facsímil</v>
      </c>
      <c r="K4537" s="3" t="s">
        <v>22</v>
      </c>
    </row>
    <row r="4538" spans="1:11" ht="42" customHeight="1">
      <c r="A4538" s="2" t="s">
        <v>9540</v>
      </c>
      <c r="B4538" s="2" t="s">
        <v>9540</v>
      </c>
      <c r="C4538" s="2" t="s">
        <v>16</v>
      </c>
      <c r="D4538" s="2" t="s">
        <v>97</v>
      </c>
      <c r="E4538" s="5">
        <v>-31519</v>
      </c>
      <c r="F4538" s="3" t="s">
        <v>312</v>
      </c>
      <c r="G4538" s="3" t="s">
        <v>58</v>
      </c>
      <c r="H4538" s="2" t="s">
        <v>20</v>
      </c>
      <c r="I4538" s="2" t="s">
        <v>9569</v>
      </c>
      <c r="J4538" s="3" t="str">
        <f>HYPERLINK("https://www.boe.es/gazeta/dias/1813/09/13/pdfs/GRE-1813-118E.pdf#page=2","Abrir facsímil")</f>
        <v>Abrir facsímil</v>
      </c>
      <c r="K4538" s="3" t="s">
        <v>22</v>
      </c>
    </row>
    <row r="4539" spans="1:11" ht="42" customHeight="1">
      <c r="A4539" s="2" t="s">
        <v>9540</v>
      </c>
      <c r="B4539" s="2" t="s">
        <v>9540</v>
      </c>
      <c r="C4539" s="2" t="s">
        <v>16</v>
      </c>
      <c r="D4539" s="2" t="s">
        <v>97</v>
      </c>
      <c r="E4539" s="5">
        <v>-31479</v>
      </c>
      <c r="F4539" s="3" t="s">
        <v>290</v>
      </c>
      <c r="G4539" s="3" t="s">
        <v>58</v>
      </c>
      <c r="H4539" s="2" t="s">
        <v>20</v>
      </c>
      <c r="I4539" s="2" t="s">
        <v>9570</v>
      </c>
      <c r="J4539" s="3" t="str">
        <f>HYPERLINK("https://www.boe.es/gazeta/dias/1813/10/23/pdfs/GRE-1813-139E.pdf#page=2","Abrir facsímil")</f>
        <v>Abrir facsímil</v>
      </c>
      <c r="K4539" s="3" t="s">
        <v>22</v>
      </c>
    </row>
    <row r="4540" spans="1:11" ht="42" customHeight="1">
      <c r="A4540" s="2" t="s">
        <v>9540</v>
      </c>
      <c r="B4540" s="2" t="s">
        <v>9540</v>
      </c>
      <c r="C4540" s="2" t="s">
        <v>16</v>
      </c>
      <c r="D4540" s="2" t="s">
        <v>17</v>
      </c>
      <c r="E4540" s="5">
        <v>-31467</v>
      </c>
      <c r="F4540" s="3" t="s">
        <v>120</v>
      </c>
      <c r="G4540" s="3" t="s">
        <v>82</v>
      </c>
      <c r="H4540" s="2" t="s">
        <v>20</v>
      </c>
      <c r="I4540" s="2" t="s">
        <v>9571</v>
      </c>
      <c r="J4540" s="3" t="str">
        <f>HYPERLINK("https://www.boe.es/gazeta/dias/1813/11/04/pdfs/GMR-1813-68.pdf#page=5","Abrir facsímil")</f>
        <v>Abrir facsímil</v>
      </c>
      <c r="K4540" s="3" t="s">
        <v>22</v>
      </c>
    </row>
    <row r="4541" spans="1:11" ht="42" customHeight="1">
      <c r="A4541" s="2" t="s">
        <v>9540</v>
      </c>
      <c r="B4541" s="2" t="s">
        <v>9540</v>
      </c>
      <c r="C4541" s="2" t="s">
        <v>16</v>
      </c>
      <c r="D4541" s="2" t="s">
        <v>97</v>
      </c>
      <c r="E4541" s="5">
        <v>-31445</v>
      </c>
      <c r="F4541" s="3" t="s">
        <v>299</v>
      </c>
      <c r="G4541" s="3" t="s">
        <v>300</v>
      </c>
      <c r="H4541" s="2" t="s">
        <v>20</v>
      </c>
      <c r="I4541" s="2" t="s">
        <v>9572</v>
      </c>
      <c r="J4541" s="3" t="str">
        <f>HYPERLINK("https://www.boe.es/gazeta/dias/1813/11/26/pdfs/GRE-1813-156E.pdf#page=3","Abrir facsímil")</f>
        <v>Abrir facsímil</v>
      </c>
      <c r="K4541" s="3" t="s">
        <v>22</v>
      </c>
    </row>
    <row r="4542" spans="1:11" ht="42" customHeight="1">
      <c r="A4542" s="2" t="s">
        <v>9540</v>
      </c>
      <c r="B4542" s="2" t="s">
        <v>9540</v>
      </c>
      <c r="C4542" s="2" t="s">
        <v>16</v>
      </c>
      <c r="D4542" s="2" t="s">
        <v>17</v>
      </c>
      <c r="E4542" s="5">
        <v>-31432</v>
      </c>
      <c r="F4542" s="3" t="s">
        <v>702</v>
      </c>
      <c r="G4542" s="3" t="s">
        <v>19</v>
      </c>
      <c r="H4542" s="2" t="s">
        <v>20</v>
      </c>
      <c r="I4542" s="2" t="s">
        <v>9573</v>
      </c>
      <c r="J4542" s="3" t="str">
        <f>HYPERLINK("https://www.boe.es/gazeta/dias/1813/12/09/pdfs/GMR-1813-85.pdf#page=4","Abrir facsímil")</f>
        <v>Abrir facsímil</v>
      </c>
      <c r="K4542" s="3" t="s">
        <v>22</v>
      </c>
    </row>
    <row r="4543" spans="1:11" ht="42" customHeight="1">
      <c r="A4543" s="2" t="s">
        <v>9574</v>
      </c>
      <c r="B4543" s="2" t="s">
        <v>9575</v>
      </c>
      <c r="C4543" s="2" t="s">
        <v>16</v>
      </c>
      <c r="D4543" s="2" t="s">
        <v>17</v>
      </c>
      <c r="E4543" s="5">
        <v>-31759</v>
      </c>
      <c r="F4543" s="3" t="s">
        <v>419</v>
      </c>
      <c r="G4543" s="3" t="s">
        <v>19</v>
      </c>
      <c r="H4543" s="2" t="s">
        <v>29</v>
      </c>
      <c r="I4543" s="2" t="s">
        <v>9576</v>
      </c>
      <c r="J4543" s="3" t="str">
        <f>HYPERLINK("https://www.boe.es/gazeta/dias/1813/01/16/pdfs/GRE-1813-7.pdf#page=4","Abrir facsímil")</f>
        <v>Abrir facsímil</v>
      </c>
      <c r="K4543" s="3" t="s">
        <v>31</v>
      </c>
    </row>
    <row r="4544" spans="1:11" ht="42" customHeight="1">
      <c r="A4544" s="2" t="s">
        <v>9577</v>
      </c>
      <c r="B4544" s="2" t="s">
        <v>9578</v>
      </c>
      <c r="C4544" s="2" t="s">
        <v>16</v>
      </c>
      <c r="D4544" s="2" t="s">
        <v>17</v>
      </c>
      <c r="E4544" s="5">
        <v>-31430</v>
      </c>
      <c r="F4544" s="3" t="s">
        <v>1161</v>
      </c>
      <c r="G4544" s="3" t="s">
        <v>9579</v>
      </c>
      <c r="H4544" s="2" t="s">
        <v>20</v>
      </c>
      <c r="I4544" s="2" t="s">
        <v>9580</v>
      </c>
      <c r="J4544" s="3" t="str">
        <f>HYPERLINK("https://www.boe.es/gazeta/dias/1813/12/11/pdfs/GMR-1813-86.pdf#page=5","Abrir facsímil")</f>
        <v>Abrir facsímil</v>
      </c>
      <c r="K4544" s="3" t="s">
        <v>22</v>
      </c>
    </row>
    <row r="4545" spans="1:11" ht="42" customHeight="1">
      <c r="A4545" s="2" t="s">
        <v>9577</v>
      </c>
      <c r="B4545" s="2" t="s">
        <v>9578</v>
      </c>
      <c r="C4545" s="2" t="s">
        <v>25</v>
      </c>
      <c r="D4545" s="2" t="s">
        <v>26</v>
      </c>
      <c r="E4545" s="5">
        <v>-31425</v>
      </c>
      <c r="F4545" s="3" t="s">
        <v>1669</v>
      </c>
      <c r="G4545" s="3" t="s">
        <v>1670</v>
      </c>
      <c r="H4545" s="2" t="s">
        <v>20</v>
      </c>
      <c r="I4545" s="2" t="s">
        <v>9581</v>
      </c>
      <c r="J4545" s="3" t="str">
        <f>HYPERLINK("https://www.boe.es/gazeta/dias/1813/12/16/pdfs/GRE-1813-165.pdf#page=7","Abrir facsímil")</f>
        <v>Abrir facsímil</v>
      </c>
      <c r="K4545" s="3" t="s">
        <v>22</v>
      </c>
    </row>
    <row r="4546" spans="1:11" ht="42" customHeight="1">
      <c r="A4546" s="2" t="s">
        <v>9582</v>
      </c>
      <c r="B4546" s="2" t="s">
        <v>9583</v>
      </c>
      <c r="C4546" s="2" t="s">
        <v>16</v>
      </c>
      <c r="D4546" s="2" t="s">
        <v>17</v>
      </c>
      <c r="E4546" s="5">
        <v>-31724</v>
      </c>
      <c r="F4546" s="3" t="s">
        <v>626</v>
      </c>
      <c r="G4546" s="3" t="s">
        <v>87</v>
      </c>
      <c r="H4546" s="2" t="s">
        <v>20</v>
      </c>
      <c r="I4546" s="2" t="s">
        <v>9584</v>
      </c>
      <c r="J4546" s="3" t="str">
        <f>HYPERLINK("https://www.boe.es/gazeta/dias/1813/02/20/pdfs/GRE-1813-22.pdf#page=7","Abrir facsímil")</f>
        <v>Abrir facsímil</v>
      </c>
      <c r="K4546" s="3" t="s">
        <v>22</v>
      </c>
    </row>
    <row r="4547" spans="1:11" ht="42" customHeight="1">
      <c r="A4547" s="2" t="s">
        <v>9582</v>
      </c>
      <c r="B4547" s="2" t="s">
        <v>9583</v>
      </c>
      <c r="C4547" s="2" t="s">
        <v>16</v>
      </c>
      <c r="D4547" s="2" t="s">
        <v>17</v>
      </c>
      <c r="E4547" s="5">
        <v>-31691</v>
      </c>
      <c r="F4547" s="3" t="s">
        <v>1542</v>
      </c>
      <c r="G4547" s="3" t="s">
        <v>95</v>
      </c>
      <c r="H4547" s="2" t="s">
        <v>20</v>
      </c>
      <c r="I4547" s="2" t="s">
        <v>9585</v>
      </c>
      <c r="J4547" s="3" t="str">
        <f>HYPERLINK("https://www.boe.es/gazeta/dias/1813/03/25/pdfs/GRE-1813-37.pdf#page=6","Abrir facsímil")</f>
        <v>Abrir facsímil</v>
      </c>
      <c r="K4547" s="3" t="s">
        <v>22</v>
      </c>
    </row>
    <row r="4548" spans="1:11" ht="42" customHeight="1">
      <c r="A4548" s="2" t="s">
        <v>9586</v>
      </c>
      <c r="B4548" s="2" t="s">
        <v>9586</v>
      </c>
      <c r="C4548" s="2" t="s">
        <v>16</v>
      </c>
      <c r="D4548" s="2" t="s">
        <v>17</v>
      </c>
      <c r="E4548" s="5">
        <v>-31553</v>
      </c>
      <c r="F4548" s="3" t="s">
        <v>1853</v>
      </c>
      <c r="G4548" s="3" t="s">
        <v>19</v>
      </c>
      <c r="H4548" s="2" t="s">
        <v>20</v>
      </c>
      <c r="I4548" s="2" t="s">
        <v>9587</v>
      </c>
      <c r="J4548" s="3" t="str">
        <f>HYPERLINK("https://www.boe.es/gazeta/dias/1813/08/10/pdfs/GMR-1813-26.pdf#page=4","Abrir facsímil")</f>
        <v>Abrir facsímil</v>
      </c>
      <c r="K4548" s="3" t="s">
        <v>22</v>
      </c>
    </row>
    <row r="4549" spans="1:11" ht="42" customHeight="1">
      <c r="A4549" s="2" t="s">
        <v>9588</v>
      </c>
      <c r="B4549" s="2" t="s">
        <v>9588</v>
      </c>
      <c r="C4549" s="2" t="s">
        <v>25</v>
      </c>
      <c r="D4549" s="2" t="s">
        <v>26</v>
      </c>
      <c r="E4549" s="5">
        <v>-31734</v>
      </c>
      <c r="F4549" s="3" t="s">
        <v>362</v>
      </c>
      <c r="G4549" s="3" t="s">
        <v>58</v>
      </c>
      <c r="H4549" s="2" t="s">
        <v>20</v>
      </c>
      <c r="I4549" s="2" t="s">
        <v>9589</v>
      </c>
      <c r="J4549" s="3" t="str">
        <f>HYPERLINK("https://www.boe.es/gazeta/dias/1813/02/10/pdfs/GMD-1813-41.pdf#page=2","Abrir facsímil")</f>
        <v>Abrir facsímil</v>
      </c>
      <c r="K4549" s="3" t="s">
        <v>22</v>
      </c>
    </row>
    <row r="4550" spans="1:11" ht="42" customHeight="1">
      <c r="A4550" s="2" t="s">
        <v>9590</v>
      </c>
      <c r="B4550" s="2" t="s">
        <v>9591</v>
      </c>
      <c r="C4550" s="2" t="s">
        <v>25</v>
      </c>
      <c r="D4550" s="2" t="s">
        <v>26</v>
      </c>
      <c r="E4550" s="5">
        <v>-31745</v>
      </c>
      <c r="F4550" s="3" t="s">
        <v>445</v>
      </c>
      <c r="G4550" s="3" t="s">
        <v>28</v>
      </c>
      <c r="H4550" s="2" t="s">
        <v>20</v>
      </c>
      <c r="I4550" s="2" t="s">
        <v>9592</v>
      </c>
      <c r="J4550" s="3" t="str">
        <f>HYPERLINK("https://www.boe.es/gazeta/dias/1813/01/30/pdfs/GRE-1813-13.pdf#page=8","Abrir facsímil")</f>
        <v>Abrir facsímil</v>
      </c>
      <c r="K4550" s="3" t="s">
        <v>22</v>
      </c>
    </row>
    <row r="4551" spans="1:11" ht="42" customHeight="1">
      <c r="A4551" s="2" t="s">
        <v>9593</v>
      </c>
      <c r="B4551" s="2" t="s">
        <v>9593</v>
      </c>
      <c r="C4551" s="2" t="s">
        <v>277</v>
      </c>
      <c r="D4551" s="2" t="s">
        <v>26</v>
      </c>
      <c r="E4551" s="5">
        <v>-31695</v>
      </c>
      <c r="F4551" s="3" t="s">
        <v>2770</v>
      </c>
      <c r="G4551" s="3" t="s">
        <v>54</v>
      </c>
      <c r="H4551" s="2" t="s">
        <v>20</v>
      </c>
      <c r="I4551" s="2" t="s">
        <v>9594</v>
      </c>
      <c r="J4551" s="3" t="str">
        <f>HYPERLINK("https://www.boe.es/gazeta/dias/1813/03/21/pdfs/GMD-1813-80.pdf#page=3","Abrir facsímil")</f>
        <v>Abrir facsímil</v>
      </c>
      <c r="K4551" s="3" t="s">
        <v>22</v>
      </c>
    </row>
    <row r="4552" spans="1:11" ht="42" customHeight="1">
      <c r="A4552" s="2" t="s">
        <v>9595</v>
      </c>
      <c r="B4552" s="2" t="s">
        <v>9596</v>
      </c>
      <c r="C4552" s="2" t="s">
        <v>34</v>
      </c>
      <c r="D4552" s="2" t="s">
        <v>35</v>
      </c>
      <c r="E4552" s="5">
        <v>-31640</v>
      </c>
      <c r="F4552" s="3" t="s">
        <v>3174</v>
      </c>
      <c r="G4552" s="3" t="s">
        <v>19</v>
      </c>
      <c r="H4552" s="2" t="s">
        <v>20</v>
      </c>
      <c r="I4552" s="2" t="s">
        <v>9597</v>
      </c>
      <c r="J4552" s="3" t="str">
        <f>HYPERLINK("https://www.boe.es/gazeta/dias/1813/05/15/pdfs/GMD-1813-135.pdf#page=4","Abrir facsímil")</f>
        <v>Abrir facsímil</v>
      </c>
      <c r="K4552" s="3" t="s">
        <v>22</v>
      </c>
    </row>
    <row r="4553" spans="1:11" ht="42" customHeight="1">
      <c r="A4553" s="2" t="s">
        <v>9595</v>
      </c>
      <c r="B4553" s="2" t="s">
        <v>9596</v>
      </c>
      <c r="C4553" s="2" t="s">
        <v>25</v>
      </c>
      <c r="D4553" s="2" t="s">
        <v>26</v>
      </c>
      <c r="E4553" s="5">
        <v>-31631</v>
      </c>
      <c r="F4553" s="3" t="s">
        <v>2792</v>
      </c>
      <c r="G4553" s="3" t="s">
        <v>19</v>
      </c>
      <c r="H4553" s="2" t="s">
        <v>20</v>
      </c>
      <c r="I4553" s="2" t="s">
        <v>9598</v>
      </c>
      <c r="J4553" s="3" t="str">
        <f>HYPERLINK("https://www.boe.es/gazeta/dias/1813/05/24/pdfs/GMD-1813-144.pdf#page=4","Abrir facsímil")</f>
        <v>Abrir facsímil</v>
      </c>
      <c r="K4553" s="3" t="s">
        <v>22</v>
      </c>
    </row>
    <row r="4554" spans="1:11" ht="42" customHeight="1">
      <c r="A4554" s="2" t="s">
        <v>9599</v>
      </c>
      <c r="B4554" s="2" t="s">
        <v>9600</v>
      </c>
      <c r="C4554" s="2" t="s">
        <v>34</v>
      </c>
      <c r="D4554" s="2" t="s">
        <v>35</v>
      </c>
      <c r="E4554" s="5">
        <v>-31709</v>
      </c>
      <c r="F4554" s="3" t="s">
        <v>36</v>
      </c>
      <c r="G4554" s="3" t="s">
        <v>19</v>
      </c>
      <c r="H4554" s="2" t="s">
        <v>20</v>
      </c>
      <c r="I4554" s="2" t="s">
        <v>9601</v>
      </c>
      <c r="J4554" s="3" t="str">
        <f>HYPERLINK("https://www.boe.es/gazeta/dias/1813/03/07/pdfs/GMD-1813-66.pdf#page=4","Abrir facsímil")</f>
        <v>Abrir facsímil</v>
      </c>
      <c r="K4554" s="3" t="s">
        <v>22</v>
      </c>
    </row>
    <row r="4555" spans="1:11" ht="42" customHeight="1">
      <c r="A4555" s="2" t="s">
        <v>9602</v>
      </c>
      <c r="B4555" s="2" t="s">
        <v>9603</v>
      </c>
      <c r="C4555" s="2" t="s">
        <v>25</v>
      </c>
      <c r="D4555" s="2" t="s">
        <v>26</v>
      </c>
      <c r="E4555" s="5">
        <v>-31675</v>
      </c>
      <c r="F4555" s="3" t="s">
        <v>27</v>
      </c>
      <c r="G4555" s="3" t="s">
        <v>28</v>
      </c>
      <c r="H4555" s="2" t="s">
        <v>20</v>
      </c>
      <c r="I4555" s="2" t="s">
        <v>9604</v>
      </c>
      <c r="J4555" s="3" t="str">
        <f>HYPERLINK("https://www.boe.es/gazeta/dias/1813/04/10/pdfs/GRE-1813-44.pdf#page=8","Abrir facsímil")</f>
        <v>Abrir facsímil</v>
      </c>
      <c r="K4555" s="3" t="s">
        <v>22</v>
      </c>
    </row>
    <row r="4556" spans="1:11" ht="42" customHeight="1">
      <c r="A4556" s="2" t="s">
        <v>9605</v>
      </c>
      <c r="B4556" s="2" t="s">
        <v>9606</v>
      </c>
      <c r="C4556" s="2" t="s">
        <v>16</v>
      </c>
      <c r="D4556" s="2" t="s">
        <v>17</v>
      </c>
      <c r="E4556" s="5">
        <v>-31523</v>
      </c>
      <c r="F4556" s="3" t="s">
        <v>81</v>
      </c>
      <c r="G4556" s="3" t="s">
        <v>54</v>
      </c>
      <c r="H4556" s="2" t="s">
        <v>20</v>
      </c>
      <c r="I4556" s="2" t="s">
        <v>9607</v>
      </c>
      <c r="J4556" s="3" t="str">
        <f>HYPERLINK("https://www.boe.es/gazeta/dias/1813/09/09/pdfs/GRE-1813-115.pdf#page=3","Abrir facsímil")</f>
        <v>Abrir facsímil</v>
      </c>
      <c r="K4556" s="3" t="s">
        <v>22</v>
      </c>
    </row>
    <row r="4557" spans="1:11" ht="42" customHeight="1">
      <c r="A4557" s="2" t="s">
        <v>9608</v>
      </c>
      <c r="B4557" s="2" t="s">
        <v>9609</v>
      </c>
      <c r="C4557" s="2" t="s">
        <v>16</v>
      </c>
      <c r="D4557" s="2" t="s">
        <v>17</v>
      </c>
      <c r="E4557" s="5">
        <v>-31549</v>
      </c>
      <c r="F4557" s="3" t="s">
        <v>332</v>
      </c>
      <c r="G4557" s="3" t="s">
        <v>82</v>
      </c>
      <c r="H4557" s="2" t="s">
        <v>20</v>
      </c>
      <c r="I4557" s="2" t="s">
        <v>9610</v>
      </c>
      <c r="J4557" s="3" t="str">
        <f>HYPERLINK("https://www.boe.es/gazeta/dias/1813/08/14/pdfs/GMR-1813-28.pdf#page=5","Abrir facsímil")</f>
        <v>Abrir facsímil</v>
      </c>
      <c r="K4557" s="3" t="s">
        <v>22</v>
      </c>
    </row>
    <row r="4558" spans="1:11" ht="42" customHeight="1">
      <c r="A4558" s="2" t="s">
        <v>9611</v>
      </c>
      <c r="B4558" s="2" t="s">
        <v>9612</v>
      </c>
      <c r="C4558" s="2" t="s">
        <v>25</v>
      </c>
      <c r="D4558" s="2" t="s">
        <v>26</v>
      </c>
      <c r="E4558" s="5">
        <v>-31745</v>
      </c>
      <c r="F4558" s="3" t="s">
        <v>445</v>
      </c>
      <c r="G4558" s="3" t="s">
        <v>28</v>
      </c>
      <c r="H4558" s="2" t="s">
        <v>20</v>
      </c>
      <c r="I4558" s="2" t="s">
        <v>9613</v>
      </c>
      <c r="J4558" s="3" t="str">
        <f>HYPERLINK("https://www.boe.es/gazeta/dias/1813/01/30/pdfs/GRE-1813-13.pdf#page=8","Abrir facsímil")</f>
        <v>Abrir facsímil</v>
      </c>
      <c r="K4558" s="3" t="s">
        <v>22</v>
      </c>
    </row>
    <row r="4559" spans="1:11" ht="42" customHeight="1">
      <c r="A4559" s="2" t="s">
        <v>9614</v>
      </c>
      <c r="B4559" s="2" t="s">
        <v>9615</v>
      </c>
      <c r="C4559" s="2" t="s">
        <v>34</v>
      </c>
      <c r="D4559" s="2" t="s">
        <v>35</v>
      </c>
      <c r="E4559" s="5">
        <v>-31567</v>
      </c>
      <c r="F4559" s="3" t="s">
        <v>1471</v>
      </c>
      <c r="G4559" s="3" t="s">
        <v>95</v>
      </c>
      <c r="H4559" s="2" t="s">
        <v>20</v>
      </c>
      <c r="I4559" s="2" t="s">
        <v>9616</v>
      </c>
      <c r="J4559" s="3" t="str">
        <f>HYPERLINK("https://www.boe.es/gazeta/dias/1813/07/27/pdfs/GRE-1813-95.pdf#page=6","Abrir facsímil")</f>
        <v>Abrir facsímil</v>
      </c>
      <c r="K4559" s="3" t="s">
        <v>22</v>
      </c>
    </row>
    <row r="4560" spans="1:11" ht="42" customHeight="1">
      <c r="A4560" s="2" t="s">
        <v>9617</v>
      </c>
      <c r="B4560" s="2" t="s">
        <v>9618</v>
      </c>
      <c r="C4560" s="2" t="s">
        <v>34</v>
      </c>
      <c r="D4560" s="2" t="s">
        <v>35</v>
      </c>
      <c r="E4560" s="5">
        <v>-31537</v>
      </c>
      <c r="F4560" s="3" t="s">
        <v>138</v>
      </c>
      <c r="G4560" s="3" t="s">
        <v>95</v>
      </c>
      <c r="H4560" s="2" t="s">
        <v>20</v>
      </c>
      <c r="I4560" s="2" t="s">
        <v>9619</v>
      </c>
      <c r="J4560" s="3" t="str">
        <f>HYPERLINK("https://www.boe.es/gazeta/dias/1813/08/26/pdfs/GMR-1813-33.pdf#page=6","Abrir facsímil")</f>
        <v>Abrir facsímil</v>
      </c>
      <c r="K4560" s="3" t="s">
        <v>22</v>
      </c>
    </row>
    <row r="4561" spans="1:11" ht="42" customHeight="1">
      <c r="A4561" s="2" t="s">
        <v>9620</v>
      </c>
      <c r="B4561" s="2" t="s">
        <v>9621</v>
      </c>
      <c r="C4561" s="2" t="s">
        <v>34</v>
      </c>
      <c r="D4561" s="2" t="s">
        <v>35</v>
      </c>
      <c r="E4561" s="5">
        <v>-31553</v>
      </c>
      <c r="F4561" s="3" t="s">
        <v>1853</v>
      </c>
      <c r="G4561" s="3" t="s">
        <v>95</v>
      </c>
      <c r="H4561" s="2" t="s">
        <v>20</v>
      </c>
      <c r="I4561" s="2" t="s">
        <v>9622</v>
      </c>
      <c r="J4561" s="3" t="str">
        <f>HYPERLINK("https://www.boe.es/gazeta/dias/1813/08/10/pdfs/GMR-1813-26.pdf#page=6","Abrir facsímil")</f>
        <v>Abrir facsímil</v>
      </c>
      <c r="K4561" s="3" t="s">
        <v>22</v>
      </c>
    </row>
    <row r="4562" spans="1:11" ht="42" customHeight="1">
      <c r="A4562" s="2" t="s">
        <v>9623</v>
      </c>
      <c r="B4562" s="2" t="s">
        <v>9624</v>
      </c>
      <c r="C4562" s="2" t="s">
        <v>16</v>
      </c>
      <c r="D4562" s="2" t="s">
        <v>17</v>
      </c>
      <c r="E4562" s="5">
        <v>-31745</v>
      </c>
      <c r="F4562" s="3" t="s">
        <v>445</v>
      </c>
      <c r="G4562" s="3" t="s">
        <v>28</v>
      </c>
      <c r="H4562" s="2" t="s">
        <v>20</v>
      </c>
      <c r="I4562" s="2" t="s">
        <v>9625</v>
      </c>
      <c r="J4562" s="3" t="str">
        <f>HYPERLINK("https://www.boe.es/gazeta/dias/1813/01/30/pdfs/GRE-1813-13.pdf#page=8","Abrir facsímil")</f>
        <v>Abrir facsímil</v>
      </c>
      <c r="K4562" s="3" t="s">
        <v>22</v>
      </c>
    </row>
    <row r="4563" spans="1:11" ht="42" customHeight="1">
      <c r="A4563" s="2" t="s">
        <v>9623</v>
      </c>
      <c r="B4563" s="2" t="s">
        <v>9624</v>
      </c>
      <c r="C4563" s="2" t="s">
        <v>25</v>
      </c>
      <c r="D4563" s="2" t="s">
        <v>26</v>
      </c>
      <c r="E4563" s="5">
        <v>-31502</v>
      </c>
      <c r="F4563" s="3" t="s">
        <v>1363</v>
      </c>
      <c r="G4563" s="3" t="s">
        <v>28</v>
      </c>
      <c r="H4563" s="2" t="s">
        <v>20</v>
      </c>
      <c r="I4563" s="2" t="s">
        <v>9626</v>
      </c>
      <c r="J4563" s="3" t="str">
        <f>HYPERLINK("https://www.boe.es/gazeta/dias/1813/09/30/pdfs/GRE-1813-128.pdf#page=8","Abrir facsímil")</f>
        <v>Abrir facsímil</v>
      </c>
      <c r="K4563" s="3" t="s">
        <v>22</v>
      </c>
    </row>
    <row r="4564" spans="1:11" ht="42" customHeight="1">
      <c r="A4564" s="2" t="s">
        <v>9627</v>
      </c>
      <c r="B4564" s="2" t="s">
        <v>9628</v>
      </c>
      <c r="C4564" s="2" t="s">
        <v>16</v>
      </c>
      <c r="D4564" s="2" t="s">
        <v>17</v>
      </c>
      <c r="E4564" s="5">
        <v>-31675</v>
      </c>
      <c r="F4564" s="3" t="s">
        <v>27</v>
      </c>
      <c r="G4564" s="3" t="s">
        <v>648</v>
      </c>
      <c r="H4564" s="2" t="s">
        <v>20</v>
      </c>
      <c r="I4564" s="2" t="s">
        <v>9629</v>
      </c>
      <c r="J4564" s="3" t="str">
        <f>HYPERLINK("https://www.boe.es/gazeta/dias/1813/04/10/pdfs/GRE-1813-44.pdf#page=7","Abrir facsímil")</f>
        <v>Abrir facsímil</v>
      </c>
      <c r="K4564" s="3" t="s">
        <v>22</v>
      </c>
    </row>
    <row r="4565" spans="1:11" ht="42" customHeight="1">
      <c r="A4565" s="2" t="s">
        <v>9630</v>
      </c>
      <c r="B4565" s="2" t="s">
        <v>9631</v>
      </c>
      <c r="C4565" s="2" t="s">
        <v>16</v>
      </c>
      <c r="D4565" s="2" t="s">
        <v>97</v>
      </c>
      <c r="E4565" s="5">
        <v>-31479</v>
      </c>
      <c r="F4565" s="3" t="s">
        <v>290</v>
      </c>
      <c r="G4565" s="3" t="s">
        <v>3006</v>
      </c>
      <c r="H4565" s="2" t="s">
        <v>20</v>
      </c>
      <c r="I4565" s="2" t="s">
        <v>9632</v>
      </c>
      <c r="J4565" s="3" t="str">
        <f>HYPERLINK("https://www.boe.es/gazeta/dias/1813/10/23/pdfs/GRE-1813-139E.pdf#page=15","Abrir facsímil")</f>
        <v>Abrir facsímil</v>
      </c>
      <c r="K4565" s="3" t="s">
        <v>22</v>
      </c>
    </row>
    <row r="4566" spans="1:11" ht="42" customHeight="1">
      <c r="A4566" s="2" t="s">
        <v>9633</v>
      </c>
      <c r="B4566" s="2" t="s">
        <v>9634</v>
      </c>
      <c r="C4566" s="2" t="s">
        <v>34</v>
      </c>
      <c r="D4566" s="2" t="s">
        <v>35</v>
      </c>
      <c r="E4566" s="5">
        <v>-31709</v>
      </c>
      <c r="F4566" s="3" t="s">
        <v>36</v>
      </c>
      <c r="G4566" s="3" t="s">
        <v>303</v>
      </c>
      <c r="H4566" s="2" t="s">
        <v>20</v>
      </c>
      <c r="I4566" s="2" t="s">
        <v>9635</v>
      </c>
      <c r="J4566" s="3" t="str">
        <f>HYPERLINK("https://www.boe.es/gazeta/dias/1813/03/07/pdfs/GMD-1813-66.pdf#page=3","Abrir facsímil")</f>
        <v>Abrir facsímil</v>
      </c>
      <c r="K4566" s="3" t="s">
        <v>22</v>
      </c>
    </row>
    <row r="4567" spans="1:11" ht="42" customHeight="1">
      <c r="A4567" s="2" t="s">
        <v>9633</v>
      </c>
      <c r="B4567" s="2" t="s">
        <v>9634</v>
      </c>
      <c r="C4567" s="2" t="s">
        <v>25</v>
      </c>
      <c r="D4567" s="2" t="s">
        <v>26</v>
      </c>
      <c r="E4567" s="5">
        <v>-31416</v>
      </c>
      <c r="F4567" s="3" t="s">
        <v>278</v>
      </c>
      <c r="G4567" s="3" t="s">
        <v>207</v>
      </c>
      <c r="H4567" s="2" t="s">
        <v>20</v>
      </c>
      <c r="I4567" s="2" t="s">
        <v>9636</v>
      </c>
      <c r="J4567" s="3" t="str">
        <f>HYPERLINK("https://www.boe.es/gazeta/dias/1813/12/25/pdfs/GMR-1813-92.pdf#page=10","Abrir facsímil")</f>
        <v>Abrir facsímil</v>
      </c>
      <c r="K4567" s="3" t="s">
        <v>22</v>
      </c>
    </row>
    <row r="4568" spans="1:11" ht="42" customHeight="1">
      <c r="A4568" s="2" t="s">
        <v>9637</v>
      </c>
      <c r="B4568" s="2" t="s">
        <v>9638</v>
      </c>
      <c r="C4568" s="2" t="s">
        <v>25</v>
      </c>
      <c r="D4568" s="2" t="s">
        <v>26</v>
      </c>
      <c r="E4568" s="5">
        <v>-31507</v>
      </c>
      <c r="F4568" s="3" t="s">
        <v>61</v>
      </c>
      <c r="G4568" s="3" t="s">
        <v>28</v>
      </c>
      <c r="H4568" s="2" t="s">
        <v>20</v>
      </c>
      <c r="I4568" s="2" t="s">
        <v>9639</v>
      </c>
      <c r="J4568" s="3" t="str">
        <f>HYPERLINK("https://www.boe.es/gazeta/dias/1813/09/25/pdfs/GMR-1813-48.pdf#page=8","Abrir facsímil")</f>
        <v>Abrir facsímil</v>
      </c>
      <c r="K4568" s="3" t="s">
        <v>22</v>
      </c>
    </row>
    <row r="4569" spans="1:11" ht="42" customHeight="1">
      <c r="A4569" s="2" t="s">
        <v>9640</v>
      </c>
      <c r="B4569" s="2" t="s">
        <v>9640</v>
      </c>
      <c r="C4569" s="2" t="s">
        <v>16</v>
      </c>
      <c r="D4569" s="2" t="s">
        <v>17</v>
      </c>
      <c r="E4569" s="5">
        <v>-31582</v>
      </c>
      <c r="F4569" s="3" t="s">
        <v>907</v>
      </c>
      <c r="G4569" s="3" t="s">
        <v>19</v>
      </c>
      <c r="H4569" s="2" t="s">
        <v>20</v>
      </c>
      <c r="I4569" s="2" t="s">
        <v>9641</v>
      </c>
      <c r="J4569" s="3" t="str">
        <f>HYPERLINK("https://www.boe.es/gazeta/dias/1813/07/12/pdfs/GRE-1813-87.pdf#page=4","Abrir facsímil")</f>
        <v>Abrir facsímil</v>
      </c>
      <c r="K4569" s="3" t="s">
        <v>22</v>
      </c>
    </row>
    <row r="4570" spans="1:11" ht="42" customHeight="1">
      <c r="A4570" s="2" t="s">
        <v>9642</v>
      </c>
      <c r="B4570" s="2" t="s">
        <v>9642</v>
      </c>
      <c r="C4570" s="2" t="s">
        <v>25</v>
      </c>
      <c r="D4570" s="2" t="s">
        <v>26</v>
      </c>
      <c r="E4570" s="5">
        <v>-31537</v>
      </c>
      <c r="F4570" s="3" t="s">
        <v>138</v>
      </c>
      <c r="G4570" s="3" t="s">
        <v>87</v>
      </c>
      <c r="H4570" s="2" t="s">
        <v>20</v>
      </c>
      <c r="I4570" s="2" t="s">
        <v>9643</v>
      </c>
      <c r="J4570" s="3" t="str">
        <f>HYPERLINK("https://www.boe.es/gazeta/dias/1813/08/26/pdfs/GMR-1813-33.pdf#page=7","Abrir facsímil")</f>
        <v>Abrir facsímil</v>
      </c>
      <c r="K4570" s="3" t="s">
        <v>22</v>
      </c>
    </row>
    <row r="4571" spans="1:11" ht="42" customHeight="1">
      <c r="A4571" s="2" t="s">
        <v>9642</v>
      </c>
      <c r="B4571" s="2" t="s">
        <v>9642</v>
      </c>
      <c r="C4571" s="2" t="s">
        <v>16</v>
      </c>
      <c r="D4571" s="2" t="s">
        <v>17</v>
      </c>
      <c r="E4571" s="5">
        <v>-31502</v>
      </c>
      <c r="F4571" s="3" t="s">
        <v>1363</v>
      </c>
      <c r="G4571" s="3" t="s">
        <v>95</v>
      </c>
      <c r="H4571" s="2" t="s">
        <v>20</v>
      </c>
      <c r="I4571" s="2" t="s">
        <v>9644</v>
      </c>
      <c r="J4571" s="3" t="str">
        <f>HYPERLINK("https://www.boe.es/gazeta/dias/1813/09/30/pdfs/GRE-1813-128.pdf#page=6","Abrir facsímil")</f>
        <v>Abrir facsímil</v>
      </c>
      <c r="K4571" s="3" t="s">
        <v>22</v>
      </c>
    </row>
    <row r="4572" spans="1:11" ht="42" customHeight="1">
      <c r="A4572" s="2" t="s">
        <v>9645</v>
      </c>
      <c r="B4572" s="2" t="s">
        <v>9645</v>
      </c>
      <c r="C4572" s="2" t="s">
        <v>16</v>
      </c>
      <c r="D4572" s="2" t="s">
        <v>17</v>
      </c>
      <c r="E4572" s="5">
        <v>-31567</v>
      </c>
      <c r="F4572" s="3" t="s">
        <v>820</v>
      </c>
      <c r="G4572" s="3" t="s">
        <v>58</v>
      </c>
      <c r="H4572" s="2" t="s">
        <v>20</v>
      </c>
      <c r="I4572" s="2" t="s">
        <v>9646</v>
      </c>
      <c r="J4572" s="3" t="str">
        <f>HYPERLINK("https://www.boe.es/gazeta/dias/1813/07/27/pdfs/GMR-1813-21.pdf#page=2","Abrir facsímil")</f>
        <v>Abrir facsímil</v>
      </c>
      <c r="K4572" s="3" t="s">
        <v>22</v>
      </c>
    </row>
    <row r="4573" spans="1:11" ht="42" customHeight="1">
      <c r="A4573" s="2" t="s">
        <v>9645</v>
      </c>
      <c r="B4573" s="2" t="s">
        <v>9645</v>
      </c>
      <c r="C4573" s="2" t="s">
        <v>16</v>
      </c>
      <c r="D4573" s="2" t="s">
        <v>17</v>
      </c>
      <c r="E4573" s="5">
        <v>-31565</v>
      </c>
      <c r="F4573" s="3" t="s">
        <v>306</v>
      </c>
      <c r="G4573" s="3" t="s">
        <v>58</v>
      </c>
      <c r="H4573" s="2" t="s">
        <v>20</v>
      </c>
      <c r="I4573" s="2" t="s">
        <v>9647</v>
      </c>
      <c r="J4573" s="3" t="str">
        <f>HYPERLINK("https://www.boe.es/gazeta/dias/1813/07/29/pdfs/GRE-1813-96.pdf#page=2","Abrir facsímil")</f>
        <v>Abrir facsímil</v>
      </c>
      <c r="K4573" s="3" t="s">
        <v>22</v>
      </c>
    </row>
    <row r="4574" spans="1:11" ht="42" customHeight="1">
      <c r="A4574" s="2" t="s">
        <v>9645</v>
      </c>
      <c r="B4574" s="2" t="s">
        <v>9645</v>
      </c>
      <c r="C4574" s="2" t="s">
        <v>16</v>
      </c>
      <c r="D4574" s="2" t="s">
        <v>17</v>
      </c>
      <c r="E4574" s="5">
        <v>-31553</v>
      </c>
      <c r="F4574" s="3" t="s">
        <v>1853</v>
      </c>
      <c r="G4574" s="3" t="s">
        <v>65</v>
      </c>
      <c r="H4574" s="2" t="s">
        <v>20</v>
      </c>
      <c r="I4574" s="2" t="s">
        <v>9648</v>
      </c>
      <c r="J4574" s="3" t="str">
        <f>HYPERLINK("https://www.boe.es/gazeta/dias/1813/08/10/pdfs/GMR-1813-26.pdf#page=1","Abrir facsímil")</f>
        <v>Abrir facsímil</v>
      </c>
      <c r="K4574" s="3" t="s">
        <v>22</v>
      </c>
    </row>
    <row r="4575" spans="1:11" ht="42" customHeight="1">
      <c r="A4575" s="2" t="s">
        <v>9649</v>
      </c>
      <c r="B4575" s="2" t="s">
        <v>9650</v>
      </c>
      <c r="C4575" s="2" t="s">
        <v>34</v>
      </c>
      <c r="D4575" s="2" t="s">
        <v>35</v>
      </c>
      <c r="E4575" s="5">
        <v>-31567</v>
      </c>
      <c r="F4575" s="3" t="s">
        <v>1471</v>
      </c>
      <c r="G4575" s="3" t="s">
        <v>95</v>
      </c>
      <c r="H4575" s="2" t="s">
        <v>20</v>
      </c>
      <c r="I4575" s="2" t="s">
        <v>9651</v>
      </c>
      <c r="J4575" s="3" t="str">
        <f>HYPERLINK("https://www.boe.es/gazeta/dias/1813/07/27/pdfs/GRE-1813-95.pdf#page=6","Abrir facsímil")</f>
        <v>Abrir facsímil</v>
      </c>
      <c r="K4575" s="3" t="s">
        <v>22</v>
      </c>
    </row>
    <row r="4576" spans="1:11" ht="42" customHeight="1">
      <c r="A4576" s="2" t="s">
        <v>9652</v>
      </c>
      <c r="B4576" s="2" t="s">
        <v>9652</v>
      </c>
      <c r="C4576" s="2" t="s">
        <v>25</v>
      </c>
      <c r="D4576" s="2" t="s">
        <v>26</v>
      </c>
      <c r="E4576" s="5">
        <v>-31675</v>
      </c>
      <c r="F4576" s="3" t="s">
        <v>27</v>
      </c>
      <c r="G4576" s="3" t="s">
        <v>28</v>
      </c>
      <c r="H4576" s="2" t="s">
        <v>20</v>
      </c>
      <c r="I4576" s="2" t="s">
        <v>9653</v>
      </c>
      <c r="J4576" s="3" t="str">
        <f>HYPERLINK("https://www.boe.es/gazeta/dias/1813/04/10/pdfs/GRE-1813-44.pdf#page=8","Abrir facsímil")</f>
        <v>Abrir facsímil</v>
      </c>
      <c r="K4576" s="3" t="s">
        <v>22</v>
      </c>
    </row>
    <row r="4577" spans="1:11" ht="42" customHeight="1">
      <c r="A4577" s="2" t="s">
        <v>9654</v>
      </c>
      <c r="B4577" s="2" t="s">
        <v>9654</v>
      </c>
      <c r="C4577" s="2" t="s">
        <v>16</v>
      </c>
      <c r="D4577" s="2" t="s">
        <v>17</v>
      </c>
      <c r="E4577" s="5">
        <v>-31479</v>
      </c>
      <c r="F4577" s="3" t="s">
        <v>322</v>
      </c>
      <c r="G4577" s="3" t="s">
        <v>58</v>
      </c>
      <c r="H4577" s="2" t="s">
        <v>20</v>
      </c>
      <c r="I4577" s="2" t="s">
        <v>9655</v>
      </c>
      <c r="J4577" s="3" t="str">
        <f>HYPERLINK("https://www.boe.es/gazeta/dias/1813/10/23/pdfs/GMR-1813-63.pdf#page=2","Abrir facsímil")</f>
        <v>Abrir facsímil</v>
      </c>
      <c r="K4577" s="3" t="s">
        <v>22</v>
      </c>
    </row>
    <row r="4578" spans="1:11" ht="42" customHeight="1">
      <c r="A4578" s="2" t="s">
        <v>9656</v>
      </c>
      <c r="B4578" s="2" t="s">
        <v>9657</v>
      </c>
      <c r="C4578" s="2" t="s">
        <v>16</v>
      </c>
      <c r="D4578" s="2" t="s">
        <v>17</v>
      </c>
      <c r="E4578" s="5">
        <v>-31754</v>
      </c>
      <c r="F4578" s="3" t="s">
        <v>899</v>
      </c>
      <c r="G4578" s="3" t="s">
        <v>900</v>
      </c>
      <c r="H4578" s="2" t="s">
        <v>20</v>
      </c>
      <c r="I4578" s="2" t="s">
        <v>9658</v>
      </c>
      <c r="J4578" s="3" t="str">
        <f>HYPERLINK("https://www.boe.es/gazeta/dias/1813/01/21/pdfs/GRE-1813-9.pdf#page=8","Abrir facsímil")</f>
        <v>Abrir facsímil</v>
      </c>
      <c r="K4578" s="3" t="s">
        <v>22</v>
      </c>
    </row>
    <row r="4579" spans="1:11" ht="42" customHeight="1">
      <c r="A4579" s="2" t="s">
        <v>9659</v>
      </c>
      <c r="B4579" s="2" t="s">
        <v>9659</v>
      </c>
      <c r="C4579" s="2" t="s">
        <v>16</v>
      </c>
      <c r="D4579" s="2" t="s">
        <v>17</v>
      </c>
      <c r="E4579" s="5">
        <v>-31588</v>
      </c>
      <c r="F4579" s="3" t="s">
        <v>1535</v>
      </c>
      <c r="G4579" s="3" t="s">
        <v>313</v>
      </c>
      <c r="H4579" s="2" t="s">
        <v>20</v>
      </c>
      <c r="I4579" s="2" t="s">
        <v>9660</v>
      </c>
      <c r="J4579" s="3" t="str">
        <f>HYPERLINK("https://www.boe.es/gazeta/dias/1813/07/06/pdfs/GMR-1813-15.pdf#page=9","Abrir facsímil")</f>
        <v>Abrir facsímil</v>
      </c>
      <c r="K4579" s="3" t="s">
        <v>22</v>
      </c>
    </row>
    <row r="4580" spans="1:11" ht="42" customHeight="1">
      <c r="A4580" s="2" t="s">
        <v>9659</v>
      </c>
      <c r="B4580" s="2" t="s">
        <v>9659</v>
      </c>
      <c r="C4580" s="2" t="s">
        <v>16</v>
      </c>
      <c r="D4580" s="2" t="s">
        <v>17</v>
      </c>
      <c r="E4580" s="5">
        <v>-31525</v>
      </c>
      <c r="F4580" s="3" t="s">
        <v>1131</v>
      </c>
      <c r="G4580" s="3" t="s">
        <v>54</v>
      </c>
      <c r="H4580" s="2" t="s">
        <v>20</v>
      </c>
      <c r="I4580" s="2" t="s">
        <v>9661</v>
      </c>
      <c r="J4580" s="3" t="str">
        <f>HYPERLINK("https://www.boe.es/gazeta/dias/1813/09/07/pdfs/GRE-1813-114.pdf#page=3","Abrir facsímil")</f>
        <v>Abrir facsímil</v>
      </c>
      <c r="K4580" s="3" t="s">
        <v>22</v>
      </c>
    </row>
    <row r="4581" spans="1:11" ht="42" customHeight="1">
      <c r="A4581" s="2" t="s">
        <v>9662</v>
      </c>
      <c r="B4581" s="2" t="s">
        <v>9663</v>
      </c>
      <c r="C4581" s="2" t="s">
        <v>16</v>
      </c>
      <c r="D4581" s="2" t="s">
        <v>17</v>
      </c>
      <c r="E4581" s="5">
        <v>-31612</v>
      </c>
      <c r="F4581" s="3" t="s">
        <v>5784</v>
      </c>
      <c r="G4581" s="3" t="s">
        <v>95</v>
      </c>
      <c r="H4581" s="2" t="s">
        <v>20</v>
      </c>
      <c r="I4581" s="2" t="s">
        <v>9664</v>
      </c>
      <c r="J4581" s="3" t="str">
        <f>HYPERLINK("https://www.boe.es/gazeta/dias/1813/06/12/pdfs/GRE-1813-73.pdf#page=6","Abrir facsímil")</f>
        <v>Abrir facsímil</v>
      </c>
      <c r="K4581" s="3" t="s">
        <v>22</v>
      </c>
    </row>
    <row r="4582" spans="1:11" ht="42" customHeight="1">
      <c r="A4582" s="2" t="s">
        <v>9662</v>
      </c>
      <c r="B4582" s="2" t="s">
        <v>9663</v>
      </c>
      <c r="C4582" s="2" t="s">
        <v>16</v>
      </c>
      <c r="D4582" s="2" t="s">
        <v>17</v>
      </c>
      <c r="E4582" s="5">
        <v>-31602</v>
      </c>
      <c r="F4582" s="3" t="s">
        <v>2117</v>
      </c>
      <c r="G4582" s="3" t="s">
        <v>87</v>
      </c>
      <c r="H4582" s="2" t="s">
        <v>20</v>
      </c>
      <c r="I4582" s="2" t="s">
        <v>9665</v>
      </c>
      <c r="J4582" s="3" t="str">
        <f>HYPERLINK("https://www.boe.es/gazeta/dias/1813/06/22/pdfs/GMR-1813-9.pdf#page=7","Abrir facsímil")</f>
        <v>Abrir facsímil</v>
      </c>
      <c r="K4582" s="3" t="s">
        <v>22</v>
      </c>
    </row>
    <row r="4583" spans="1:11" ht="42" customHeight="1">
      <c r="A4583" s="2" t="s">
        <v>9666</v>
      </c>
      <c r="B4583" s="2" t="s">
        <v>9667</v>
      </c>
      <c r="C4583" s="2" t="s">
        <v>16</v>
      </c>
      <c r="D4583" s="2" t="s">
        <v>17</v>
      </c>
      <c r="E4583" s="5">
        <v>-31585</v>
      </c>
      <c r="F4583" s="3" t="s">
        <v>177</v>
      </c>
      <c r="G4583" s="3" t="s">
        <v>1474</v>
      </c>
      <c r="H4583" s="2" t="s">
        <v>20</v>
      </c>
      <c r="I4583" s="2" t="s">
        <v>9668</v>
      </c>
      <c r="J4583" s="3" t="str">
        <f>HYPERLINK("https://www.boe.es/gazeta/dias/1813/07/09/pdfs/GMR-1813-16.pdf#page=14","Abrir facsímil")</f>
        <v>Abrir facsímil</v>
      </c>
      <c r="K4583" s="3" t="s">
        <v>22</v>
      </c>
    </row>
    <row r="4584" spans="1:11" ht="42" customHeight="1">
      <c r="A4584" s="2" t="s">
        <v>9669</v>
      </c>
      <c r="B4584" s="2" t="s">
        <v>9669</v>
      </c>
      <c r="C4584" s="2" t="s">
        <v>16</v>
      </c>
      <c r="D4584" s="2" t="s">
        <v>17</v>
      </c>
      <c r="E4584" s="5">
        <v>-31766</v>
      </c>
      <c r="F4584" s="3" t="s">
        <v>1356</v>
      </c>
      <c r="G4584" s="3" t="s">
        <v>4703</v>
      </c>
      <c r="H4584" s="2" t="s">
        <v>20</v>
      </c>
      <c r="I4584" s="2" t="s">
        <v>9670</v>
      </c>
      <c r="J4584" s="3" t="str">
        <f>HYPERLINK("https://www.boe.es/gazeta/dias/1813/01/09/pdfs/GRE-1813-4.pdf#page=5","Abrir facsímil")</f>
        <v>Abrir facsímil</v>
      </c>
      <c r="K4584" s="3" t="s">
        <v>22</v>
      </c>
    </row>
    <row r="4585" spans="1:11" ht="42" customHeight="1">
      <c r="A4585" s="2" t="s">
        <v>9671</v>
      </c>
      <c r="B4585" s="2" t="s">
        <v>9671</v>
      </c>
      <c r="C4585" s="2" t="s">
        <v>16</v>
      </c>
      <c r="D4585" s="2" t="s">
        <v>17</v>
      </c>
      <c r="E4585" s="5">
        <v>-31521</v>
      </c>
      <c r="F4585" s="3" t="s">
        <v>1282</v>
      </c>
      <c r="G4585" s="3" t="s">
        <v>95</v>
      </c>
      <c r="H4585" s="2" t="s">
        <v>20</v>
      </c>
      <c r="I4585" s="2" t="s">
        <v>9672</v>
      </c>
      <c r="J4585" s="3" t="str">
        <f>HYPERLINK("https://www.boe.es/gazeta/dias/1813/09/11/pdfs/GMR-1813-41.pdf#page=6","Abrir facsímil")</f>
        <v>Abrir facsímil</v>
      </c>
      <c r="K4585" s="3" t="s">
        <v>22</v>
      </c>
    </row>
    <row r="4586" spans="1:11" ht="42" customHeight="1">
      <c r="A4586" s="2" t="s">
        <v>9671</v>
      </c>
      <c r="B4586" s="2" t="s">
        <v>9671</v>
      </c>
      <c r="C4586" s="2" t="s">
        <v>16</v>
      </c>
      <c r="D4586" s="2" t="s">
        <v>97</v>
      </c>
      <c r="E4586" s="5">
        <v>-31519</v>
      </c>
      <c r="F4586" s="3" t="s">
        <v>312</v>
      </c>
      <c r="G4586" s="3" t="s">
        <v>95</v>
      </c>
      <c r="H4586" s="2" t="s">
        <v>20</v>
      </c>
      <c r="I4586" s="2" t="s">
        <v>9673</v>
      </c>
      <c r="J4586" s="3" t="str">
        <f>HYPERLINK("https://www.boe.es/gazeta/dias/1813/09/13/pdfs/GRE-1813-118E.pdf#page=6","Abrir facsímil")</f>
        <v>Abrir facsímil</v>
      </c>
      <c r="K4586" s="3" t="s">
        <v>22</v>
      </c>
    </row>
    <row r="4587" spans="1:11" ht="42" customHeight="1">
      <c r="A4587" s="2" t="s">
        <v>9674</v>
      </c>
      <c r="B4587" s="2" t="s">
        <v>9675</v>
      </c>
      <c r="C4587" s="2" t="s">
        <v>16</v>
      </c>
      <c r="D4587" s="2" t="s">
        <v>17</v>
      </c>
      <c r="E4587" s="5">
        <v>-31481</v>
      </c>
      <c r="F4587" s="3" t="s">
        <v>40</v>
      </c>
      <c r="G4587" s="3" t="s">
        <v>28</v>
      </c>
      <c r="H4587" s="2" t="s">
        <v>20</v>
      </c>
      <c r="I4587" s="2" t="s">
        <v>9676</v>
      </c>
      <c r="J4587" s="3" t="str">
        <f>HYPERLINK("https://www.boe.es/gazeta/dias/1813/10/21/pdfs/GMR-1813-62.pdf#page=8","Abrir facsímil")</f>
        <v>Abrir facsímil</v>
      </c>
      <c r="K4587" s="3" t="s">
        <v>22</v>
      </c>
    </row>
    <row r="4588" spans="1:11" ht="42" customHeight="1">
      <c r="A4588" s="2" t="s">
        <v>9674</v>
      </c>
      <c r="B4588" s="2" t="s">
        <v>9675</v>
      </c>
      <c r="C4588" s="2" t="s">
        <v>16</v>
      </c>
      <c r="D4588" s="2" t="s">
        <v>97</v>
      </c>
      <c r="E4588" s="5">
        <v>-31479</v>
      </c>
      <c r="F4588" s="3" t="s">
        <v>290</v>
      </c>
      <c r="G4588" s="3" t="s">
        <v>3006</v>
      </c>
      <c r="H4588" s="2" t="s">
        <v>20</v>
      </c>
      <c r="I4588" s="2" t="s">
        <v>9677</v>
      </c>
      <c r="J4588" s="3" t="str">
        <f>HYPERLINK("https://www.boe.es/gazeta/dias/1813/10/23/pdfs/GRE-1813-139E.pdf#page=15","Abrir facsímil")</f>
        <v>Abrir facsímil</v>
      </c>
      <c r="K4588" s="3" t="s">
        <v>22</v>
      </c>
    </row>
    <row r="4589" spans="1:11" ht="42" customHeight="1">
      <c r="A4589" s="2" t="s">
        <v>9678</v>
      </c>
      <c r="B4589" s="2" t="s">
        <v>9679</v>
      </c>
      <c r="C4589" s="2" t="s">
        <v>16</v>
      </c>
      <c r="D4589" s="2" t="s">
        <v>17</v>
      </c>
      <c r="E4589" s="5">
        <v>-31507</v>
      </c>
      <c r="F4589" s="3" t="s">
        <v>61</v>
      </c>
      <c r="G4589" s="3" t="s">
        <v>28</v>
      </c>
      <c r="H4589" s="2" t="s">
        <v>20</v>
      </c>
      <c r="I4589" s="2" t="s">
        <v>9680</v>
      </c>
      <c r="J4589" s="3" t="str">
        <f>HYPERLINK("https://www.boe.es/gazeta/dias/1813/09/25/pdfs/GMR-1813-48.pdf#page=8","Abrir facsímil")</f>
        <v>Abrir facsímil</v>
      </c>
      <c r="K4589" s="3" t="s">
        <v>22</v>
      </c>
    </row>
    <row r="4590" spans="1:11" ht="42" customHeight="1">
      <c r="A4590" s="2" t="s">
        <v>9681</v>
      </c>
      <c r="B4590" s="2" t="s">
        <v>9682</v>
      </c>
      <c r="C4590" s="2" t="s">
        <v>16</v>
      </c>
      <c r="D4590" s="2" t="s">
        <v>17</v>
      </c>
      <c r="E4590" s="5">
        <v>-31467</v>
      </c>
      <c r="F4590" s="3" t="s">
        <v>1464</v>
      </c>
      <c r="G4590" s="3" t="s">
        <v>82</v>
      </c>
      <c r="H4590" s="2" t="s">
        <v>20</v>
      </c>
      <c r="I4590" s="2" t="s">
        <v>9683</v>
      </c>
      <c r="J4590" s="3" t="str">
        <f>HYPERLINK("https://www.boe.es/gazeta/dias/1813/11/04/pdfs/GRE-1813-144.pdf#page=5","Abrir facsímil")</f>
        <v>Abrir facsímil</v>
      </c>
      <c r="K4590" s="3" t="s">
        <v>22</v>
      </c>
    </row>
    <row r="4591" spans="1:11" ht="42" customHeight="1">
      <c r="A4591" s="2" t="s">
        <v>9684</v>
      </c>
      <c r="B4591" s="2" t="s">
        <v>9685</v>
      </c>
      <c r="C4591" s="2" t="s">
        <v>25</v>
      </c>
      <c r="D4591" s="2" t="s">
        <v>26</v>
      </c>
      <c r="E4591" s="5">
        <v>-31677</v>
      </c>
      <c r="F4591" s="3" t="s">
        <v>76</v>
      </c>
      <c r="G4591" s="3" t="s">
        <v>77</v>
      </c>
      <c r="H4591" s="2" t="s">
        <v>20</v>
      </c>
      <c r="I4591" s="2" t="s">
        <v>9686</v>
      </c>
      <c r="J4591" s="3" t="str">
        <f>HYPERLINK("https://www.boe.es/gazeta/dias/1813/04/08/pdfs/GRE-1813-43.pdf#page=7","Abrir facsímil")</f>
        <v>Abrir facsímil</v>
      </c>
      <c r="K4591" s="3" t="s">
        <v>22</v>
      </c>
    </row>
    <row r="4592" spans="1:11" ht="42" customHeight="1">
      <c r="A4592" s="2" t="s">
        <v>9687</v>
      </c>
      <c r="B4592" s="2" t="s">
        <v>9688</v>
      </c>
      <c r="C4592" s="2" t="s">
        <v>187</v>
      </c>
      <c r="D4592" s="2" t="s">
        <v>26</v>
      </c>
      <c r="E4592" s="5">
        <v>-31689</v>
      </c>
      <c r="F4592" s="3" t="s">
        <v>48</v>
      </c>
      <c r="G4592" s="3" t="s">
        <v>162</v>
      </c>
      <c r="H4592" s="2" t="s">
        <v>20</v>
      </c>
      <c r="I4592" s="2" t="s">
        <v>9689</v>
      </c>
      <c r="J4592" s="3" t="str">
        <f>HYPERLINK("https://www.boe.es/gazeta/dias/1813/03/27/pdfs/GRE-1813-38.pdf#page=8","Abrir facsímil")</f>
        <v>Abrir facsímil</v>
      </c>
      <c r="K4592" s="3" t="s">
        <v>22</v>
      </c>
    </row>
    <row r="4593" spans="1:11" ht="42" customHeight="1">
      <c r="A4593" s="2" t="s">
        <v>9690</v>
      </c>
      <c r="B4593" s="2" t="s">
        <v>9690</v>
      </c>
      <c r="C4593" s="2" t="s">
        <v>16</v>
      </c>
      <c r="D4593" s="2" t="s">
        <v>17</v>
      </c>
      <c r="E4593" s="5">
        <v>-31709</v>
      </c>
      <c r="F4593" s="3" t="s">
        <v>36</v>
      </c>
      <c r="G4593" s="3" t="s">
        <v>65</v>
      </c>
      <c r="H4593" s="2" t="s">
        <v>20</v>
      </c>
      <c r="I4593" s="2" t="s">
        <v>9691</v>
      </c>
      <c r="J4593" s="3" t="str">
        <f>HYPERLINK("https://www.boe.es/gazeta/dias/1813/03/07/pdfs/GMD-1813-66.pdf#page=1","Abrir facsímil")</f>
        <v>Abrir facsímil</v>
      </c>
      <c r="K4593" s="3" t="s">
        <v>22</v>
      </c>
    </row>
    <row r="4594" spans="1:11" ht="42" customHeight="1">
      <c r="A4594" s="2" t="s">
        <v>9692</v>
      </c>
      <c r="B4594" s="2" t="s">
        <v>9692</v>
      </c>
      <c r="C4594" s="2" t="s">
        <v>16</v>
      </c>
      <c r="D4594" s="2" t="s">
        <v>17</v>
      </c>
      <c r="E4594" s="5">
        <v>-31749</v>
      </c>
      <c r="F4594" s="3" t="s">
        <v>1515</v>
      </c>
      <c r="G4594" s="3" t="s">
        <v>65</v>
      </c>
      <c r="H4594" s="2" t="s">
        <v>20</v>
      </c>
      <c r="I4594" s="2" t="s">
        <v>9693</v>
      </c>
      <c r="J4594" s="3" t="str">
        <f>HYPERLINK("https://www.boe.es/gazeta/dias/1813/01/26/pdfs/GRE-1813-11.pdf#page=1","Abrir facsímil")</f>
        <v>Abrir facsímil</v>
      </c>
      <c r="K4594" s="3" t="s">
        <v>22</v>
      </c>
    </row>
    <row r="4595" spans="1:11" ht="42" customHeight="1">
      <c r="A4595" s="2" t="s">
        <v>9694</v>
      </c>
      <c r="B4595" s="2" t="s">
        <v>9694</v>
      </c>
      <c r="C4595" s="2" t="s">
        <v>16</v>
      </c>
      <c r="D4595" s="2" t="s">
        <v>17</v>
      </c>
      <c r="E4595" s="5">
        <v>-31483</v>
      </c>
      <c r="F4595" s="3" t="s">
        <v>1292</v>
      </c>
      <c r="G4595" s="3" t="s">
        <v>28</v>
      </c>
      <c r="H4595" s="2" t="s">
        <v>20</v>
      </c>
      <c r="I4595" s="2" t="s">
        <v>9695</v>
      </c>
      <c r="J4595" s="3" t="str">
        <f>HYPERLINK("https://www.boe.es/gazeta/dias/1813/10/19/pdfs/GMR-1813-61.pdf#page=8","Abrir facsímil")</f>
        <v>Abrir facsímil</v>
      </c>
      <c r="K4595" s="3" t="s">
        <v>22</v>
      </c>
    </row>
    <row r="4596" spans="1:11" ht="42" customHeight="1">
      <c r="A4596" s="2" t="s">
        <v>9696</v>
      </c>
      <c r="B4596" s="2" t="s">
        <v>9696</v>
      </c>
      <c r="C4596" s="2" t="s">
        <v>16</v>
      </c>
      <c r="D4596" s="2" t="s">
        <v>17</v>
      </c>
      <c r="E4596" s="5">
        <v>-31434</v>
      </c>
      <c r="F4596" s="3" t="s">
        <v>18</v>
      </c>
      <c r="G4596" s="3" t="s">
        <v>95</v>
      </c>
      <c r="H4596" s="2" t="s">
        <v>20</v>
      </c>
      <c r="I4596" s="2" t="s">
        <v>9697</v>
      </c>
      <c r="J4596" s="3" t="str">
        <f>HYPERLINK("https://www.boe.es/gazeta/dias/1813/12/07/pdfs/GRE-1813-161.pdf#page=6","Abrir facsímil")</f>
        <v>Abrir facsímil</v>
      </c>
      <c r="K4596" s="3" t="s">
        <v>22</v>
      </c>
    </row>
    <row r="4597" spans="1:11" ht="42" customHeight="1">
      <c r="A4597" s="2" t="s">
        <v>9698</v>
      </c>
      <c r="B4597" s="2" t="s">
        <v>9698</v>
      </c>
      <c r="C4597" s="2" t="s">
        <v>16</v>
      </c>
      <c r="D4597" s="2" t="s">
        <v>97</v>
      </c>
      <c r="E4597" s="5">
        <v>-31446</v>
      </c>
      <c r="F4597" s="3" t="s">
        <v>1877</v>
      </c>
      <c r="G4597" s="3" t="s">
        <v>54</v>
      </c>
      <c r="H4597" s="2" t="s">
        <v>20</v>
      </c>
      <c r="I4597" s="2" t="s">
        <v>9699</v>
      </c>
      <c r="J4597" s="3" t="str">
        <f>HYPERLINK("https://www.boe.es/gazeta/dias/1813/11/25/pdfs/GRE-1813-155E.pdf#page=3","Abrir facsímil")</f>
        <v>Abrir facsímil</v>
      </c>
      <c r="K4597" s="3" t="s">
        <v>22</v>
      </c>
    </row>
    <row r="4598" spans="1:11" ht="42" customHeight="1">
      <c r="A4598" s="2" t="s">
        <v>9700</v>
      </c>
      <c r="B4598" s="2" t="s">
        <v>9701</v>
      </c>
      <c r="C4598" s="2" t="s">
        <v>16</v>
      </c>
      <c r="D4598" s="2" t="s">
        <v>17</v>
      </c>
      <c r="E4598" s="5">
        <v>-31427</v>
      </c>
      <c r="F4598" s="3" t="s">
        <v>1822</v>
      </c>
      <c r="G4598" s="3" t="s">
        <v>54</v>
      </c>
      <c r="H4598" s="2" t="s">
        <v>29</v>
      </c>
      <c r="I4598" s="2" t="s">
        <v>9702</v>
      </c>
      <c r="J4598" s="3" t="str">
        <f>HYPERLINK("https://www.boe.es/gazeta/dias/1813/12/14/pdfs/GRE-1813-164.pdf#page=3","Abrir facsímil")</f>
        <v>Abrir facsímil</v>
      </c>
      <c r="K4598" s="3" t="s">
        <v>31</v>
      </c>
    </row>
    <row r="4599" spans="1:11" ht="42" customHeight="1">
      <c r="A4599" s="2" t="s">
        <v>9703</v>
      </c>
      <c r="B4599" s="2" t="s">
        <v>9703</v>
      </c>
      <c r="C4599" s="2" t="s">
        <v>16</v>
      </c>
      <c r="D4599" s="2" t="s">
        <v>17</v>
      </c>
      <c r="E4599" s="5">
        <v>-31448</v>
      </c>
      <c r="F4599" s="3" t="s">
        <v>325</v>
      </c>
      <c r="G4599" s="3" t="s">
        <v>87</v>
      </c>
      <c r="H4599" s="2" t="s">
        <v>20</v>
      </c>
      <c r="I4599" s="2" t="s">
        <v>9704</v>
      </c>
      <c r="J4599" s="3" t="str">
        <f>HYPERLINK("https://www.boe.es/gazeta/dias/1813/11/23/pdfs/GMR-1813-78.pdf#page=7","Abrir facsímil")</f>
        <v>Abrir facsímil</v>
      </c>
      <c r="K4599" s="3" t="s">
        <v>22</v>
      </c>
    </row>
    <row r="4600" spans="1:11" ht="42" customHeight="1">
      <c r="A4600" s="2" t="s">
        <v>9703</v>
      </c>
      <c r="B4600" s="2" t="s">
        <v>9703</v>
      </c>
      <c r="C4600" s="2" t="s">
        <v>16</v>
      </c>
      <c r="D4600" s="2" t="s">
        <v>17</v>
      </c>
      <c r="E4600" s="5">
        <v>-31430</v>
      </c>
      <c r="F4600" s="3" t="s">
        <v>1731</v>
      </c>
      <c r="G4600" s="3" t="s">
        <v>65</v>
      </c>
      <c r="H4600" s="2" t="s">
        <v>20</v>
      </c>
      <c r="I4600" s="2" t="s">
        <v>9705</v>
      </c>
      <c r="J4600" s="3" t="str">
        <f>HYPERLINK("https://www.boe.es/gazeta/dias/1813/12/11/pdfs/GRE-1813-163.pdf#page=1","Abrir facsímil")</f>
        <v>Abrir facsímil</v>
      </c>
      <c r="K4600" s="3" t="s">
        <v>22</v>
      </c>
    </row>
    <row r="4601" spans="1:11" ht="42" customHeight="1">
      <c r="A4601" s="2" t="s">
        <v>9706</v>
      </c>
      <c r="B4601" s="2" t="s">
        <v>9707</v>
      </c>
      <c r="C4601" s="2" t="s">
        <v>16</v>
      </c>
      <c r="D4601" s="2" t="s">
        <v>17</v>
      </c>
      <c r="E4601" s="5">
        <v>-31507</v>
      </c>
      <c r="F4601" s="3" t="s">
        <v>61</v>
      </c>
      <c r="G4601" s="3" t="s">
        <v>58</v>
      </c>
      <c r="H4601" s="2" t="s">
        <v>20</v>
      </c>
      <c r="I4601" s="2" t="s">
        <v>9708</v>
      </c>
      <c r="J4601" s="3" t="str">
        <f>HYPERLINK("https://www.boe.es/gazeta/dias/1813/09/25/pdfs/GMR-1813-48.pdf#page=2","Abrir facsímil")</f>
        <v>Abrir facsímil</v>
      </c>
      <c r="K4601" s="3" t="s">
        <v>22</v>
      </c>
    </row>
    <row r="4602" spans="1:11" ht="42" customHeight="1">
      <c r="A4602" s="2" t="s">
        <v>9709</v>
      </c>
      <c r="B4602" s="2" t="s">
        <v>9710</v>
      </c>
      <c r="C4602" s="2" t="s">
        <v>16</v>
      </c>
      <c r="D4602" s="2" t="s">
        <v>17</v>
      </c>
      <c r="E4602" s="5">
        <v>-31509</v>
      </c>
      <c r="F4602" s="3" t="s">
        <v>2007</v>
      </c>
      <c r="G4602" s="3" t="s">
        <v>87</v>
      </c>
      <c r="H4602" s="2" t="s">
        <v>20</v>
      </c>
      <c r="I4602" s="2" t="s">
        <v>9711</v>
      </c>
      <c r="J4602" s="3" t="str">
        <f>HYPERLINK("https://www.boe.es/gazeta/dias/1813/09/23/pdfs/GRE-1813-125.pdf#page=7","Abrir facsímil")</f>
        <v>Abrir facsímil</v>
      </c>
      <c r="K4602" s="3" t="s">
        <v>22</v>
      </c>
    </row>
    <row r="4603" spans="1:11" ht="42" customHeight="1">
      <c r="A4603" s="2" t="s">
        <v>9712</v>
      </c>
      <c r="B4603" s="2" t="s">
        <v>9713</v>
      </c>
      <c r="C4603" s="2" t="s">
        <v>435</v>
      </c>
      <c r="D4603" s="2" t="s">
        <v>26</v>
      </c>
      <c r="E4603" s="5">
        <v>-31715</v>
      </c>
      <c r="F4603" s="3" t="s">
        <v>3358</v>
      </c>
      <c r="G4603" s="3" t="s">
        <v>58</v>
      </c>
      <c r="H4603" s="2" t="s">
        <v>20</v>
      </c>
      <c r="I4603" s="2" t="s">
        <v>9714</v>
      </c>
      <c r="J4603" s="3" t="str">
        <f>HYPERLINK("https://www.boe.es/gazeta/dias/1813/03/01/pdfs/GMD-1813-60.pdf#page=2","Abrir facsímil")</f>
        <v>Abrir facsímil</v>
      </c>
      <c r="K4603" s="3" t="s">
        <v>22</v>
      </c>
    </row>
    <row r="4604" spans="1:11" ht="42" customHeight="1">
      <c r="A4604" s="2" t="s">
        <v>9715</v>
      </c>
      <c r="B4604" s="2" t="s">
        <v>9716</v>
      </c>
      <c r="C4604" s="2" t="s">
        <v>25</v>
      </c>
      <c r="D4604" s="2" t="s">
        <v>26</v>
      </c>
      <c r="E4604" s="5">
        <v>-31411</v>
      </c>
      <c r="F4604" s="3" t="s">
        <v>3702</v>
      </c>
      <c r="G4604" s="3" t="s">
        <v>87</v>
      </c>
      <c r="H4604" s="2" t="s">
        <v>20</v>
      </c>
      <c r="I4604" s="2" t="s">
        <v>9717</v>
      </c>
      <c r="J4604" s="3" t="str">
        <f>HYPERLINK("https://www.boe.es/gazeta/dias/1813/12/30/pdfs/GRE-1813-171.pdf#page=7","Abrir facsímil")</f>
        <v>Abrir facsímil</v>
      </c>
      <c r="K4604" s="3" t="s">
        <v>22</v>
      </c>
    </row>
    <row r="4605" spans="1:11" ht="42" customHeight="1">
      <c r="A4605" s="2" t="s">
        <v>9718</v>
      </c>
      <c r="B4605" s="2" t="s">
        <v>9719</v>
      </c>
      <c r="C4605" s="2" t="s">
        <v>25</v>
      </c>
      <c r="D4605" s="2" t="s">
        <v>26</v>
      </c>
      <c r="E4605" s="5">
        <v>-31655</v>
      </c>
      <c r="F4605" s="3" t="s">
        <v>858</v>
      </c>
      <c r="G4605" s="3" t="s">
        <v>983</v>
      </c>
      <c r="H4605" s="2" t="s">
        <v>20</v>
      </c>
      <c r="I4605" s="2" t="s">
        <v>9720</v>
      </c>
      <c r="J4605" s="3" t="str">
        <f>HYPERLINK("https://www.boe.es/gazeta/dias/1813/04/30/pdfs/GMD-1813-120.pdf#page=3","Abrir facsímil")</f>
        <v>Abrir facsímil</v>
      </c>
      <c r="K4605" s="3" t="s">
        <v>22</v>
      </c>
    </row>
    <row r="4606" spans="1:11" ht="42" customHeight="1">
      <c r="A4606" s="2" t="s">
        <v>9721</v>
      </c>
      <c r="B4606" s="2" t="s">
        <v>9721</v>
      </c>
      <c r="C4606" s="2" t="s">
        <v>16</v>
      </c>
      <c r="D4606" s="2" t="s">
        <v>97</v>
      </c>
      <c r="E4606" s="5">
        <v>-31446</v>
      </c>
      <c r="F4606" s="3" t="s">
        <v>1877</v>
      </c>
      <c r="G4606" s="3" t="s">
        <v>58</v>
      </c>
      <c r="H4606" s="2" t="s">
        <v>20</v>
      </c>
      <c r="I4606" s="2" t="s">
        <v>9722</v>
      </c>
      <c r="J4606" s="3" t="str">
        <f>HYPERLINK("https://www.boe.es/gazeta/dias/1813/11/25/pdfs/GRE-1813-155E.pdf#page=2","Abrir facsímil")</f>
        <v>Abrir facsímil</v>
      </c>
      <c r="K4606" s="3" t="s">
        <v>22</v>
      </c>
    </row>
    <row r="4607" spans="1:11" ht="42" customHeight="1">
      <c r="A4607" s="2" t="s">
        <v>9723</v>
      </c>
      <c r="B4607" s="2" t="s">
        <v>9723</v>
      </c>
      <c r="C4607" s="2" t="s">
        <v>16</v>
      </c>
      <c r="D4607" s="2" t="s">
        <v>17</v>
      </c>
      <c r="E4607" s="5">
        <v>-31479</v>
      </c>
      <c r="F4607" s="3" t="s">
        <v>2383</v>
      </c>
      <c r="G4607" s="3" t="s">
        <v>65</v>
      </c>
      <c r="H4607" s="2" t="s">
        <v>20</v>
      </c>
      <c r="I4607" s="2" t="s">
        <v>9724</v>
      </c>
      <c r="J4607" s="3" t="str">
        <f>HYPERLINK("https://www.boe.es/gazeta/dias/1813/10/23/pdfs/GRE-1813-138.pdf#page=1","Abrir facsímil")</f>
        <v>Abrir facsímil</v>
      </c>
      <c r="K4607" s="3" t="s">
        <v>22</v>
      </c>
    </row>
    <row r="4608" spans="1:11" ht="42" customHeight="1">
      <c r="A4608" s="2" t="s">
        <v>9725</v>
      </c>
      <c r="B4608" s="2" t="s">
        <v>9726</v>
      </c>
      <c r="C4608" s="2" t="s">
        <v>34</v>
      </c>
      <c r="D4608" s="2" t="s">
        <v>35</v>
      </c>
      <c r="E4608" s="5">
        <v>-31709</v>
      </c>
      <c r="F4608" s="3" t="s">
        <v>36</v>
      </c>
      <c r="G4608" s="3" t="s">
        <v>303</v>
      </c>
      <c r="H4608" s="2" t="s">
        <v>20</v>
      </c>
      <c r="I4608" s="2" t="s">
        <v>9727</v>
      </c>
      <c r="J4608" s="3" t="str">
        <f>HYPERLINK("https://www.boe.es/gazeta/dias/1813/03/07/pdfs/GMD-1813-66.pdf#page=3","Abrir facsímil")</f>
        <v>Abrir facsímil</v>
      </c>
      <c r="K4608" s="3" t="s">
        <v>22</v>
      </c>
    </row>
    <row r="4609" spans="1:11" ht="42" customHeight="1">
      <c r="A4609" s="2" t="s">
        <v>9728</v>
      </c>
      <c r="B4609" s="2" t="s">
        <v>9728</v>
      </c>
      <c r="C4609" s="2" t="s">
        <v>34</v>
      </c>
      <c r="D4609" s="2" t="s">
        <v>35</v>
      </c>
      <c r="E4609" s="5">
        <v>-31762</v>
      </c>
      <c r="F4609" s="3" t="s">
        <v>604</v>
      </c>
      <c r="G4609" s="3" t="s">
        <v>65</v>
      </c>
      <c r="H4609" s="2" t="s">
        <v>20</v>
      </c>
      <c r="I4609" s="2" t="s">
        <v>9729</v>
      </c>
      <c r="J4609" s="3" t="str">
        <f>HYPERLINK("https://www.boe.es/gazeta/dias/1813/01/13/pdfs/GMD-1813-13.pdf#page=1","Abrir facsímil")</f>
        <v>Abrir facsímil</v>
      </c>
      <c r="K4609" s="3" t="s">
        <v>22</v>
      </c>
    </row>
    <row r="4610" spans="1:11" ht="42" customHeight="1">
      <c r="A4610" s="2" t="s">
        <v>9730</v>
      </c>
      <c r="B4610" s="2" t="s">
        <v>9731</v>
      </c>
      <c r="C4610" s="2" t="s">
        <v>16</v>
      </c>
      <c r="D4610" s="2" t="s">
        <v>17</v>
      </c>
      <c r="E4610" s="5">
        <v>-31669</v>
      </c>
      <c r="F4610" s="3" t="s">
        <v>1570</v>
      </c>
      <c r="G4610" s="3" t="s">
        <v>65</v>
      </c>
      <c r="H4610" s="2" t="s">
        <v>20</v>
      </c>
      <c r="I4610" s="2" t="s">
        <v>9732</v>
      </c>
      <c r="J4610" s="3" t="str">
        <f>HYPERLINK("https://www.boe.es/gazeta/dias/1813/04/16/pdfs/GMD-1813-106.pdf#page=1","Abrir facsímil")</f>
        <v>Abrir facsímil</v>
      </c>
      <c r="K4610" s="3" t="s">
        <v>22</v>
      </c>
    </row>
    <row r="4611" spans="1:11" ht="42" customHeight="1">
      <c r="A4611" s="2" t="s">
        <v>9733</v>
      </c>
      <c r="B4611" s="2" t="s">
        <v>9734</v>
      </c>
      <c r="C4611" s="2" t="s">
        <v>34</v>
      </c>
      <c r="D4611" s="2" t="s">
        <v>35</v>
      </c>
      <c r="E4611" s="5">
        <v>-31709</v>
      </c>
      <c r="F4611" s="3" t="s">
        <v>36</v>
      </c>
      <c r="G4611" s="3" t="s">
        <v>19</v>
      </c>
      <c r="H4611" s="2" t="s">
        <v>20</v>
      </c>
      <c r="I4611" s="2" t="s">
        <v>9735</v>
      </c>
      <c r="J4611" s="3" t="str">
        <f>HYPERLINK("https://www.boe.es/gazeta/dias/1813/03/07/pdfs/GMD-1813-66.pdf#page=4","Abrir facsímil")</f>
        <v>Abrir facsímil</v>
      </c>
      <c r="K4611" s="3" t="s">
        <v>22</v>
      </c>
    </row>
    <row r="4612" spans="1:11" ht="42" customHeight="1">
      <c r="A4612" s="2" t="s">
        <v>9736</v>
      </c>
      <c r="B4612" s="2" t="s">
        <v>9737</v>
      </c>
      <c r="C4612" s="2" t="s">
        <v>109</v>
      </c>
      <c r="D4612" s="2" t="s">
        <v>26</v>
      </c>
      <c r="E4612" s="5">
        <v>-31761</v>
      </c>
      <c r="F4612" s="3" t="s">
        <v>376</v>
      </c>
      <c r="G4612" s="3" t="s">
        <v>5145</v>
      </c>
      <c r="H4612" s="2" t="s">
        <v>20</v>
      </c>
      <c r="I4612" s="2" t="s">
        <v>9738</v>
      </c>
      <c r="J4612" s="3" t="str">
        <f>HYPERLINK("https://www.boe.es/gazeta/dias/1813/01/14/pdfs/GRE-1813-6.pdf#page=8","Abrir facsímil")</f>
        <v>Abrir facsímil</v>
      </c>
      <c r="K4612" s="3" t="s">
        <v>22</v>
      </c>
    </row>
    <row r="4613" spans="1:11" ht="42" customHeight="1">
      <c r="A4613" s="2" t="s">
        <v>9739</v>
      </c>
      <c r="B4613" s="2" t="s">
        <v>9739</v>
      </c>
      <c r="C4613" s="2" t="s">
        <v>16</v>
      </c>
      <c r="D4613" s="2" t="s">
        <v>17</v>
      </c>
      <c r="E4613" s="5">
        <v>-31767</v>
      </c>
      <c r="F4613" s="3" t="s">
        <v>1915</v>
      </c>
      <c r="G4613" s="3" t="s">
        <v>19</v>
      </c>
      <c r="H4613" s="2" t="s">
        <v>20</v>
      </c>
      <c r="I4613" s="2" t="s">
        <v>9740</v>
      </c>
      <c r="J4613" s="3" t="str">
        <f>HYPERLINK("https://www.boe.es/gazeta/dias/1813/01/08/pdfs/GMD-1813-8.pdf#page=4","Abrir facsímil")</f>
        <v>Abrir facsímil</v>
      </c>
      <c r="K4613" s="3" t="s">
        <v>22</v>
      </c>
    </row>
    <row r="4614" spans="1:11" ht="42" customHeight="1">
      <c r="A4614" s="2" t="s">
        <v>9741</v>
      </c>
      <c r="B4614" s="2" t="s">
        <v>9741</v>
      </c>
      <c r="C4614" s="2" t="s">
        <v>16</v>
      </c>
      <c r="D4614" s="2" t="s">
        <v>17</v>
      </c>
      <c r="E4614" s="5">
        <v>-31726</v>
      </c>
      <c r="F4614" s="3" t="s">
        <v>533</v>
      </c>
      <c r="G4614" s="3" t="s">
        <v>82</v>
      </c>
      <c r="H4614" s="2" t="s">
        <v>20</v>
      </c>
      <c r="I4614" s="2" t="s">
        <v>9742</v>
      </c>
      <c r="J4614" s="3" t="str">
        <f>HYPERLINK("https://www.boe.es/gazeta/dias/1813/02/18/pdfs/GRE-1813-21.pdf#page=5","Abrir facsímil")</f>
        <v>Abrir facsímil</v>
      </c>
      <c r="K4614" s="3" t="s">
        <v>22</v>
      </c>
    </row>
    <row r="4615" spans="1:11" ht="42" customHeight="1">
      <c r="A4615" s="2" t="s">
        <v>9743</v>
      </c>
      <c r="B4615" s="2" t="s">
        <v>9743</v>
      </c>
      <c r="C4615" s="2" t="s">
        <v>109</v>
      </c>
      <c r="D4615" s="2" t="s">
        <v>26</v>
      </c>
      <c r="E4615" s="5">
        <v>-31667</v>
      </c>
      <c r="F4615" s="3" t="s">
        <v>3712</v>
      </c>
      <c r="G4615" s="3" t="s">
        <v>19</v>
      </c>
      <c r="H4615" s="2" t="s">
        <v>20</v>
      </c>
      <c r="I4615" s="2" t="s">
        <v>9744</v>
      </c>
      <c r="J4615" s="3" t="str">
        <f>HYPERLINK("https://www.boe.es/gazeta/dias/1813/04/18/pdfs/GMD-1813-108.pdf#page=4","Abrir facsímil")</f>
        <v>Abrir facsímil</v>
      </c>
      <c r="K4615" s="3" t="s">
        <v>22</v>
      </c>
    </row>
    <row r="4616" spans="1:11" ht="42" customHeight="1">
      <c r="A4616" s="2" t="s">
        <v>9745</v>
      </c>
      <c r="B4616" s="2" t="s">
        <v>9745</v>
      </c>
      <c r="C4616" s="2" t="s">
        <v>16</v>
      </c>
      <c r="D4616" s="2" t="s">
        <v>17</v>
      </c>
      <c r="E4616" s="5">
        <v>-31691</v>
      </c>
      <c r="F4616" s="3" t="s">
        <v>1621</v>
      </c>
      <c r="G4616" s="3" t="s">
        <v>58</v>
      </c>
      <c r="H4616" s="2" t="s">
        <v>20</v>
      </c>
      <c r="I4616" s="2" t="s">
        <v>9746</v>
      </c>
      <c r="J4616" s="3" t="str">
        <f>HYPERLINK("https://www.boe.es/gazeta/dias/1813/03/25/pdfs/GMD-1813-84.pdf#page=2","Abrir facsímil")</f>
        <v>Abrir facsímil</v>
      </c>
      <c r="K4616" s="3" t="s">
        <v>22</v>
      </c>
    </row>
    <row r="4617" spans="1:11" ht="42" customHeight="1">
      <c r="A4617" s="2" t="s">
        <v>9747</v>
      </c>
      <c r="B4617" s="2" t="s">
        <v>9747</v>
      </c>
      <c r="C4617" s="2" t="s">
        <v>16</v>
      </c>
      <c r="D4617" s="2" t="s">
        <v>17</v>
      </c>
      <c r="E4617" s="5">
        <v>-31551</v>
      </c>
      <c r="F4617" s="3" t="s">
        <v>954</v>
      </c>
      <c r="G4617" s="3" t="s">
        <v>58</v>
      </c>
      <c r="H4617" s="2" t="s">
        <v>20</v>
      </c>
      <c r="I4617" s="2" t="s">
        <v>9748</v>
      </c>
      <c r="J4617" s="3" t="str">
        <f>HYPERLINK("https://www.boe.es/gazeta/dias/1813/08/12/pdfs/GMR-1813-27.pdf#page=2","Abrir facsímil")</f>
        <v>Abrir facsímil</v>
      </c>
      <c r="K4617" s="3" t="s">
        <v>22</v>
      </c>
    </row>
    <row r="4618" spans="1:11" ht="42" customHeight="1">
      <c r="A4618" s="2" t="s">
        <v>9747</v>
      </c>
      <c r="B4618" s="2" t="s">
        <v>9747</v>
      </c>
      <c r="C4618" s="2" t="s">
        <v>16</v>
      </c>
      <c r="D4618" s="2" t="s">
        <v>17</v>
      </c>
      <c r="E4618" s="5">
        <v>-31507</v>
      </c>
      <c r="F4618" s="3" t="s">
        <v>61</v>
      </c>
      <c r="G4618" s="3" t="s">
        <v>28</v>
      </c>
      <c r="H4618" s="2" t="s">
        <v>20</v>
      </c>
      <c r="I4618" s="2" t="s">
        <v>9749</v>
      </c>
      <c r="J4618" s="3" t="str">
        <f>HYPERLINK("https://www.boe.es/gazeta/dias/1813/09/25/pdfs/GMR-1813-48.pdf#page=8","Abrir facsímil")</f>
        <v>Abrir facsímil</v>
      </c>
      <c r="K4618" s="3" t="s">
        <v>22</v>
      </c>
    </row>
    <row r="4619" spans="1:11" ht="42" customHeight="1">
      <c r="A4619" s="2" t="s">
        <v>9747</v>
      </c>
      <c r="B4619" s="2" t="s">
        <v>9747</v>
      </c>
      <c r="C4619" s="2" t="s">
        <v>16</v>
      </c>
      <c r="D4619" s="2" t="s">
        <v>17</v>
      </c>
      <c r="E4619" s="5">
        <v>-31413</v>
      </c>
      <c r="F4619" s="3" t="s">
        <v>152</v>
      </c>
      <c r="G4619" s="3" t="s">
        <v>54</v>
      </c>
      <c r="H4619" s="2" t="s">
        <v>20</v>
      </c>
      <c r="I4619" s="2" t="s">
        <v>9750</v>
      </c>
      <c r="J4619" s="3" t="str">
        <f>HYPERLINK("https://www.boe.es/gazeta/dias/1813/12/28/pdfs/GRE-1813-170.pdf#page=3","Abrir facsímil")</f>
        <v>Abrir facsímil</v>
      </c>
      <c r="K4619" s="3" t="s">
        <v>22</v>
      </c>
    </row>
    <row r="4620" spans="1:11" ht="42" customHeight="1">
      <c r="A4620" s="2" t="s">
        <v>9751</v>
      </c>
      <c r="B4620" s="2" t="s">
        <v>9751</v>
      </c>
      <c r="C4620" s="2" t="s">
        <v>435</v>
      </c>
      <c r="D4620" s="2" t="s">
        <v>26</v>
      </c>
      <c r="E4620" s="5">
        <v>-31453</v>
      </c>
      <c r="F4620" s="3" t="s">
        <v>887</v>
      </c>
      <c r="G4620" s="3" t="s">
        <v>4559</v>
      </c>
      <c r="H4620" s="2" t="s">
        <v>20</v>
      </c>
      <c r="I4620" s="2" t="s">
        <v>9752</v>
      </c>
      <c r="J4620" s="3" t="str">
        <f>HYPERLINK("https://www.boe.es/gazeta/dias/1813/11/18/pdfs/GMR-1813-76.pdf#page=12","Abrir facsímil")</f>
        <v>Abrir facsímil</v>
      </c>
      <c r="K4620" s="3" t="s">
        <v>22</v>
      </c>
    </row>
    <row r="4621" spans="1:11" ht="42" customHeight="1">
      <c r="A4621" s="2" t="s">
        <v>9753</v>
      </c>
      <c r="B4621" s="2" t="s">
        <v>9754</v>
      </c>
      <c r="C4621" s="2" t="s">
        <v>25</v>
      </c>
      <c r="D4621" s="2" t="s">
        <v>26</v>
      </c>
      <c r="E4621" s="5">
        <v>-31745</v>
      </c>
      <c r="F4621" s="3" t="s">
        <v>445</v>
      </c>
      <c r="G4621" s="3" t="s">
        <v>28</v>
      </c>
      <c r="H4621" s="2" t="s">
        <v>20</v>
      </c>
      <c r="I4621" s="2" t="s">
        <v>9755</v>
      </c>
      <c r="J4621" s="3" t="str">
        <f>HYPERLINK("https://www.boe.es/gazeta/dias/1813/01/30/pdfs/GRE-1813-13.pdf#page=8","Abrir facsímil")</f>
        <v>Abrir facsímil</v>
      </c>
      <c r="K4621" s="3" t="s">
        <v>22</v>
      </c>
    </row>
    <row r="4622" spans="1:11" ht="42" customHeight="1">
      <c r="A4622" s="2" t="s">
        <v>9756</v>
      </c>
      <c r="B4622" s="2" t="s">
        <v>9756</v>
      </c>
      <c r="C4622" s="2" t="s">
        <v>16</v>
      </c>
      <c r="D4622" s="2" t="s">
        <v>17</v>
      </c>
      <c r="E4622" s="5">
        <v>-31726</v>
      </c>
      <c r="F4622" s="3" t="s">
        <v>533</v>
      </c>
      <c r="G4622" s="3" t="s">
        <v>1377</v>
      </c>
      <c r="H4622" s="2" t="s">
        <v>20</v>
      </c>
      <c r="I4622" s="2" t="s">
        <v>9757</v>
      </c>
      <c r="J4622" s="3" t="str">
        <f>HYPERLINK("https://www.boe.es/gazeta/dias/1813/02/18/pdfs/GRE-1813-21.pdf#page=3","Abrir facsímil")</f>
        <v>Abrir facsímil</v>
      </c>
      <c r="K4622" s="3" t="s">
        <v>22</v>
      </c>
    </row>
    <row r="4623" spans="1:11" ht="42" customHeight="1">
      <c r="A4623" s="2" t="s">
        <v>9758</v>
      </c>
      <c r="B4623" s="2" t="s">
        <v>9758</v>
      </c>
      <c r="C4623" s="2" t="s">
        <v>16</v>
      </c>
      <c r="D4623" s="2" t="s">
        <v>17</v>
      </c>
      <c r="E4623" s="5">
        <v>-31637</v>
      </c>
      <c r="F4623" s="3" t="s">
        <v>234</v>
      </c>
      <c r="G4623" s="3" t="s">
        <v>58</v>
      </c>
      <c r="H4623" s="2" t="s">
        <v>20</v>
      </c>
      <c r="I4623" s="2" t="s">
        <v>9759</v>
      </c>
      <c r="J4623" s="3" t="str">
        <f>HYPERLINK("https://www.boe.es/gazeta/dias/1813/05/18/pdfs/GRE-1813-61.pdf#page=2","Abrir facsímil")</f>
        <v>Abrir facsímil</v>
      </c>
      <c r="K4623" s="3" t="s">
        <v>22</v>
      </c>
    </row>
    <row r="4624" spans="1:11" ht="42" customHeight="1">
      <c r="A4624" s="2" t="s">
        <v>9760</v>
      </c>
      <c r="B4624" s="2" t="s">
        <v>9761</v>
      </c>
      <c r="C4624" s="2" t="s">
        <v>16</v>
      </c>
      <c r="D4624" s="2" t="s">
        <v>97</v>
      </c>
      <c r="E4624" s="5">
        <v>-31479</v>
      </c>
      <c r="F4624" s="3" t="s">
        <v>290</v>
      </c>
      <c r="G4624" s="3" t="s">
        <v>313</v>
      </c>
      <c r="H4624" s="2" t="s">
        <v>20</v>
      </c>
      <c r="I4624" s="2" t="s">
        <v>9762</v>
      </c>
      <c r="J4624" s="3" t="str">
        <f>HYPERLINK("https://www.boe.es/gazeta/dias/1813/10/23/pdfs/GRE-1813-139E.pdf#page=9","Abrir facsímil")</f>
        <v>Abrir facsímil</v>
      </c>
      <c r="K4624" s="3" t="s">
        <v>22</v>
      </c>
    </row>
    <row r="4625" spans="1:11" ht="42" customHeight="1">
      <c r="A4625" s="2" t="s">
        <v>9760</v>
      </c>
      <c r="B4625" s="2" t="s">
        <v>9761</v>
      </c>
      <c r="C4625" s="2" t="s">
        <v>16</v>
      </c>
      <c r="D4625" s="2" t="s">
        <v>17</v>
      </c>
      <c r="E4625" s="5">
        <v>-31462</v>
      </c>
      <c r="F4625" s="3" t="s">
        <v>1028</v>
      </c>
      <c r="G4625" s="3" t="s">
        <v>178</v>
      </c>
      <c r="H4625" s="2" t="s">
        <v>20</v>
      </c>
      <c r="I4625" s="2" t="s">
        <v>9763</v>
      </c>
      <c r="J4625" s="3" t="str">
        <f>HYPERLINK("https://www.boe.es/gazeta/dias/1813/11/09/pdfs/GMR-1813-71.pdf#page=11","Abrir facsímil")</f>
        <v>Abrir facsímil</v>
      </c>
      <c r="K4625" s="3" t="s">
        <v>22</v>
      </c>
    </row>
    <row r="4626" spans="1:11" ht="42" customHeight="1">
      <c r="A4626" s="2" t="s">
        <v>9764</v>
      </c>
      <c r="B4626" s="2" t="s">
        <v>9765</v>
      </c>
      <c r="C4626" s="2" t="s">
        <v>25</v>
      </c>
      <c r="D4626" s="2" t="s">
        <v>26</v>
      </c>
      <c r="E4626" s="5">
        <v>-31665</v>
      </c>
      <c r="F4626" s="3" t="s">
        <v>966</v>
      </c>
      <c r="G4626" s="3" t="s">
        <v>54</v>
      </c>
      <c r="H4626" s="2" t="s">
        <v>20</v>
      </c>
      <c r="I4626" s="2" t="s">
        <v>9766</v>
      </c>
      <c r="J4626" s="3" t="str">
        <f>HYPERLINK("https://www.boe.es/gazeta/dias/1813/04/20/pdfs/GMD-1813-110.pdf#page=3","Abrir facsímil")</f>
        <v>Abrir facsímil</v>
      </c>
      <c r="K4626" s="3" t="s">
        <v>22</v>
      </c>
    </row>
    <row r="4627" spans="1:11" ht="42" customHeight="1">
      <c r="A4627" s="2" t="s">
        <v>9767</v>
      </c>
      <c r="B4627" s="2" t="s">
        <v>9768</v>
      </c>
      <c r="C4627" s="2" t="s">
        <v>277</v>
      </c>
      <c r="D4627" s="2" t="s">
        <v>26</v>
      </c>
      <c r="E4627" s="5">
        <v>-31720</v>
      </c>
      <c r="F4627" s="3" t="s">
        <v>672</v>
      </c>
      <c r="G4627" s="3" t="s">
        <v>54</v>
      </c>
      <c r="H4627" s="2" t="s">
        <v>20</v>
      </c>
      <c r="I4627" s="2" t="s">
        <v>9769</v>
      </c>
      <c r="J4627" s="3" t="str">
        <f>HYPERLINK("https://www.boe.es/gazeta/dias/1813/02/24/pdfs/GMD-1813-55.pdf#page=3","Abrir facsímil")</f>
        <v>Abrir facsímil</v>
      </c>
      <c r="K4627" s="3" t="s">
        <v>22</v>
      </c>
    </row>
    <row r="4628" spans="1:11" ht="42" customHeight="1">
      <c r="A4628" s="2" t="s">
        <v>9770</v>
      </c>
      <c r="B4628" s="2" t="s">
        <v>9770</v>
      </c>
      <c r="C4628" s="2" t="s">
        <v>16</v>
      </c>
      <c r="D4628" s="2" t="s">
        <v>17</v>
      </c>
      <c r="E4628" s="5">
        <v>-31483</v>
      </c>
      <c r="F4628" s="3" t="s">
        <v>308</v>
      </c>
      <c r="G4628" s="3" t="s">
        <v>19</v>
      </c>
      <c r="H4628" s="2" t="s">
        <v>20</v>
      </c>
      <c r="I4628" s="2" t="s">
        <v>9771</v>
      </c>
      <c r="J4628" s="3" t="str">
        <f>HYPERLINK("https://www.boe.es/gazeta/dias/1813/10/19/pdfs/GRE-1813-136.pdf#page=4","Abrir facsímil")</f>
        <v>Abrir facsímil</v>
      </c>
      <c r="K4628" s="3" t="s">
        <v>22</v>
      </c>
    </row>
    <row r="4629" spans="1:11" ht="42" customHeight="1">
      <c r="A4629" s="2" t="s">
        <v>9772</v>
      </c>
      <c r="B4629" s="2" t="s">
        <v>9772</v>
      </c>
      <c r="C4629" s="2" t="s">
        <v>16</v>
      </c>
      <c r="D4629" s="2" t="s">
        <v>17</v>
      </c>
      <c r="E4629" s="5">
        <v>-31744</v>
      </c>
      <c r="F4629" s="3" t="s">
        <v>5679</v>
      </c>
      <c r="G4629" s="3" t="s">
        <v>65</v>
      </c>
      <c r="H4629" s="2" t="s">
        <v>20</v>
      </c>
      <c r="I4629" s="2" t="s">
        <v>9773</v>
      </c>
      <c r="J4629" s="3" t="str">
        <f>HYPERLINK("https://www.boe.es/gazeta/dias/1813/01/31/pdfs/GMD-1813-31.pdf#page=1","Abrir facsímil")</f>
        <v>Abrir facsímil</v>
      </c>
      <c r="K4629" s="3" t="s">
        <v>22</v>
      </c>
    </row>
    <row r="4630" spans="1:11" ht="42" customHeight="1">
      <c r="A4630" s="2" t="s">
        <v>9774</v>
      </c>
      <c r="B4630" s="2" t="s">
        <v>9774</v>
      </c>
      <c r="C4630" s="2" t="s">
        <v>16</v>
      </c>
      <c r="D4630" s="2" t="s">
        <v>17</v>
      </c>
      <c r="E4630" s="5">
        <v>-31560</v>
      </c>
      <c r="F4630" s="3" t="s">
        <v>1233</v>
      </c>
      <c r="G4630" s="3" t="s">
        <v>54</v>
      </c>
      <c r="H4630" s="2" t="s">
        <v>20</v>
      </c>
      <c r="I4630" s="2" t="s">
        <v>9775</v>
      </c>
      <c r="J4630" s="3" t="str">
        <f>HYPERLINK("https://www.boe.es/gazeta/dias/1813/08/03/pdfs/GMR-1813-23.pdf#page=3","Abrir facsímil")</f>
        <v>Abrir facsímil</v>
      </c>
      <c r="K4630" s="3" t="s">
        <v>22</v>
      </c>
    </row>
    <row r="4631" spans="1:11" ht="42" customHeight="1">
      <c r="A4631" s="2" t="s">
        <v>9776</v>
      </c>
      <c r="B4631" s="2" t="s">
        <v>9776</v>
      </c>
      <c r="C4631" s="2" t="s">
        <v>16</v>
      </c>
      <c r="D4631" s="2" t="s">
        <v>17</v>
      </c>
      <c r="E4631" s="5">
        <v>-31659</v>
      </c>
      <c r="F4631" s="3" t="s">
        <v>3041</v>
      </c>
      <c r="G4631" s="3" t="s">
        <v>1304</v>
      </c>
      <c r="H4631" s="2" t="s">
        <v>20</v>
      </c>
      <c r="I4631" s="2" t="s">
        <v>9777</v>
      </c>
      <c r="J4631" s="3" t="str">
        <f>HYPERLINK("https://www.boe.es/gazeta/dias/1813/04/26/pdfs/GMD-1813-116.pdf#page=2","Abrir facsímil")</f>
        <v>Abrir facsímil</v>
      </c>
      <c r="K4631" s="3" t="s">
        <v>22</v>
      </c>
    </row>
    <row r="4632" spans="1:11" ht="42" customHeight="1">
      <c r="A4632" s="2" t="s">
        <v>9776</v>
      </c>
      <c r="B4632" s="2" t="s">
        <v>9776</v>
      </c>
      <c r="C4632" s="2" t="s">
        <v>16</v>
      </c>
      <c r="D4632" s="2" t="s">
        <v>17</v>
      </c>
      <c r="E4632" s="5">
        <v>-31653</v>
      </c>
      <c r="F4632" s="3" t="s">
        <v>3121</v>
      </c>
      <c r="G4632" s="3" t="s">
        <v>3122</v>
      </c>
      <c r="H4632" s="2" t="s">
        <v>20</v>
      </c>
      <c r="I4632" s="2" t="s">
        <v>9778</v>
      </c>
      <c r="J4632" s="3" t="str">
        <f>HYPERLINK("https://www.boe.es/gazeta/dias/1813/05/02/pdfs/GMD-1813-122.pdf#page=2","Abrir facsímil")</f>
        <v>Abrir facsímil</v>
      </c>
      <c r="K4632" s="3" t="s">
        <v>22</v>
      </c>
    </row>
    <row r="4633" spans="1:11" ht="42" customHeight="1">
      <c r="A4633" s="2" t="s">
        <v>9779</v>
      </c>
      <c r="B4633" s="2" t="s">
        <v>9780</v>
      </c>
      <c r="C4633" s="2" t="s">
        <v>16</v>
      </c>
      <c r="D4633" s="2" t="s">
        <v>17</v>
      </c>
      <c r="E4633" s="5">
        <v>-31655</v>
      </c>
      <c r="F4633" s="3" t="s">
        <v>858</v>
      </c>
      <c r="G4633" s="3" t="s">
        <v>983</v>
      </c>
      <c r="H4633" s="2" t="s">
        <v>29</v>
      </c>
      <c r="I4633" s="2" t="s">
        <v>9781</v>
      </c>
      <c r="J4633" s="3" t="str">
        <f>HYPERLINK("https://www.boe.es/gazeta/dias/1813/04/30/pdfs/GMD-1813-120.pdf#page=3","Abrir facsímil")</f>
        <v>Abrir facsímil</v>
      </c>
      <c r="K4633" s="3" t="s">
        <v>31</v>
      </c>
    </row>
    <row r="4634" spans="1:11" ht="42" customHeight="1">
      <c r="A4634" s="2" t="s">
        <v>9782</v>
      </c>
      <c r="B4634" s="2" t="s">
        <v>9783</v>
      </c>
      <c r="C4634" s="2" t="s">
        <v>25</v>
      </c>
      <c r="D4634" s="2" t="s">
        <v>26</v>
      </c>
      <c r="E4634" s="5">
        <v>-31689</v>
      </c>
      <c r="F4634" s="3" t="s">
        <v>48</v>
      </c>
      <c r="G4634" s="3" t="s">
        <v>162</v>
      </c>
      <c r="H4634" s="2" t="s">
        <v>29</v>
      </c>
      <c r="I4634" s="2" t="s">
        <v>9784</v>
      </c>
      <c r="J4634" s="3" t="str">
        <f>HYPERLINK("https://www.boe.es/gazeta/dias/1813/03/27/pdfs/GRE-1813-38.pdf#page=8","Abrir facsímil")</f>
        <v>Abrir facsímil</v>
      </c>
      <c r="K4634" s="3" t="s">
        <v>31</v>
      </c>
    </row>
    <row r="4635" spans="1:11" ht="42" customHeight="1">
      <c r="A4635" s="2" t="s">
        <v>9785</v>
      </c>
      <c r="B4635" s="2" t="s">
        <v>9786</v>
      </c>
      <c r="C4635" s="2" t="s">
        <v>25</v>
      </c>
      <c r="D4635" s="2" t="s">
        <v>26</v>
      </c>
      <c r="E4635" s="5">
        <v>-31689</v>
      </c>
      <c r="F4635" s="3" t="s">
        <v>48</v>
      </c>
      <c r="G4635" s="3" t="s">
        <v>162</v>
      </c>
      <c r="H4635" s="2" t="s">
        <v>29</v>
      </c>
      <c r="I4635" s="2" t="s">
        <v>9787</v>
      </c>
      <c r="J4635" s="3" t="str">
        <f>HYPERLINK("https://www.boe.es/gazeta/dias/1813/03/27/pdfs/GRE-1813-38.pdf#page=8","Abrir facsímil")</f>
        <v>Abrir facsímil</v>
      </c>
      <c r="K4635" s="3" t="s">
        <v>31</v>
      </c>
    </row>
    <row r="4636" spans="1:11" ht="42" customHeight="1">
      <c r="A4636" s="2" t="s">
        <v>9788</v>
      </c>
      <c r="B4636" s="2" t="s">
        <v>9789</v>
      </c>
      <c r="C4636" s="2" t="s">
        <v>34</v>
      </c>
      <c r="D4636" s="2" t="s">
        <v>35</v>
      </c>
      <c r="E4636" s="5">
        <v>-31747</v>
      </c>
      <c r="F4636" s="3" t="s">
        <v>4771</v>
      </c>
      <c r="G4636" s="3" t="s">
        <v>19</v>
      </c>
      <c r="H4636" s="2" t="s">
        <v>29</v>
      </c>
      <c r="I4636" s="2" t="s">
        <v>9790</v>
      </c>
      <c r="J4636" s="3" t="str">
        <f>HYPERLINK("https://www.boe.es/gazeta/dias/1813/01/28/pdfs/GMD-1813-28.pdf#page=4","Abrir facsímil")</f>
        <v>Abrir facsímil</v>
      </c>
      <c r="K4636" s="3" t="s">
        <v>31</v>
      </c>
    </row>
    <row r="4637" spans="1:11" ht="42" customHeight="1">
      <c r="A4637" s="2" t="s">
        <v>9788</v>
      </c>
      <c r="B4637" s="2" t="s">
        <v>9789</v>
      </c>
      <c r="C4637" s="2" t="s">
        <v>25</v>
      </c>
      <c r="D4637" s="2" t="s">
        <v>26</v>
      </c>
      <c r="E4637" s="5">
        <v>-31633</v>
      </c>
      <c r="F4637" s="3" t="s">
        <v>6276</v>
      </c>
      <c r="G4637" s="3" t="s">
        <v>58</v>
      </c>
      <c r="H4637" s="2" t="s">
        <v>29</v>
      </c>
      <c r="I4637" s="2" t="s">
        <v>9791</v>
      </c>
      <c r="J4637" s="3" t="str">
        <f>HYPERLINK("https://www.boe.es/gazeta/dias/1813/05/22/pdfs/GMD-1813-142.pdf#page=2","Abrir facsímil")</f>
        <v>Abrir facsímil</v>
      </c>
      <c r="K4637" s="3" t="s">
        <v>31</v>
      </c>
    </row>
    <row r="4638" spans="1:11" ht="42" customHeight="1">
      <c r="A4638" s="2" t="s">
        <v>9792</v>
      </c>
      <c r="B4638" s="2" t="s">
        <v>9793</v>
      </c>
      <c r="C4638" s="2" t="s">
        <v>16</v>
      </c>
      <c r="D4638" s="2" t="s">
        <v>17</v>
      </c>
      <c r="E4638" s="5">
        <v>-31726</v>
      </c>
      <c r="F4638" s="3" t="s">
        <v>493</v>
      </c>
      <c r="G4638" s="3" t="s">
        <v>58</v>
      </c>
      <c r="H4638" s="2" t="s">
        <v>29</v>
      </c>
      <c r="I4638" s="2" t="s">
        <v>9794</v>
      </c>
      <c r="J4638" s="3" t="str">
        <f>HYPERLINK("https://www.boe.es/gazeta/dias/1813/02/18/pdfs/GMD-1813-49.pdf#page=2","Abrir facsímil")</f>
        <v>Abrir facsímil</v>
      </c>
      <c r="K4638" s="3" t="s">
        <v>31</v>
      </c>
    </row>
    <row r="4639" spans="1:11" ht="42" customHeight="1">
      <c r="A4639" s="2" t="s">
        <v>9795</v>
      </c>
      <c r="B4639" s="2" t="s">
        <v>9795</v>
      </c>
      <c r="C4639" s="2" t="s">
        <v>16</v>
      </c>
      <c r="D4639" s="2" t="s">
        <v>17</v>
      </c>
      <c r="E4639" s="5">
        <v>-31451</v>
      </c>
      <c r="F4639" s="3" t="s">
        <v>127</v>
      </c>
      <c r="G4639" s="3" t="s">
        <v>65</v>
      </c>
      <c r="H4639" s="2" t="s">
        <v>20</v>
      </c>
      <c r="I4639" s="2" t="s">
        <v>9796</v>
      </c>
      <c r="J4639" s="3" t="str">
        <f>HYPERLINK("https://www.boe.es/gazeta/dias/1813/11/20/pdfs/GRE-1813-152.pdf#page=1","Abrir facsímil")</f>
        <v>Abrir facsímil</v>
      </c>
      <c r="K4639" s="3" t="s">
        <v>22</v>
      </c>
    </row>
    <row r="4640" spans="1:11" ht="42" customHeight="1">
      <c r="A4640" s="2" t="s">
        <v>9797</v>
      </c>
      <c r="B4640" s="2" t="s">
        <v>9797</v>
      </c>
      <c r="C4640" s="2" t="s">
        <v>25</v>
      </c>
      <c r="D4640" s="2" t="s">
        <v>26</v>
      </c>
      <c r="E4640" s="5">
        <v>-31752</v>
      </c>
      <c r="F4640" s="3" t="s">
        <v>182</v>
      </c>
      <c r="G4640" s="3" t="s">
        <v>183</v>
      </c>
      <c r="H4640" s="2" t="s">
        <v>20</v>
      </c>
      <c r="I4640" s="2" t="s">
        <v>9798</v>
      </c>
      <c r="J4640" s="3" t="str">
        <f>HYPERLINK("https://www.boe.es/gazeta/dias/1813/01/23/pdfs/GRE-1813-10.pdf#page=8","Abrir facsímil")</f>
        <v>Abrir facsímil</v>
      </c>
      <c r="K4640" s="3" t="s">
        <v>22</v>
      </c>
    </row>
    <row r="4641" spans="1:11" ht="42" customHeight="1">
      <c r="A4641" s="2" t="s">
        <v>9797</v>
      </c>
      <c r="B4641" s="2" t="s">
        <v>9797</v>
      </c>
      <c r="C4641" s="2" t="s">
        <v>25</v>
      </c>
      <c r="D4641" s="2" t="s">
        <v>26</v>
      </c>
      <c r="E4641" s="5">
        <v>-31745</v>
      </c>
      <c r="F4641" s="3" t="s">
        <v>445</v>
      </c>
      <c r="G4641" s="3" t="s">
        <v>28</v>
      </c>
      <c r="H4641" s="2" t="s">
        <v>20</v>
      </c>
      <c r="I4641" s="2" t="s">
        <v>9799</v>
      </c>
      <c r="J4641" s="3" t="str">
        <f>HYPERLINK("https://www.boe.es/gazeta/dias/1813/01/30/pdfs/GRE-1813-13.pdf#page=8","Abrir facsímil")</f>
        <v>Abrir facsímil</v>
      </c>
      <c r="K4641" s="3" t="s">
        <v>22</v>
      </c>
    </row>
    <row r="4642" spans="1:11" ht="42" customHeight="1">
      <c r="A4642" s="2" t="s">
        <v>9797</v>
      </c>
      <c r="B4642" s="2" t="s">
        <v>9797</v>
      </c>
      <c r="C4642" s="2" t="s">
        <v>16</v>
      </c>
      <c r="D4642" s="2" t="s">
        <v>17</v>
      </c>
      <c r="E4642" s="5">
        <v>-31728</v>
      </c>
      <c r="F4642" s="3" t="s">
        <v>1434</v>
      </c>
      <c r="G4642" s="3" t="s">
        <v>87</v>
      </c>
      <c r="H4642" s="2" t="s">
        <v>20</v>
      </c>
      <c r="I4642" s="2" t="s">
        <v>9800</v>
      </c>
      <c r="J4642" s="3" t="str">
        <f>HYPERLINK("https://www.boe.es/gazeta/dias/1813/02/16/pdfs/GRE-1813-20.pdf#page=7","Abrir facsímil")</f>
        <v>Abrir facsímil</v>
      </c>
      <c r="K4642" s="3" t="s">
        <v>22</v>
      </c>
    </row>
    <row r="4643" spans="1:11" ht="42" customHeight="1">
      <c r="A4643" s="2" t="s">
        <v>9797</v>
      </c>
      <c r="B4643" s="2" t="s">
        <v>9797</v>
      </c>
      <c r="C4643" s="2" t="s">
        <v>16</v>
      </c>
      <c r="D4643" s="2" t="s">
        <v>17</v>
      </c>
      <c r="E4643" s="5">
        <v>-31686</v>
      </c>
      <c r="F4643" s="3" t="s">
        <v>372</v>
      </c>
      <c r="G4643" s="3" t="s">
        <v>3610</v>
      </c>
      <c r="H4643" s="2" t="s">
        <v>20</v>
      </c>
      <c r="I4643" s="2" t="s">
        <v>9801</v>
      </c>
      <c r="J4643" s="3" t="str">
        <f>HYPERLINK("https://www.boe.es/gazeta/dias/1813/03/30/pdfs/GRE-1813-39.pdf#page=7","Abrir facsímil")</f>
        <v>Abrir facsímil</v>
      </c>
      <c r="K4643" s="3" t="s">
        <v>22</v>
      </c>
    </row>
    <row r="4644" spans="1:11" ht="42" customHeight="1">
      <c r="A4644" s="2" t="s">
        <v>9797</v>
      </c>
      <c r="B4644" s="2" t="s">
        <v>9797</v>
      </c>
      <c r="C4644" s="2" t="s">
        <v>25</v>
      </c>
      <c r="D4644" s="2" t="s">
        <v>26</v>
      </c>
      <c r="E4644" s="5">
        <v>-31677</v>
      </c>
      <c r="F4644" s="3" t="s">
        <v>76</v>
      </c>
      <c r="G4644" s="3" t="s">
        <v>28</v>
      </c>
      <c r="H4644" s="2" t="s">
        <v>20</v>
      </c>
      <c r="I4644" s="2" t="s">
        <v>9802</v>
      </c>
      <c r="J4644" s="3" t="str">
        <f>HYPERLINK("https://www.boe.es/gazeta/dias/1813/04/08/pdfs/GRE-1813-43.pdf#page=8","Abrir facsímil")</f>
        <v>Abrir facsímil</v>
      </c>
      <c r="K4644" s="3" t="s">
        <v>22</v>
      </c>
    </row>
    <row r="4645" spans="1:11" ht="42" customHeight="1">
      <c r="A4645" s="2" t="s">
        <v>9797</v>
      </c>
      <c r="B4645" s="2" t="s">
        <v>9797</v>
      </c>
      <c r="C4645" s="2" t="s">
        <v>16</v>
      </c>
      <c r="D4645" s="2" t="s">
        <v>17</v>
      </c>
      <c r="E4645" s="5">
        <v>-31644</v>
      </c>
      <c r="F4645" s="3" t="s">
        <v>3904</v>
      </c>
      <c r="G4645" s="3" t="s">
        <v>8054</v>
      </c>
      <c r="H4645" s="2" t="s">
        <v>20</v>
      </c>
      <c r="I4645" s="2" t="s">
        <v>9803</v>
      </c>
      <c r="J4645" s="3" t="str">
        <f>HYPERLINK("https://www.boe.es/gazeta/dias/1813/05/11/pdfs/GRE-1813-58.pdf#page=6","Abrir facsímil")</f>
        <v>Abrir facsímil</v>
      </c>
      <c r="K4645" s="3" t="s">
        <v>22</v>
      </c>
    </row>
    <row r="4646" spans="1:11" ht="42" customHeight="1">
      <c r="A4646" s="2" t="s">
        <v>9797</v>
      </c>
      <c r="B4646" s="2" t="s">
        <v>9797</v>
      </c>
      <c r="C4646" s="2" t="s">
        <v>187</v>
      </c>
      <c r="D4646" s="2" t="s">
        <v>26</v>
      </c>
      <c r="E4646" s="5">
        <v>-31581</v>
      </c>
      <c r="F4646" s="3" t="s">
        <v>1321</v>
      </c>
      <c r="G4646" s="3" t="s">
        <v>71</v>
      </c>
      <c r="H4646" s="2" t="s">
        <v>20</v>
      </c>
      <c r="I4646" s="2" t="s">
        <v>9804</v>
      </c>
      <c r="J4646" s="3" t="str">
        <f>HYPERLINK("https://www.boe.es/gazeta/dias/1813/07/13/pdfs/GMR-1813-17.pdf#page=16","Abrir facsímil")</f>
        <v>Abrir facsímil</v>
      </c>
      <c r="K4646" s="3" t="s">
        <v>22</v>
      </c>
    </row>
    <row r="4647" spans="1:11" ht="42" customHeight="1">
      <c r="A4647" s="2" t="s">
        <v>9797</v>
      </c>
      <c r="B4647" s="2" t="s">
        <v>9797</v>
      </c>
      <c r="C4647" s="2" t="s">
        <v>16</v>
      </c>
      <c r="D4647" s="2" t="s">
        <v>17</v>
      </c>
      <c r="E4647" s="5">
        <v>-31574</v>
      </c>
      <c r="F4647" s="3" t="s">
        <v>1343</v>
      </c>
      <c r="G4647" s="3" t="s">
        <v>178</v>
      </c>
      <c r="H4647" s="2" t="s">
        <v>20</v>
      </c>
      <c r="I4647" s="2" t="s">
        <v>9805</v>
      </c>
      <c r="J4647" s="3" t="str">
        <f>HYPERLINK("https://www.boe.es/gazeta/dias/1813/07/20/pdfs/GMR-1813-19.pdf#page=11","Abrir facsímil")</f>
        <v>Abrir facsímil</v>
      </c>
      <c r="K4647" s="3" t="s">
        <v>22</v>
      </c>
    </row>
    <row r="4648" spans="1:11" ht="42" customHeight="1">
      <c r="A4648" s="2" t="s">
        <v>9797</v>
      </c>
      <c r="B4648" s="2" t="s">
        <v>9797</v>
      </c>
      <c r="C4648" s="2" t="s">
        <v>16</v>
      </c>
      <c r="D4648" s="2" t="s">
        <v>17</v>
      </c>
      <c r="E4648" s="5">
        <v>-31542</v>
      </c>
      <c r="F4648" s="3" t="s">
        <v>337</v>
      </c>
      <c r="G4648" s="3" t="s">
        <v>19</v>
      </c>
      <c r="H4648" s="2" t="s">
        <v>20</v>
      </c>
      <c r="I4648" s="2" t="s">
        <v>9806</v>
      </c>
      <c r="J4648" s="3" t="str">
        <f>HYPERLINK("https://www.boe.es/gazeta/dias/1813/08/21/pdfs/GRE-1813-107.pdf#page=4","Abrir facsímil")</f>
        <v>Abrir facsímil</v>
      </c>
      <c r="K4648" s="3" t="s">
        <v>22</v>
      </c>
    </row>
    <row r="4649" spans="1:11" ht="42" customHeight="1">
      <c r="A4649" s="2" t="s">
        <v>9797</v>
      </c>
      <c r="B4649" s="2" t="s">
        <v>9797</v>
      </c>
      <c r="C4649" s="2" t="s">
        <v>16</v>
      </c>
      <c r="D4649" s="2" t="s">
        <v>17</v>
      </c>
      <c r="E4649" s="5">
        <v>-31523</v>
      </c>
      <c r="F4649" s="3" t="s">
        <v>81</v>
      </c>
      <c r="G4649" s="3" t="s">
        <v>54</v>
      </c>
      <c r="H4649" s="2" t="s">
        <v>20</v>
      </c>
      <c r="I4649" s="2" t="s">
        <v>9807</v>
      </c>
      <c r="J4649" s="3" t="str">
        <f>HYPERLINK("https://www.boe.es/gazeta/dias/1813/09/09/pdfs/GRE-1813-115.pdf#page=3","Abrir facsímil")</f>
        <v>Abrir facsímil</v>
      </c>
      <c r="K4649" s="3" t="s">
        <v>22</v>
      </c>
    </row>
    <row r="4650" spans="1:11" ht="42" customHeight="1">
      <c r="A4650" s="2" t="s">
        <v>9797</v>
      </c>
      <c r="B4650" s="2" t="s">
        <v>9797</v>
      </c>
      <c r="C4650" s="2" t="s">
        <v>16</v>
      </c>
      <c r="D4650" s="2" t="s">
        <v>17</v>
      </c>
      <c r="E4650" s="5">
        <v>-31521</v>
      </c>
      <c r="F4650" s="3" t="s">
        <v>1256</v>
      </c>
      <c r="G4650" s="3" t="s">
        <v>87</v>
      </c>
      <c r="H4650" s="2" t="s">
        <v>20</v>
      </c>
      <c r="I4650" s="2" t="s">
        <v>9808</v>
      </c>
      <c r="J4650" s="3" t="str">
        <f>HYPERLINK("https://www.boe.es/gazeta/dias/1813/09/11/pdfs/GRE-1813-116.pdf#page=7","Abrir facsímil")</f>
        <v>Abrir facsímil</v>
      </c>
      <c r="K4650" s="3" t="s">
        <v>22</v>
      </c>
    </row>
    <row r="4651" spans="1:11" ht="42" customHeight="1">
      <c r="A4651" s="2" t="s">
        <v>9797</v>
      </c>
      <c r="B4651" s="2" t="s">
        <v>9797</v>
      </c>
      <c r="C4651" s="2" t="s">
        <v>16</v>
      </c>
      <c r="D4651" s="2" t="s">
        <v>97</v>
      </c>
      <c r="E4651" s="5">
        <v>-31479</v>
      </c>
      <c r="F4651" s="3" t="s">
        <v>290</v>
      </c>
      <c r="G4651" s="3" t="s">
        <v>87</v>
      </c>
      <c r="H4651" s="2" t="s">
        <v>20</v>
      </c>
      <c r="I4651" s="2" t="s">
        <v>9809</v>
      </c>
      <c r="J4651" s="3" t="str">
        <f>HYPERLINK("https://www.boe.es/gazeta/dias/1813/10/23/pdfs/GRE-1813-139E.pdf#page=7","Abrir facsímil")</f>
        <v>Abrir facsímil</v>
      </c>
      <c r="K4651" s="3" t="s">
        <v>22</v>
      </c>
    </row>
    <row r="4652" spans="1:11" ht="42" customHeight="1">
      <c r="A4652" s="2" t="s">
        <v>9810</v>
      </c>
      <c r="B4652" s="2" t="s">
        <v>9811</v>
      </c>
      <c r="C4652" s="2" t="s">
        <v>25</v>
      </c>
      <c r="D4652" s="2" t="s">
        <v>26</v>
      </c>
      <c r="E4652" s="5">
        <v>-31703</v>
      </c>
      <c r="F4652" s="3" t="s">
        <v>4331</v>
      </c>
      <c r="G4652" s="3" t="s">
        <v>28</v>
      </c>
      <c r="H4652" s="2" t="s">
        <v>20</v>
      </c>
      <c r="I4652" s="2" t="s">
        <v>9812</v>
      </c>
      <c r="J4652" s="3" t="str">
        <f>HYPERLINK("https://www.boe.es/gazeta/dias/1813/03/13/pdfs/GRE-1813-32.pdf#page=8","Abrir facsímil")</f>
        <v>Abrir facsímil</v>
      </c>
      <c r="K4652" s="3" t="s">
        <v>22</v>
      </c>
    </row>
    <row r="4653" spans="1:11" ht="42" customHeight="1">
      <c r="A4653" s="2" t="s">
        <v>9810</v>
      </c>
      <c r="B4653" s="2" t="s">
        <v>9811</v>
      </c>
      <c r="C4653" s="2" t="s">
        <v>16</v>
      </c>
      <c r="D4653" s="2" t="s">
        <v>17</v>
      </c>
      <c r="E4653" s="5">
        <v>-31691</v>
      </c>
      <c r="F4653" s="3" t="s">
        <v>1542</v>
      </c>
      <c r="G4653" s="3" t="s">
        <v>95</v>
      </c>
      <c r="H4653" s="2" t="s">
        <v>20</v>
      </c>
      <c r="I4653" s="2" t="s">
        <v>9813</v>
      </c>
      <c r="J4653" s="3" t="str">
        <f>HYPERLINK("https://www.boe.es/gazeta/dias/1813/03/25/pdfs/GRE-1813-37.pdf#page=6","Abrir facsímil")</f>
        <v>Abrir facsímil</v>
      </c>
      <c r="K4653" s="3" t="s">
        <v>22</v>
      </c>
    </row>
    <row r="4654" spans="1:11" ht="42" customHeight="1">
      <c r="A4654" s="2" t="s">
        <v>9810</v>
      </c>
      <c r="B4654" s="2" t="s">
        <v>9811</v>
      </c>
      <c r="C4654" s="2" t="s">
        <v>16</v>
      </c>
      <c r="D4654" s="2" t="s">
        <v>17</v>
      </c>
      <c r="E4654" s="5">
        <v>-31637</v>
      </c>
      <c r="F4654" s="3" t="s">
        <v>234</v>
      </c>
      <c r="G4654" s="3" t="s">
        <v>1788</v>
      </c>
      <c r="H4654" s="2" t="s">
        <v>20</v>
      </c>
      <c r="I4654" s="2" t="s">
        <v>9814</v>
      </c>
      <c r="J4654" s="3" t="str">
        <f>HYPERLINK("https://www.boe.es/gazeta/dias/1813/05/18/pdfs/GRE-1813-61.pdf#page=8","Abrir facsímil")</f>
        <v>Abrir facsímil</v>
      </c>
      <c r="K4654" s="3" t="s">
        <v>22</v>
      </c>
    </row>
    <row r="4655" spans="1:11" ht="42" customHeight="1">
      <c r="A4655" s="2" t="s">
        <v>9810</v>
      </c>
      <c r="B4655" s="2" t="s">
        <v>9811</v>
      </c>
      <c r="C4655" s="2" t="s">
        <v>16</v>
      </c>
      <c r="D4655" s="2" t="s">
        <v>17</v>
      </c>
      <c r="E4655" s="5">
        <v>-31572</v>
      </c>
      <c r="F4655" s="3" t="s">
        <v>317</v>
      </c>
      <c r="G4655" s="3" t="s">
        <v>28</v>
      </c>
      <c r="H4655" s="2" t="s">
        <v>20</v>
      </c>
      <c r="I4655" s="2" t="s">
        <v>9815</v>
      </c>
      <c r="J4655" s="3" t="str">
        <f>HYPERLINK("https://www.boe.es/gazeta/dias/1813/07/22/pdfs/GRE-1813-93.pdf#page=8","Abrir facsímil")</f>
        <v>Abrir facsímil</v>
      </c>
      <c r="K4655" s="3" t="s">
        <v>22</v>
      </c>
    </row>
    <row r="4656" spans="1:11" ht="42" customHeight="1">
      <c r="A4656" s="2" t="s">
        <v>9816</v>
      </c>
      <c r="B4656" s="2" t="s">
        <v>9817</v>
      </c>
      <c r="C4656" s="2" t="s">
        <v>187</v>
      </c>
      <c r="D4656" s="2" t="s">
        <v>26</v>
      </c>
      <c r="E4656" s="5">
        <v>-31644</v>
      </c>
      <c r="F4656" s="3" t="s">
        <v>3904</v>
      </c>
      <c r="G4656" s="3" t="s">
        <v>5921</v>
      </c>
      <c r="H4656" s="2" t="s">
        <v>20</v>
      </c>
      <c r="I4656" s="2" t="s">
        <v>9818</v>
      </c>
      <c r="J4656" s="3" t="str">
        <f>HYPERLINK("https://www.boe.es/gazeta/dias/1813/05/11/pdfs/GRE-1813-58.pdf#page=8","Abrir facsímil")</f>
        <v>Abrir facsímil</v>
      </c>
      <c r="K4656" s="3" t="s">
        <v>22</v>
      </c>
    </row>
    <row r="4657" spans="1:11" ht="42" customHeight="1">
      <c r="A4657" s="2" t="s">
        <v>9819</v>
      </c>
      <c r="B4657" s="2" t="s">
        <v>9820</v>
      </c>
      <c r="C4657" s="2" t="s">
        <v>25</v>
      </c>
      <c r="D4657" s="2" t="s">
        <v>26</v>
      </c>
      <c r="E4657" s="5">
        <v>-31675</v>
      </c>
      <c r="F4657" s="3" t="s">
        <v>27</v>
      </c>
      <c r="G4657" s="3" t="s">
        <v>648</v>
      </c>
      <c r="H4657" s="2" t="s">
        <v>20</v>
      </c>
      <c r="I4657" s="2" t="s">
        <v>9821</v>
      </c>
      <c r="J4657" s="3" t="str">
        <f>HYPERLINK("https://www.boe.es/gazeta/dias/1813/04/10/pdfs/GRE-1813-44.pdf#page=7","Abrir facsímil")</f>
        <v>Abrir facsímil</v>
      </c>
      <c r="K4657" s="3" t="s">
        <v>22</v>
      </c>
    </row>
    <row r="4658" spans="1:11" ht="42" customHeight="1">
      <c r="A4658" s="2" t="s">
        <v>9822</v>
      </c>
      <c r="B4658" s="2" t="s">
        <v>9823</v>
      </c>
      <c r="C4658" s="2" t="s">
        <v>16</v>
      </c>
      <c r="D4658" s="2" t="s">
        <v>17</v>
      </c>
      <c r="E4658" s="5">
        <v>-31707</v>
      </c>
      <c r="F4658" s="3" t="s">
        <v>1557</v>
      </c>
      <c r="G4658" s="3" t="s">
        <v>1558</v>
      </c>
      <c r="H4658" s="2" t="s">
        <v>20</v>
      </c>
      <c r="I4658" s="2" t="s">
        <v>9824</v>
      </c>
      <c r="J4658" s="3" t="str">
        <f>HYPERLINK("https://www.boe.es/gazeta/dias/1813/03/09/pdfs/GRE-1813-30.pdf#page=8","Abrir facsímil")</f>
        <v>Abrir facsímil</v>
      </c>
      <c r="K4658" s="3" t="s">
        <v>22</v>
      </c>
    </row>
    <row r="4659" spans="1:11" ht="42" customHeight="1">
      <c r="A4659" s="2" t="s">
        <v>9822</v>
      </c>
      <c r="B4659" s="2" t="s">
        <v>9823</v>
      </c>
      <c r="C4659" s="2" t="s">
        <v>16</v>
      </c>
      <c r="D4659" s="2" t="s">
        <v>17</v>
      </c>
      <c r="E4659" s="5">
        <v>-31637</v>
      </c>
      <c r="F4659" s="3" t="s">
        <v>234</v>
      </c>
      <c r="G4659" s="3" t="s">
        <v>82</v>
      </c>
      <c r="H4659" s="2" t="s">
        <v>20</v>
      </c>
      <c r="I4659" s="2" t="s">
        <v>9825</v>
      </c>
      <c r="J4659" s="3" t="str">
        <f>HYPERLINK("https://www.boe.es/gazeta/dias/1813/05/18/pdfs/GRE-1813-61.pdf#page=5","Abrir facsímil")</f>
        <v>Abrir facsímil</v>
      </c>
      <c r="K4659" s="3" t="s">
        <v>22</v>
      </c>
    </row>
    <row r="4660" spans="1:11" ht="42" customHeight="1">
      <c r="A4660" s="2" t="s">
        <v>9822</v>
      </c>
      <c r="B4660" s="2" t="s">
        <v>9823</v>
      </c>
      <c r="C4660" s="2" t="s">
        <v>16</v>
      </c>
      <c r="D4660" s="2" t="s">
        <v>17</v>
      </c>
      <c r="E4660" s="5">
        <v>-31581</v>
      </c>
      <c r="F4660" s="3" t="s">
        <v>3599</v>
      </c>
      <c r="G4660" s="3" t="s">
        <v>28</v>
      </c>
      <c r="H4660" s="2" t="s">
        <v>20</v>
      </c>
      <c r="I4660" s="2" t="s">
        <v>9826</v>
      </c>
      <c r="J4660" s="3" t="str">
        <f>HYPERLINK("https://www.boe.es/gazeta/dias/1813/07/13/pdfs/GRE-1813-88.pdf#page=8","Abrir facsímil")</f>
        <v>Abrir facsímil</v>
      </c>
      <c r="K4660" s="3" t="s">
        <v>22</v>
      </c>
    </row>
    <row r="4661" spans="1:11" ht="42" customHeight="1">
      <c r="A4661" s="2" t="s">
        <v>9822</v>
      </c>
      <c r="B4661" s="2" t="s">
        <v>9823</v>
      </c>
      <c r="C4661" s="2" t="s">
        <v>16</v>
      </c>
      <c r="D4661" s="2" t="s">
        <v>17</v>
      </c>
      <c r="E4661" s="5">
        <v>-31537</v>
      </c>
      <c r="F4661" s="3" t="s">
        <v>5241</v>
      </c>
      <c r="G4661" s="3" t="s">
        <v>19</v>
      </c>
      <c r="H4661" s="2" t="s">
        <v>20</v>
      </c>
      <c r="I4661" s="2" t="s">
        <v>9827</v>
      </c>
      <c r="J4661" s="3" t="str">
        <f>HYPERLINK("https://www.boe.es/gazeta/dias/1813/08/26/pdfs/GRE-1813-109.pdf#page=4","Abrir facsímil")</f>
        <v>Abrir facsímil</v>
      </c>
      <c r="K4661" s="3" t="s">
        <v>22</v>
      </c>
    </row>
    <row r="4662" spans="1:11" ht="42" customHeight="1">
      <c r="A4662" s="2" t="s">
        <v>9822</v>
      </c>
      <c r="B4662" s="2" t="s">
        <v>9823</v>
      </c>
      <c r="C4662" s="2" t="s">
        <v>16</v>
      </c>
      <c r="D4662" s="2" t="s">
        <v>17</v>
      </c>
      <c r="E4662" s="5">
        <v>-31465</v>
      </c>
      <c r="F4662" s="3" t="s">
        <v>2930</v>
      </c>
      <c r="G4662" s="3" t="s">
        <v>28</v>
      </c>
      <c r="H4662" s="2" t="s">
        <v>20</v>
      </c>
      <c r="I4662" s="2" t="s">
        <v>9828</v>
      </c>
      <c r="J4662" s="3" t="str">
        <f>HYPERLINK("https://www.boe.es/gazeta/dias/1813/11/06/pdfs/GRE-1813-145.pdf#page=8","Abrir facsímil")</f>
        <v>Abrir facsímil</v>
      </c>
      <c r="K4662" s="3" t="s">
        <v>22</v>
      </c>
    </row>
    <row r="4663" spans="1:11" ht="42" customHeight="1">
      <c r="A4663" s="2" t="s">
        <v>9829</v>
      </c>
      <c r="B4663" s="2" t="s">
        <v>9830</v>
      </c>
      <c r="C4663" s="2" t="s">
        <v>16</v>
      </c>
      <c r="D4663" s="2" t="s">
        <v>17</v>
      </c>
      <c r="E4663" s="5">
        <v>-31735</v>
      </c>
      <c r="F4663" s="3" t="s">
        <v>558</v>
      </c>
      <c r="G4663" s="3" t="s">
        <v>9831</v>
      </c>
      <c r="H4663" s="2" t="s">
        <v>20</v>
      </c>
      <c r="I4663" s="2" t="s">
        <v>9832</v>
      </c>
      <c r="J4663" s="3" t="str">
        <f>HYPERLINK("https://www.boe.es/gazeta/dias/1813/02/09/pdfs/GRE-1813-17.pdf#page=8","Abrir facsímil")</f>
        <v>Abrir facsímil</v>
      </c>
      <c r="K4663" s="3" t="s">
        <v>22</v>
      </c>
    </row>
    <row r="4664" spans="1:11" ht="42" customHeight="1">
      <c r="A4664" s="2" t="s">
        <v>9833</v>
      </c>
      <c r="B4664" s="2" t="s">
        <v>9834</v>
      </c>
      <c r="C4664" s="2" t="s">
        <v>16</v>
      </c>
      <c r="D4664" s="2" t="s">
        <v>17</v>
      </c>
      <c r="E4664" s="5">
        <v>-31511</v>
      </c>
      <c r="F4664" s="3" t="s">
        <v>935</v>
      </c>
      <c r="G4664" s="3" t="s">
        <v>54</v>
      </c>
      <c r="H4664" s="2" t="s">
        <v>20</v>
      </c>
      <c r="I4664" s="2" t="s">
        <v>9835</v>
      </c>
      <c r="J4664" s="3" t="str">
        <f>HYPERLINK("https://www.boe.es/gazeta/dias/1813/09/21/pdfs/GMR-1813-46.pdf#page=3","Abrir facsímil")</f>
        <v>Abrir facsímil</v>
      </c>
      <c r="K4664" s="3" t="s">
        <v>22</v>
      </c>
    </row>
    <row r="4665" spans="1:11" ht="42" customHeight="1">
      <c r="A4665" s="2" t="s">
        <v>9836</v>
      </c>
      <c r="B4665" s="2" t="s">
        <v>9837</v>
      </c>
      <c r="C4665" s="2" t="s">
        <v>187</v>
      </c>
      <c r="D4665" s="2" t="s">
        <v>26</v>
      </c>
      <c r="E4665" s="5">
        <v>-31720</v>
      </c>
      <c r="F4665" s="3" t="s">
        <v>672</v>
      </c>
      <c r="G4665" s="3" t="s">
        <v>58</v>
      </c>
      <c r="H4665" s="2" t="s">
        <v>20</v>
      </c>
      <c r="I4665" s="2" t="s">
        <v>9838</v>
      </c>
      <c r="J4665" s="3" t="str">
        <f>HYPERLINK("https://www.boe.es/gazeta/dias/1813/02/24/pdfs/GMD-1813-55.pdf#page=2","Abrir facsímil")</f>
        <v>Abrir facsímil</v>
      </c>
      <c r="K4665" s="3" t="s">
        <v>22</v>
      </c>
    </row>
    <row r="4666" spans="1:11" ht="42" customHeight="1">
      <c r="A4666" s="2" t="s">
        <v>9836</v>
      </c>
      <c r="B4666" s="2" t="s">
        <v>9837</v>
      </c>
      <c r="C4666" s="2" t="s">
        <v>16</v>
      </c>
      <c r="D4666" s="2" t="s">
        <v>17</v>
      </c>
      <c r="E4666" s="5">
        <v>-31563</v>
      </c>
      <c r="F4666" s="3" t="s">
        <v>1267</v>
      </c>
      <c r="G4666" s="3" t="s">
        <v>82</v>
      </c>
      <c r="H4666" s="2" t="s">
        <v>20</v>
      </c>
      <c r="I4666" s="2" t="s">
        <v>9839</v>
      </c>
      <c r="J4666" s="3" t="str">
        <f>HYPERLINK("https://www.boe.es/gazeta/dias/1813/07/31/pdfs/GRE-1813-97.pdf#page=5","Abrir facsímil")</f>
        <v>Abrir facsímil</v>
      </c>
      <c r="K4666" s="3" t="s">
        <v>22</v>
      </c>
    </row>
    <row r="4667" spans="1:11" ht="42" customHeight="1">
      <c r="A4667" s="2" t="s">
        <v>9840</v>
      </c>
      <c r="B4667" s="2" t="s">
        <v>9841</v>
      </c>
      <c r="C4667" s="2" t="s">
        <v>34</v>
      </c>
      <c r="D4667" s="2" t="s">
        <v>35</v>
      </c>
      <c r="E4667" s="5">
        <v>-31514</v>
      </c>
      <c r="F4667" s="3" t="s">
        <v>2099</v>
      </c>
      <c r="G4667" s="3" t="s">
        <v>19</v>
      </c>
      <c r="H4667" s="2" t="s">
        <v>20</v>
      </c>
      <c r="I4667" s="2" t="s">
        <v>9842</v>
      </c>
      <c r="J4667" s="3" t="str">
        <f>HYPERLINK("https://www.boe.es/gazeta/dias/1813/09/18/pdfs/GMR-1813-45.pdf#page=4","Abrir facsímil")</f>
        <v>Abrir facsímil</v>
      </c>
      <c r="K4667" s="3" t="s">
        <v>22</v>
      </c>
    </row>
    <row r="4668" spans="1:11" ht="42" customHeight="1">
      <c r="A4668" s="2" t="s">
        <v>9843</v>
      </c>
      <c r="B4668" s="2" t="s">
        <v>9843</v>
      </c>
      <c r="C4668" s="2" t="s">
        <v>16</v>
      </c>
      <c r="D4668" s="2" t="s">
        <v>17</v>
      </c>
      <c r="E4668" s="5">
        <v>-31756</v>
      </c>
      <c r="F4668" s="3" t="s">
        <v>951</v>
      </c>
      <c r="G4668" s="3" t="s">
        <v>19</v>
      </c>
      <c r="H4668" s="2" t="s">
        <v>20</v>
      </c>
      <c r="I4668" s="2" t="s">
        <v>9844</v>
      </c>
      <c r="J4668" s="3" t="str">
        <f>HYPERLINK("https://www.boe.es/gazeta/dias/1813/01/19/pdfs/GRE-1813-8.pdf#page=4","Abrir facsímil")</f>
        <v>Abrir facsímil</v>
      </c>
      <c r="K4668" s="3" t="s">
        <v>22</v>
      </c>
    </row>
    <row r="4669" spans="1:11" ht="42" customHeight="1">
      <c r="A4669" s="2" t="s">
        <v>9845</v>
      </c>
      <c r="B4669" s="2" t="s">
        <v>9846</v>
      </c>
      <c r="C4669" s="2" t="s">
        <v>25</v>
      </c>
      <c r="D4669" s="2" t="s">
        <v>26</v>
      </c>
      <c r="E4669" s="5">
        <v>-31745</v>
      </c>
      <c r="F4669" s="3" t="s">
        <v>445</v>
      </c>
      <c r="G4669" s="3" t="s">
        <v>28</v>
      </c>
      <c r="H4669" s="2" t="s">
        <v>20</v>
      </c>
      <c r="I4669" s="2" t="s">
        <v>9847</v>
      </c>
      <c r="J4669" s="3" t="str">
        <f>HYPERLINK("https://www.boe.es/gazeta/dias/1813/01/30/pdfs/GRE-1813-13.pdf#page=8","Abrir facsímil")</f>
        <v>Abrir facsímil</v>
      </c>
      <c r="K4669" s="3" t="s">
        <v>22</v>
      </c>
    </row>
    <row r="4670" spans="1:11" ht="42" customHeight="1">
      <c r="A4670" s="2" t="s">
        <v>9848</v>
      </c>
      <c r="B4670" s="2" t="s">
        <v>9848</v>
      </c>
      <c r="C4670" s="2" t="s">
        <v>16</v>
      </c>
      <c r="D4670" s="2" t="s">
        <v>17</v>
      </c>
      <c r="E4670" s="5">
        <v>-31448</v>
      </c>
      <c r="F4670" s="3" t="s">
        <v>325</v>
      </c>
      <c r="G4670" s="3" t="s">
        <v>178</v>
      </c>
      <c r="H4670" s="2" t="s">
        <v>20</v>
      </c>
      <c r="I4670" s="2" t="s">
        <v>9849</v>
      </c>
      <c r="J4670" s="3" t="str">
        <f>HYPERLINK("https://www.boe.es/gazeta/dias/1813/11/23/pdfs/GMR-1813-78.pdf#page=11","Abrir facsímil")</f>
        <v>Abrir facsímil</v>
      </c>
      <c r="K4670" s="3" t="s">
        <v>22</v>
      </c>
    </row>
    <row r="4671" spans="1:11" ht="42" customHeight="1">
      <c r="A4671" s="2" t="s">
        <v>9850</v>
      </c>
      <c r="B4671" s="2" t="s">
        <v>9850</v>
      </c>
      <c r="C4671" s="2" t="s">
        <v>34</v>
      </c>
      <c r="D4671" s="2" t="s">
        <v>35</v>
      </c>
      <c r="E4671" s="5">
        <v>-31733</v>
      </c>
      <c r="F4671" s="3" t="s">
        <v>3036</v>
      </c>
      <c r="G4671" s="3" t="s">
        <v>7278</v>
      </c>
      <c r="H4671" s="2" t="s">
        <v>20</v>
      </c>
      <c r="I4671" s="2" t="s">
        <v>9851</v>
      </c>
      <c r="J4671" s="3" t="str">
        <f>HYPERLINK("https://www.boe.es/gazeta/dias/1813/02/11/pdfs/GRE-1813-18.pdf#page=4","Abrir facsímil")</f>
        <v>Abrir facsímil</v>
      </c>
      <c r="K4671" s="3" t="s">
        <v>22</v>
      </c>
    </row>
    <row r="4672" spans="1:11" ht="42" customHeight="1">
      <c r="A4672" s="2" t="s">
        <v>9852</v>
      </c>
      <c r="B4672" s="2" t="s">
        <v>9852</v>
      </c>
      <c r="C4672" s="2" t="s">
        <v>16</v>
      </c>
      <c r="D4672" s="2" t="s">
        <v>17</v>
      </c>
      <c r="E4672" s="5">
        <v>-31743</v>
      </c>
      <c r="F4672" s="3" t="s">
        <v>2711</v>
      </c>
      <c r="G4672" s="3" t="s">
        <v>58</v>
      </c>
      <c r="H4672" s="2" t="s">
        <v>20</v>
      </c>
      <c r="I4672" s="2" t="s">
        <v>9853</v>
      </c>
      <c r="J4672" s="3" t="str">
        <f>HYPERLINK("https://www.boe.es/gazeta/dias/1813/02/01/pdfs/GMD-1813-32.pdf#page=2","Abrir facsímil")</f>
        <v>Abrir facsímil</v>
      </c>
      <c r="K4672" s="3" t="s">
        <v>22</v>
      </c>
    </row>
    <row r="4673" spans="1:11" ht="42" customHeight="1">
      <c r="A4673" s="2" t="s">
        <v>9852</v>
      </c>
      <c r="B4673" s="2" t="s">
        <v>9852</v>
      </c>
      <c r="C4673" s="2" t="s">
        <v>16</v>
      </c>
      <c r="D4673" s="2" t="s">
        <v>17</v>
      </c>
      <c r="E4673" s="5">
        <v>-31733</v>
      </c>
      <c r="F4673" s="3" t="s">
        <v>3036</v>
      </c>
      <c r="G4673" s="3" t="s">
        <v>58</v>
      </c>
      <c r="H4673" s="2" t="s">
        <v>20</v>
      </c>
      <c r="I4673" s="2" t="s">
        <v>9854</v>
      </c>
      <c r="J4673" s="3" t="str">
        <f>HYPERLINK("https://www.boe.es/gazeta/dias/1813/02/11/pdfs/GRE-1813-18.pdf#page=2","Abrir facsímil")</f>
        <v>Abrir facsímil</v>
      </c>
      <c r="K4673" s="3" t="s">
        <v>22</v>
      </c>
    </row>
    <row r="4674" spans="1:11" ht="42" customHeight="1">
      <c r="A4674" s="2" t="s">
        <v>9852</v>
      </c>
      <c r="B4674" s="2" t="s">
        <v>9852</v>
      </c>
      <c r="C4674" s="2" t="s">
        <v>16</v>
      </c>
      <c r="D4674" s="2" t="s">
        <v>17</v>
      </c>
      <c r="E4674" s="5">
        <v>-31698</v>
      </c>
      <c r="F4674" s="3" t="s">
        <v>470</v>
      </c>
      <c r="G4674" s="3" t="s">
        <v>4979</v>
      </c>
      <c r="H4674" s="2" t="s">
        <v>20</v>
      </c>
      <c r="I4674" s="2" t="s">
        <v>9855</v>
      </c>
      <c r="J4674" s="3" t="str">
        <f>HYPERLINK("https://www.boe.es/gazeta/dias/1813/03/18/pdfs/GRE-1813-34.pdf#page=6","Abrir facsímil")</f>
        <v>Abrir facsímil</v>
      </c>
      <c r="K4674" s="3" t="s">
        <v>22</v>
      </c>
    </row>
    <row r="4675" spans="1:11" ht="42" customHeight="1">
      <c r="A4675" s="2" t="s">
        <v>9852</v>
      </c>
      <c r="B4675" s="2" t="s">
        <v>9852</v>
      </c>
      <c r="C4675" s="2" t="s">
        <v>16</v>
      </c>
      <c r="D4675" s="2" t="s">
        <v>17</v>
      </c>
      <c r="E4675" s="5">
        <v>-31693</v>
      </c>
      <c r="F4675" s="3" t="s">
        <v>3950</v>
      </c>
      <c r="G4675" s="3" t="s">
        <v>65</v>
      </c>
      <c r="H4675" s="2" t="s">
        <v>20</v>
      </c>
      <c r="I4675" s="2" t="s">
        <v>9856</v>
      </c>
      <c r="J4675" s="3" t="str">
        <f>HYPERLINK("https://www.boe.es/gazeta/dias/1813/03/23/pdfs/GRE-1813-36.pdf#page=1","Abrir facsímil")</f>
        <v>Abrir facsímil</v>
      </c>
      <c r="K4675" s="3" t="s">
        <v>22</v>
      </c>
    </row>
    <row r="4676" spans="1:11" ht="42" customHeight="1">
      <c r="A4676" s="2" t="s">
        <v>9852</v>
      </c>
      <c r="B4676" s="2" t="s">
        <v>9852</v>
      </c>
      <c r="C4676" s="2" t="s">
        <v>16</v>
      </c>
      <c r="D4676" s="2" t="s">
        <v>17</v>
      </c>
      <c r="E4676" s="5">
        <v>-31462</v>
      </c>
      <c r="F4676" s="3" t="s">
        <v>542</v>
      </c>
      <c r="G4676" s="3" t="s">
        <v>19</v>
      </c>
      <c r="H4676" s="2" t="s">
        <v>20</v>
      </c>
      <c r="I4676" s="2" t="s">
        <v>9857</v>
      </c>
      <c r="J4676" s="3" t="str">
        <f>HYPERLINK("https://www.boe.es/gazeta/dias/1813/11/09/pdfs/GRE-1813-146.pdf#page=4","Abrir facsímil")</f>
        <v>Abrir facsímil</v>
      </c>
      <c r="K4676" s="3" t="s">
        <v>22</v>
      </c>
    </row>
    <row r="4677" spans="1:11" ht="42" customHeight="1">
      <c r="A4677" s="2" t="s">
        <v>9852</v>
      </c>
      <c r="B4677" s="2" t="s">
        <v>9852</v>
      </c>
      <c r="C4677" s="2" t="s">
        <v>16</v>
      </c>
      <c r="D4677" s="2" t="s">
        <v>17</v>
      </c>
      <c r="E4677" s="5">
        <v>-31446</v>
      </c>
      <c r="F4677" s="3" t="s">
        <v>103</v>
      </c>
      <c r="G4677" s="3" t="s">
        <v>65</v>
      </c>
      <c r="H4677" s="2" t="s">
        <v>20</v>
      </c>
      <c r="I4677" s="2" t="s">
        <v>9858</v>
      </c>
      <c r="J4677" s="3" t="str">
        <f>HYPERLINK("https://www.boe.es/gazeta/dias/1813/11/25/pdfs/GMR-1813-79.pdf#page=1","Abrir facsímil")</f>
        <v>Abrir facsímil</v>
      </c>
      <c r="K4677" s="3" t="s">
        <v>22</v>
      </c>
    </row>
    <row r="4678" spans="1:11" ht="42" customHeight="1">
      <c r="A4678" s="2" t="s">
        <v>9859</v>
      </c>
      <c r="B4678" s="2" t="s">
        <v>9859</v>
      </c>
      <c r="C4678" s="2" t="s">
        <v>16</v>
      </c>
      <c r="D4678" s="2" t="s">
        <v>17</v>
      </c>
      <c r="E4678" s="5">
        <v>-31460</v>
      </c>
      <c r="F4678" s="3" t="s">
        <v>599</v>
      </c>
      <c r="G4678" s="3" t="s">
        <v>54</v>
      </c>
      <c r="H4678" s="2" t="s">
        <v>20</v>
      </c>
      <c r="I4678" s="2" t="s">
        <v>9860</v>
      </c>
      <c r="J4678" s="3" t="str">
        <f>HYPERLINK("https://www.boe.es/gazeta/dias/1813/11/11/pdfs/GMR-1813-72.pdf#page=3","Abrir facsímil")</f>
        <v>Abrir facsímil</v>
      </c>
      <c r="K4678" s="3" t="s">
        <v>22</v>
      </c>
    </row>
    <row r="4679" spans="1:11" ht="42" customHeight="1">
      <c r="A4679" s="2" t="s">
        <v>9861</v>
      </c>
      <c r="B4679" s="2" t="s">
        <v>9862</v>
      </c>
      <c r="C4679" s="2" t="s">
        <v>16</v>
      </c>
      <c r="D4679" s="2" t="s">
        <v>97</v>
      </c>
      <c r="E4679" s="5">
        <v>-31479</v>
      </c>
      <c r="F4679" s="3" t="s">
        <v>290</v>
      </c>
      <c r="G4679" s="3" t="s">
        <v>87</v>
      </c>
      <c r="H4679" s="2" t="s">
        <v>20</v>
      </c>
      <c r="I4679" s="2" t="s">
        <v>9863</v>
      </c>
      <c r="J4679" s="3" t="str">
        <f>HYPERLINK("https://www.boe.es/gazeta/dias/1813/10/23/pdfs/GRE-1813-139E.pdf#page=7","Abrir facsímil")</f>
        <v>Abrir facsímil</v>
      </c>
      <c r="K4679" s="3" t="s">
        <v>22</v>
      </c>
    </row>
    <row r="4680" spans="1:11" ht="42" customHeight="1">
      <c r="A4680" s="2" t="s">
        <v>9864</v>
      </c>
      <c r="B4680" s="2" t="s">
        <v>9864</v>
      </c>
      <c r="C4680" s="2" t="s">
        <v>16</v>
      </c>
      <c r="D4680" s="2" t="s">
        <v>17</v>
      </c>
      <c r="E4680" s="5">
        <v>-31770</v>
      </c>
      <c r="F4680" s="3" t="s">
        <v>1738</v>
      </c>
      <c r="G4680" s="3" t="s">
        <v>2709</v>
      </c>
      <c r="H4680" s="2" t="s">
        <v>20</v>
      </c>
      <c r="I4680" s="2" t="s">
        <v>9865</v>
      </c>
      <c r="J4680" s="3" t="str">
        <f>HYPERLINK("https://www.boe.es/gazeta/dias/1813/01/05/pdfs/GRE-1813-2.pdf#page=3","Abrir facsímil")</f>
        <v>Abrir facsímil</v>
      </c>
      <c r="K4680" s="3" t="s">
        <v>22</v>
      </c>
    </row>
    <row r="4681" spans="1:11" ht="42" customHeight="1">
      <c r="A4681" s="2" t="s">
        <v>9866</v>
      </c>
      <c r="B4681" s="2" t="s">
        <v>9866</v>
      </c>
      <c r="C4681" s="2" t="s">
        <v>16</v>
      </c>
      <c r="D4681" s="2" t="s">
        <v>17</v>
      </c>
      <c r="E4681" s="5">
        <v>-31613</v>
      </c>
      <c r="F4681" s="3" t="s">
        <v>1629</v>
      </c>
      <c r="G4681" s="3" t="s">
        <v>9305</v>
      </c>
      <c r="H4681" s="2" t="s">
        <v>20</v>
      </c>
      <c r="I4681" s="2" t="s">
        <v>9867</v>
      </c>
      <c r="J4681" s="3" t="str">
        <f>HYPERLINK("https://www.boe.es/gazeta/dias/1813/06/11/pdfs/GMR-1813-4.pdf#page=7","Abrir facsímil")</f>
        <v>Abrir facsímil</v>
      </c>
      <c r="K4681" s="3" t="s">
        <v>22</v>
      </c>
    </row>
    <row r="4682" spans="1:11" ht="42" customHeight="1">
      <c r="A4682" s="2" t="s">
        <v>9868</v>
      </c>
      <c r="B4682" s="2" t="s">
        <v>9869</v>
      </c>
      <c r="C4682" s="2" t="s">
        <v>16</v>
      </c>
      <c r="D4682" s="2" t="s">
        <v>17</v>
      </c>
      <c r="E4682" s="5">
        <v>-31633</v>
      </c>
      <c r="F4682" s="3" t="s">
        <v>875</v>
      </c>
      <c r="G4682" s="3" t="s">
        <v>9870</v>
      </c>
      <c r="H4682" s="2" t="s">
        <v>20</v>
      </c>
      <c r="I4682" s="2" t="s">
        <v>9871</v>
      </c>
      <c r="J4682" s="3" t="str">
        <f>HYPERLINK("https://www.boe.es/gazeta/dias/1813/05/22/pdfs/GRE-1813-63.pdf#page=3","Abrir facsímil")</f>
        <v>Abrir facsímil</v>
      </c>
      <c r="K4682" s="3" t="s">
        <v>22</v>
      </c>
    </row>
    <row r="4683" spans="1:11" ht="42" customHeight="1">
      <c r="A4683" s="2" t="s">
        <v>9872</v>
      </c>
      <c r="B4683" s="2" t="s">
        <v>9872</v>
      </c>
      <c r="C4683" s="2" t="s">
        <v>25</v>
      </c>
      <c r="D4683" s="2" t="s">
        <v>26</v>
      </c>
      <c r="E4683" s="5">
        <v>-31648</v>
      </c>
      <c r="F4683" s="3" t="s">
        <v>3263</v>
      </c>
      <c r="G4683" s="3" t="s">
        <v>54</v>
      </c>
      <c r="H4683" s="2" t="s">
        <v>20</v>
      </c>
      <c r="I4683" s="2" t="s">
        <v>9873</v>
      </c>
      <c r="J4683" s="3" t="str">
        <f>HYPERLINK("https://www.boe.es/gazeta/dias/1813/05/07/pdfs/GMD-1813-127.pdf#page=3","Abrir facsímil")</f>
        <v>Abrir facsímil</v>
      </c>
      <c r="K4683" s="3" t="s">
        <v>22</v>
      </c>
    </row>
    <row r="4684" spans="1:11" ht="42" customHeight="1">
      <c r="A4684" s="2" t="s">
        <v>9874</v>
      </c>
      <c r="B4684" s="2" t="s">
        <v>9874</v>
      </c>
      <c r="C4684" s="2" t="s">
        <v>16</v>
      </c>
      <c r="D4684" s="2" t="s">
        <v>17</v>
      </c>
      <c r="E4684" s="5">
        <v>-31682</v>
      </c>
      <c r="F4684" s="3" t="s">
        <v>6815</v>
      </c>
      <c r="G4684" s="3" t="s">
        <v>65</v>
      </c>
      <c r="H4684" s="2" t="s">
        <v>20</v>
      </c>
      <c r="I4684" s="2" t="s">
        <v>9875</v>
      </c>
      <c r="J4684" s="3" t="str">
        <f>HYPERLINK("https://www.boe.es/gazeta/dias/1813/04/03/pdfs/GMD-1813-93.pdf#page=1","Abrir facsímil")</f>
        <v>Abrir facsímil</v>
      </c>
      <c r="K4684" s="3" t="s">
        <v>22</v>
      </c>
    </row>
    <row r="4685" spans="1:11" ht="42" customHeight="1">
      <c r="A4685" s="2" t="s">
        <v>9876</v>
      </c>
      <c r="B4685" s="2" t="s">
        <v>9876</v>
      </c>
      <c r="C4685" s="2" t="s">
        <v>16</v>
      </c>
      <c r="D4685" s="2" t="s">
        <v>17</v>
      </c>
      <c r="E4685" s="5">
        <v>-31681</v>
      </c>
      <c r="F4685" s="3" t="s">
        <v>925</v>
      </c>
      <c r="G4685" s="3" t="s">
        <v>19</v>
      </c>
      <c r="H4685" s="2" t="s">
        <v>20</v>
      </c>
      <c r="I4685" s="2" t="s">
        <v>9877</v>
      </c>
      <c r="J4685" s="3" t="str">
        <f>HYPERLINK("https://www.boe.es/gazeta/dias/1813/04/04/pdfs/GMD-1813-94.pdf#page=4","Abrir facsímil")</f>
        <v>Abrir facsímil</v>
      </c>
      <c r="K4685" s="3" t="s">
        <v>22</v>
      </c>
    </row>
    <row r="4686" spans="1:11" ht="42" customHeight="1">
      <c r="A4686" s="2" t="s">
        <v>9878</v>
      </c>
      <c r="B4686" s="2" t="s">
        <v>9878</v>
      </c>
      <c r="C4686" s="2" t="s">
        <v>16</v>
      </c>
      <c r="D4686" s="2" t="s">
        <v>17</v>
      </c>
      <c r="E4686" s="5">
        <v>-31722</v>
      </c>
      <c r="F4686" s="3" t="s">
        <v>3675</v>
      </c>
      <c r="G4686" s="3" t="s">
        <v>65</v>
      </c>
      <c r="H4686" s="2" t="s">
        <v>20</v>
      </c>
      <c r="I4686" s="2" t="s">
        <v>9879</v>
      </c>
      <c r="J4686" s="3" t="str">
        <f>HYPERLINK("https://www.boe.es/gazeta/dias/1813/02/22/pdfs/GMD-1813-53.pdf#page=1","Abrir facsímil")</f>
        <v>Abrir facsímil</v>
      </c>
      <c r="K4686" s="3" t="s">
        <v>22</v>
      </c>
    </row>
    <row r="4687" spans="1:11" ht="42" customHeight="1">
      <c r="A4687" s="2" t="s">
        <v>9880</v>
      </c>
      <c r="B4687" s="2" t="s">
        <v>9881</v>
      </c>
      <c r="C4687" s="2" t="s">
        <v>16</v>
      </c>
      <c r="D4687" s="2" t="s">
        <v>17</v>
      </c>
      <c r="E4687" s="5">
        <v>-31458</v>
      </c>
      <c r="F4687" s="3" t="s">
        <v>2315</v>
      </c>
      <c r="G4687" s="3" t="s">
        <v>2975</v>
      </c>
      <c r="H4687" s="2" t="s">
        <v>20</v>
      </c>
      <c r="I4687" s="2" t="s">
        <v>9882</v>
      </c>
      <c r="J4687" s="3" t="str">
        <f>HYPERLINK("https://www.boe.es/gazeta/dias/1813/11/13/pdfs/GMR-1813-73.pdf#page=6","Abrir facsímil")</f>
        <v>Abrir facsímil</v>
      </c>
      <c r="K4687" s="3" t="s">
        <v>22</v>
      </c>
    </row>
    <row r="4688" spans="1:11" ht="42" customHeight="1">
      <c r="A4688" s="2" t="s">
        <v>9883</v>
      </c>
      <c r="B4688" s="2" t="s">
        <v>9884</v>
      </c>
      <c r="C4688" s="2" t="s">
        <v>34</v>
      </c>
      <c r="D4688" s="2" t="s">
        <v>35</v>
      </c>
      <c r="E4688" s="5">
        <v>-31564</v>
      </c>
      <c r="F4688" s="3" t="s">
        <v>206</v>
      </c>
      <c r="G4688" s="3" t="s">
        <v>258</v>
      </c>
      <c r="H4688" s="2" t="s">
        <v>20</v>
      </c>
      <c r="I4688" s="2" t="s">
        <v>9885</v>
      </c>
      <c r="J4688" s="3" t="str">
        <f>HYPERLINK("https://www.boe.es/gazeta/dias/1813/07/30/pdfs/GMR-1813-22.pdf#page=12","Abrir facsímil")</f>
        <v>Abrir facsímil</v>
      </c>
      <c r="K4688" s="3" t="s">
        <v>22</v>
      </c>
    </row>
    <row r="4689" spans="1:11" ht="42" customHeight="1">
      <c r="A4689" s="2" t="s">
        <v>9886</v>
      </c>
      <c r="B4689" s="2" t="s">
        <v>9887</v>
      </c>
      <c r="C4689" s="2" t="s">
        <v>16</v>
      </c>
      <c r="D4689" s="2" t="s">
        <v>17</v>
      </c>
      <c r="E4689" s="5">
        <v>-31703</v>
      </c>
      <c r="F4689" s="3" t="s">
        <v>4331</v>
      </c>
      <c r="G4689" s="3" t="s">
        <v>87</v>
      </c>
      <c r="H4689" s="2" t="s">
        <v>20</v>
      </c>
      <c r="I4689" s="2" t="s">
        <v>9888</v>
      </c>
      <c r="J4689" s="3" t="str">
        <f>HYPERLINK("https://www.boe.es/gazeta/dias/1813/03/13/pdfs/GRE-1813-32.pdf#page=7","Abrir facsímil")</f>
        <v>Abrir facsímil</v>
      </c>
      <c r="K4689" s="3" t="s">
        <v>22</v>
      </c>
    </row>
    <row r="4690" spans="1:11" ht="42" customHeight="1">
      <c r="A4690" s="2" t="s">
        <v>9889</v>
      </c>
      <c r="B4690" s="2" t="s">
        <v>9890</v>
      </c>
      <c r="C4690" s="2" t="s">
        <v>25</v>
      </c>
      <c r="D4690" s="2" t="s">
        <v>26</v>
      </c>
      <c r="E4690" s="5">
        <v>-31767</v>
      </c>
      <c r="F4690" s="3" t="s">
        <v>1915</v>
      </c>
      <c r="G4690" s="3" t="s">
        <v>19</v>
      </c>
      <c r="H4690" s="2" t="s">
        <v>20</v>
      </c>
      <c r="I4690" s="2" t="s">
        <v>9891</v>
      </c>
      <c r="J4690" s="3" t="str">
        <f>HYPERLINK("https://www.boe.es/gazeta/dias/1813/01/08/pdfs/GMD-1813-8.pdf#page=4","Abrir facsímil")</f>
        <v>Abrir facsímil</v>
      </c>
      <c r="K4690" s="3" t="s">
        <v>22</v>
      </c>
    </row>
    <row r="4691" spans="1:11" ht="42" customHeight="1">
      <c r="A4691" s="2" t="s">
        <v>9892</v>
      </c>
      <c r="B4691" s="2" t="s">
        <v>9893</v>
      </c>
      <c r="C4691" s="2" t="s">
        <v>25</v>
      </c>
      <c r="D4691" s="2" t="s">
        <v>26</v>
      </c>
      <c r="E4691" s="5">
        <v>-31658</v>
      </c>
      <c r="F4691" s="3" t="s">
        <v>1654</v>
      </c>
      <c r="G4691" s="3" t="s">
        <v>54</v>
      </c>
      <c r="H4691" s="2" t="s">
        <v>20</v>
      </c>
      <c r="I4691" s="2" t="s">
        <v>9894</v>
      </c>
      <c r="J4691" s="3" t="str">
        <f>HYPERLINK("https://www.boe.es/gazeta/dias/1813/04/27/pdfs/GMD-1813-117.pdf#page=3","Abrir facsímil")</f>
        <v>Abrir facsímil</v>
      </c>
      <c r="K4691" s="3" t="s">
        <v>22</v>
      </c>
    </row>
    <row r="4692" spans="1:11" ht="42" customHeight="1">
      <c r="A4692" s="2" t="s">
        <v>9895</v>
      </c>
      <c r="B4692" s="2" t="s">
        <v>9896</v>
      </c>
      <c r="C4692" s="2" t="s">
        <v>16</v>
      </c>
      <c r="D4692" s="2" t="s">
        <v>17</v>
      </c>
      <c r="E4692" s="5">
        <v>-31465</v>
      </c>
      <c r="F4692" s="3" t="s">
        <v>407</v>
      </c>
      <c r="G4692" s="3" t="s">
        <v>3112</v>
      </c>
      <c r="H4692" s="2" t="s">
        <v>29</v>
      </c>
      <c r="I4692" s="2" t="s">
        <v>9897</v>
      </c>
      <c r="J4692" s="3" t="str">
        <f>HYPERLINK("https://www.boe.es/gazeta/dias/1813/11/06/pdfs/GMR-1813-70.pdf#page=6","Abrir facsímil")</f>
        <v>Abrir facsímil</v>
      </c>
      <c r="K4692" s="3" t="s">
        <v>31</v>
      </c>
    </row>
    <row r="4693" spans="1:11" ht="42" customHeight="1">
      <c r="A4693" s="2" t="s">
        <v>9898</v>
      </c>
      <c r="B4693" s="2" t="s">
        <v>9898</v>
      </c>
      <c r="C4693" s="2" t="s">
        <v>34</v>
      </c>
      <c r="D4693" s="2" t="s">
        <v>35</v>
      </c>
      <c r="E4693" s="5">
        <v>-31691</v>
      </c>
      <c r="F4693" s="3" t="s">
        <v>1621</v>
      </c>
      <c r="G4693" s="3" t="s">
        <v>58</v>
      </c>
      <c r="H4693" s="2" t="s">
        <v>20</v>
      </c>
      <c r="I4693" s="2" t="s">
        <v>9899</v>
      </c>
      <c r="J4693" s="3" t="str">
        <f>HYPERLINK("https://www.boe.es/gazeta/dias/1813/03/25/pdfs/GMD-1813-84.pdf#page=2","Abrir facsímil")</f>
        <v>Abrir facsímil</v>
      </c>
      <c r="K4693" s="3" t="s">
        <v>22</v>
      </c>
    </row>
    <row r="4694" spans="1:11" ht="42" customHeight="1">
      <c r="A4694" s="2" t="s">
        <v>9900</v>
      </c>
      <c r="B4694" s="2" t="s">
        <v>9901</v>
      </c>
      <c r="C4694" s="2" t="s">
        <v>277</v>
      </c>
      <c r="D4694" s="2" t="s">
        <v>26</v>
      </c>
      <c r="E4694" s="5">
        <v>-31467</v>
      </c>
      <c r="F4694" s="3" t="s">
        <v>1464</v>
      </c>
      <c r="G4694" s="3" t="s">
        <v>28</v>
      </c>
      <c r="H4694" s="2" t="s">
        <v>20</v>
      </c>
      <c r="I4694" s="2" t="s">
        <v>9902</v>
      </c>
      <c r="J4694" s="3" t="str">
        <f>HYPERLINK("https://www.boe.es/gazeta/dias/1813/11/04/pdfs/GRE-1813-144.pdf#page=8","Abrir facsímil")</f>
        <v>Abrir facsímil</v>
      </c>
      <c r="K4694" s="3" t="s">
        <v>22</v>
      </c>
    </row>
    <row r="4695" spans="1:11" ht="42" customHeight="1">
      <c r="A4695" s="2" t="s">
        <v>9903</v>
      </c>
      <c r="B4695" s="2" t="s">
        <v>9904</v>
      </c>
      <c r="C4695" s="2" t="s">
        <v>25</v>
      </c>
      <c r="D4695" s="2" t="s">
        <v>26</v>
      </c>
      <c r="E4695" s="5">
        <v>-31567</v>
      </c>
      <c r="F4695" s="3" t="s">
        <v>820</v>
      </c>
      <c r="G4695" s="3" t="s">
        <v>821</v>
      </c>
      <c r="H4695" s="2" t="s">
        <v>20</v>
      </c>
      <c r="I4695" s="2" t="s">
        <v>9905</v>
      </c>
      <c r="J4695" s="3" t="str">
        <f>HYPERLINK("https://www.boe.es/gazeta/dias/1813/07/27/pdfs/GMR-1813-21.pdf#page=13","Abrir facsímil")</f>
        <v>Abrir facsímil</v>
      </c>
      <c r="K4695" s="3" t="s">
        <v>22</v>
      </c>
    </row>
    <row r="4696" spans="1:11" ht="42" customHeight="1">
      <c r="A4696" s="2" t="s">
        <v>9906</v>
      </c>
      <c r="B4696" s="2" t="s">
        <v>9907</v>
      </c>
      <c r="C4696" s="2" t="s">
        <v>109</v>
      </c>
      <c r="D4696" s="2" t="s">
        <v>26</v>
      </c>
      <c r="E4696" s="5">
        <v>-31724</v>
      </c>
      <c r="F4696" s="3" t="s">
        <v>626</v>
      </c>
      <c r="G4696" s="3" t="s">
        <v>627</v>
      </c>
      <c r="H4696" s="2" t="s">
        <v>20</v>
      </c>
      <c r="I4696" s="2" t="s">
        <v>9908</v>
      </c>
      <c r="J4696" s="3" t="str">
        <f>HYPERLINK("https://www.boe.es/gazeta/dias/1813/02/20/pdfs/GRE-1813-22.pdf#page=8","Abrir facsímil")</f>
        <v>Abrir facsímil</v>
      </c>
      <c r="K4696" s="3" t="s">
        <v>22</v>
      </c>
    </row>
    <row r="4697" spans="1:11" ht="42" customHeight="1">
      <c r="A4697" s="2" t="s">
        <v>9909</v>
      </c>
      <c r="B4697" s="2" t="s">
        <v>9909</v>
      </c>
      <c r="C4697" s="2" t="s">
        <v>16</v>
      </c>
      <c r="D4697" s="2" t="s">
        <v>17</v>
      </c>
      <c r="E4697" s="5">
        <v>-31635</v>
      </c>
      <c r="F4697" s="3" t="s">
        <v>2173</v>
      </c>
      <c r="G4697" s="3" t="s">
        <v>65</v>
      </c>
      <c r="H4697" s="2" t="s">
        <v>20</v>
      </c>
      <c r="I4697" s="2" t="s">
        <v>9910</v>
      </c>
      <c r="J4697" s="3" t="str">
        <f>HYPERLINK("https://www.boe.es/gazeta/dias/1813/05/20/pdfs/GRE-1813-62.pdf#page=1","Abrir facsímil")</f>
        <v>Abrir facsímil</v>
      </c>
      <c r="K4697" s="3" t="s">
        <v>22</v>
      </c>
    </row>
    <row r="4698" spans="1:11" ht="42" customHeight="1">
      <c r="A4698" s="2" t="s">
        <v>9911</v>
      </c>
      <c r="B4698" s="2" t="s">
        <v>9911</v>
      </c>
      <c r="C4698" s="2" t="s">
        <v>16</v>
      </c>
      <c r="D4698" s="2" t="s">
        <v>17</v>
      </c>
      <c r="E4698" s="5">
        <v>-31647</v>
      </c>
      <c r="F4698" s="3" t="s">
        <v>5110</v>
      </c>
      <c r="G4698" s="3" t="s">
        <v>54</v>
      </c>
      <c r="H4698" s="2" t="s">
        <v>20</v>
      </c>
      <c r="I4698" s="2" t="s">
        <v>9912</v>
      </c>
      <c r="J4698" s="3" t="str">
        <f>HYPERLINK("https://www.boe.es/gazeta/dias/1813/05/08/pdfs/GMD-1813-128.pdf#page=3","Abrir facsímil")</f>
        <v>Abrir facsímil</v>
      </c>
      <c r="K4698" s="3" t="s">
        <v>22</v>
      </c>
    </row>
    <row r="4699" spans="1:11" ht="42" customHeight="1">
      <c r="A4699" s="2" t="s">
        <v>9911</v>
      </c>
      <c r="B4699" s="2" t="s">
        <v>9911</v>
      </c>
      <c r="C4699" s="2" t="s">
        <v>16</v>
      </c>
      <c r="D4699" s="2" t="s">
        <v>17</v>
      </c>
      <c r="E4699" s="5">
        <v>-31588</v>
      </c>
      <c r="F4699" s="3" t="s">
        <v>1535</v>
      </c>
      <c r="G4699" s="3" t="s">
        <v>19</v>
      </c>
      <c r="H4699" s="2" t="s">
        <v>20</v>
      </c>
      <c r="I4699" s="2" t="s">
        <v>9913</v>
      </c>
      <c r="J4699" s="3" t="str">
        <f>HYPERLINK("https://www.boe.es/gazeta/dias/1813/07/06/pdfs/GMR-1813-15.pdf#page=4","Abrir facsímil")</f>
        <v>Abrir facsímil</v>
      </c>
      <c r="K4699" s="3" t="s">
        <v>22</v>
      </c>
    </row>
    <row r="4700" spans="1:11" ht="42" customHeight="1">
      <c r="A4700" s="2" t="s">
        <v>9911</v>
      </c>
      <c r="B4700" s="2" t="s">
        <v>9911</v>
      </c>
      <c r="C4700" s="2" t="s">
        <v>16</v>
      </c>
      <c r="D4700" s="2" t="s">
        <v>17</v>
      </c>
      <c r="E4700" s="5">
        <v>-31588</v>
      </c>
      <c r="F4700" s="3" t="s">
        <v>2402</v>
      </c>
      <c r="G4700" s="3" t="s">
        <v>58</v>
      </c>
      <c r="H4700" s="2" t="s">
        <v>20</v>
      </c>
      <c r="I4700" s="2" t="s">
        <v>9914</v>
      </c>
      <c r="J4700" s="3" t="str">
        <f>HYPERLINK("https://www.boe.es/gazeta/dias/1813/07/06/pdfs/GRE-1813-84.pdf#page=2","Abrir facsímil")</f>
        <v>Abrir facsímil</v>
      </c>
      <c r="K4700" s="3" t="s">
        <v>22</v>
      </c>
    </row>
    <row r="4701" spans="1:11" ht="42" customHeight="1">
      <c r="A4701" s="2" t="s">
        <v>9911</v>
      </c>
      <c r="B4701" s="2" t="s">
        <v>9911</v>
      </c>
      <c r="C4701" s="2" t="s">
        <v>16</v>
      </c>
      <c r="D4701" s="2" t="s">
        <v>17</v>
      </c>
      <c r="E4701" s="5">
        <v>-31578</v>
      </c>
      <c r="F4701" s="3" t="s">
        <v>974</v>
      </c>
      <c r="G4701" s="3" t="s">
        <v>2367</v>
      </c>
      <c r="H4701" s="2" t="s">
        <v>20</v>
      </c>
      <c r="I4701" s="2" t="s">
        <v>9915</v>
      </c>
      <c r="J4701" s="3" t="str">
        <f>HYPERLINK("https://www.boe.es/gazeta/dias/1813/07/16/pdfs/GMR-1813-18.pdf#page=6","Abrir facsímil")</f>
        <v>Abrir facsímil</v>
      </c>
      <c r="K4701" s="3" t="s">
        <v>22</v>
      </c>
    </row>
    <row r="4702" spans="1:11" ht="42" customHeight="1">
      <c r="A4702" s="2" t="s">
        <v>9911</v>
      </c>
      <c r="B4702" s="2" t="s">
        <v>9911</v>
      </c>
      <c r="C4702" s="2" t="s">
        <v>16</v>
      </c>
      <c r="D4702" s="2" t="s">
        <v>17</v>
      </c>
      <c r="E4702" s="5">
        <v>-31453</v>
      </c>
      <c r="F4702" s="3" t="s">
        <v>887</v>
      </c>
      <c r="G4702" s="3" t="s">
        <v>82</v>
      </c>
      <c r="H4702" s="2" t="s">
        <v>20</v>
      </c>
      <c r="I4702" s="2" t="s">
        <v>9916</v>
      </c>
      <c r="J4702" s="3" t="str">
        <f>HYPERLINK("https://www.boe.es/gazeta/dias/1813/11/18/pdfs/GMR-1813-76.pdf#page=5","Abrir facsímil")</f>
        <v>Abrir facsímil</v>
      </c>
      <c r="K4702" s="3" t="s">
        <v>22</v>
      </c>
    </row>
    <row r="4703" spans="1:11" ht="42" customHeight="1">
      <c r="A4703" s="2" t="s">
        <v>9917</v>
      </c>
      <c r="B4703" s="2" t="s">
        <v>9917</v>
      </c>
      <c r="C4703" s="2" t="s">
        <v>16</v>
      </c>
      <c r="D4703" s="2" t="s">
        <v>97</v>
      </c>
      <c r="E4703" s="5">
        <v>-31499</v>
      </c>
      <c r="F4703" s="3" t="s">
        <v>220</v>
      </c>
      <c r="G4703" s="3" t="s">
        <v>28</v>
      </c>
      <c r="H4703" s="2" t="s">
        <v>20</v>
      </c>
      <c r="I4703" s="2" t="s">
        <v>9918</v>
      </c>
      <c r="J4703" s="3" t="str">
        <f>HYPERLINK("https://www.boe.es/gazeta/dias/1813/10/03/pdfs/GMR-1813-53E.pdf#page=8","Abrir facsímil")</f>
        <v>Abrir facsímil</v>
      </c>
      <c r="K4703" s="3" t="s">
        <v>22</v>
      </c>
    </row>
    <row r="4704" spans="1:11" ht="42" customHeight="1">
      <c r="A4704" s="2" t="s">
        <v>9919</v>
      </c>
      <c r="B4704" s="2" t="s">
        <v>9919</v>
      </c>
      <c r="C4704" s="2" t="s">
        <v>16</v>
      </c>
      <c r="D4704" s="2" t="s">
        <v>17</v>
      </c>
      <c r="E4704" s="5">
        <v>-31766</v>
      </c>
      <c r="F4704" s="3" t="s">
        <v>6349</v>
      </c>
      <c r="G4704" s="3" t="s">
        <v>58</v>
      </c>
      <c r="H4704" s="2" t="s">
        <v>20</v>
      </c>
      <c r="I4704" s="2" t="s">
        <v>9920</v>
      </c>
      <c r="J4704" s="3" t="str">
        <f>HYPERLINK("https://www.boe.es/gazeta/dias/1813/01/09/pdfs/GMD-1813-9.pdf#page=2","Abrir facsímil")</f>
        <v>Abrir facsímil</v>
      </c>
      <c r="K4704" s="3" t="s">
        <v>22</v>
      </c>
    </row>
    <row r="4705" spans="1:11" ht="42" customHeight="1">
      <c r="A4705" s="2" t="s">
        <v>9921</v>
      </c>
      <c r="B4705" s="2" t="s">
        <v>9921</v>
      </c>
      <c r="C4705" s="2" t="s">
        <v>16</v>
      </c>
      <c r="D4705" s="2" t="s">
        <v>17</v>
      </c>
      <c r="E4705" s="5">
        <v>-31759</v>
      </c>
      <c r="F4705" s="3" t="s">
        <v>419</v>
      </c>
      <c r="G4705" s="3" t="s">
        <v>54</v>
      </c>
      <c r="H4705" s="2" t="s">
        <v>20</v>
      </c>
      <c r="I4705" s="2" t="s">
        <v>9922</v>
      </c>
      <c r="J4705" s="3" t="str">
        <f>HYPERLINK("https://www.boe.es/gazeta/dias/1813/01/16/pdfs/GRE-1813-7.pdf#page=3","Abrir facsímil")</f>
        <v>Abrir facsímil</v>
      </c>
      <c r="K4705" s="3" t="s">
        <v>22</v>
      </c>
    </row>
    <row r="4706" spans="1:11" ht="42" customHeight="1">
      <c r="A4706" s="2" t="s">
        <v>9923</v>
      </c>
      <c r="B4706" s="2" t="s">
        <v>9923</v>
      </c>
      <c r="C4706" s="2" t="s">
        <v>16</v>
      </c>
      <c r="D4706" s="2" t="s">
        <v>17</v>
      </c>
      <c r="E4706" s="5">
        <v>-31661</v>
      </c>
      <c r="F4706" s="3" t="s">
        <v>6643</v>
      </c>
      <c r="G4706" s="3" t="s">
        <v>6644</v>
      </c>
      <c r="H4706" s="2" t="s">
        <v>20</v>
      </c>
      <c r="I4706" s="2" t="s">
        <v>9924</v>
      </c>
      <c r="J4706" s="3" t="str">
        <f>HYPERLINK("https://www.boe.es/gazeta/dias/1813/04/24/pdfs/GRE-1813-51.pdf#page=5","Abrir facsímil")</f>
        <v>Abrir facsímil</v>
      </c>
      <c r="K4706" s="3" t="s">
        <v>22</v>
      </c>
    </row>
    <row r="4707" spans="1:11" ht="42" customHeight="1">
      <c r="A4707" s="2" t="s">
        <v>9925</v>
      </c>
      <c r="B4707" s="2" t="s">
        <v>9926</v>
      </c>
      <c r="C4707" s="2" t="s">
        <v>16</v>
      </c>
      <c r="D4707" s="2" t="s">
        <v>17</v>
      </c>
      <c r="E4707" s="5">
        <v>-31738</v>
      </c>
      <c r="F4707" s="3" t="s">
        <v>556</v>
      </c>
      <c r="G4707" s="3" t="s">
        <v>28</v>
      </c>
      <c r="H4707" s="2" t="s">
        <v>20</v>
      </c>
      <c r="I4707" s="2" t="s">
        <v>9927</v>
      </c>
      <c r="J4707" s="3" t="str">
        <f>HYPERLINK("https://www.boe.es/gazeta/dias/1813/02/06/pdfs/GRE-1813-16.pdf#page=8","Abrir facsímil")</f>
        <v>Abrir facsímil</v>
      </c>
      <c r="K4707" s="3" t="s">
        <v>22</v>
      </c>
    </row>
    <row r="4708" spans="1:11" ht="42" customHeight="1">
      <c r="A4708" s="2" t="s">
        <v>9928</v>
      </c>
      <c r="B4708" s="2" t="s">
        <v>9929</v>
      </c>
      <c r="C4708" s="2" t="s">
        <v>16</v>
      </c>
      <c r="D4708" s="2" t="s">
        <v>17</v>
      </c>
      <c r="E4708" s="5">
        <v>-31434</v>
      </c>
      <c r="F4708" s="3" t="s">
        <v>948</v>
      </c>
      <c r="G4708" s="3" t="s">
        <v>95</v>
      </c>
      <c r="H4708" s="2" t="s">
        <v>20</v>
      </c>
      <c r="I4708" s="2" t="s">
        <v>9930</v>
      </c>
      <c r="J4708" s="3" t="str">
        <f>HYPERLINK("https://www.boe.es/gazeta/dias/1813/12/07/pdfs/GMR-1813-84.pdf#page=6","Abrir facsímil")</f>
        <v>Abrir facsímil</v>
      </c>
      <c r="K4708" s="3" t="s">
        <v>22</v>
      </c>
    </row>
    <row r="4709" spans="1:11" ht="42" customHeight="1">
      <c r="A4709" s="2" t="s">
        <v>9931</v>
      </c>
      <c r="B4709" s="2" t="s">
        <v>9932</v>
      </c>
      <c r="C4709" s="2" t="s">
        <v>16</v>
      </c>
      <c r="D4709" s="2" t="s">
        <v>17</v>
      </c>
      <c r="E4709" s="5">
        <v>-31619</v>
      </c>
      <c r="F4709" s="3" t="s">
        <v>749</v>
      </c>
      <c r="G4709" s="3" t="s">
        <v>19</v>
      </c>
      <c r="H4709" s="2" t="s">
        <v>20</v>
      </c>
      <c r="I4709" s="2" t="s">
        <v>9933</v>
      </c>
      <c r="J4709" s="3" t="str">
        <f>HYPERLINK("https://www.boe.es/gazeta/dias/1813/06/05/pdfs/GRE-1813-70.pdf#page=4","Abrir facsímil")</f>
        <v>Abrir facsímil</v>
      </c>
      <c r="K4709" s="3" t="s">
        <v>22</v>
      </c>
    </row>
    <row r="4710" spans="1:11" ht="42" customHeight="1">
      <c r="A4710" s="2" t="s">
        <v>9934</v>
      </c>
      <c r="B4710" s="2" t="s">
        <v>9934</v>
      </c>
      <c r="C4710" s="2" t="s">
        <v>16</v>
      </c>
      <c r="D4710" s="2" t="s">
        <v>17</v>
      </c>
      <c r="E4710" s="5">
        <v>-31726</v>
      </c>
      <c r="F4710" s="3" t="s">
        <v>493</v>
      </c>
      <c r="G4710" s="3" t="s">
        <v>54</v>
      </c>
      <c r="H4710" s="2" t="s">
        <v>20</v>
      </c>
      <c r="I4710" s="2" t="s">
        <v>9935</v>
      </c>
      <c r="J4710" s="3" t="str">
        <f>HYPERLINK("https://www.boe.es/gazeta/dias/1813/02/18/pdfs/GMD-1813-49.pdf#page=3","Abrir facsímil")</f>
        <v>Abrir facsímil</v>
      </c>
      <c r="K4710" s="3" t="s">
        <v>22</v>
      </c>
    </row>
    <row r="4711" spans="1:11" ht="42" customHeight="1">
      <c r="A4711" s="2" t="s">
        <v>9936</v>
      </c>
      <c r="B4711" s="2" t="s">
        <v>9936</v>
      </c>
      <c r="C4711" s="2" t="s">
        <v>16</v>
      </c>
      <c r="D4711" s="2" t="s">
        <v>17</v>
      </c>
      <c r="E4711" s="5">
        <v>-31726</v>
      </c>
      <c r="F4711" s="3" t="s">
        <v>493</v>
      </c>
      <c r="G4711" s="3" t="s">
        <v>54</v>
      </c>
      <c r="H4711" s="2" t="s">
        <v>20</v>
      </c>
      <c r="I4711" s="2" t="s">
        <v>9937</v>
      </c>
      <c r="J4711" s="3" t="str">
        <f>HYPERLINK("https://www.boe.es/gazeta/dias/1813/02/18/pdfs/GMD-1813-49.pdf#page=3","Abrir facsímil")</f>
        <v>Abrir facsímil</v>
      </c>
      <c r="K4711" s="3" t="s">
        <v>22</v>
      </c>
    </row>
    <row r="4712" spans="1:11" ht="42" customHeight="1">
      <c r="A4712" s="2" t="s">
        <v>9936</v>
      </c>
      <c r="B4712" s="2" t="s">
        <v>9936</v>
      </c>
      <c r="C4712" s="2" t="s">
        <v>16</v>
      </c>
      <c r="D4712" s="2" t="s">
        <v>17</v>
      </c>
      <c r="E4712" s="5">
        <v>-31726</v>
      </c>
      <c r="F4712" s="3" t="s">
        <v>493</v>
      </c>
      <c r="G4712" s="3" t="s">
        <v>19</v>
      </c>
      <c r="H4712" s="2" t="s">
        <v>20</v>
      </c>
      <c r="I4712" s="2" t="s">
        <v>9938</v>
      </c>
      <c r="J4712" s="3" t="str">
        <f>HYPERLINK("https://www.boe.es/gazeta/dias/1813/02/18/pdfs/GMD-1813-49.pdf#page=4","Abrir facsímil")</f>
        <v>Abrir facsímil</v>
      </c>
      <c r="K4712" s="3" t="s">
        <v>22</v>
      </c>
    </row>
    <row r="4713" spans="1:11" ht="42" customHeight="1">
      <c r="A4713" s="2" t="s">
        <v>9939</v>
      </c>
      <c r="B4713" s="2" t="s">
        <v>9939</v>
      </c>
      <c r="C4713" s="2" t="s">
        <v>16</v>
      </c>
      <c r="D4713" s="2" t="s">
        <v>17</v>
      </c>
      <c r="E4713" s="5">
        <v>-31742</v>
      </c>
      <c r="F4713" s="3" t="s">
        <v>2051</v>
      </c>
      <c r="G4713" s="3" t="s">
        <v>19</v>
      </c>
      <c r="H4713" s="2" t="s">
        <v>20</v>
      </c>
      <c r="I4713" s="2" t="s">
        <v>9940</v>
      </c>
      <c r="J4713" s="3" t="str">
        <f>HYPERLINK("https://www.boe.es/gazeta/dias/1813/02/02/pdfs/GMD-1813-33.pdf#page=4","Abrir facsímil")</f>
        <v>Abrir facsímil</v>
      </c>
      <c r="K4713" s="3" t="s">
        <v>22</v>
      </c>
    </row>
    <row r="4714" spans="1:11" ht="42" customHeight="1">
      <c r="A4714" s="2" t="s">
        <v>9939</v>
      </c>
      <c r="B4714" s="2" t="s">
        <v>9939</v>
      </c>
      <c r="C4714" s="2" t="s">
        <v>16</v>
      </c>
      <c r="D4714" s="2" t="s">
        <v>17</v>
      </c>
      <c r="E4714" s="5">
        <v>-31726</v>
      </c>
      <c r="F4714" s="3" t="s">
        <v>493</v>
      </c>
      <c r="G4714" s="3" t="s">
        <v>54</v>
      </c>
      <c r="H4714" s="2" t="s">
        <v>20</v>
      </c>
      <c r="I4714" s="2" t="s">
        <v>9941</v>
      </c>
      <c r="J4714" s="3" t="str">
        <f>HYPERLINK("https://www.boe.es/gazeta/dias/1813/02/18/pdfs/GMD-1813-49.pdf#page=3","Abrir facsímil")</f>
        <v>Abrir facsímil</v>
      </c>
      <c r="K4714" s="3" t="s">
        <v>22</v>
      </c>
    </row>
    <row r="4715" spans="1:11" ht="42" customHeight="1">
      <c r="A4715" s="2" t="s">
        <v>9939</v>
      </c>
      <c r="B4715" s="2" t="s">
        <v>9939</v>
      </c>
      <c r="C4715" s="2" t="s">
        <v>16</v>
      </c>
      <c r="D4715" s="2" t="s">
        <v>17</v>
      </c>
      <c r="E4715" s="5">
        <v>-31726</v>
      </c>
      <c r="F4715" s="3" t="s">
        <v>493</v>
      </c>
      <c r="G4715" s="3" t="s">
        <v>19</v>
      </c>
      <c r="H4715" s="2" t="s">
        <v>20</v>
      </c>
      <c r="I4715" s="2" t="s">
        <v>9942</v>
      </c>
      <c r="J4715" s="3" t="str">
        <f>HYPERLINK("https://www.boe.es/gazeta/dias/1813/02/18/pdfs/GMD-1813-49.pdf#page=4","Abrir facsímil")</f>
        <v>Abrir facsímil</v>
      </c>
      <c r="K4715" s="3" t="s">
        <v>22</v>
      </c>
    </row>
    <row r="4716" spans="1:11" ht="42" customHeight="1">
      <c r="A4716" s="2" t="s">
        <v>9943</v>
      </c>
      <c r="B4716" s="2" t="s">
        <v>9944</v>
      </c>
      <c r="C4716" s="2" t="s">
        <v>16</v>
      </c>
      <c r="D4716" s="2" t="s">
        <v>97</v>
      </c>
      <c r="E4716" s="5">
        <v>-31519</v>
      </c>
      <c r="F4716" s="3" t="s">
        <v>312</v>
      </c>
      <c r="G4716" s="3" t="s">
        <v>87</v>
      </c>
      <c r="H4716" s="2" t="s">
        <v>20</v>
      </c>
      <c r="I4716" s="2" t="s">
        <v>9945</v>
      </c>
      <c r="J4716" s="3" t="str">
        <f>HYPERLINK("https://www.boe.es/gazeta/dias/1813/09/13/pdfs/GRE-1813-118E.pdf#page=7","Abrir facsímil")</f>
        <v>Abrir facsímil</v>
      </c>
      <c r="K4716" s="3" t="s">
        <v>22</v>
      </c>
    </row>
    <row r="4717" spans="1:11" ht="42" customHeight="1">
      <c r="A4717" s="2" t="s">
        <v>9946</v>
      </c>
      <c r="B4717" s="2" t="s">
        <v>9947</v>
      </c>
      <c r="C4717" s="2" t="s">
        <v>34</v>
      </c>
      <c r="D4717" s="2" t="s">
        <v>35</v>
      </c>
      <c r="E4717" s="5">
        <v>-31709</v>
      </c>
      <c r="F4717" s="3" t="s">
        <v>36</v>
      </c>
      <c r="G4717" s="3" t="s">
        <v>303</v>
      </c>
      <c r="H4717" s="2" t="s">
        <v>20</v>
      </c>
      <c r="I4717" s="2" t="s">
        <v>9948</v>
      </c>
      <c r="J4717" s="3" t="str">
        <f>HYPERLINK("https://www.boe.es/gazeta/dias/1813/03/07/pdfs/GMD-1813-66.pdf#page=3","Abrir facsímil")</f>
        <v>Abrir facsímil</v>
      </c>
      <c r="K4717" s="3" t="s">
        <v>22</v>
      </c>
    </row>
    <row r="4718" spans="1:11" ht="42" customHeight="1">
      <c r="A4718" s="2" t="s">
        <v>9949</v>
      </c>
      <c r="B4718" s="2" t="s">
        <v>9949</v>
      </c>
      <c r="C4718" s="2" t="s">
        <v>25</v>
      </c>
      <c r="D4718" s="2" t="s">
        <v>26</v>
      </c>
      <c r="E4718" s="5">
        <v>-31757</v>
      </c>
      <c r="F4718" s="3" t="s">
        <v>5611</v>
      </c>
      <c r="G4718" s="3" t="s">
        <v>58</v>
      </c>
      <c r="H4718" s="2" t="s">
        <v>20</v>
      </c>
      <c r="I4718" s="2" t="s">
        <v>9950</v>
      </c>
      <c r="J4718" s="3" t="str">
        <f>HYPERLINK("https://www.boe.es/gazeta/dias/1813/01/18/pdfs/GMD-1813-18.pdf#page=2","Abrir facsímil")</f>
        <v>Abrir facsímil</v>
      </c>
      <c r="K4718" s="3" t="s">
        <v>22</v>
      </c>
    </row>
    <row r="4719" spans="1:11" ht="42" customHeight="1">
      <c r="A4719" s="2" t="s">
        <v>9949</v>
      </c>
      <c r="B4719" s="2" t="s">
        <v>9949</v>
      </c>
      <c r="C4719" s="2" t="s">
        <v>16</v>
      </c>
      <c r="D4719" s="2" t="s">
        <v>17</v>
      </c>
      <c r="E4719" s="5">
        <v>-31623</v>
      </c>
      <c r="F4719" s="3" t="s">
        <v>267</v>
      </c>
      <c r="G4719" s="3" t="s">
        <v>676</v>
      </c>
      <c r="H4719" s="2" t="s">
        <v>20</v>
      </c>
      <c r="I4719" s="2" t="s">
        <v>9951</v>
      </c>
      <c r="J4719" s="3" t="str">
        <f>HYPERLINK("https://www.boe.es/gazeta/dias/1813/06/01/pdfs/GRE-1813-67.pdf#page=4","Abrir facsímil")</f>
        <v>Abrir facsímil</v>
      </c>
      <c r="K4719" s="3" t="s">
        <v>22</v>
      </c>
    </row>
    <row r="4720" spans="1:11" ht="42" customHeight="1">
      <c r="A4720" s="2" t="s">
        <v>9952</v>
      </c>
      <c r="B4720" s="2" t="s">
        <v>9953</v>
      </c>
      <c r="C4720" s="2" t="s">
        <v>16</v>
      </c>
      <c r="D4720" s="2" t="s">
        <v>17</v>
      </c>
      <c r="E4720" s="5">
        <v>-31770</v>
      </c>
      <c r="F4720" s="3" t="s">
        <v>188</v>
      </c>
      <c r="G4720" s="3" t="s">
        <v>8872</v>
      </c>
      <c r="H4720" s="2" t="s">
        <v>20</v>
      </c>
      <c r="I4720" s="2" t="s">
        <v>9954</v>
      </c>
      <c r="J4720" s="3" t="str">
        <f>HYPERLINK("https://www.boe.es/gazeta/dias/1813/01/05/pdfs/GRE-1813-3.pdf#page=7","Abrir facsímil")</f>
        <v>Abrir facsímil</v>
      </c>
      <c r="K4720" s="3" t="s">
        <v>22</v>
      </c>
    </row>
    <row r="4721" spans="1:11" ht="42" customHeight="1">
      <c r="A4721" s="2" t="s">
        <v>9952</v>
      </c>
      <c r="B4721" s="2" t="s">
        <v>9953</v>
      </c>
      <c r="C4721" s="2" t="s">
        <v>16</v>
      </c>
      <c r="D4721" s="2" t="s">
        <v>17</v>
      </c>
      <c r="E4721" s="5">
        <v>-31768</v>
      </c>
      <c r="F4721" s="3" t="s">
        <v>188</v>
      </c>
      <c r="G4721" s="3" t="s">
        <v>8872</v>
      </c>
      <c r="H4721" s="2" t="s">
        <v>20</v>
      </c>
      <c r="I4721" s="2" t="s">
        <v>9954</v>
      </c>
      <c r="J4721" s="3" t="str">
        <f>HYPERLINK("https://www.boe.es/gazeta/dias/1813/01/07/pdfs/GRE-1813-3.pdf#page=7","Abrir facsímil")</f>
        <v>Abrir facsímil</v>
      </c>
      <c r="K4721" s="3" t="s">
        <v>22</v>
      </c>
    </row>
    <row r="4722" spans="1:11" ht="42" customHeight="1">
      <c r="A4722" s="2" t="s">
        <v>9952</v>
      </c>
      <c r="B4722" s="2" t="s">
        <v>9953</v>
      </c>
      <c r="C4722" s="2" t="s">
        <v>16</v>
      </c>
      <c r="D4722" s="2" t="s">
        <v>17</v>
      </c>
      <c r="E4722" s="5">
        <v>-31486</v>
      </c>
      <c r="F4722" s="3" t="s">
        <v>597</v>
      </c>
      <c r="G4722" s="3" t="s">
        <v>54</v>
      </c>
      <c r="H4722" s="2" t="s">
        <v>20</v>
      </c>
      <c r="I4722" s="2" t="s">
        <v>9955</v>
      </c>
      <c r="J4722" s="3" t="str">
        <f>HYPERLINK("https://www.boe.es/gazeta/dias/1813/10/16/pdfs/GRE-1813-135.pdf#page=3","Abrir facsímil")</f>
        <v>Abrir facsímil</v>
      </c>
      <c r="K4722" s="3" t="s">
        <v>22</v>
      </c>
    </row>
    <row r="4723" spans="1:11" ht="42" customHeight="1">
      <c r="A4723" s="2" t="s">
        <v>9956</v>
      </c>
      <c r="B4723" s="2" t="s">
        <v>9956</v>
      </c>
      <c r="C4723" s="2" t="s">
        <v>16</v>
      </c>
      <c r="D4723" s="2" t="s">
        <v>17</v>
      </c>
      <c r="E4723" s="5">
        <v>-31643</v>
      </c>
      <c r="F4723" s="3" t="s">
        <v>2610</v>
      </c>
      <c r="G4723" s="3" t="s">
        <v>7304</v>
      </c>
      <c r="H4723" s="2" t="s">
        <v>20</v>
      </c>
      <c r="I4723" s="2" t="s">
        <v>9957</v>
      </c>
      <c r="J4723" s="3" t="str">
        <f>HYPERLINK("https://www.boe.es/gazeta/dias/1813/05/12/pdfs/GMD-1813-132.pdf#page=2","Abrir facsímil")</f>
        <v>Abrir facsímil</v>
      </c>
      <c r="K4723" s="3" t="s">
        <v>22</v>
      </c>
    </row>
    <row r="4724" spans="1:11" ht="42" customHeight="1">
      <c r="A4724" s="2" t="s">
        <v>9958</v>
      </c>
      <c r="B4724" s="2" t="s">
        <v>9959</v>
      </c>
      <c r="C4724" s="2" t="s">
        <v>16</v>
      </c>
      <c r="D4724" s="2" t="s">
        <v>17</v>
      </c>
      <c r="E4724" s="5">
        <v>-31530</v>
      </c>
      <c r="F4724" s="3" t="s">
        <v>319</v>
      </c>
      <c r="G4724" s="3" t="s">
        <v>58</v>
      </c>
      <c r="H4724" s="2" t="s">
        <v>20</v>
      </c>
      <c r="I4724" s="2" t="s">
        <v>9960</v>
      </c>
      <c r="J4724" s="3" t="str">
        <f>HYPERLINK("https://www.boe.es/gazeta/dias/1813/09/02/pdfs/GRE-1813-112.pdf#page=2","Abrir facsímil")</f>
        <v>Abrir facsímil</v>
      </c>
      <c r="K4724" s="3" t="s">
        <v>22</v>
      </c>
    </row>
    <row r="4725" spans="1:11" ht="42" customHeight="1">
      <c r="A4725" s="2" t="s">
        <v>9961</v>
      </c>
      <c r="B4725" s="2" t="s">
        <v>9961</v>
      </c>
      <c r="C4725" s="2" t="s">
        <v>16</v>
      </c>
      <c r="D4725" s="2" t="s">
        <v>17</v>
      </c>
      <c r="E4725" s="5">
        <v>-31645</v>
      </c>
      <c r="F4725" s="3" t="s">
        <v>4666</v>
      </c>
      <c r="G4725" s="3" t="s">
        <v>58</v>
      </c>
      <c r="H4725" s="2" t="s">
        <v>20</v>
      </c>
      <c r="I4725" s="2" t="s">
        <v>9962</v>
      </c>
      <c r="J4725" s="3" t="str">
        <f>HYPERLINK("https://www.boe.es/gazeta/dias/1813/05/10/pdfs/GMD-1813-130.pdf#page=2","Abrir facsímil")</f>
        <v>Abrir facsímil</v>
      </c>
      <c r="K4725" s="3" t="s">
        <v>22</v>
      </c>
    </row>
    <row r="4726" spans="1:11" ht="42" customHeight="1">
      <c r="A4726" s="2" t="s">
        <v>9961</v>
      </c>
      <c r="B4726" s="2" t="s">
        <v>9961</v>
      </c>
      <c r="C4726" s="2" t="s">
        <v>16</v>
      </c>
      <c r="D4726" s="2" t="s">
        <v>17</v>
      </c>
      <c r="E4726" s="5">
        <v>-31644</v>
      </c>
      <c r="F4726" s="3" t="s">
        <v>1979</v>
      </c>
      <c r="G4726" s="3" t="s">
        <v>58</v>
      </c>
      <c r="H4726" s="2" t="s">
        <v>20</v>
      </c>
      <c r="I4726" s="2" t="s">
        <v>9963</v>
      </c>
      <c r="J4726" s="3" t="str">
        <f>HYPERLINK("https://www.boe.es/gazeta/dias/1813/05/11/pdfs/GMD-1813-131.pdf#page=2","Abrir facsímil")</f>
        <v>Abrir facsímil</v>
      </c>
      <c r="K4726" s="3" t="s">
        <v>22</v>
      </c>
    </row>
    <row r="4727" spans="1:11" ht="42" customHeight="1">
      <c r="A4727" s="2" t="s">
        <v>9961</v>
      </c>
      <c r="B4727" s="2" t="s">
        <v>9961</v>
      </c>
      <c r="C4727" s="2" t="s">
        <v>16</v>
      </c>
      <c r="D4727" s="2" t="s">
        <v>17</v>
      </c>
      <c r="E4727" s="5">
        <v>-31643</v>
      </c>
      <c r="F4727" s="3" t="s">
        <v>2610</v>
      </c>
      <c r="G4727" s="3" t="s">
        <v>7304</v>
      </c>
      <c r="H4727" s="2" t="s">
        <v>20</v>
      </c>
      <c r="I4727" s="2" t="s">
        <v>9964</v>
      </c>
      <c r="J4727" s="3" t="str">
        <f>HYPERLINK("https://www.boe.es/gazeta/dias/1813/05/12/pdfs/GMD-1813-132.pdf#page=2","Abrir facsímil")</f>
        <v>Abrir facsímil</v>
      </c>
      <c r="K4727" s="3" t="s">
        <v>22</v>
      </c>
    </row>
    <row r="4728" spans="1:11" ht="42" customHeight="1">
      <c r="A4728" s="2" t="s">
        <v>9965</v>
      </c>
      <c r="B4728" s="2" t="s">
        <v>9966</v>
      </c>
      <c r="C4728" s="2" t="s">
        <v>69</v>
      </c>
      <c r="D4728" s="2" t="s">
        <v>26</v>
      </c>
      <c r="E4728" s="5">
        <v>-31539</v>
      </c>
      <c r="F4728" s="3" t="s">
        <v>1220</v>
      </c>
      <c r="G4728" s="3" t="s">
        <v>87</v>
      </c>
      <c r="H4728" s="2" t="s">
        <v>20</v>
      </c>
      <c r="I4728" s="2" t="s">
        <v>9967</v>
      </c>
      <c r="J4728" s="3" t="str">
        <f>HYPERLINK("https://www.boe.es/gazeta/dias/1813/08/24/pdfs/GRE-1813-108.pdf#page=7","Abrir facsímil")</f>
        <v>Abrir facsímil</v>
      </c>
      <c r="K4728" s="3" t="s">
        <v>22</v>
      </c>
    </row>
    <row r="4729" spans="1:11" ht="42" customHeight="1">
      <c r="A4729" s="2" t="s">
        <v>9968</v>
      </c>
      <c r="B4729" s="2" t="s">
        <v>9968</v>
      </c>
      <c r="C4729" s="2" t="s">
        <v>16</v>
      </c>
      <c r="D4729" s="2" t="s">
        <v>17</v>
      </c>
      <c r="E4729" s="5">
        <v>-31713</v>
      </c>
      <c r="F4729" s="3" t="s">
        <v>3677</v>
      </c>
      <c r="G4729" s="3" t="s">
        <v>58</v>
      </c>
      <c r="H4729" s="2" t="s">
        <v>20</v>
      </c>
      <c r="I4729" s="2" t="s">
        <v>9969</v>
      </c>
      <c r="J4729" s="3" t="str">
        <f>HYPERLINK("https://www.boe.es/gazeta/dias/1813/03/03/pdfs/GMD-1813-62.pdf#page=2","Abrir facsímil")</f>
        <v>Abrir facsímil</v>
      </c>
      <c r="K4729" s="3" t="s">
        <v>22</v>
      </c>
    </row>
    <row r="4730" spans="1:11" ht="42" customHeight="1">
      <c r="A4730" s="2" t="s">
        <v>9970</v>
      </c>
      <c r="B4730" s="2" t="s">
        <v>9971</v>
      </c>
      <c r="C4730" s="2" t="s">
        <v>25</v>
      </c>
      <c r="D4730" s="2" t="s">
        <v>26</v>
      </c>
      <c r="E4730" s="5">
        <v>-31745</v>
      </c>
      <c r="F4730" s="3" t="s">
        <v>445</v>
      </c>
      <c r="G4730" s="3" t="s">
        <v>28</v>
      </c>
      <c r="H4730" s="2" t="s">
        <v>20</v>
      </c>
      <c r="I4730" s="2" t="s">
        <v>9972</v>
      </c>
      <c r="J4730" s="3" t="str">
        <f>HYPERLINK("https://www.boe.es/gazeta/dias/1813/01/30/pdfs/GRE-1813-13.pdf#page=8","Abrir facsímil")</f>
        <v>Abrir facsímil</v>
      </c>
      <c r="K4730" s="3" t="s">
        <v>22</v>
      </c>
    </row>
    <row r="4731" spans="1:11" ht="42" customHeight="1">
      <c r="A4731" s="2" t="s">
        <v>9973</v>
      </c>
      <c r="B4731" s="2" t="s">
        <v>9974</v>
      </c>
      <c r="C4731" s="2" t="s">
        <v>16</v>
      </c>
      <c r="D4731" s="2" t="s">
        <v>17</v>
      </c>
      <c r="E4731" s="5">
        <v>-31523</v>
      </c>
      <c r="F4731" s="3" t="s">
        <v>81</v>
      </c>
      <c r="G4731" s="3" t="s">
        <v>7774</v>
      </c>
      <c r="H4731" s="2" t="s">
        <v>20</v>
      </c>
      <c r="I4731" s="2" t="s">
        <v>9975</v>
      </c>
      <c r="J4731" s="3" t="str">
        <f>HYPERLINK("https://www.boe.es/gazeta/dias/1813/09/09/pdfs/GRE-1813-115.pdf#page=7","Abrir facsímil")</f>
        <v>Abrir facsímil</v>
      </c>
      <c r="K4731" s="3" t="s">
        <v>22</v>
      </c>
    </row>
    <row r="4732" spans="1:11" ht="42" customHeight="1">
      <c r="A4732" s="2" t="s">
        <v>9976</v>
      </c>
      <c r="B4732" s="2" t="s">
        <v>9976</v>
      </c>
      <c r="C4732" s="2" t="s">
        <v>16</v>
      </c>
      <c r="D4732" s="2" t="s">
        <v>17</v>
      </c>
      <c r="E4732" s="5">
        <v>-31565</v>
      </c>
      <c r="F4732" s="3" t="s">
        <v>306</v>
      </c>
      <c r="G4732" s="3" t="s">
        <v>87</v>
      </c>
      <c r="H4732" s="2" t="s">
        <v>20</v>
      </c>
      <c r="I4732" s="2" t="s">
        <v>9977</v>
      </c>
      <c r="J4732" s="3" t="str">
        <f>HYPERLINK("https://www.boe.es/gazeta/dias/1813/07/29/pdfs/GRE-1813-96.pdf#page=7","Abrir facsímil")</f>
        <v>Abrir facsímil</v>
      </c>
      <c r="K4732" s="3" t="s">
        <v>22</v>
      </c>
    </row>
    <row r="4733" spans="1:11" ht="42" customHeight="1">
      <c r="A4733" s="2" t="s">
        <v>9978</v>
      </c>
      <c r="B4733" s="2" t="s">
        <v>9979</v>
      </c>
      <c r="C4733" s="2" t="s">
        <v>16</v>
      </c>
      <c r="D4733" s="2" t="s">
        <v>17</v>
      </c>
      <c r="E4733" s="5">
        <v>-31565</v>
      </c>
      <c r="F4733" s="3" t="s">
        <v>306</v>
      </c>
      <c r="G4733" s="3" t="s">
        <v>95</v>
      </c>
      <c r="H4733" s="2" t="s">
        <v>20</v>
      </c>
      <c r="I4733" s="2" t="s">
        <v>9980</v>
      </c>
      <c r="J4733" s="3" t="str">
        <f>HYPERLINK("https://www.boe.es/gazeta/dias/1813/07/29/pdfs/GRE-1813-96.pdf#page=6","Abrir facsímil")</f>
        <v>Abrir facsímil</v>
      </c>
      <c r="K4733" s="3" t="s">
        <v>22</v>
      </c>
    </row>
    <row r="4734" spans="1:11" ht="42" customHeight="1">
      <c r="A4734" s="2" t="s">
        <v>9981</v>
      </c>
      <c r="B4734" s="2" t="s">
        <v>9981</v>
      </c>
      <c r="C4734" s="2" t="s">
        <v>16</v>
      </c>
      <c r="D4734" s="2" t="s">
        <v>17</v>
      </c>
      <c r="E4734" s="5">
        <v>-31643</v>
      </c>
      <c r="F4734" s="3" t="s">
        <v>2610</v>
      </c>
      <c r="G4734" s="3" t="s">
        <v>7304</v>
      </c>
      <c r="H4734" s="2" t="s">
        <v>20</v>
      </c>
      <c r="I4734" s="2" t="s">
        <v>9982</v>
      </c>
      <c r="J4734" s="3" t="str">
        <f>HYPERLINK("https://www.boe.es/gazeta/dias/1813/05/12/pdfs/GMD-1813-132.pdf#page=2","Abrir facsímil")</f>
        <v>Abrir facsímil</v>
      </c>
      <c r="K4734" s="3" t="s">
        <v>22</v>
      </c>
    </row>
    <row r="4735" spans="1:11" ht="42" customHeight="1">
      <c r="A4735" s="2" t="s">
        <v>9983</v>
      </c>
      <c r="B4735" s="2" t="s">
        <v>9984</v>
      </c>
      <c r="C4735" s="2" t="s">
        <v>16</v>
      </c>
      <c r="D4735" s="2" t="s">
        <v>17</v>
      </c>
      <c r="E4735" s="5">
        <v>-31719</v>
      </c>
      <c r="F4735" s="3" t="s">
        <v>1770</v>
      </c>
      <c r="G4735" s="3" t="s">
        <v>2633</v>
      </c>
      <c r="H4735" s="2" t="s">
        <v>20</v>
      </c>
      <c r="I4735" s="2" t="s">
        <v>9985</v>
      </c>
      <c r="J4735" s="3" t="str">
        <f>HYPERLINK("https://www.boe.es/gazeta/dias/1813/02/25/pdfs/GRE-1813-24.pdf#page=4","Abrir facsímil")</f>
        <v>Abrir facsímil</v>
      </c>
      <c r="K4735" s="3" t="s">
        <v>22</v>
      </c>
    </row>
    <row r="4736" spans="1:11" ht="42" customHeight="1">
      <c r="A4736" s="2" t="s">
        <v>9983</v>
      </c>
      <c r="B4736" s="2" t="s">
        <v>9984</v>
      </c>
      <c r="C4736" s="2" t="s">
        <v>34</v>
      </c>
      <c r="D4736" s="2" t="s">
        <v>35</v>
      </c>
      <c r="E4736" s="5">
        <v>-31476</v>
      </c>
      <c r="F4736" s="3" t="s">
        <v>158</v>
      </c>
      <c r="G4736" s="3" t="s">
        <v>19</v>
      </c>
      <c r="H4736" s="2" t="s">
        <v>20</v>
      </c>
      <c r="I4736" s="2" t="s">
        <v>9986</v>
      </c>
      <c r="J4736" s="3" t="str">
        <f>HYPERLINK("https://www.boe.es/gazeta/dias/1813/10/26/pdfs/GMR-1813-64.pdf#page=4","Abrir facsímil")</f>
        <v>Abrir facsímil</v>
      </c>
      <c r="K4736" s="3" t="s">
        <v>22</v>
      </c>
    </row>
    <row r="4737" spans="1:11" ht="42" customHeight="1">
      <c r="A4737" s="2" t="s">
        <v>9987</v>
      </c>
      <c r="B4737" s="2" t="s">
        <v>9988</v>
      </c>
      <c r="C4737" s="2" t="s">
        <v>16</v>
      </c>
      <c r="D4737" s="2" t="s">
        <v>17</v>
      </c>
      <c r="E4737" s="5">
        <v>-31754</v>
      </c>
      <c r="F4737" s="3" t="s">
        <v>899</v>
      </c>
      <c r="G4737" s="3" t="s">
        <v>900</v>
      </c>
      <c r="H4737" s="2" t="s">
        <v>20</v>
      </c>
      <c r="I4737" s="2" t="s">
        <v>9989</v>
      </c>
      <c r="J4737" s="3" t="str">
        <f>HYPERLINK("https://www.boe.es/gazeta/dias/1813/01/21/pdfs/GRE-1813-9.pdf#page=8","Abrir facsímil")</f>
        <v>Abrir facsímil</v>
      </c>
      <c r="K4737" s="3" t="s">
        <v>22</v>
      </c>
    </row>
    <row r="4738" spans="1:11" ht="42" customHeight="1">
      <c r="A4738" s="2" t="s">
        <v>9990</v>
      </c>
      <c r="B4738" s="2" t="s">
        <v>9991</v>
      </c>
      <c r="C4738" s="2" t="s">
        <v>16</v>
      </c>
      <c r="D4738" s="2" t="s">
        <v>17</v>
      </c>
      <c r="E4738" s="5">
        <v>-31432</v>
      </c>
      <c r="F4738" s="3" t="s">
        <v>803</v>
      </c>
      <c r="G4738" s="3" t="s">
        <v>28</v>
      </c>
      <c r="H4738" s="2" t="s">
        <v>20</v>
      </c>
      <c r="I4738" s="2" t="s">
        <v>9992</v>
      </c>
      <c r="J4738" s="3" t="str">
        <f>HYPERLINK("https://www.boe.es/gazeta/dias/1813/12/09/pdfs/GRE-1813-162.pdf#page=8","Abrir facsímil")</f>
        <v>Abrir facsímil</v>
      </c>
      <c r="K4738" s="3" t="s">
        <v>22</v>
      </c>
    </row>
    <row r="4739" spans="1:11" ht="42" customHeight="1">
      <c r="A4739" s="2" t="s">
        <v>9993</v>
      </c>
      <c r="B4739" s="2" t="s">
        <v>9994</v>
      </c>
      <c r="C4739" s="2" t="s">
        <v>25</v>
      </c>
      <c r="D4739" s="2" t="s">
        <v>26</v>
      </c>
      <c r="E4739" s="5">
        <v>-31567</v>
      </c>
      <c r="F4739" s="3" t="s">
        <v>820</v>
      </c>
      <c r="G4739" s="3" t="s">
        <v>747</v>
      </c>
      <c r="H4739" s="2" t="s">
        <v>29</v>
      </c>
      <c r="I4739" s="2" t="s">
        <v>9995</v>
      </c>
      <c r="J4739" s="3" t="str">
        <f>HYPERLINK("https://www.boe.es/gazeta/dias/1813/07/27/pdfs/GMR-1813-21.pdf#page=10","Abrir facsímil")</f>
        <v>Abrir facsímil</v>
      </c>
      <c r="K4739" s="3" t="s">
        <v>31</v>
      </c>
    </row>
    <row r="4740" spans="1:11" ht="42" customHeight="1">
      <c r="A4740" s="2" t="s">
        <v>9996</v>
      </c>
      <c r="B4740" s="2" t="s">
        <v>9997</v>
      </c>
      <c r="C4740" s="2" t="s">
        <v>25</v>
      </c>
      <c r="D4740" s="2" t="s">
        <v>26</v>
      </c>
      <c r="E4740" s="5">
        <v>-31416</v>
      </c>
      <c r="F4740" s="3" t="s">
        <v>278</v>
      </c>
      <c r="G4740" s="3" t="s">
        <v>207</v>
      </c>
      <c r="H4740" s="2" t="s">
        <v>20</v>
      </c>
      <c r="I4740" s="2" t="s">
        <v>9998</v>
      </c>
      <c r="J4740" s="3" t="str">
        <f>HYPERLINK("https://www.boe.es/gazeta/dias/1813/12/25/pdfs/GMR-1813-92.pdf#page=10","Abrir facsímil")</f>
        <v>Abrir facsímil</v>
      </c>
      <c r="K4740" s="3" t="s">
        <v>22</v>
      </c>
    </row>
    <row r="4741" spans="1:11" ht="42" customHeight="1">
      <c r="A4741" s="2" t="s">
        <v>9999</v>
      </c>
      <c r="B4741" s="2" t="s">
        <v>10000</v>
      </c>
      <c r="C4741" s="2" t="s">
        <v>34</v>
      </c>
      <c r="D4741" s="2" t="s">
        <v>35</v>
      </c>
      <c r="E4741" s="5">
        <v>-31537</v>
      </c>
      <c r="F4741" s="3" t="s">
        <v>138</v>
      </c>
      <c r="G4741" s="3" t="s">
        <v>95</v>
      </c>
      <c r="H4741" s="2" t="s">
        <v>20</v>
      </c>
      <c r="I4741" s="2" t="s">
        <v>10001</v>
      </c>
      <c r="J4741" s="3" t="str">
        <f>HYPERLINK("https://www.boe.es/gazeta/dias/1813/08/26/pdfs/GMR-1813-33.pdf#page=6","Abrir facsímil")</f>
        <v>Abrir facsímil</v>
      </c>
      <c r="K4741" s="3" t="s">
        <v>22</v>
      </c>
    </row>
    <row r="4742" spans="1:11" ht="42" customHeight="1">
      <c r="A4742" s="2" t="s">
        <v>10002</v>
      </c>
      <c r="B4742" s="2" t="s">
        <v>10002</v>
      </c>
      <c r="C4742" s="2" t="s">
        <v>16</v>
      </c>
      <c r="D4742" s="2" t="s">
        <v>17</v>
      </c>
      <c r="E4742" s="5">
        <v>-31766</v>
      </c>
      <c r="F4742" s="3" t="s">
        <v>1356</v>
      </c>
      <c r="G4742" s="3" t="s">
        <v>87</v>
      </c>
      <c r="H4742" s="2" t="s">
        <v>20</v>
      </c>
      <c r="I4742" s="2" t="s">
        <v>10003</v>
      </c>
      <c r="J4742" s="3" t="str">
        <f>HYPERLINK("https://www.boe.es/gazeta/dias/1813/01/09/pdfs/GRE-1813-4.pdf#page=7","Abrir facsímil")</f>
        <v>Abrir facsímil</v>
      </c>
      <c r="K4742" s="3" t="s">
        <v>22</v>
      </c>
    </row>
    <row r="4743" spans="1:11" ht="42" customHeight="1">
      <c r="A4743" s="2" t="s">
        <v>10002</v>
      </c>
      <c r="B4743" s="2" t="s">
        <v>10002</v>
      </c>
      <c r="C4743" s="2" t="s">
        <v>16</v>
      </c>
      <c r="D4743" s="2" t="s">
        <v>17</v>
      </c>
      <c r="E4743" s="5">
        <v>-31691</v>
      </c>
      <c r="F4743" s="3" t="s">
        <v>1542</v>
      </c>
      <c r="G4743" s="3" t="s">
        <v>82</v>
      </c>
      <c r="H4743" s="2" t="s">
        <v>20</v>
      </c>
      <c r="I4743" s="2" t="s">
        <v>10004</v>
      </c>
      <c r="J4743" s="3" t="str">
        <f>HYPERLINK("https://www.boe.es/gazeta/dias/1813/03/25/pdfs/GRE-1813-37.pdf#page=5","Abrir facsímil")</f>
        <v>Abrir facsímil</v>
      </c>
      <c r="K4743" s="3" t="s">
        <v>22</v>
      </c>
    </row>
    <row r="4744" spans="1:11" ht="42" customHeight="1">
      <c r="A4744" s="2" t="s">
        <v>10002</v>
      </c>
      <c r="B4744" s="2" t="s">
        <v>10002</v>
      </c>
      <c r="C4744" s="2" t="s">
        <v>16</v>
      </c>
      <c r="D4744" s="2" t="s">
        <v>17</v>
      </c>
      <c r="E4744" s="5">
        <v>-31500</v>
      </c>
      <c r="F4744" s="3" t="s">
        <v>938</v>
      </c>
      <c r="G4744" s="3" t="s">
        <v>58</v>
      </c>
      <c r="H4744" s="2" t="s">
        <v>20</v>
      </c>
      <c r="I4744" s="2" t="s">
        <v>10005</v>
      </c>
      <c r="J4744" s="3" t="str">
        <f>HYPERLINK("https://www.boe.es/gazeta/dias/1813/10/02/pdfs/GMR-1813-52.pdf#page=2","Abrir facsímil")</f>
        <v>Abrir facsímil</v>
      </c>
      <c r="K4744" s="3" t="s">
        <v>22</v>
      </c>
    </row>
    <row r="4745" spans="1:11" ht="42" customHeight="1">
      <c r="A4745" s="2" t="s">
        <v>10002</v>
      </c>
      <c r="B4745" s="2" t="s">
        <v>10002</v>
      </c>
      <c r="C4745" s="2" t="s">
        <v>16</v>
      </c>
      <c r="D4745" s="2" t="s">
        <v>17</v>
      </c>
      <c r="E4745" s="5">
        <v>-31486</v>
      </c>
      <c r="F4745" s="3" t="s">
        <v>1284</v>
      </c>
      <c r="G4745" s="3" t="s">
        <v>19</v>
      </c>
      <c r="H4745" s="2" t="s">
        <v>20</v>
      </c>
      <c r="I4745" s="2" t="s">
        <v>10006</v>
      </c>
      <c r="J4745" s="3" t="str">
        <f>HYPERLINK("https://www.boe.es/gazeta/dias/1813/10/16/pdfs/GMR-1813-60.pdf#page=4","Abrir facsímil")</f>
        <v>Abrir facsímil</v>
      </c>
      <c r="K4745" s="3" t="s">
        <v>22</v>
      </c>
    </row>
    <row r="4746" spans="1:11" ht="42" customHeight="1">
      <c r="A4746" s="2" t="s">
        <v>10007</v>
      </c>
      <c r="B4746" s="2" t="s">
        <v>10008</v>
      </c>
      <c r="C4746" s="2" t="s">
        <v>16</v>
      </c>
      <c r="D4746" s="2" t="s">
        <v>17</v>
      </c>
      <c r="E4746" s="5">
        <v>-31423</v>
      </c>
      <c r="F4746" s="3" t="s">
        <v>340</v>
      </c>
      <c r="G4746" s="3" t="s">
        <v>95</v>
      </c>
      <c r="H4746" s="2" t="s">
        <v>20</v>
      </c>
      <c r="I4746" s="2" t="s">
        <v>10009</v>
      </c>
      <c r="J4746" s="3" t="str">
        <f>HYPERLINK("https://www.boe.es/gazeta/dias/1813/12/18/pdfs/GRE-1813-166.pdf#page=6","Abrir facsímil")</f>
        <v>Abrir facsímil</v>
      </c>
      <c r="K4746" s="3" t="s">
        <v>22</v>
      </c>
    </row>
    <row r="4747" spans="1:11" ht="42" customHeight="1">
      <c r="A4747" s="2" t="s">
        <v>10010</v>
      </c>
      <c r="B4747" s="2" t="s">
        <v>10011</v>
      </c>
      <c r="C4747" s="2" t="s">
        <v>16</v>
      </c>
      <c r="D4747" s="2" t="s">
        <v>17</v>
      </c>
      <c r="E4747" s="5">
        <v>-31745</v>
      </c>
      <c r="F4747" s="3" t="s">
        <v>445</v>
      </c>
      <c r="G4747" s="3" t="s">
        <v>19</v>
      </c>
      <c r="H4747" s="2" t="s">
        <v>20</v>
      </c>
      <c r="I4747" s="2" t="s">
        <v>10012</v>
      </c>
      <c r="J4747" s="3" t="str">
        <f>HYPERLINK("https://www.boe.es/gazeta/dias/1813/01/30/pdfs/GRE-1813-13.pdf#page=4","Abrir facsímil")</f>
        <v>Abrir facsímil</v>
      </c>
      <c r="K4747" s="3" t="s">
        <v>22</v>
      </c>
    </row>
    <row r="4748" spans="1:11" ht="42" customHeight="1">
      <c r="A4748" s="2" t="s">
        <v>10010</v>
      </c>
      <c r="B4748" s="2" t="s">
        <v>10011</v>
      </c>
      <c r="C4748" s="2" t="s">
        <v>16</v>
      </c>
      <c r="D4748" s="2" t="s">
        <v>17</v>
      </c>
      <c r="E4748" s="5">
        <v>-31717</v>
      </c>
      <c r="F4748" s="3" t="s">
        <v>2338</v>
      </c>
      <c r="G4748" s="3" t="s">
        <v>82</v>
      </c>
      <c r="H4748" s="2" t="s">
        <v>20</v>
      </c>
      <c r="I4748" s="2" t="s">
        <v>10013</v>
      </c>
      <c r="J4748" s="3" t="str">
        <f>HYPERLINK("https://www.boe.es/gazeta/dias/1813/02/27/pdfs/GRE-1813-25.pdf#page=5","Abrir facsímil")</f>
        <v>Abrir facsímil</v>
      </c>
      <c r="K4748" s="3" t="s">
        <v>22</v>
      </c>
    </row>
    <row r="4749" spans="1:11" ht="42" customHeight="1">
      <c r="A4749" s="2" t="s">
        <v>10010</v>
      </c>
      <c r="B4749" s="2" t="s">
        <v>10011</v>
      </c>
      <c r="C4749" s="2" t="s">
        <v>16</v>
      </c>
      <c r="D4749" s="2" t="s">
        <v>17</v>
      </c>
      <c r="E4749" s="5">
        <v>-31559</v>
      </c>
      <c r="F4749" s="3" t="s">
        <v>1485</v>
      </c>
      <c r="G4749" s="3" t="s">
        <v>6308</v>
      </c>
      <c r="H4749" s="2" t="s">
        <v>20</v>
      </c>
      <c r="I4749" s="2" t="s">
        <v>10014</v>
      </c>
      <c r="J4749" s="3" t="str">
        <f>HYPERLINK("https://www.boe.es/gazeta/dias/1813/08/04/pdfs/GRE-1813-113.pdf#page=6","Abrir facsímil")</f>
        <v>Abrir facsímil</v>
      </c>
      <c r="K4749" s="3" t="s">
        <v>22</v>
      </c>
    </row>
    <row r="4750" spans="1:11" ht="42" customHeight="1">
      <c r="A4750" s="2" t="s">
        <v>10010</v>
      </c>
      <c r="B4750" s="2" t="s">
        <v>10011</v>
      </c>
      <c r="C4750" s="2" t="s">
        <v>16</v>
      </c>
      <c r="D4750" s="2" t="s">
        <v>17</v>
      </c>
      <c r="E4750" s="5">
        <v>-31528</v>
      </c>
      <c r="F4750" s="3" t="s">
        <v>1485</v>
      </c>
      <c r="G4750" s="3" t="s">
        <v>6308</v>
      </c>
      <c r="H4750" s="2" t="s">
        <v>20</v>
      </c>
      <c r="I4750" s="2" t="s">
        <v>10014</v>
      </c>
      <c r="J4750" s="3" t="str">
        <f>HYPERLINK("https://www.boe.es/gazeta/dias/1813/09/04/pdfs/GRE-1813-113.pdf#page=6","Abrir facsímil")</f>
        <v>Abrir facsímil</v>
      </c>
      <c r="K4750" s="3" t="s">
        <v>22</v>
      </c>
    </row>
    <row r="4751" spans="1:11" ht="42" customHeight="1">
      <c r="A4751" s="2" t="s">
        <v>10010</v>
      </c>
      <c r="B4751" s="2" t="s">
        <v>10011</v>
      </c>
      <c r="C4751" s="2" t="s">
        <v>16</v>
      </c>
      <c r="D4751" s="2" t="s">
        <v>17</v>
      </c>
      <c r="E4751" s="5">
        <v>-31518</v>
      </c>
      <c r="F4751" s="3" t="s">
        <v>155</v>
      </c>
      <c r="G4751" s="3" t="s">
        <v>54</v>
      </c>
      <c r="H4751" s="2" t="s">
        <v>20</v>
      </c>
      <c r="I4751" s="2" t="s">
        <v>10015</v>
      </c>
      <c r="J4751" s="3" t="str">
        <f>HYPERLINK("https://www.boe.es/gazeta/dias/1813/09/14/pdfs/GRE-1813-119.pdf#page=3","Abrir facsímil")</f>
        <v>Abrir facsímil</v>
      </c>
      <c r="K4751" s="3" t="s">
        <v>22</v>
      </c>
    </row>
    <row r="4752" spans="1:11" ht="42" customHeight="1">
      <c r="A4752" s="2" t="s">
        <v>10010</v>
      </c>
      <c r="B4752" s="2" t="s">
        <v>10011</v>
      </c>
      <c r="C4752" s="2" t="s">
        <v>16</v>
      </c>
      <c r="D4752" s="2" t="s">
        <v>17</v>
      </c>
      <c r="E4752" s="5">
        <v>-31504</v>
      </c>
      <c r="F4752" s="3" t="s">
        <v>192</v>
      </c>
      <c r="G4752" s="3" t="s">
        <v>82</v>
      </c>
      <c r="H4752" s="2" t="s">
        <v>20</v>
      </c>
      <c r="I4752" s="2" t="s">
        <v>10016</v>
      </c>
      <c r="J4752" s="3" t="str">
        <f>HYPERLINK("https://www.boe.es/gazeta/dias/1813/09/28/pdfs/GRE-1813-127.pdf#page=5","Abrir facsímil")</f>
        <v>Abrir facsímil</v>
      </c>
      <c r="K4752" s="3" t="s">
        <v>22</v>
      </c>
    </row>
    <row r="4753" spans="1:11" ht="42" customHeight="1">
      <c r="A4753" s="2" t="s">
        <v>10017</v>
      </c>
      <c r="B4753" s="2" t="s">
        <v>10018</v>
      </c>
      <c r="C4753" s="2" t="s">
        <v>16</v>
      </c>
      <c r="D4753" s="2" t="s">
        <v>17</v>
      </c>
      <c r="E4753" s="5">
        <v>-31537</v>
      </c>
      <c r="F4753" s="3" t="s">
        <v>138</v>
      </c>
      <c r="G4753" s="3" t="s">
        <v>65</v>
      </c>
      <c r="H4753" s="2" t="s">
        <v>20</v>
      </c>
      <c r="I4753" s="2" t="s">
        <v>10019</v>
      </c>
      <c r="J4753" s="3" t="str">
        <f>HYPERLINK("https://www.boe.es/gazeta/dias/1813/08/26/pdfs/GMR-1813-33.pdf#page=1","Abrir facsímil")</f>
        <v>Abrir facsímil</v>
      </c>
      <c r="K4753" s="3" t="s">
        <v>22</v>
      </c>
    </row>
    <row r="4754" spans="1:11" ht="42" customHeight="1">
      <c r="A4754" s="2" t="s">
        <v>10017</v>
      </c>
      <c r="B4754" s="2" t="s">
        <v>10018</v>
      </c>
      <c r="C4754" s="2" t="s">
        <v>16</v>
      </c>
      <c r="D4754" s="2" t="s">
        <v>17</v>
      </c>
      <c r="E4754" s="5">
        <v>-31511</v>
      </c>
      <c r="F4754" s="3" t="s">
        <v>935</v>
      </c>
      <c r="G4754" s="3" t="s">
        <v>54</v>
      </c>
      <c r="H4754" s="2" t="s">
        <v>20</v>
      </c>
      <c r="I4754" s="2" t="s">
        <v>10020</v>
      </c>
      <c r="J4754" s="3" t="str">
        <f>HYPERLINK("https://www.boe.es/gazeta/dias/1813/09/21/pdfs/GMR-1813-46.pdf#page=3","Abrir facsímil")</f>
        <v>Abrir facsímil</v>
      </c>
      <c r="K4754" s="3" t="s">
        <v>22</v>
      </c>
    </row>
    <row r="4755" spans="1:11" ht="42" customHeight="1">
      <c r="A4755" s="2" t="s">
        <v>10017</v>
      </c>
      <c r="B4755" s="2" t="s">
        <v>10018</v>
      </c>
      <c r="C4755" s="2" t="s">
        <v>16</v>
      </c>
      <c r="D4755" s="2" t="s">
        <v>17</v>
      </c>
      <c r="E4755" s="5">
        <v>-31444</v>
      </c>
      <c r="F4755" s="3" t="s">
        <v>389</v>
      </c>
      <c r="G4755" s="3" t="s">
        <v>87</v>
      </c>
      <c r="H4755" s="2" t="s">
        <v>20</v>
      </c>
      <c r="I4755" s="2" t="s">
        <v>10021</v>
      </c>
      <c r="J4755" s="3" t="str">
        <f>HYPERLINK("https://www.boe.es/gazeta/dias/1813/11/27/pdfs/GMR-1813-80.pdf#page=7","Abrir facsímil")</f>
        <v>Abrir facsímil</v>
      </c>
      <c r="K4755" s="3" t="s">
        <v>22</v>
      </c>
    </row>
    <row r="4756" spans="1:11" ht="42" customHeight="1">
      <c r="A4756" s="2" t="s">
        <v>10017</v>
      </c>
      <c r="B4756" s="2" t="s">
        <v>10018</v>
      </c>
      <c r="C4756" s="2" t="s">
        <v>16</v>
      </c>
      <c r="D4756" s="2" t="s">
        <v>17</v>
      </c>
      <c r="E4756" s="5">
        <v>-31430</v>
      </c>
      <c r="F4756" s="3" t="s">
        <v>1161</v>
      </c>
      <c r="G4756" s="3" t="s">
        <v>95</v>
      </c>
      <c r="H4756" s="2" t="s">
        <v>20</v>
      </c>
      <c r="I4756" s="2" t="s">
        <v>10022</v>
      </c>
      <c r="J4756" s="3" t="str">
        <f>HYPERLINK("https://www.boe.es/gazeta/dias/1813/12/11/pdfs/GMR-1813-86.pdf#page=6","Abrir facsímil")</f>
        <v>Abrir facsímil</v>
      </c>
      <c r="K4756" s="3" t="s">
        <v>22</v>
      </c>
    </row>
    <row r="4757" spans="1:11" ht="42" customHeight="1">
      <c r="A4757" s="2" t="s">
        <v>10023</v>
      </c>
      <c r="B4757" s="2" t="s">
        <v>10024</v>
      </c>
      <c r="C4757" s="2" t="s">
        <v>16</v>
      </c>
      <c r="D4757" s="2" t="s">
        <v>17</v>
      </c>
      <c r="E4757" s="5">
        <v>-31523</v>
      </c>
      <c r="F4757" s="3" t="s">
        <v>2140</v>
      </c>
      <c r="G4757" s="3" t="s">
        <v>19</v>
      </c>
      <c r="H4757" s="2" t="s">
        <v>20</v>
      </c>
      <c r="I4757" s="2" t="s">
        <v>10025</v>
      </c>
      <c r="J4757" s="3" t="str">
        <f>HYPERLINK("https://www.boe.es/gazeta/dias/1813/09/09/pdfs/GMR-1813-40.pdf#page=4","Abrir facsímil")</f>
        <v>Abrir facsímil</v>
      </c>
      <c r="K4757" s="3" t="s">
        <v>22</v>
      </c>
    </row>
    <row r="4758" spans="1:11" ht="42" customHeight="1">
      <c r="A4758" s="2" t="s">
        <v>10026</v>
      </c>
      <c r="B4758" s="2" t="s">
        <v>10027</v>
      </c>
      <c r="C4758" s="2" t="s">
        <v>16</v>
      </c>
      <c r="D4758" s="2" t="s">
        <v>17</v>
      </c>
      <c r="E4758" s="5">
        <v>-31691</v>
      </c>
      <c r="F4758" s="3" t="s">
        <v>1542</v>
      </c>
      <c r="G4758" s="3" t="s">
        <v>82</v>
      </c>
      <c r="H4758" s="2" t="s">
        <v>20</v>
      </c>
      <c r="I4758" s="2" t="s">
        <v>10028</v>
      </c>
      <c r="J4758" s="3" t="str">
        <f>HYPERLINK("https://www.boe.es/gazeta/dias/1813/03/25/pdfs/GRE-1813-37.pdf#page=5","Abrir facsímil")</f>
        <v>Abrir facsímil</v>
      </c>
      <c r="K4758" s="3" t="s">
        <v>22</v>
      </c>
    </row>
    <row r="4759" spans="1:11" ht="42" customHeight="1">
      <c r="A4759" s="2" t="s">
        <v>10029</v>
      </c>
      <c r="B4759" s="2" t="s">
        <v>10029</v>
      </c>
      <c r="C4759" s="2" t="s">
        <v>16</v>
      </c>
      <c r="D4759" s="2" t="s">
        <v>17</v>
      </c>
      <c r="E4759" s="5">
        <v>-31427</v>
      </c>
      <c r="F4759" s="3" t="s">
        <v>489</v>
      </c>
      <c r="G4759" s="3" t="s">
        <v>54</v>
      </c>
      <c r="H4759" s="2" t="s">
        <v>20</v>
      </c>
      <c r="I4759" s="2" t="s">
        <v>10030</v>
      </c>
      <c r="J4759" s="3" t="str">
        <f>HYPERLINK("https://www.boe.es/gazeta/dias/1813/12/14/pdfs/GMR-1813-87.pdf#page=3","Abrir facsímil")</f>
        <v>Abrir facsímil</v>
      </c>
      <c r="K4759" s="3" t="s">
        <v>22</v>
      </c>
    </row>
    <row r="4760" spans="1:11" ht="42" customHeight="1">
      <c r="A4760" s="2" t="s">
        <v>10031</v>
      </c>
      <c r="B4760" s="2" t="s">
        <v>10031</v>
      </c>
      <c r="C4760" s="2" t="s">
        <v>16</v>
      </c>
      <c r="D4760" s="2" t="s">
        <v>17</v>
      </c>
      <c r="E4760" s="5">
        <v>-31767</v>
      </c>
      <c r="F4760" s="3" t="s">
        <v>1915</v>
      </c>
      <c r="G4760" s="3" t="s">
        <v>19</v>
      </c>
      <c r="H4760" s="2" t="s">
        <v>20</v>
      </c>
      <c r="I4760" s="2" t="s">
        <v>10032</v>
      </c>
      <c r="J4760" s="3" t="str">
        <f>HYPERLINK("https://www.boe.es/gazeta/dias/1813/01/08/pdfs/GMD-1813-8.pdf#page=4","Abrir facsímil")</f>
        <v>Abrir facsímil</v>
      </c>
      <c r="K4760" s="3" t="s">
        <v>22</v>
      </c>
    </row>
    <row r="4761" spans="1:11" ht="42" customHeight="1">
      <c r="A4761" s="2" t="s">
        <v>10031</v>
      </c>
      <c r="B4761" s="2" t="s">
        <v>10031</v>
      </c>
      <c r="C4761" s="2" t="s">
        <v>16</v>
      </c>
      <c r="D4761" s="2" t="s">
        <v>17</v>
      </c>
      <c r="E4761" s="5">
        <v>-31701</v>
      </c>
      <c r="F4761" s="3" t="s">
        <v>1561</v>
      </c>
      <c r="G4761" s="3" t="s">
        <v>65</v>
      </c>
      <c r="H4761" s="2" t="s">
        <v>20</v>
      </c>
      <c r="I4761" s="2" t="s">
        <v>10033</v>
      </c>
      <c r="J4761" s="3" t="str">
        <f>HYPERLINK("https://www.boe.es/gazeta/dias/1813/03/15/pdfs/GMD-1813-74.pdf#page=1","Abrir facsímil")</f>
        <v>Abrir facsímil</v>
      </c>
      <c r="K4761" s="3" t="s">
        <v>22</v>
      </c>
    </row>
    <row r="4762" spans="1:11" ht="42" customHeight="1">
      <c r="A4762" s="2" t="s">
        <v>10031</v>
      </c>
      <c r="B4762" s="2" t="s">
        <v>10031</v>
      </c>
      <c r="C4762" s="2" t="s">
        <v>25</v>
      </c>
      <c r="D4762" s="2" t="s">
        <v>26</v>
      </c>
      <c r="E4762" s="5">
        <v>-31677</v>
      </c>
      <c r="F4762" s="3" t="s">
        <v>76</v>
      </c>
      <c r="G4762" s="3" t="s">
        <v>28</v>
      </c>
      <c r="H4762" s="2" t="s">
        <v>20</v>
      </c>
      <c r="I4762" s="2" t="s">
        <v>10034</v>
      </c>
      <c r="J4762" s="3" t="str">
        <f>HYPERLINK("https://www.boe.es/gazeta/dias/1813/04/08/pdfs/GRE-1813-43.pdf#page=8","Abrir facsímil")</f>
        <v>Abrir facsímil</v>
      </c>
      <c r="K4762" s="3" t="s">
        <v>22</v>
      </c>
    </row>
    <row r="4763" spans="1:11" ht="42" customHeight="1">
      <c r="A4763" s="2" t="s">
        <v>10031</v>
      </c>
      <c r="B4763" s="2" t="s">
        <v>10031</v>
      </c>
      <c r="C4763" s="2" t="s">
        <v>16</v>
      </c>
      <c r="D4763" s="2" t="s">
        <v>17</v>
      </c>
      <c r="E4763" s="5">
        <v>-31641</v>
      </c>
      <c r="F4763" s="3" t="s">
        <v>6522</v>
      </c>
      <c r="G4763" s="3" t="s">
        <v>19</v>
      </c>
      <c r="H4763" s="2" t="s">
        <v>20</v>
      </c>
      <c r="I4763" s="2" t="s">
        <v>10035</v>
      </c>
      <c r="J4763" s="3" t="str">
        <f>HYPERLINK("https://www.boe.es/gazeta/dias/1813/05/14/pdfs/GMD-1813-134.pdf#page=4","Abrir facsímil")</f>
        <v>Abrir facsímil</v>
      </c>
      <c r="K4763" s="3" t="s">
        <v>22</v>
      </c>
    </row>
    <row r="4764" spans="1:11" ht="42" customHeight="1">
      <c r="A4764" s="2" t="s">
        <v>10031</v>
      </c>
      <c r="B4764" s="2" t="s">
        <v>10031</v>
      </c>
      <c r="C4764" s="2" t="s">
        <v>16</v>
      </c>
      <c r="D4764" s="2" t="s">
        <v>17</v>
      </c>
      <c r="E4764" s="5">
        <v>-31570</v>
      </c>
      <c r="F4764" s="3" t="s">
        <v>1803</v>
      </c>
      <c r="G4764" s="3" t="s">
        <v>82</v>
      </c>
      <c r="H4764" s="2" t="s">
        <v>20</v>
      </c>
      <c r="I4764" s="2" t="s">
        <v>10036</v>
      </c>
      <c r="J4764" s="3" t="str">
        <f>HYPERLINK("https://www.boe.es/gazeta/dias/1813/07/24/pdfs/GRE-1813-94.pdf#page=5","Abrir facsímil")</f>
        <v>Abrir facsímil</v>
      </c>
      <c r="K4764" s="3" t="s">
        <v>22</v>
      </c>
    </row>
    <row r="4765" spans="1:11" ht="42" customHeight="1">
      <c r="A4765" s="2" t="s">
        <v>10031</v>
      </c>
      <c r="B4765" s="2" t="s">
        <v>10031</v>
      </c>
      <c r="C4765" s="2" t="s">
        <v>25</v>
      </c>
      <c r="D4765" s="2" t="s">
        <v>26</v>
      </c>
      <c r="E4765" s="5">
        <v>-31567</v>
      </c>
      <c r="F4765" s="3" t="s">
        <v>820</v>
      </c>
      <c r="G4765" s="3" t="s">
        <v>258</v>
      </c>
      <c r="H4765" s="2" t="s">
        <v>20</v>
      </c>
      <c r="I4765" s="2" t="s">
        <v>10037</v>
      </c>
      <c r="J4765" s="3" t="str">
        <f>HYPERLINK("https://www.boe.es/gazeta/dias/1813/07/27/pdfs/GMR-1813-21.pdf#page=12","Abrir facsímil")</f>
        <v>Abrir facsímil</v>
      </c>
      <c r="K4765" s="3" t="s">
        <v>22</v>
      </c>
    </row>
    <row r="4766" spans="1:11" ht="42" customHeight="1">
      <c r="A4766" s="2" t="s">
        <v>10031</v>
      </c>
      <c r="B4766" s="2" t="s">
        <v>10031</v>
      </c>
      <c r="C4766" s="2" t="s">
        <v>25</v>
      </c>
      <c r="D4766" s="2" t="s">
        <v>26</v>
      </c>
      <c r="E4766" s="5">
        <v>-31539</v>
      </c>
      <c r="F4766" s="3" t="s">
        <v>1220</v>
      </c>
      <c r="G4766" s="3" t="s">
        <v>87</v>
      </c>
      <c r="H4766" s="2" t="s">
        <v>20</v>
      </c>
      <c r="I4766" s="2" t="s">
        <v>10038</v>
      </c>
      <c r="J4766" s="3" t="str">
        <f>HYPERLINK("https://www.boe.es/gazeta/dias/1813/08/24/pdfs/GRE-1813-108.pdf#page=7","Abrir facsímil")</f>
        <v>Abrir facsímil</v>
      </c>
      <c r="K4766" s="3" t="s">
        <v>22</v>
      </c>
    </row>
    <row r="4767" spans="1:11" ht="42" customHeight="1">
      <c r="A4767" s="2" t="s">
        <v>10031</v>
      </c>
      <c r="B4767" s="2" t="s">
        <v>10031</v>
      </c>
      <c r="C4767" s="2" t="s">
        <v>16</v>
      </c>
      <c r="D4767" s="2" t="s">
        <v>97</v>
      </c>
      <c r="E4767" s="5">
        <v>-31519</v>
      </c>
      <c r="F4767" s="3" t="s">
        <v>312</v>
      </c>
      <c r="G4767" s="3" t="s">
        <v>87</v>
      </c>
      <c r="H4767" s="2" t="s">
        <v>20</v>
      </c>
      <c r="I4767" s="2" t="s">
        <v>10039</v>
      </c>
      <c r="J4767" s="3" t="str">
        <f>HYPERLINK("https://www.boe.es/gazeta/dias/1813/09/13/pdfs/GRE-1813-118E.pdf#page=7","Abrir facsímil")</f>
        <v>Abrir facsímil</v>
      </c>
      <c r="K4767" s="3" t="s">
        <v>22</v>
      </c>
    </row>
    <row r="4768" spans="1:11" ht="42" customHeight="1">
      <c r="A4768" s="2" t="s">
        <v>10040</v>
      </c>
      <c r="B4768" s="2" t="s">
        <v>10041</v>
      </c>
      <c r="C4768" s="2" t="s">
        <v>34</v>
      </c>
      <c r="D4768" s="2" t="s">
        <v>35</v>
      </c>
      <c r="E4768" s="5">
        <v>-31677</v>
      </c>
      <c r="F4768" s="3" t="s">
        <v>76</v>
      </c>
      <c r="G4768" s="3" t="s">
        <v>95</v>
      </c>
      <c r="H4768" s="2" t="s">
        <v>20</v>
      </c>
      <c r="I4768" s="2" t="s">
        <v>10042</v>
      </c>
      <c r="J4768" s="3" t="str">
        <f>HYPERLINK("https://www.boe.es/gazeta/dias/1813/04/08/pdfs/GRE-1813-43.pdf#page=6","Abrir facsímil")</f>
        <v>Abrir facsímil</v>
      </c>
      <c r="K4768" s="3" t="s">
        <v>22</v>
      </c>
    </row>
    <row r="4769" spans="1:11" ht="42" customHeight="1">
      <c r="A4769" s="2" t="s">
        <v>10043</v>
      </c>
      <c r="B4769" s="2" t="s">
        <v>10044</v>
      </c>
      <c r="C4769" s="2" t="s">
        <v>34</v>
      </c>
      <c r="D4769" s="2" t="s">
        <v>35</v>
      </c>
      <c r="E4769" s="5">
        <v>-31728</v>
      </c>
      <c r="F4769" s="3" t="s">
        <v>1434</v>
      </c>
      <c r="G4769" s="3" t="s">
        <v>2541</v>
      </c>
      <c r="H4769" s="2" t="s">
        <v>20</v>
      </c>
      <c r="I4769" s="2" t="s">
        <v>10045</v>
      </c>
      <c r="J4769" s="3" t="str">
        <f>HYPERLINK("https://www.boe.es/gazeta/dias/1813/02/16/pdfs/GRE-1813-20.pdf#page=8","Abrir facsímil")</f>
        <v>Abrir facsímil</v>
      </c>
      <c r="K4769" s="3" t="s">
        <v>22</v>
      </c>
    </row>
    <row r="4770" spans="1:11" ht="42" customHeight="1">
      <c r="A4770" s="2" t="s">
        <v>10043</v>
      </c>
      <c r="B4770" s="2" t="s">
        <v>10044</v>
      </c>
      <c r="C4770" s="2" t="s">
        <v>16</v>
      </c>
      <c r="D4770" s="2" t="s">
        <v>17</v>
      </c>
      <c r="E4770" s="5">
        <v>-31712</v>
      </c>
      <c r="F4770" s="3" t="s">
        <v>3469</v>
      </c>
      <c r="G4770" s="3" t="s">
        <v>3128</v>
      </c>
      <c r="H4770" s="2" t="s">
        <v>20</v>
      </c>
      <c r="I4770" s="2" t="s">
        <v>10046</v>
      </c>
      <c r="J4770" s="3" t="str">
        <f>HYPERLINK("https://www.boe.es/gazeta/dias/1813/03/04/pdfs/GRE-1813-28.pdf#page=6","Abrir facsímil")</f>
        <v>Abrir facsímil</v>
      </c>
      <c r="K4770" s="3" t="s">
        <v>22</v>
      </c>
    </row>
    <row r="4771" spans="1:11" ht="42" customHeight="1">
      <c r="A4771" s="2" t="s">
        <v>10043</v>
      </c>
      <c r="B4771" s="2" t="s">
        <v>10044</v>
      </c>
      <c r="C4771" s="2" t="s">
        <v>25</v>
      </c>
      <c r="D4771" s="2" t="s">
        <v>26</v>
      </c>
      <c r="E4771" s="5">
        <v>-31712</v>
      </c>
      <c r="F4771" s="3" t="s">
        <v>3469</v>
      </c>
      <c r="G4771" s="3" t="s">
        <v>82</v>
      </c>
      <c r="H4771" s="2" t="s">
        <v>20</v>
      </c>
      <c r="I4771" s="2" t="s">
        <v>10047</v>
      </c>
      <c r="J4771" s="3" t="str">
        <f>HYPERLINK("https://www.boe.es/gazeta/dias/1813/03/04/pdfs/GRE-1813-28.pdf#page=5","Abrir facsímil")</f>
        <v>Abrir facsímil</v>
      </c>
      <c r="K4771" s="3" t="s">
        <v>22</v>
      </c>
    </row>
    <row r="4772" spans="1:11" ht="42" customHeight="1">
      <c r="A4772" s="2" t="s">
        <v>10043</v>
      </c>
      <c r="B4772" s="2" t="s">
        <v>10044</v>
      </c>
      <c r="C4772" s="2" t="s">
        <v>16</v>
      </c>
      <c r="D4772" s="2" t="s">
        <v>17</v>
      </c>
      <c r="E4772" s="5">
        <v>-31712</v>
      </c>
      <c r="F4772" s="3" t="s">
        <v>3469</v>
      </c>
      <c r="G4772" s="3" t="s">
        <v>87</v>
      </c>
      <c r="H4772" s="2" t="s">
        <v>20</v>
      </c>
      <c r="I4772" s="2" t="s">
        <v>10048</v>
      </c>
      <c r="J4772" s="3" t="str">
        <f>HYPERLINK("https://www.boe.es/gazeta/dias/1813/03/04/pdfs/GRE-1813-28.pdf#page=7","Abrir facsímil")</f>
        <v>Abrir facsímil</v>
      </c>
      <c r="K4772" s="3" t="s">
        <v>22</v>
      </c>
    </row>
    <row r="4773" spans="1:11" ht="42" customHeight="1">
      <c r="A4773" s="2" t="s">
        <v>10043</v>
      </c>
      <c r="B4773" s="2" t="s">
        <v>10044</v>
      </c>
      <c r="C4773" s="2" t="s">
        <v>25</v>
      </c>
      <c r="D4773" s="2" t="s">
        <v>26</v>
      </c>
      <c r="E4773" s="5">
        <v>-31707</v>
      </c>
      <c r="F4773" s="3" t="s">
        <v>1557</v>
      </c>
      <c r="G4773" s="3" t="s">
        <v>65</v>
      </c>
      <c r="H4773" s="2" t="s">
        <v>20</v>
      </c>
      <c r="I4773" s="2" t="s">
        <v>10049</v>
      </c>
      <c r="J4773" s="3" t="str">
        <f>HYPERLINK("https://www.boe.es/gazeta/dias/1813/03/09/pdfs/GRE-1813-30.pdf#page=1","Abrir facsímil")</f>
        <v>Abrir facsímil</v>
      </c>
      <c r="K4773" s="3" t="s">
        <v>22</v>
      </c>
    </row>
    <row r="4774" spans="1:11" ht="42" customHeight="1">
      <c r="A4774" s="2" t="s">
        <v>10043</v>
      </c>
      <c r="B4774" s="2" t="s">
        <v>10044</v>
      </c>
      <c r="C4774" s="2" t="s">
        <v>16</v>
      </c>
      <c r="D4774" s="2" t="s">
        <v>17</v>
      </c>
      <c r="E4774" s="5">
        <v>-31705</v>
      </c>
      <c r="F4774" s="3" t="s">
        <v>243</v>
      </c>
      <c r="G4774" s="3" t="s">
        <v>5900</v>
      </c>
      <c r="H4774" s="2" t="s">
        <v>20</v>
      </c>
      <c r="I4774" s="2" t="s">
        <v>10050</v>
      </c>
      <c r="J4774" s="3" t="str">
        <f>HYPERLINK("https://www.boe.es/gazeta/dias/1813/03/11/pdfs/GRE-1813-31.pdf#page=4","Abrir facsímil")</f>
        <v>Abrir facsímil</v>
      </c>
      <c r="K4774" s="3" t="s">
        <v>22</v>
      </c>
    </row>
    <row r="4775" spans="1:11" ht="42" customHeight="1">
      <c r="A4775" s="2" t="s">
        <v>10043</v>
      </c>
      <c r="B4775" s="2" t="s">
        <v>10044</v>
      </c>
      <c r="C4775" s="2" t="s">
        <v>16</v>
      </c>
      <c r="D4775" s="2" t="s">
        <v>17</v>
      </c>
      <c r="E4775" s="5">
        <v>-31705</v>
      </c>
      <c r="F4775" s="3" t="s">
        <v>243</v>
      </c>
      <c r="G4775" s="3" t="s">
        <v>87</v>
      </c>
      <c r="H4775" s="2" t="s">
        <v>20</v>
      </c>
      <c r="I4775" s="2" t="s">
        <v>10051</v>
      </c>
      <c r="J4775" s="3" t="str">
        <f>HYPERLINK("https://www.boe.es/gazeta/dias/1813/03/11/pdfs/GRE-1813-31.pdf#page=7","Abrir facsímil")</f>
        <v>Abrir facsímil</v>
      </c>
      <c r="K4775" s="3" t="s">
        <v>22</v>
      </c>
    </row>
    <row r="4776" spans="1:11" ht="42" customHeight="1">
      <c r="A4776" s="2" t="s">
        <v>10043</v>
      </c>
      <c r="B4776" s="2" t="s">
        <v>10044</v>
      </c>
      <c r="C4776" s="2" t="s">
        <v>16</v>
      </c>
      <c r="D4776" s="2" t="s">
        <v>17</v>
      </c>
      <c r="E4776" s="5">
        <v>-31677</v>
      </c>
      <c r="F4776" s="3" t="s">
        <v>76</v>
      </c>
      <c r="G4776" s="3" t="s">
        <v>95</v>
      </c>
      <c r="H4776" s="2" t="s">
        <v>20</v>
      </c>
      <c r="I4776" s="2" t="s">
        <v>10052</v>
      </c>
      <c r="J4776" s="3" t="str">
        <f>HYPERLINK("https://www.boe.es/gazeta/dias/1813/04/08/pdfs/GRE-1813-43.pdf#page=6","Abrir facsímil")</f>
        <v>Abrir facsímil</v>
      </c>
      <c r="K4776" s="3" t="s">
        <v>22</v>
      </c>
    </row>
    <row r="4777" spans="1:11" ht="42" customHeight="1">
      <c r="A4777" s="2" t="s">
        <v>10043</v>
      </c>
      <c r="B4777" s="2" t="s">
        <v>10044</v>
      </c>
      <c r="C4777" s="2" t="s">
        <v>34</v>
      </c>
      <c r="D4777" s="2" t="s">
        <v>35</v>
      </c>
      <c r="E4777" s="5">
        <v>-31657</v>
      </c>
      <c r="F4777" s="3" t="s">
        <v>988</v>
      </c>
      <c r="G4777" s="3" t="s">
        <v>19</v>
      </c>
      <c r="H4777" s="2" t="s">
        <v>20</v>
      </c>
      <c r="I4777" s="2" t="s">
        <v>10053</v>
      </c>
      <c r="J4777" s="3" t="str">
        <f>HYPERLINK("https://www.boe.es/gazeta/dias/1813/04/28/pdfs/GMD-1813-118.pdf#page=4","Abrir facsímil")</f>
        <v>Abrir facsímil</v>
      </c>
      <c r="K4777" s="3" t="s">
        <v>22</v>
      </c>
    </row>
    <row r="4778" spans="1:11" ht="42" customHeight="1">
      <c r="A4778" s="2" t="s">
        <v>10043</v>
      </c>
      <c r="B4778" s="2" t="s">
        <v>10044</v>
      </c>
      <c r="C4778" s="2" t="s">
        <v>109</v>
      </c>
      <c r="D4778" s="2" t="s">
        <v>26</v>
      </c>
      <c r="E4778" s="5">
        <v>-31647</v>
      </c>
      <c r="F4778" s="3" t="s">
        <v>1972</v>
      </c>
      <c r="G4778" s="3" t="s">
        <v>28</v>
      </c>
      <c r="H4778" s="2" t="s">
        <v>20</v>
      </c>
      <c r="I4778" s="2" t="s">
        <v>10054</v>
      </c>
      <c r="J4778" s="3" t="str">
        <f>HYPERLINK("https://www.boe.es/gazeta/dias/1813/05/08/pdfs/GRE-1813-57.pdf#page=8","Abrir facsímil")</f>
        <v>Abrir facsímil</v>
      </c>
      <c r="K4778" s="3" t="s">
        <v>22</v>
      </c>
    </row>
    <row r="4779" spans="1:11" ht="42" customHeight="1">
      <c r="A4779" s="2" t="s">
        <v>10043</v>
      </c>
      <c r="B4779" s="2" t="s">
        <v>10044</v>
      </c>
      <c r="C4779" s="2" t="s">
        <v>34</v>
      </c>
      <c r="D4779" s="2" t="s">
        <v>35</v>
      </c>
      <c r="E4779" s="5">
        <v>-31619</v>
      </c>
      <c r="F4779" s="3" t="s">
        <v>749</v>
      </c>
      <c r="G4779" s="3" t="s">
        <v>87</v>
      </c>
      <c r="H4779" s="2" t="s">
        <v>20</v>
      </c>
      <c r="I4779" s="2" t="s">
        <v>10055</v>
      </c>
      <c r="J4779" s="3" t="str">
        <f>HYPERLINK("https://www.boe.es/gazeta/dias/1813/06/05/pdfs/GRE-1813-70.pdf#page=7","Abrir facsímil")</f>
        <v>Abrir facsímil</v>
      </c>
      <c r="K4779" s="3" t="s">
        <v>22</v>
      </c>
    </row>
    <row r="4780" spans="1:11" ht="42" customHeight="1">
      <c r="A4780" s="2" t="s">
        <v>10043</v>
      </c>
      <c r="B4780" s="2" t="s">
        <v>10044</v>
      </c>
      <c r="C4780" s="2" t="s">
        <v>25</v>
      </c>
      <c r="D4780" s="2" t="s">
        <v>26</v>
      </c>
      <c r="E4780" s="5">
        <v>-31609</v>
      </c>
      <c r="F4780" s="3" t="s">
        <v>711</v>
      </c>
      <c r="G4780" s="3" t="s">
        <v>258</v>
      </c>
      <c r="H4780" s="2" t="s">
        <v>20</v>
      </c>
      <c r="I4780" s="2" t="s">
        <v>10056</v>
      </c>
      <c r="J4780" s="3" t="str">
        <f>HYPERLINK("https://www.boe.es/gazeta/dias/1813/06/15/pdfs/GMR-1813-6.pdf#page=12","Abrir facsímil")</f>
        <v>Abrir facsímil</v>
      </c>
      <c r="K4780" s="3" t="s">
        <v>22</v>
      </c>
    </row>
    <row r="4781" spans="1:11" ht="42" customHeight="1">
      <c r="A4781" s="2" t="s">
        <v>10043</v>
      </c>
      <c r="B4781" s="2" t="s">
        <v>10044</v>
      </c>
      <c r="C4781" s="2" t="s">
        <v>16</v>
      </c>
      <c r="D4781" s="2" t="s">
        <v>17</v>
      </c>
      <c r="E4781" s="5">
        <v>-31595</v>
      </c>
      <c r="F4781" s="3" t="s">
        <v>1319</v>
      </c>
      <c r="G4781" s="3" t="s">
        <v>28</v>
      </c>
      <c r="H4781" s="2" t="s">
        <v>20</v>
      </c>
      <c r="I4781" s="2" t="s">
        <v>10057</v>
      </c>
      <c r="J4781" s="3" t="str">
        <f>HYPERLINK("https://www.boe.es/gazeta/dias/1813/06/29/pdfs/GRE-1813-80.pdf#page=8","Abrir facsímil")</f>
        <v>Abrir facsímil</v>
      </c>
      <c r="K4781" s="3" t="s">
        <v>22</v>
      </c>
    </row>
    <row r="4782" spans="1:11" ht="42" customHeight="1">
      <c r="A4782" s="2" t="s">
        <v>10043</v>
      </c>
      <c r="B4782" s="2" t="s">
        <v>10044</v>
      </c>
      <c r="C4782" s="2" t="s">
        <v>25</v>
      </c>
      <c r="D4782" s="2" t="s">
        <v>26</v>
      </c>
      <c r="E4782" s="5">
        <v>-31593</v>
      </c>
      <c r="F4782" s="3" t="s">
        <v>5942</v>
      </c>
      <c r="G4782" s="3" t="s">
        <v>87</v>
      </c>
      <c r="H4782" s="2" t="s">
        <v>20</v>
      </c>
      <c r="I4782" s="2" t="s">
        <v>10058</v>
      </c>
      <c r="J4782" s="3" t="str">
        <f>HYPERLINK("https://www.boe.es/gazeta/dias/1813/07/01/pdfs/GRE-1813-81.pdf#page=7","Abrir facsímil")</f>
        <v>Abrir facsímil</v>
      </c>
      <c r="K4782" s="3" t="s">
        <v>22</v>
      </c>
    </row>
    <row r="4783" spans="1:11" ht="42" customHeight="1">
      <c r="A4783" s="2" t="s">
        <v>10043</v>
      </c>
      <c r="B4783" s="2" t="s">
        <v>10044</v>
      </c>
      <c r="C4783" s="2" t="s">
        <v>34</v>
      </c>
      <c r="D4783" s="2" t="s">
        <v>35</v>
      </c>
      <c r="E4783" s="5">
        <v>-31584</v>
      </c>
      <c r="F4783" s="3" t="s">
        <v>114</v>
      </c>
      <c r="G4783" s="3" t="s">
        <v>28</v>
      </c>
      <c r="H4783" s="2" t="s">
        <v>20</v>
      </c>
      <c r="I4783" s="2" t="s">
        <v>10059</v>
      </c>
      <c r="J4783" s="3" t="str">
        <f>HYPERLINK("https://www.boe.es/gazeta/dias/1813/07/10/pdfs/GRE-1813-86.pdf#page=8","Abrir facsímil")</f>
        <v>Abrir facsímil</v>
      </c>
      <c r="K4783" s="3" t="s">
        <v>22</v>
      </c>
    </row>
    <row r="4784" spans="1:11" ht="42" customHeight="1">
      <c r="A4784" s="2" t="s">
        <v>10043</v>
      </c>
      <c r="B4784" s="2" t="s">
        <v>10044</v>
      </c>
      <c r="C4784" s="2" t="s">
        <v>25</v>
      </c>
      <c r="D4784" s="2" t="s">
        <v>26</v>
      </c>
      <c r="E4784" s="5">
        <v>-31581</v>
      </c>
      <c r="F4784" s="3" t="s">
        <v>1321</v>
      </c>
      <c r="G4784" s="3" t="s">
        <v>3006</v>
      </c>
      <c r="H4784" s="2" t="s">
        <v>20</v>
      </c>
      <c r="I4784" s="2" t="s">
        <v>10060</v>
      </c>
      <c r="J4784" s="3" t="str">
        <f>HYPERLINK("https://www.boe.es/gazeta/dias/1813/07/13/pdfs/GMR-1813-17.pdf#page=15","Abrir facsímil")</f>
        <v>Abrir facsímil</v>
      </c>
      <c r="K4784" s="3" t="s">
        <v>22</v>
      </c>
    </row>
    <row r="4785" spans="1:11" ht="42" customHeight="1">
      <c r="A4785" s="2" t="s">
        <v>10043</v>
      </c>
      <c r="B4785" s="2" t="s">
        <v>10044</v>
      </c>
      <c r="C4785" s="2" t="s">
        <v>16</v>
      </c>
      <c r="D4785" s="2" t="s">
        <v>17</v>
      </c>
      <c r="E4785" s="5">
        <v>-31564</v>
      </c>
      <c r="F4785" s="3" t="s">
        <v>206</v>
      </c>
      <c r="G4785" s="3" t="s">
        <v>178</v>
      </c>
      <c r="H4785" s="2" t="s">
        <v>20</v>
      </c>
      <c r="I4785" s="2" t="s">
        <v>10061</v>
      </c>
      <c r="J4785" s="3" t="str">
        <f>HYPERLINK("https://www.boe.es/gazeta/dias/1813/07/30/pdfs/GMR-1813-22.pdf#page=11","Abrir facsímil")</f>
        <v>Abrir facsímil</v>
      </c>
      <c r="K4785" s="3" t="s">
        <v>22</v>
      </c>
    </row>
    <row r="4786" spans="1:11" ht="42" customHeight="1">
      <c r="A4786" s="2" t="s">
        <v>10062</v>
      </c>
      <c r="B4786" s="2" t="s">
        <v>10063</v>
      </c>
      <c r="C4786" s="2" t="s">
        <v>25</v>
      </c>
      <c r="D4786" s="2" t="s">
        <v>26</v>
      </c>
      <c r="E4786" s="5">
        <v>-31560</v>
      </c>
      <c r="F4786" s="3" t="s">
        <v>590</v>
      </c>
      <c r="G4786" s="3" t="s">
        <v>95</v>
      </c>
      <c r="H4786" s="2" t="s">
        <v>20</v>
      </c>
      <c r="I4786" s="2" t="s">
        <v>10064</v>
      </c>
      <c r="J4786" s="3" t="str">
        <f>HYPERLINK("https://www.boe.es/gazeta/dias/1813/08/03/pdfs/GRE-1813-98.pdf#page=6","Abrir facsímil")</f>
        <v>Abrir facsímil</v>
      </c>
      <c r="K4786" s="3" t="s">
        <v>22</v>
      </c>
    </row>
    <row r="4787" spans="1:11" ht="42" customHeight="1">
      <c r="A4787" s="2" t="s">
        <v>10043</v>
      </c>
      <c r="B4787" s="2" t="s">
        <v>10044</v>
      </c>
      <c r="C4787" s="2" t="s">
        <v>187</v>
      </c>
      <c r="D4787" s="2" t="s">
        <v>26</v>
      </c>
      <c r="E4787" s="5">
        <v>-31532</v>
      </c>
      <c r="F4787" s="3" t="s">
        <v>215</v>
      </c>
      <c r="G4787" s="3" t="s">
        <v>28</v>
      </c>
      <c r="H4787" s="2" t="s">
        <v>20</v>
      </c>
      <c r="I4787" s="2" t="s">
        <v>10065</v>
      </c>
      <c r="J4787" s="3" t="str">
        <f>HYPERLINK("https://www.boe.es/gazeta/dias/1813/08/31/pdfs/GRE-1813-111.pdf#page=8","Abrir facsímil")</f>
        <v>Abrir facsímil</v>
      </c>
      <c r="K4787" s="3" t="s">
        <v>22</v>
      </c>
    </row>
    <row r="4788" spans="1:11" ht="42" customHeight="1">
      <c r="A4788" s="2" t="s">
        <v>10043</v>
      </c>
      <c r="B4788" s="2" t="s">
        <v>10044</v>
      </c>
      <c r="C4788" s="2" t="s">
        <v>16</v>
      </c>
      <c r="D4788" s="2" t="s">
        <v>17</v>
      </c>
      <c r="E4788" s="5">
        <v>-31518</v>
      </c>
      <c r="F4788" s="3" t="s">
        <v>155</v>
      </c>
      <c r="G4788" s="3" t="s">
        <v>95</v>
      </c>
      <c r="H4788" s="2" t="s">
        <v>20</v>
      </c>
      <c r="I4788" s="2" t="s">
        <v>10066</v>
      </c>
      <c r="J4788" s="3" t="str">
        <f>HYPERLINK("https://www.boe.es/gazeta/dias/1813/09/14/pdfs/GRE-1813-119.pdf#page=6","Abrir facsímil")</f>
        <v>Abrir facsímil</v>
      </c>
      <c r="K4788" s="3" t="s">
        <v>22</v>
      </c>
    </row>
    <row r="4789" spans="1:11" ht="42" customHeight="1">
      <c r="A4789" s="2" t="s">
        <v>10043</v>
      </c>
      <c r="B4789" s="2" t="s">
        <v>10044</v>
      </c>
      <c r="C4789" s="2" t="s">
        <v>16</v>
      </c>
      <c r="D4789" s="2" t="s">
        <v>17</v>
      </c>
      <c r="E4789" s="5">
        <v>-31511</v>
      </c>
      <c r="F4789" s="3" t="s">
        <v>2149</v>
      </c>
      <c r="G4789" s="3" t="s">
        <v>19</v>
      </c>
      <c r="H4789" s="2" t="s">
        <v>20</v>
      </c>
      <c r="I4789" s="2" t="s">
        <v>10067</v>
      </c>
      <c r="J4789" s="3" t="str">
        <f>HYPERLINK("https://www.boe.es/gazeta/dias/1813/09/21/pdfs/GRE-1813-122.pdf#page=4","Abrir facsímil")</f>
        <v>Abrir facsímil</v>
      </c>
      <c r="K4789" s="3" t="s">
        <v>22</v>
      </c>
    </row>
    <row r="4790" spans="1:11" ht="42" customHeight="1">
      <c r="A4790" s="2" t="s">
        <v>10043</v>
      </c>
      <c r="B4790" s="2" t="s">
        <v>10044</v>
      </c>
      <c r="C4790" s="2" t="s">
        <v>187</v>
      </c>
      <c r="D4790" s="2" t="s">
        <v>26</v>
      </c>
      <c r="E4790" s="5">
        <v>-31495</v>
      </c>
      <c r="F4790" s="3" t="s">
        <v>484</v>
      </c>
      <c r="G4790" s="3" t="s">
        <v>28</v>
      </c>
      <c r="H4790" s="2" t="s">
        <v>20</v>
      </c>
      <c r="I4790" s="2" t="s">
        <v>10068</v>
      </c>
      <c r="J4790" s="3" t="str">
        <f>HYPERLINK("https://www.boe.es/gazeta/dias/1813/10/07/pdfs/GRE-1813-131.pdf#page=8","Abrir facsímil")</f>
        <v>Abrir facsímil</v>
      </c>
      <c r="K4790" s="3" t="s">
        <v>22</v>
      </c>
    </row>
    <row r="4791" spans="1:11" ht="42" customHeight="1">
      <c r="A4791" s="2" t="s">
        <v>10043</v>
      </c>
      <c r="B4791" s="2" t="s">
        <v>10044</v>
      </c>
      <c r="C4791" s="2" t="s">
        <v>16</v>
      </c>
      <c r="D4791" s="2" t="s">
        <v>17</v>
      </c>
      <c r="E4791" s="5">
        <v>-31490</v>
      </c>
      <c r="F4791" s="3" t="s">
        <v>3271</v>
      </c>
      <c r="G4791" s="3" t="s">
        <v>95</v>
      </c>
      <c r="H4791" s="2" t="s">
        <v>20</v>
      </c>
      <c r="I4791" s="2" t="s">
        <v>10069</v>
      </c>
      <c r="J4791" s="3" t="str">
        <f>HYPERLINK("https://www.boe.es/gazeta/dias/1813/10/12/pdfs/GRE-1813-133.pdf#page=6","Abrir facsímil")</f>
        <v>Abrir facsímil</v>
      </c>
      <c r="K4791" s="3" t="s">
        <v>22</v>
      </c>
    </row>
    <row r="4792" spans="1:11" ht="42" customHeight="1">
      <c r="A4792" s="2" t="s">
        <v>10043</v>
      </c>
      <c r="B4792" s="2" t="s">
        <v>10044</v>
      </c>
      <c r="C4792" s="2" t="s">
        <v>34</v>
      </c>
      <c r="D4792" s="2" t="s">
        <v>35</v>
      </c>
      <c r="E4792" s="5">
        <v>-31486</v>
      </c>
      <c r="F4792" s="3" t="s">
        <v>597</v>
      </c>
      <c r="G4792" s="3" t="s">
        <v>28</v>
      </c>
      <c r="H4792" s="2" t="s">
        <v>20</v>
      </c>
      <c r="I4792" s="2" t="s">
        <v>10070</v>
      </c>
      <c r="J4792" s="3" t="str">
        <f>HYPERLINK("https://www.boe.es/gazeta/dias/1813/10/16/pdfs/GRE-1813-135.pdf#page=8","Abrir facsímil")</f>
        <v>Abrir facsímil</v>
      </c>
      <c r="K4792" s="3" t="s">
        <v>22</v>
      </c>
    </row>
    <row r="4793" spans="1:11" ht="42" customHeight="1">
      <c r="A4793" s="2" t="s">
        <v>10043</v>
      </c>
      <c r="B4793" s="2" t="s">
        <v>10044</v>
      </c>
      <c r="C4793" s="2" t="s">
        <v>16</v>
      </c>
      <c r="D4793" s="2" t="s">
        <v>17</v>
      </c>
      <c r="E4793" s="5">
        <v>-31483</v>
      </c>
      <c r="F4793" s="3" t="s">
        <v>1292</v>
      </c>
      <c r="G4793" s="3" t="s">
        <v>5984</v>
      </c>
      <c r="H4793" s="2" t="s">
        <v>20</v>
      </c>
      <c r="I4793" s="2" t="s">
        <v>10071</v>
      </c>
      <c r="J4793" s="3" t="str">
        <f>HYPERLINK("https://www.boe.es/gazeta/dias/1813/10/19/pdfs/GMR-1813-61.pdf#page=11","Abrir facsímil")</f>
        <v>Abrir facsímil</v>
      </c>
      <c r="K4793" s="3" t="s">
        <v>22</v>
      </c>
    </row>
    <row r="4794" spans="1:11" ht="42" customHeight="1">
      <c r="A4794" s="2" t="s">
        <v>10043</v>
      </c>
      <c r="B4794" s="2" t="s">
        <v>10044</v>
      </c>
      <c r="C4794" s="2" t="s">
        <v>25</v>
      </c>
      <c r="D4794" s="2" t="s">
        <v>26</v>
      </c>
      <c r="E4794" s="5">
        <v>-31469</v>
      </c>
      <c r="F4794" s="3" t="s">
        <v>1452</v>
      </c>
      <c r="G4794" s="3" t="s">
        <v>87</v>
      </c>
      <c r="H4794" s="2" t="s">
        <v>20</v>
      </c>
      <c r="I4794" s="2" t="s">
        <v>10072</v>
      </c>
      <c r="J4794" s="3" t="str">
        <f>HYPERLINK("https://www.boe.es/gazeta/dias/1813/11/02/pdfs/GRE-1813-143.pdf#page=7","Abrir facsímil")</f>
        <v>Abrir facsímil</v>
      </c>
      <c r="K4794" s="3" t="s">
        <v>22</v>
      </c>
    </row>
    <row r="4795" spans="1:11" ht="42" customHeight="1">
      <c r="A4795" s="2" t="s">
        <v>10043</v>
      </c>
      <c r="B4795" s="2" t="s">
        <v>10044</v>
      </c>
      <c r="C4795" s="2" t="s">
        <v>34</v>
      </c>
      <c r="D4795" s="2" t="s">
        <v>35</v>
      </c>
      <c r="E4795" s="5">
        <v>-31467</v>
      </c>
      <c r="F4795" s="3" t="s">
        <v>120</v>
      </c>
      <c r="G4795" s="3" t="s">
        <v>28</v>
      </c>
      <c r="H4795" s="2" t="s">
        <v>20</v>
      </c>
      <c r="I4795" s="2" t="s">
        <v>10073</v>
      </c>
      <c r="J4795" s="3" t="str">
        <f>HYPERLINK("https://www.boe.es/gazeta/dias/1813/11/04/pdfs/GMR-1813-68.pdf#page=8","Abrir facsímil")</f>
        <v>Abrir facsímil</v>
      </c>
      <c r="K4795" s="3" t="s">
        <v>22</v>
      </c>
    </row>
    <row r="4796" spans="1:11" ht="42" customHeight="1">
      <c r="A4796" s="2" t="s">
        <v>10043</v>
      </c>
      <c r="B4796" s="2" t="s">
        <v>10044</v>
      </c>
      <c r="C4796" s="2" t="s">
        <v>16</v>
      </c>
      <c r="D4796" s="2" t="s">
        <v>17</v>
      </c>
      <c r="E4796" s="5">
        <v>-31465</v>
      </c>
      <c r="F4796" s="3" t="s">
        <v>2930</v>
      </c>
      <c r="G4796" s="3" t="s">
        <v>82</v>
      </c>
      <c r="H4796" s="2" t="s">
        <v>20</v>
      </c>
      <c r="I4796" s="2" t="s">
        <v>10074</v>
      </c>
      <c r="J4796" s="3" t="str">
        <f>HYPERLINK("https://www.boe.es/gazeta/dias/1813/11/06/pdfs/GRE-1813-145.pdf#page=5","Abrir facsímil")</f>
        <v>Abrir facsímil</v>
      </c>
      <c r="K4796" s="3" t="s">
        <v>22</v>
      </c>
    </row>
    <row r="4797" spans="1:11" ht="42" customHeight="1">
      <c r="A4797" s="2" t="s">
        <v>10043</v>
      </c>
      <c r="B4797" s="2" t="s">
        <v>10044</v>
      </c>
      <c r="C4797" s="2" t="s">
        <v>435</v>
      </c>
      <c r="D4797" s="2" t="s">
        <v>26</v>
      </c>
      <c r="E4797" s="5">
        <v>-31460</v>
      </c>
      <c r="F4797" s="3" t="s">
        <v>599</v>
      </c>
      <c r="G4797" s="3" t="s">
        <v>3624</v>
      </c>
      <c r="H4797" s="2" t="s">
        <v>20</v>
      </c>
      <c r="I4797" s="2" t="s">
        <v>10075</v>
      </c>
      <c r="J4797" s="3" t="str">
        <f>HYPERLINK("https://www.boe.es/gazeta/dias/1813/11/11/pdfs/GMR-1813-72.pdf#page=11","Abrir facsímil")</f>
        <v>Abrir facsímil</v>
      </c>
      <c r="K4797" s="3" t="s">
        <v>22</v>
      </c>
    </row>
    <row r="4798" spans="1:11" ht="42" customHeight="1">
      <c r="A4798" s="2" t="s">
        <v>10043</v>
      </c>
      <c r="B4798" s="2" t="s">
        <v>10044</v>
      </c>
      <c r="C4798" s="2" t="s">
        <v>34</v>
      </c>
      <c r="D4798" s="2" t="s">
        <v>35</v>
      </c>
      <c r="E4798" s="5">
        <v>-31439</v>
      </c>
      <c r="F4798" s="3" t="s">
        <v>1298</v>
      </c>
      <c r="G4798" s="3" t="s">
        <v>28</v>
      </c>
      <c r="H4798" s="2" t="s">
        <v>20</v>
      </c>
      <c r="I4798" s="2" t="s">
        <v>10076</v>
      </c>
      <c r="J4798" s="3" t="str">
        <f>HYPERLINK("https://www.boe.es/gazeta/dias/1813/12/02/pdfs/GMR-1813-82.pdf#page=8","Abrir facsímil")</f>
        <v>Abrir facsímil</v>
      </c>
      <c r="K4798" s="3" t="s">
        <v>22</v>
      </c>
    </row>
    <row r="4799" spans="1:11" ht="42" customHeight="1">
      <c r="A4799" s="2" t="s">
        <v>10043</v>
      </c>
      <c r="B4799" s="2" t="s">
        <v>10044</v>
      </c>
      <c r="C4799" s="2" t="s">
        <v>25</v>
      </c>
      <c r="D4799" s="2" t="s">
        <v>26</v>
      </c>
      <c r="E4799" s="5">
        <v>-31420</v>
      </c>
      <c r="F4799" s="3" t="s">
        <v>145</v>
      </c>
      <c r="G4799" s="3" t="s">
        <v>313</v>
      </c>
      <c r="H4799" s="2" t="s">
        <v>20</v>
      </c>
      <c r="I4799" s="2" t="s">
        <v>10077</v>
      </c>
      <c r="J4799" s="3" t="str">
        <f>HYPERLINK("https://www.boe.es/gazeta/dias/1813/12/21/pdfs/GMR-1813-90.pdf#page=9","Abrir facsímil")</f>
        <v>Abrir facsímil</v>
      </c>
      <c r="K4799" s="3" t="s">
        <v>22</v>
      </c>
    </row>
    <row r="4800" spans="1:11" ht="42" customHeight="1">
      <c r="A4800" s="2" t="s">
        <v>10078</v>
      </c>
      <c r="B4800" s="2" t="s">
        <v>10079</v>
      </c>
      <c r="C4800" s="2" t="s">
        <v>25</v>
      </c>
      <c r="D4800" s="2" t="s">
        <v>26</v>
      </c>
      <c r="E4800" s="5">
        <v>-31560</v>
      </c>
      <c r="F4800" s="3" t="s">
        <v>590</v>
      </c>
      <c r="G4800" s="3" t="s">
        <v>82</v>
      </c>
      <c r="H4800" s="2" t="s">
        <v>20</v>
      </c>
      <c r="I4800" s="2" t="s">
        <v>10080</v>
      </c>
      <c r="J4800" s="3" t="str">
        <f>HYPERLINK("https://www.boe.es/gazeta/dias/1813/08/03/pdfs/GRE-1813-98.pdf#page=5","Abrir facsímil")</f>
        <v>Abrir facsímil</v>
      </c>
      <c r="K4800" s="3" t="s">
        <v>22</v>
      </c>
    </row>
    <row r="4801" spans="1:11" ht="42" customHeight="1">
      <c r="A4801" s="2" t="s">
        <v>10081</v>
      </c>
      <c r="B4801" s="2" t="s">
        <v>10082</v>
      </c>
      <c r="C4801" s="2" t="s">
        <v>34</v>
      </c>
      <c r="D4801" s="2" t="s">
        <v>35</v>
      </c>
      <c r="E4801" s="5">
        <v>-31705</v>
      </c>
      <c r="F4801" s="3" t="s">
        <v>243</v>
      </c>
      <c r="G4801" s="3" t="s">
        <v>5900</v>
      </c>
      <c r="H4801" s="2" t="s">
        <v>20</v>
      </c>
      <c r="I4801" s="2" t="s">
        <v>10083</v>
      </c>
      <c r="J4801" s="3" t="str">
        <f>HYPERLINK("https://www.boe.es/gazeta/dias/1813/03/11/pdfs/GRE-1813-31.pdf#page=4","Abrir facsímil")</f>
        <v>Abrir facsímil</v>
      </c>
      <c r="K4801" s="3" t="s">
        <v>22</v>
      </c>
    </row>
    <row r="4802" spans="1:11" ht="42" customHeight="1">
      <c r="A4802" s="2" t="s">
        <v>10084</v>
      </c>
      <c r="B4802" s="2" t="s">
        <v>10085</v>
      </c>
      <c r="C4802" s="2" t="s">
        <v>25</v>
      </c>
      <c r="D4802" s="2" t="s">
        <v>26</v>
      </c>
      <c r="E4802" s="5">
        <v>-31675</v>
      </c>
      <c r="F4802" s="3" t="s">
        <v>2552</v>
      </c>
      <c r="G4802" s="3" t="s">
        <v>19</v>
      </c>
      <c r="H4802" s="2" t="s">
        <v>20</v>
      </c>
      <c r="I4802" s="2" t="s">
        <v>10086</v>
      </c>
      <c r="J4802" s="3" t="str">
        <f>HYPERLINK("https://www.boe.es/gazeta/dias/1813/04/10/pdfs/GMD-1813-100.pdf#page=4","Abrir facsímil")</f>
        <v>Abrir facsímil</v>
      </c>
      <c r="K4802" s="3" t="s">
        <v>22</v>
      </c>
    </row>
    <row r="4803" spans="1:11" ht="42" customHeight="1">
      <c r="A4803" s="2" t="s">
        <v>10087</v>
      </c>
      <c r="B4803" s="2" t="s">
        <v>10088</v>
      </c>
      <c r="C4803" s="2" t="s">
        <v>16</v>
      </c>
      <c r="D4803" s="2" t="s">
        <v>17</v>
      </c>
      <c r="E4803" s="5">
        <v>-31724</v>
      </c>
      <c r="F4803" s="3" t="s">
        <v>626</v>
      </c>
      <c r="G4803" s="3" t="s">
        <v>627</v>
      </c>
      <c r="H4803" s="2" t="s">
        <v>20</v>
      </c>
      <c r="I4803" s="2" t="s">
        <v>10089</v>
      </c>
      <c r="J4803" s="3" t="str">
        <f>HYPERLINK("https://www.boe.es/gazeta/dias/1813/02/20/pdfs/GRE-1813-22.pdf#page=8","Abrir facsímil")</f>
        <v>Abrir facsímil</v>
      </c>
      <c r="K4803" s="3" t="s">
        <v>22</v>
      </c>
    </row>
    <row r="4804" spans="1:11" ht="42" customHeight="1">
      <c r="A4804" s="2" t="s">
        <v>10087</v>
      </c>
      <c r="B4804" s="2" t="s">
        <v>10088</v>
      </c>
      <c r="C4804" s="2" t="s">
        <v>34</v>
      </c>
      <c r="D4804" s="2" t="s">
        <v>35</v>
      </c>
      <c r="E4804" s="5">
        <v>-31720</v>
      </c>
      <c r="F4804" s="3" t="s">
        <v>672</v>
      </c>
      <c r="G4804" s="3" t="s">
        <v>54</v>
      </c>
      <c r="H4804" s="2" t="s">
        <v>20</v>
      </c>
      <c r="I4804" s="2" t="s">
        <v>10090</v>
      </c>
      <c r="J4804" s="3" t="str">
        <f>HYPERLINK("https://www.boe.es/gazeta/dias/1813/02/24/pdfs/GMD-1813-55.pdf#page=3","Abrir facsímil")</f>
        <v>Abrir facsímil</v>
      </c>
      <c r="K4804" s="3" t="s">
        <v>22</v>
      </c>
    </row>
    <row r="4805" spans="1:11" ht="42" customHeight="1">
      <c r="A4805" s="2" t="s">
        <v>10087</v>
      </c>
      <c r="B4805" s="2" t="s">
        <v>10088</v>
      </c>
      <c r="C4805" s="2" t="s">
        <v>16</v>
      </c>
      <c r="D4805" s="2" t="s">
        <v>17</v>
      </c>
      <c r="E4805" s="5">
        <v>-31630</v>
      </c>
      <c r="F4805" s="3" t="s">
        <v>1324</v>
      </c>
      <c r="G4805" s="3" t="s">
        <v>3731</v>
      </c>
      <c r="H4805" s="2" t="s">
        <v>20</v>
      </c>
      <c r="I4805" s="2" t="s">
        <v>10091</v>
      </c>
      <c r="J4805" s="3" t="str">
        <f>HYPERLINK("https://www.boe.es/gazeta/dias/1813/05/25/pdfs/GRE-1813-64.pdf#page=7","Abrir facsímil")</f>
        <v>Abrir facsímil</v>
      </c>
      <c r="K4805" s="3" t="s">
        <v>22</v>
      </c>
    </row>
    <row r="4806" spans="1:11" ht="42" customHeight="1">
      <c r="A4806" s="2" t="s">
        <v>10092</v>
      </c>
      <c r="B4806" s="2" t="s">
        <v>10093</v>
      </c>
      <c r="C4806" s="2" t="s">
        <v>69</v>
      </c>
      <c r="D4806" s="2" t="s">
        <v>26</v>
      </c>
      <c r="E4806" s="5">
        <v>-31497</v>
      </c>
      <c r="F4806" s="3" t="s">
        <v>1457</v>
      </c>
      <c r="G4806" s="3" t="s">
        <v>95</v>
      </c>
      <c r="H4806" s="2" t="s">
        <v>20</v>
      </c>
      <c r="I4806" s="2" t="s">
        <v>10094</v>
      </c>
      <c r="J4806" s="3" t="str">
        <f>HYPERLINK("https://www.boe.es/gazeta/dias/1813/10/05/pdfs/GMR-1813-54.pdf#page=6","Abrir facsímil")</f>
        <v>Abrir facsímil</v>
      </c>
      <c r="K4806" s="3" t="s">
        <v>22</v>
      </c>
    </row>
    <row r="4807" spans="1:11" ht="42" customHeight="1">
      <c r="A4807" s="2" t="s">
        <v>10095</v>
      </c>
      <c r="B4807" s="2" t="s">
        <v>10095</v>
      </c>
      <c r="C4807" s="2" t="s">
        <v>34</v>
      </c>
      <c r="D4807" s="2" t="s">
        <v>35</v>
      </c>
      <c r="E4807" s="5">
        <v>-31567</v>
      </c>
      <c r="F4807" s="3" t="s">
        <v>820</v>
      </c>
      <c r="G4807" s="3" t="s">
        <v>313</v>
      </c>
      <c r="H4807" s="2" t="s">
        <v>20</v>
      </c>
      <c r="I4807" s="2" t="s">
        <v>10096</v>
      </c>
      <c r="J4807" s="3" t="str">
        <f>HYPERLINK("https://www.boe.es/gazeta/dias/1813/07/27/pdfs/GMR-1813-21.pdf#page=9","Abrir facsímil")</f>
        <v>Abrir facsímil</v>
      </c>
      <c r="K4807" s="3" t="s">
        <v>22</v>
      </c>
    </row>
    <row r="4808" spans="1:11" ht="42" customHeight="1">
      <c r="A4808" s="2" t="s">
        <v>10097</v>
      </c>
      <c r="B4808" s="2" t="s">
        <v>10097</v>
      </c>
      <c r="C4808" s="2" t="s">
        <v>16</v>
      </c>
      <c r="D4808" s="2" t="s">
        <v>17</v>
      </c>
      <c r="E4808" s="5">
        <v>-31502</v>
      </c>
      <c r="F4808" s="3" t="s">
        <v>1363</v>
      </c>
      <c r="G4808" s="3" t="s">
        <v>54</v>
      </c>
      <c r="H4808" s="2" t="s">
        <v>20</v>
      </c>
      <c r="I4808" s="2" t="s">
        <v>10098</v>
      </c>
      <c r="J4808" s="3" t="str">
        <f>HYPERLINK("https://www.boe.es/gazeta/dias/1813/09/30/pdfs/GRE-1813-128.pdf#page=3","Abrir facsímil")</f>
        <v>Abrir facsímil</v>
      </c>
      <c r="K4808" s="3" t="s">
        <v>22</v>
      </c>
    </row>
    <row r="4809" spans="1:11" ht="42" customHeight="1">
      <c r="A4809" s="2" t="s">
        <v>10099</v>
      </c>
      <c r="B4809" s="2" t="s">
        <v>10100</v>
      </c>
      <c r="C4809" s="2" t="s">
        <v>25</v>
      </c>
      <c r="D4809" s="2" t="s">
        <v>26</v>
      </c>
      <c r="E4809" s="5">
        <v>-31567</v>
      </c>
      <c r="F4809" s="3" t="s">
        <v>820</v>
      </c>
      <c r="G4809" s="3" t="s">
        <v>258</v>
      </c>
      <c r="H4809" s="2" t="s">
        <v>20</v>
      </c>
      <c r="I4809" s="2" t="s">
        <v>10101</v>
      </c>
      <c r="J4809" s="3" t="str">
        <f>HYPERLINK("https://www.boe.es/gazeta/dias/1813/07/27/pdfs/GMR-1813-21.pdf#page=12","Abrir facsímil")</f>
        <v>Abrir facsímil</v>
      </c>
      <c r="K4809" s="3" t="s">
        <v>22</v>
      </c>
    </row>
    <row r="4810" spans="1:11" ht="42" customHeight="1">
      <c r="A4810" s="2" t="s">
        <v>10102</v>
      </c>
      <c r="B4810" s="2" t="s">
        <v>10102</v>
      </c>
      <c r="C4810" s="2" t="s">
        <v>25</v>
      </c>
      <c r="D4810" s="2" t="s">
        <v>26</v>
      </c>
      <c r="E4810" s="5">
        <v>-31712</v>
      </c>
      <c r="F4810" s="3" t="s">
        <v>719</v>
      </c>
      <c r="G4810" s="3" t="s">
        <v>54</v>
      </c>
      <c r="H4810" s="2" t="s">
        <v>20</v>
      </c>
      <c r="I4810" s="2" t="s">
        <v>10103</v>
      </c>
      <c r="J4810" s="3" t="str">
        <f>HYPERLINK("https://www.boe.es/gazeta/dias/1813/03/04/pdfs/GMD-1813-63.pdf#page=3","Abrir facsímil")</f>
        <v>Abrir facsímil</v>
      </c>
      <c r="K4810" s="3" t="s">
        <v>22</v>
      </c>
    </row>
    <row r="4811" spans="1:11" ht="42" customHeight="1">
      <c r="A4811" s="2" t="s">
        <v>10102</v>
      </c>
      <c r="B4811" s="2" t="s">
        <v>10102</v>
      </c>
      <c r="C4811" s="2" t="s">
        <v>16</v>
      </c>
      <c r="D4811" s="2" t="s">
        <v>17</v>
      </c>
      <c r="E4811" s="5">
        <v>-31584</v>
      </c>
      <c r="F4811" s="3" t="s">
        <v>114</v>
      </c>
      <c r="G4811" s="3" t="s">
        <v>95</v>
      </c>
      <c r="H4811" s="2" t="s">
        <v>20</v>
      </c>
      <c r="I4811" s="2" t="s">
        <v>10104</v>
      </c>
      <c r="J4811" s="3" t="str">
        <f>HYPERLINK("https://www.boe.es/gazeta/dias/1813/07/10/pdfs/GRE-1813-86.pdf#page=6","Abrir facsímil")</f>
        <v>Abrir facsímil</v>
      </c>
      <c r="K4811" s="3" t="s">
        <v>22</v>
      </c>
    </row>
    <row r="4812" spans="1:11" ht="42" customHeight="1">
      <c r="A4812" s="2" t="s">
        <v>10105</v>
      </c>
      <c r="B4812" s="2" t="s">
        <v>10106</v>
      </c>
      <c r="C4812" s="2" t="s">
        <v>25</v>
      </c>
      <c r="D4812" s="2" t="s">
        <v>26</v>
      </c>
      <c r="E4812" s="5">
        <v>-31752</v>
      </c>
      <c r="F4812" s="3" t="s">
        <v>182</v>
      </c>
      <c r="G4812" s="3" t="s">
        <v>183</v>
      </c>
      <c r="H4812" s="2" t="s">
        <v>20</v>
      </c>
      <c r="I4812" s="2" t="s">
        <v>10107</v>
      </c>
      <c r="J4812" s="3" t="str">
        <f>HYPERLINK("https://www.boe.es/gazeta/dias/1813/01/23/pdfs/GRE-1813-10.pdf#page=8","Abrir facsímil")</f>
        <v>Abrir facsímil</v>
      </c>
      <c r="K4812" s="3" t="s">
        <v>22</v>
      </c>
    </row>
    <row r="4813" spans="1:11" ht="42" customHeight="1">
      <c r="A4813" s="2" t="s">
        <v>10108</v>
      </c>
      <c r="B4813" s="2" t="s">
        <v>10108</v>
      </c>
      <c r="C4813" s="2" t="s">
        <v>16</v>
      </c>
      <c r="D4813" s="2" t="s">
        <v>17</v>
      </c>
      <c r="E4813" s="5">
        <v>-31643</v>
      </c>
      <c r="F4813" s="3" t="s">
        <v>2610</v>
      </c>
      <c r="G4813" s="3" t="s">
        <v>7304</v>
      </c>
      <c r="H4813" s="2" t="s">
        <v>20</v>
      </c>
      <c r="I4813" s="2" t="s">
        <v>10109</v>
      </c>
      <c r="J4813" s="3" t="str">
        <f>HYPERLINK("https://www.boe.es/gazeta/dias/1813/05/12/pdfs/GMD-1813-132.pdf#page=2","Abrir facsímil")</f>
        <v>Abrir facsímil</v>
      </c>
      <c r="K4813" s="3" t="s">
        <v>22</v>
      </c>
    </row>
    <row r="4814" spans="1:11" ht="42" customHeight="1">
      <c r="A4814" s="2" t="s">
        <v>10110</v>
      </c>
      <c r="B4814" s="2" t="s">
        <v>10110</v>
      </c>
      <c r="C4814" s="2" t="s">
        <v>16</v>
      </c>
      <c r="D4814" s="2" t="s">
        <v>17</v>
      </c>
      <c r="E4814" s="5">
        <v>-31504</v>
      </c>
      <c r="F4814" s="3" t="s">
        <v>192</v>
      </c>
      <c r="G4814" s="3" t="s">
        <v>58</v>
      </c>
      <c r="H4814" s="2" t="s">
        <v>20</v>
      </c>
      <c r="I4814" s="2" t="s">
        <v>10111</v>
      </c>
      <c r="J4814" s="3" t="str">
        <f>HYPERLINK("https://www.boe.es/gazeta/dias/1813/09/28/pdfs/GRE-1813-127.pdf#page=2","Abrir facsímil")</f>
        <v>Abrir facsímil</v>
      </c>
      <c r="K4814" s="3" t="s">
        <v>22</v>
      </c>
    </row>
    <row r="4815" spans="1:11" ht="42" customHeight="1">
      <c r="A4815" s="2" t="s">
        <v>10112</v>
      </c>
      <c r="B4815" s="2" t="s">
        <v>10113</v>
      </c>
      <c r="C4815" s="2" t="s">
        <v>16</v>
      </c>
      <c r="D4815" s="2" t="s">
        <v>17</v>
      </c>
      <c r="E4815" s="5">
        <v>-31465</v>
      </c>
      <c r="F4815" s="3" t="s">
        <v>407</v>
      </c>
      <c r="G4815" s="3" t="s">
        <v>87</v>
      </c>
      <c r="H4815" s="2" t="s">
        <v>20</v>
      </c>
      <c r="I4815" s="2" t="s">
        <v>10114</v>
      </c>
      <c r="J4815" s="3" t="str">
        <f>HYPERLINK("https://www.boe.es/gazeta/dias/1813/11/06/pdfs/GMR-1813-70.pdf#page=7","Abrir facsímil")</f>
        <v>Abrir facsímil</v>
      </c>
      <c r="K4815" s="3" t="s">
        <v>22</v>
      </c>
    </row>
    <row r="4816" spans="1:11" ht="42" customHeight="1">
      <c r="A4816" s="2" t="s">
        <v>10115</v>
      </c>
      <c r="B4816" s="2" t="s">
        <v>10116</v>
      </c>
      <c r="C4816" s="2" t="s">
        <v>16</v>
      </c>
      <c r="D4816" s="2" t="s">
        <v>17</v>
      </c>
      <c r="E4816" s="5">
        <v>-31602</v>
      </c>
      <c r="F4816" s="3" t="s">
        <v>2117</v>
      </c>
      <c r="G4816" s="3" t="s">
        <v>178</v>
      </c>
      <c r="H4816" s="2" t="s">
        <v>20</v>
      </c>
      <c r="I4816" s="2" t="s">
        <v>10117</v>
      </c>
      <c r="J4816" s="3" t="str">
        <f>HYPERLINK("https://www.boe.es/gazeta/dias/1813/06/22/pdfs/GMR-1813-9.pdf#page=11","Abrir facsímil")</f>
        <v>Abrir facsímil</v>
      </c>
      <c r="K4816" s="3" t="s">
        <v>22</v>
      </c>
    </row>
    <row r="4817" spans="1:11" ht="42" customHeight="1">
      <c r="A4817" s="2" t="s">
        <v>10115</v>
      </c>
      <c r="B4817" s="2" t="s">
        <v>10116</v>
      </c>
      <c r="C4817" s="2" t="s">
        <v>16</v>
      </c>
      <c r="D4817" s="2" t="s">
        <v>17</v>
      </c>
      <c r="E4817" s="5">
        <v>-31602</v>
      </c>
      <c r="F4817" s="3" t="s">
        <v>2117</v>
      </c>
      <c r="G4817" s="3" t="s">
        <v>258</v>
      </c>
      <c r="H4817" s="2" t="s">
        <v>20</v>
      </c>
      <c r="I4817" s="2" t="s">
        <v>10118</v>
      </c>
      <c r="J4817" s="3" t="str">
        <f>HYPERLINK("https://www.boe.es/gazeta/dias/1813/06/22/pdfs/GMR-1813-9.pdf#page=12","Abrir facsímil")</f>
        <v>Abrir facsímil</v>
      </c>
      <c r="K4817" s="3" t="s">
        <v>22</v>
      </c>
    </row>
    <row r="4818" spans="1:11" ht="42" customHeight="1">
      <c r="A4818" s="2" t="s">
        <v>10119</v>
      </c>
      <c r="B4818" s="2" t="s">
        <v>10119</v>
      </c>
      <c r="C4818" s="2" t="s">
        <v>16</v>
      </c>
      <c r="D4818" s="2" t="s">
        <v>17</v>
      </c>
      <c r="E4818" s="5">
        <v>-31507</v>
      </c>
      <c r="F4818" s="3" t="s">
        <v>61</v>
      </c>
      <c r="G4818" s="3" t="s">
        <v>28</v>
      </c>
      <c r="H4818" s="2" t="s">
        <v>20</v>
      </c>
      <c r="I4818" s="2" t="s">
        <v>10120</v>
      </c>
      <c r="J4818" s="3" t="str">
        <f>HYPERLINK("https://www.boe.es/gazeta/dias/1813/09/25/pdfs/GMR-1813-48.pdf#page=8","Abrir facsímil")</f>
        <v>Abrir facsímil</v>
      </c>
      <c r="K4818" s="3" t="s">
        <v>22</v>
      </c>
    </row>
    <row r="4819" spans="1:11" ht="42" customHeight="1">
      <c r="A4819" s="2" t="s">
        <v>10121</v>
      </c>
      <c r="B4819" s="2" t="s">
        <v>10122</v>
      </c>
      <c r="C4819" s="2" t="s">
        <v>16</v>
      </c>
      <c r="D4819" s="2" t="s">
        <v>17</v>
      </c>
      <c r="E4819" s="5">
        <v>-31546</v>
      </c>
      <c r="F4819" s="3" t="s">
        <v>461</v>
      </c>
      <c r="G4819" s="3" t="s">
        <v>87</v>
      </c>
      <c r="H4819" s="2" t="s">
        <v>20</v>
      </c>
      <c r="I4819" s="2" t="s">
        <v>10123</v>
      </c>
      <c r="J4819" s="3" t="str">
        <f>HYPERLINK("https://www.boe.es/gazeta/dias/1813/08/17/pdfs/GMR-1813-29.pdf#page=7","Abrir facsímil")</f>
        <v>Abrir facsímil</v>
      </c>
      <c r="K4819" s="3" t="s">
        <v>22</v>
      </c>
    </row>
    <row r="4820" spans="1:11" ht="42" customHeight="1">
      <c r="A4820" s="2" t="s">
        <v>10121</v>
      </c>
      <c r="B4820" s="2" t="s">
        <v>10122</v>
      </c>
      <c r="C4820" s="2" t="s">
        <v>34</v>
      </c>
      <c r="D4820" s="2" t="s">
        <v>35</v>
      </c>
      <c r="E4820" s="5">
        <v>-31416</v>
      </c>
      <c r="F4820" s="3" t="s">
        <v>278</v>
      </c>
      <c r="G4820" s="3" t="s">
        <v>207</v>
      </c>
      <c r="H4820" s="2" t="s">
        <v>20</v>
      </c>
      <c r="I4820" s="2" t="s">
        <v>10124</v>
      </c>
      <c r="J4820" s="3" t="str">
        <f>HYPERLINK("https://www.boe.es/gazeta/dias/1813/12/25/pdfs/GMR-1813-92.pdf#page=10","Abrir facsímil")</f>
        <v>Abrir facsímil</v>
      </c>
      <c r="K4820" s="3" t="s">
        <v>22</v>
      </c>
    </row>
    <row r="4821" spans="1:11" ht="42" customHeight="1">
      <c r="A4821" s="2" t="s">
        <v>10125</v>
      </c>
      <c r="B4821" s="2" t="s">
        <v>10125</v>
      </c>
      <c r="C4821" s="2" t="s">
        <v>16</v>
      </c>
      <c r="D4821" s="2" t="s">
        <v>17</v>
      </c>
      <c r="E4821" s="5">
        <v>-31639</v>
      </c>
      <c r="F4821" s="3" t="s">
        <v>10126</v>
      </c>
      <c r="G4821" s="3" t="s">
        <v>65</v>
      </c>
      <c r="H4821" s="2" t="s">
        <v>20</v>
      </c>
      <c r="I4821" s="2" t="s">
        <v>10127</v>
      </c>
      <c r="J4821" s="3" t="str">
        <f>HYPERLINK("https://www.boe.es/gazeta/dias/1813/05/16/pdfs/GMD-1813-136.pdf#page=1","Abrir facsímil")</f>
        <v>Abrir facsímil</v>
      </c>
      <c r="K4821" s="3" t="s">
        <v>22</v>
      </c>
    </row>
    <row r="4822" spans="1:11" ht="42" customHeight="1">
      <c r="A4822" s="2" t="s">
        <v>10128</v>
      </c>
      <c r="B4822" s="2" t="s">
        <v>10129</v>
      </c>
      <c r="C4822" s="2" t="s">
        <v>25</v>
      </c>
      <c r="D4822" s="2" t="s">
        <v>26</v>
      </c>
      <c r="E4822" s="5">
        <v>-31432</v>
      </c>
      <c r="F4822" s="3" t="s">
        <v>702</v>
      </c>
      <c r="G4822" s="3" t="s">
        <v>54</v>
      </c>
      <c r="H4822" s="2" t="s">
        <v>20</v>
      </c>
      <c r="I4822" s="2" t="s">
        <v>10130</v>
      </c>
      <c r="J4822" s="3" t="str">
        <f>HYPERLINK("https://www.boe.es/gazeta/dias/1813/12/09/pdfs/GMR-1813-85.pdf#page=3","Abrir facsímil")</f>
        <v>Abrir facsímil</v>
      </c>
      <c r="K4822" s="3" t="s">
        <v>22</v>
      </c>
    </row>
    <row r="4823" spans="1:11" ht="42" customHeight="1">
      <c r="A4823" s="2" t="s">
        <v>10131</v>
      </c>
      <c r="B4823" s="2" t="s">
        <v>10132</v>
      </c>
      <c r="C4823" s="2" t="s">
        <v>25</v>
      </c>
      <c r="D4823" s="2" t="s">
        <v>26</v>
      </c>
      <c r="E4823" s="5">
        <v>-31425</v>
      </c>
      <c r="F4823" s="3" t="s">
        <v>1669</v>
      </c>
      <c r="G4823" s="3" t="s">
        <v>1670</v>
      </c>
      <c r="H4823" s="2" t="s">
        <v>20</v>
      </c>
      <c r="I4823" s="2" t="s">
        <v>10133</v>
      </c>
      <c r="J4823" s="3" t="str">
        <f>HYPERLINK("https://www.boe.es/gazeta/dias/1813/12/16/pdfs/GRE-1813-165.pdf#page=7","Abrir facsímil")</f>
        <v>Abrir facsímil</v>
      </c>
      <c r="K4823" s="3" t="s">
        <v>22</v>
      </c>
    </row>
    <row r="4824" spans="1:11" ht="42" customHeight="1">
      <c r="A4824" s="2" t="s">
        <v>10134</v>
      </c>
      <c r="B4824" s="2" t="s">
        <v>10135</v>
      </c>
      <c r="C4824" s="2" t="s">
        <v>25</v>
      </c>
      <c r="D4824" s="2" t="s">
        <v>26</v>
      </c>
      <c r="E4824" s="5">
        <v>-31719</v>
      </c>
      <c r="F4824" s="3" t="s">
        <v>251</v>
      </c>
      <c r="G4824" s="3" t="s">
        <v>19</v>
      </c>
      <c r="H4824" s="2" t="s">
        <v>20</v>
      </c>
      <c r="I4824" s="2" t="s">
        <v>10136</v>
      </c>
      <c r="J4824" s="3" t="str">
        <f>HYPERLINK("https://www.boe.es/gazeta/dias/1813/02/25/pdfs/GMD-1813-56.pdf#page=4","Abrir facsímil")</f>
        <v>Abrir facsímil</v>
      </c>
      <c r="K4824" s="3" t="s">
        <v>22</v>
      </c>
    </row>
    <row r="4825" spans="1:11" ht="42" customHeight="1">
      <c r="A4825" s="2" t="s">
        <v>10137</v>
      </c>
      <c r="B4825" s="2" t="s">
        <v>10137</v>
      </c>
      <c r="C4825" s="2" t="s">
        <v>16</v>
      </c>
      <c r="D4825" s="2" t="s">
        <v>17</v>
      </c>
      <c r="E4825" s="5">
        <v>-31630</v>
      </c>
      <c r="F4825" s="3" t="s">
        <v>1324</v>
      </c>
      <c r="G4825" s="3" t="s">
        <v>3155</v>
      </c>
      <c r="H4825" s="2" t="s">
        <v>20</v>
      </c>
      <c r="I4825" s="2" t="s">
        <v>10138</v>
      </c>
      <c r="J4825" s="3" t="str">
        <f>HYPERLINK("https://www.boe.es/gazeta/dias/1813/05/25/pdfs/GRE-1813-64.pdf#page=8","Abrir facsímil")</f>
        <v>Abrir facsímil</v>
      </c>
      <c r="K4825" s="3" t="s">
        <v>22</v>
      </c>
    </row>
    <row r="4826" spans="1:11" ht="42" customHeight="1">
      <c r="A4826" s="2" t="s">
        <v>10139</v>
      </c>
      <c r="B4826" s="2" t="s">
        <v>10139</v>
      </c>
      <c r="C4826" s="2" t="s">
        <v>16</v>
      </c>
      <c r="D4826" s="2" t="s">
        <v>17</v>
      </c>
      <c r="E4826" s="5">
        <v>-31458</v>
      </c>
      <c r="F4826" s="3" t="s">
        <v>2315</v>
      </c>
      <c r="G4826" s="3" t="s">
        <v>82</v>
      </c>
      <c r="H4826" s="2" t="s">
        <v>20</v>
      </c>
      <c r="I4826" s="2" t="s">
        <v>10140</v>
      </c>
      <c r="J4826" s="3" t="str">
        <f>HYPERLINK("https://www.boe.es/gazeta/dias/1813/11/13/pdfs/GMR-1813-73.pdf#page=5","Abrir facsímil")</f>
        <v>Abrir facsímil</v>
      </c>
      <c r="K4826" s="3" t="s">
        <v>22</v>
      </c>
    </row>
    <row r="4827" spans="1:11" ht="42" customHeight="1">
      <c r="A4827" s="2" t="s">
        <v>10141</v>
      </c>
      <c r="B4827" s="2" t="s">
        <v>10141</v>
      </c>
      <c r="C4827" s="2" t="s">
        <v>16</v>
      </c>
      <c r="D4827" s="2" t="s">
        <v>17</v>
      </c>
      <c r="E4827" s="5">
        <v>-31612</v>
      </c>
      <c r="F4827" s="3" t="s">
        <v>5784</v>
      </c>
      <c r="G4827" s="3" t="s">
        <v>28</v>
      </c>
      <c r="H4827" s="2" t="s">
        <v>20</v>
      </c>
      <c r="I4827" s="2" t="s">
        <v>10142</v>
      </c>
      <c r="J4827" s="3" t="str">
        <f>HYPERLINK("https://www.boe.es/gazeta/dias/1813/06/12/pdfs/GRE-1813-73.pdf#page=8","Abrir facsímil")</f>
        <v>Abrir facsímil</v>
      </c>
      <c r="K4827" s="3" t="s">
        <v>22</v>
      </c>
    </row>
    <row r="4828" spans="1:11" ht="42" customHeight="1">
      <c r="A4828" s="2" t="s">
        <v>10143</v>
      </c>
      <c r="B4828" s="2" t="s">
        <v>10143</v>
      </c>
      <c r="C4828" s="2" t="s">
        <v>34</v>
      </c>
      <c r="D4828" s="2" t="s">
        <v>35</v>
      </c>
      <c r="E4828" s="5">
        <v>-31636</v>
      </c>
      <c r="F4828" s="3" t="s">
        <v>1673</v>
      </c>
      <c r="G4828" s="3" t="s">
        <v>54</v>
      </c>
      <c r="H4828" s="2" t="s">
        <v>20</v>
      </c>
      <c r="I4828" s="2" t="s">
        <v>10144</v>
      </c>
      <c r="J4828" s="3" t="str">
        <f>HYPERLINK("https://www.boe.es/gazeta/dias/1813/05/19/pdfs/GMD-1813-139.pdf#page=3","Abrir facsímil")</f>
        <v>Abrir facsímil</v>
      </c>
      <c r="K4828" s="3" t="s">
        <v>22</v>
      </c>
    </row>
    <row r="4829" spans="1:11" ht="42" customHeight="1">
      <c r="A4829" s="2" t="s">
        <v>10143</v>
      </c>
      <c r="B4829" s="2" t="s">
        <v>10143</v>
      </c>
      <c r="C4829" s="2" t="s">
        <v>25</v>
      </c>
      <c r="D4829" s="2" t="s">
        <v>26</v>
      </c>
      <c r="E4829" s="5">
        <v>-31635</v>
      </c>
      <c r="F4829" s="3" t="s">
        <v>8640</v>
      </c>
      <c r="G4829" s="3" t="s">
        <v>58</v>
      </c>
      <c r="H4829" s="2" t="s">
        <v>20</v>
      </c>
      <c r="I4829" s="2" t="s">
        <v>10145</v>
      </c>
      <c r="J4829" s="3" t="str">
        <f>HYPERLINK("https://www.boe.es/gazeta/dias/1813/05/20/pdfs/GMD-1813-140.pdf#page=2","Abrir facsímil")</f>
        <v>Abrir facsímil</v>
      </c>
      <c r="K4829" s="3" t="s">
        <v>22</v>
      </c>
    </row>
    <row r="4830" spans="1:11" ht="42" customHeight="1">
      <c r="A4830" s="2" t="s">
        <v>10143</v>
      </c>
      <c r="B4830" s="2" t="s">
        <v>10143</v>
      </c>
      <c r="C4830" s="2" t="s">
        <v>34</v>
      </c>
      <c r="D4830" s="2" t="s">
        <v>35</v>
      </c>
      <c r="E4830" s="5">
        <v>-31607</v>
      </c>
      <c r="F4830" s="3" t="s">
        <v>3370</v>
      </c>
      <c r="G4830" s="3" t="s">
        <v>54</v>
      </c>
      <c r="H4830" s="2" t="s">
        <v>20</v>
      </c>
      <c r="I4830" s="2" t="s">
        <v>10146</v>
      </c>
      <c r="J4830" s="3" t="str">
        <f>HYPERLINK("https://www.boe.es/gazeta/dias/1813/06/17/pdfs/GRE-1813-75.pdf#page=3","Abrir facsímil")</f>
        <v>Abrir facsímil</v>
      </c>
      <c r="K4830" s="3" t="s">
        <v>22</v>
      </c>
    </row>
    <row r="4831" spans="1:11" ht="42" customHeight="1">
      <c r="A4831" s="2" t="s">
        <v>10143</v>
      </c>
      <c r="B4831" s="2" t="s">
        <v>10143</v>
      </c>
      <c r="C4831" s="2" t="s">
        <v>34</v>
      </c>
      <c r="D4831" s="2" t="s">
        <v>35</v>
      </c>
      <c r="E4831" s="5">
        <v>-31605</v>
      </c>
      <c r="F4831" s="3" t="s">
        <v>884</v>
      </c>
      <c r="G4831" s="3" t="s">
        <v>65</v>
      </c>
      <c r="H4831" s="2" t="s">
        <v>20</v>
      </c>
      <c r="I4831" s="2" t="s">
        <v>10147</v>
      </c>
      <c r="J4831" s="3" t="str">
        <f>HYPERLINK("https://www.boe.es/gazeta/dias/1813/06/19/pdfs/GRE-1813-76.pdf#page=1","Abrir facsímil")</f>
        <v>Abrir facsímil</v>
      </c>
      <c r="K4831" s="3" t="s">
        <v>22</v>
      </c>
    </row>
    <row r="4832" spans="1:11" ht="42" customHeight="1">
      <c r="A4832" s="2" t="s">
        <v>10148</v>
      </c>
      <c r="B4832" s="2" t="s">
        <v>10149</v>
      </c>
      <c r="C4832" s="2" t="s">
        <v>25</v>
      </c>
      <c r="D4832" s="2" t="s">
        <v>26</v>
      </c>
      <c r="E4832" s="5">
        <v>-31752</v>
      </c>
      <c r="F4832" s="3" t="s">
        <v>182</v>
      </c>
      <c r="G4832" s="3" t="s">
        <v>183</v>
      </c>
      <c r="H4832" s="2" t="s">
        <v>20</v>
      </c>
      <c r="I4832" s="2" t="s">
        <v>10150</v>
      </c>
      <c r="J4832" s="3" t="str">
        <f>HYPERLINK("https://www.boe.es/gazeta/dias/1813/01/23/pdfs/GRE-1813-10.pdf#page=8","Abrir facsímil")</f>
        <v>Abrir facsímil</v>
      </c>
      <c r="K4832" s="3" t="s">
        <v>22</v>
      </c>
    </row>
    <row r="4833" spans="1:11" ht="42" customHeight="1">
      <c r="A4833" s="2" t="s">
        <v>10151</v>
      </c>
      <c r="B4833" s="2" t="s">
        <v>10151</v>
      </c>
      <c r="C4833" s="2" t="s">
        <v>34</v>
      </c>
      <c r="D4833" s="2" t="s">
        <v>35</v>
      </c>
      <c r="E4833" s="5">
        <v>-31655</v>
      </c>
      <c r="F4833" s="3" t="s">
        <v>858</v>
      </c>
      <c r="G4833" s="3" t="s">
        <v>983</v>
      </c>
      <c r="H4833" s="2" t="s">
        <v>20</v>
      </c>
      <c r="I4833" s="2" t="s">
        <v>10152</v>
      </c>
      <c r="J4833" s="3" t="str">
        <f>HYPERLINK("https://www.boe.es/gazeta/dias/1813/04/30/pdfs/GMD-1813-120.pdf#page=3","Abrir facsímil")</f>
        <v>Abrir facsímil</v>
      </c>
      <c r="K4833" s="3" t="s">
        <v>22</v>
      </c>
    </row>
    <row r="4834" spans="1:11" ht="42" customHeight="1">
      <c r="A4834" s="2" t="s">
        <v>10151</v>
      </c>
      <c r="B4834" s="2" t="s">
        <v>10151</v>
      </c>
      <c r="C4834" s="2" t="s">
        <v>16</v>
      </c>
      <c r="D4834" s="2" t="s">
        <v>97</v>
      </c>
      <c r="E4834" s="5">
        <v>-31548</v>
      </c>
      <c r="F4834" s="3" t="s">
        <v>1680</v>
      </c>
      <c r="G4834" s="3" t="s">
        <v>82</v>
      </c>
      <c r="H4834" s="2" t="s">
        <v>20</v>
      </c>
      <c r="I4834" s="2" t="s">
        <v>10153</v>
      </c>
      <c r="J4834" s="3" t="str">
        <f>HYPERLINK("https://www.boe.es/gazeta/dias/1813/08/15/pdfs/GRE-1813-104E.pdf#page=5","Abrir facsímil")</f>
        <v>Abrir facsímil</v>
      </c>
      <c r="K4834" s="3" t="s">
        <v>22</v>
      </c>
    </row>
    <row r="4835" spans="1:11" ht="42" customHeight="1">
      <c r="A4835" s="2" t="s">
        <v>10151</v>
      </c>
      <c r="B4835" s="2" t="s">
        <v>10151</v>
      </c>
      <c r="C4835" s="2" t="s">
        <v>16</v>
      </c>
      <c r="D4835" s="2" t="s">
        <v>97</v>
      </c>
      <c r="E4835" s="5">
        <v>-31548</v>
      </c>
      <c r="F4835" s="3" t="s">
        <v>1680</v>
      </c>
      <c r="G4835" s="3" t="s">
        <v>95</v>
      </c>
      <c r="H4835" s="2" t="s">
        <v>20</v>
      </c>
      <c r="I4835" s="2" t="s">
        <v>10154</v>
      </c>
      <c r="J4835" s="3" t="str">
        <f>HYPERLINK("https://www.boe.es/gazeta/dias/1813/08/15/pdfs/GRE-1813-104E.pdf#page=6","Abrir facsímil")</f>
        <v>Abrir facsímil</v>
      </c>
      <c r="K4835" s="3" t="s">
        <v>22</v>
      </c>
    </row>
    <row r="4836" spans="1:11" ht="42" customHeight="1">
      <c r="A4836" s="2" t="s">
        <v>10151</v>
      </c>
      <c r="B4836" s="2" t="s">
        <v>10151</v>
      </c>
      <c r="C4836" s="2" t="s">
        <v>16</v>
      </c>
      <c r="D4836" s="2" t="s">
        <v>17</v>
      </c>
      <c r="E4836" s="5">
        <v>-31537</v>
      </c>
      <c r="F4836" s="3" t="s">
        <v>138</v>
      </c>
      <c r="G4836" s="3" t="s">
        <v>258</v>
      </c>
      <c r="H4836" s="2" t="s">
        <v>20</v>
      </c>
      <c r="I4836" s="2" t="s">
        <v>10155</v>
      </c>
      <c r="J4836" s="3" t="str">
        <f>HYPERLINK("https://www.boe.es/gazeta/dias/1813/08/26/pdfs/GMR-1813-33.pdf#page=12","Abrir facsímil")</f>
        <v>Abrir facsímil</v>
      </c>
      <c r="K4836" s="3" t="s">
        <v>22</v>
      </c>
    </row>
    <row r="4837" spans="1:11" ht="42" customHeight="1">
      <c r="A4837" s="2" t="s">
        <v>10151</v>
      </c>
      <c r="B4837" s="2" t="s">
        <v>10151</v>
      </c>
      <c r="C4837" s="2" t="s">
        <v>34</v>
      </c>
      <c r="D4837" s="2" t="s">
        <v>35</v>
      </c>
      <c r="E4837" s="5">
        <v>-31490</v>
      </c>
      <c r="F4837" s="3" t="s">
        <v>2909</v>
      </c>
      <c r="G4837" s="3" t="s">
        <v>258</v>
      </c>
      <c r="H4837" s="2" t="s">
        <v>20</v>
      </c>
      <c r="I4837" s="2" t="s">
        <v>10156</v>
      </c>
      <c r="J4837" s="3" t="str">
        <f>HYPERLINK("https://www.boe.es/gazeta/dias/1813/10/12/pdfs/GMR-1813-57.pdf#page=12","Abrir facsímil")</f>
        <v>Abrir facsímil</v>
      </c>
      <c r="K4837" s="3" t="s">
        <v>22</v>
      </c>
    </row>
    <row r="4838" spans="1:11" ht="42" customHeight="1">
      <c r="A4838" s="2" t="s">
        <v>10157</v>
      </c>
      <c r="B4838" s="2" t="s">
        <v>10158</v>
      </c>
      <c r="C4838" s="2" t="s">
        <v>109</v>
      </c>
      <c r="D4838" s="2" t="s">
        <v>26</v>
      </c>
      <c r="E4838" s="5">
        <v>-31556</v>
      </c>
      <c r="F4838" s="3" t="s">
        <v>976</v>
      </c>
      <c r="G4838" s="3" t="s">
        <v>5376</v>
      </c>
      <c r="H4838" s="2" t="s">
        <v>20</v>
      </c>
      <c r="I4838" s="2" t="s">
        <v>10159</v>
      </c>
      <c r="J4838" s="3" t="str">
        <f>HYPERLINK("https://www.boe.es/gazeta/dias/1813/08/07/pdfs/GRE-1813-100.pdf#page=8","Abrir facsímil")</f>
        <v>Abrir facsímil</v>
      </c>
      <c r="K4838" s="3" t="s">
        <v>22</v>
      </c>
    </row>
    <row r="4839" spans="1:11" ht="42" customHeight="1">
      <c r="A4839" s="2" t="s">
        <v>10160</v>
      </c>
      <c r="B4839" s="2" t="s">
        <v>10161</v>
      </c>
      <c r="C4839" s="2" t="s">
        <v>187</v>
      </c>
      <c r="D4839" s="2" t="s">
        <v>26</v>
      </c>
      <c r="E4839" s="5">
        <v>-31567</v>
      </c>
      <c r="F4839" s="3" t="s">
        <v>820</v>
      </c>
      <c r="G4839" s="3" t="s">
        <v>313</v>
      </c>
      <c r="H4839" s="2" t="s">
        <v>20</v>
      </c>
      <c r="I4839" s="2" t="s">
        <v>10162</v>
      </c>
      <c r="J4839" s="3" t="str">
        <f>HYPERLINK("https://www.boe.es/gazeta/dias/1813/07/27/pdfs/GMR-1813-21.pdf#page=9","Abrir facsímil")</f>
        <v>Abrir facsímil</v>
      </c>
      <c r="K4839" s="3" t="s">
        <v>22</v>
      </c>
    </row>
    <row r="4840" spans="1:11" ht="42" customHeight="1">
      <c r="A4840" s="2" t="s">
        <v>10163</v>
      </c>
      <c r="B4840" s="2" t="s">
        <v>10163</v>
      </c>
      <c r="C4840" s="2" t="s">
        <v>34</v>
      </c>
      <c r="D4840" s="2" t="s">
        <v>35</v>
      </c>
      <c r="E4840" s="5">
        <v>-31719</v>
      </c>
      <c r="F4840" s="3" t="s">
        <v>251</v>
      </c>
      <c r="G4840" s="3" t="s">
        <v>19</v>
      </c>
      <c r="H4840" s="2" t="s">
        <v>20</v>
      </c>
      <c r="I4840" s="2" t="s">
        <v>10164</v>
      </c>
      <c r="J4840" s="3" t="str">
        <f>HYPERLINK("https://www.boe.es/gazeta/dias/1813/02/25/pdfs/GMD-1813-56.pdf#page=4","Abrir facsímil")</f>
        <v>Abrir facsímil</v>
      </c>
      <c r="K4840" s="3" t="s">
        <v>22</v>
      </c>
    </row>
    <row r="4841" spans="1:11" ht="42" customHeight="1">
      <c r="A4841" s="2" t="s">
        <v>10165</v>
      </c>
      <c r="B4841" s="2" t="s">
        <v>10166</v>
      </c>
      <c r="C4841" s="2" t="s">
        <v>25</v>
      </c>
      <c r="D4841" s="2" t="s">
        <v>26</v>
      </c>
      <c r="E4841" s="5">
        <v>-31752</v>
      </c>
      <c r="F4841" s="3" t="s">
        <v>182</v>
      </c>
      <c r="G4841" s="3" t="s">
        <v>183</v>
      </c>
      <c r="H4841" s="2" t="s">
        <v>20</v>
      </c>
      <c r="I4841" s="2" t="s">
        <v>10167</v>
      </c>
      <c r="J4841" s="3" t="str">
        <f>HYPERLINK("https://www.boe.es/gazeta/dias/1813/01/23/pdfs/GRE-1813-10.pdf#page=8","Abrir facsímil")</f>
        <v>Abrir facsímil</v>
      </c>
      <c r="K4841" s="3" t="s">
        <v>22</v>
      </c>
    </row>
    <row r="4842" spans="1:11" ht="42" customHeight="1">
      <c r="A4842" s="2" t="s">
        <v>10168</v>
      </c>
      <c r="B4842" s="2" t="s">
        <v>10169</v>
      </c>
      <c r="C4842" s="2" t="s">
        <v>187</v>
      </c>
      <c r="D4842" s="2" t="s">
        <v>26</v>
      </c>
      <c r="E4842" s="5">
        <v>-31669</v>
      </c>
      <c r="F4842" s="3" t="s">
        <v>1570</v>
      </c>
      <c r="G4842" s="3" t="s">
        <v>65</v>
      </c>
      <c r="H4842" s="2" t="s">
        <v>20</v>
      </c>
      <c r="I4842" s="2" t="s">
        <v>10170</v>
      </c>
      <c r="J4842" s="3" t="str">
        <f>HYPERLINK("https://www.boe.es/gazeta/dias/1813/04/16/pdfs/GMD-1813-106.pdf#page=1","Abrir facsímil")</f>
        <v>Abrir facsímil</v>
      </c>
      <c r="K4842" s="3" t="s">
        <v>22</v>
      </c>
    </row>
    <row r="4843" spans="1:11" ht="42" customHeight="1">
      <c r="A4843" s="2" t="s">
        <v>10171</v>
      </c>
      <c r="B4843" s="2" t="s">
        <v>10172</v>
      </c>
      <c r="C4843" s="2" t="s">
        <v>435</v>
      </c>
      <c r="D4843" s="2" t="s">
        <v>26</v>
      </c>
      <c r="E4843" s="5">
        <v>-31497</v>
      </c>
      <c r="F4843" s="3" t="s">
        <v>1457</v>
      </c>
      <c r="G4843" s="3" t="s">
        <v>28</v>
      </c>
      <c r="H4843" s="2" t="s">
        <v>20</v>
      </c>
      <c r="I4843" s="2" t="s">
        <v>10173</v>
      </c>
      <c r="J4843" s="3" t="str">
        <f>HYPERLINK("https://www.boe.es/gazeta/dias/1813/10/05/pdfs/GMR-1813-54.pdf#page=8","Abrir facsímil")</f>
        <v>Abrir facsímil</v>
      </c>
      <c r="K4843" s="3" t="s">
        <v>22</v>
      </c>
    </row>
    <row r="4844" spans="1:11" ht="42" customHeight="1">
      <c r="A4844" s="2" t="s">
        <v>10174</v>
      </c>
      <c r="B4844" s="2" t="s">
        <v>10175</v>
      </c>
      <c r="C4844" s="2" t="s">
        <v>25</v>
      </c>
      <c r="D4844" s="2" t="s">
        <v>26</v>
      </c>
      <c r="E4844" s="5">
        <v>-31745</v>
      </c>
      <c r="F4844" s="3" t="s">
        <v>445</v>
      </c>
      <c r="G4844" s="3" t="s">
        <v>28</v>
      </c>
      <c r="H4844" s="2" t="s">
        <v>20</v>
      </c>
      <c r="I4844" s="2" t="s">
        <v>10176</v>
      </c>
      <c r="J4844" s="3" t="str">
        <f>HYPERLINK("https://www.boe.es/gazeta/dias/1813/01/30/pdfs/GRE-1813-13.pdf#page=8","Abrir facsímil")</f>
        <v>Abrir facsímil</v>
      </c>
      <c r="K4844" s="3" t="s">
        <v>22</v>
      </c>
    </row>
    <row r="4845" spans="1:11" ht="42" customHeight="1">
      <c r="A4845" s="2" t="s">
        <v>10177</v>
      </c>
      <c r="B4845" s="2" t="s">
        <v>10178</v>
      </c>
      <c r="C4845" s="2" t="s">
        <v>25</v>
      </c>
      <c r="D4845" s="2" t="s">
        <v>26</v>
      </c>
      <c r="E4845" s="5">
        <v>-31598</v>
      </c>
      <c r="F4845" s="3" t="s">
        <v>286</v>
      </c>
      <c r="G4845" s="3" t="s">
        <v>95</v>
      </c>
      <c r="H4845" s="2" t="s">
        <v>20</v>
      </c>
      <c r="I4845" s="2" t="s">
        <v>10179</v>
      </c>
      <c r="J4845" s="3" t="str">
        <f>HYPERLINK("https://www.boe.es/gazeta/dias/1813/06/26/pdfs/GRE-1813-79.pdf#page=6","Abrir facsímil")</f>
        <v>Abrir facsímil</v>
      </c>
      <c r="K4845" s="3" t="s">
        <v>22</v>
      </c>
    </row>
    <row r="4846" spans="1:11" ht="42" customHeight="1">
      <c r="A4846" s="2" t="s">
        <v>10180</v>
      </c>
      <c r="B4846" s="2" t="s">
        <v>10181</v>
      </c>
      <c r="C4846" s="2" t="s">
        <v>16</v>
      </c>
      <c r="D4846" s="2" t="s">
        <v>17</v>
      </c>
      <c r="E4846" s="5">
        <v>-31738</v>
      </c>
      <c r="F4846" s="3" t="s">
        <v>556</v>
      </c>
      <c r="G4846" s="3" t="s">
        <v>28</v>
      </c>
      <c r="H4846" s="2" t="s">
        <v>20</v>
      </c>
      <c r="I4846" s="2" t="s">
        <v>10182</v>
      </c>
      <c r="J4846" s="3" t="str">
        <f>HYPERLINK("https://www.boe.es/gazeta/dias/1813/02/06/pdfs/GRE-1813-16.pdf#page=8","Abrir facsímil")</f>
        <v>Abrir facsímil</v>
      </c>
      <c r="K4846" s="3" t="s">
        <v>22</v>
      </c>
    </row>
    <row r="4847" spans="1:11" ht="42" customHeight="1">
      <c r="A4847" s="2" t="s">
        <v>10183</v>
      </c>
      <c r="B4847" s="2" t="s">
        <v>10184</v>
      </c>
      <c r="C4847" s="2" t="s">
        <v>16</v>
      </c>
      <c r="D4847" s="2" t="s">
        <v>17</v>
      </c>
      <c r="E4847" s="5">
        <v>-31691</v>
      </c>
      <c r="F4847" s="3" t="s">
        <v>1542</v>
      </c>
      <c r="G4847" s="3" t="s">
        <v>9542</v>
      </c>
      <c r="H4847" s="2" t="s">
        <v>20</v>
      </c>
      <c r="I4847" s="2" t="s">
        <v>10185</v>
      </c>
      <c r="J4847" s="3" t="str">
        <f>HYPERLINK("https://www.boe.es/gazeta/dias/1813/03/25/pdfs/GRE-1813-37.pdf#page=7","Abrir facsímil")</f>
        <v>Abrir facsímil</v>
      </c>
      <c r="K4847" s="3" t="s">
        <v>22</v>
      </c>
    </row>
    <row r="4848" spans="1:11" ht="42" customHeight="1">
      <c r="A4848" s="2" t="s">
        <v>10186</v>
      </c>
      <c r="B4848" s="2" t="s">
        <v>10187</v>
      </c>
      <c r="C4848" s="2" t="s">
        <v>34</v>
      </c>
      <c r="D4848" s="2" t="s">
        <v>35</v>
      </c>
      <c r="E4848" s="5">
        <v>-31571</v>
      </c>
      <c r="F4848" s="3" t="s">
        <v>788</v>
      </c>
      <c r="G4848" s="3" t="s">
        <v>58</v>
      </c>
      <c r="H4848" s="2" t="s">
        <v>29</v>
      </c>
      <c r="I4848" s="2" t="s">
        <v>10188</v>
      </c>
      <c r="J4848" s="3" t="str">
        <f>HYPERLINK("https://www.boe.es/gazeta/dias/1813/07/23/pdfs/GMR-1813-20.pdf#page=2","Abrir facsímil")</f>
        <v>Abrir facsímil</v>
      </c>
      <c r="K4848" s="3" t="s">
        <v>31</v>
      </c>
    </row>
    <row r="4849" spans="1:11" ht="42" customHeight="1">
      <c r="A4849" s="2" t="s">
        <v>10189</v>
      </c>
      <c r="B4849" s="2" t="s">
        <v>10189</v>
      </c>
      <c r="C4849" s="2" t="s">
        <v>16</v>
      </c>
      <c r="D4849" s="2" t="s">
        <v>17</v>
      </c>
      <c r="E4849" s="5">
        <v>-31549</v>
      </c>
      <c r="F4849" s="3" t="s">
        <v>294</v>
      </c>
      <c r="G4849" s="3" t="s">
        <v>54</v>
      </c>
      <c r="H4849" s="2" t="s">
        <v>20</v>
      </c>
      <c r="I4849" s="2" t="s">
        <v>10190</v>
      </c>
      <c r="J4849" s="3" t="str">
        <f>HYPERLINK("https://www.boe.es/gazeta/dias/1813/08/14/pdfs/GRE-1813-103.pdf#page=3","Abrir facsímil")</f>
        <v>Abrir facsímil</v>
      </c>
      <c r="K4849" s="3" t="s">
        <v>22</v>
      </c>
    </row>
    <row r="4850" spans="1:11" ht="42" customHeight="1">
      <c r="A4850" s="2" t="s">
        <v>10191</v>
      </c>
      <c r="B4850" s="2" t="s">
        <v>10192</v>
      </c>
      <c r="C4850" s="2" t="s">
        <v>16</v>
      </c>
      <c r="D4850" s="2" t="s">
        <v>17</v>
      </c>
      <c r="E4850" s="5">
        <v>-31726</v>
      </c>
      <c r="F4850" s="3" t="s">
        <v>533</v>
      </c>
      <c r="G4850" s="3" t="s">
        <v>1377</v>
      </c>
      <c r="H4850" s="2" t="s">
        <v>20</v>
      </c>
      <c r="I4850" s="2" t="s">
        <v>10193</v>
      </c>
      <c r="J4850" s="3" t="str">
        <f>HYPERLINK("https://www.boe.es/gazeta/dias/1813/02/18/pdfs/GRE-1813-21.pdf#page=3","Abrir facsímil")</f>
        <v>Abrir facsímil</v>
      </c>
      <c r="K4850" s="3" t="s">
        <v>22</v>
      </c>
    </row>
    <row r="4851" spans="1:11" ht="42" customHeight="1">
      <c r="A4851" s="2" t="s">
        <v>10194</v>
      </c>
      <c r="B4851" s="2" t="s">
        <v>10194</v>
      </c>
      <c r="C4851" s="2" t="s">
        <v>16</v>
      </c>
      <c r="D4851" s="2" t="s">
        <v>17</v>
      </c>
      <c r="E4851" s="5">
        <v>-31646</v>
      </c>
      <c r="F4851" s="3" t="s">
        <v>1523</v>
      </c>
      <c r="G4851" s="3" t="s">
        <v>65</v>
      </c>
      <c r="H4851" s="2" t="s">
        <v>20</v>
      </c>
      <c r="I4851" s="2" t="s">
        <v>10195</v>
      </c>
      <c r="J4851" s="3" t="str">
        <f>HYPERLINK("https://www.boe.es/gazeta/dias/1813/05/09/pdfs/GMD-1813-129.pdf#page=1","Abrir facsímil")</f>
        <v>Abrir facsímil</v>
      </c>
      <c r="K4851" s="3" t="s">
        <v>22</v>
      </c>
    </row>
    <row r="4852" spans="1:11" ht="42" customHeight="1">
      <c r="A4852" s="2" t="s">
        <v>10194</v>
      </c>
      <c r="B4852" s="2" t="s">
        <v>10194</v>
      </c>
      <c r="C4852" s="2" t="s">
        <v>16</v>
      </c>
      <c r="D4852" s="2" t="s">
        <v>17</v>
      </c>
      <c r="E4852" s="5">
        <v>-31629</v>
      </c>
      <c r="F4852" s="3" t="s">
        <v>1146</v>
      </c>
      <c r="G4852" s="3" t="s">
        <v>65</v>
      </c>
      <c r="H4852" s="2" t="s">
        <v>20</v>
      </c>
      <c r="I4852" s="2" t="s">
        <v>10196</v>
      </c>
      <c r="J4852" s="3" t="str">
        <f>HYPERLINK("https://www.boe.es/gazeta/dias/1813/05/26/pdfs/GMD-1813-146.pdf#page=1","Abrir facsímil")</f>
        <v>Abrir facsímil</v>
      </c>
      <c r="K4852" s="3" t="s">
        <v>22</v>
      </c>
    </row>
    <row r="4853" spans="1:11" ht="42" customHeight="1">
      <c r="A4853" s="2" t="s">
        <v>10197</v>
      </c>
      <c r="B4853" s="2" t="s">
        <v>10198</v>
      </c>
      <c r="C4853" s="2" t="s">
        <v>34</v>
      </c>
      <c r="D4853" s="2" t="s">
        <v>35</v>
      </c>
      <c r="E4853" s="5">
        <v>-31537</v>
      </c>
      <c r="F4853" s="3" t="s">
        <v>138</v>
      </c>
      <c r="G4853" s="3" t="s">
        <v>95</v>
      </c>
      <c r="H4853" s="2" t="s">
        <v>20</v>
      </c>
      <c r="I4853" s="2" t="s">
        <v>10199</v>
      </c>
      <c r="J4853" s="3" t="str">
        <f>HYPERLINK("https://www.boe.es/gazeta/dias/1813/08/26/pdfs/GMR-1813-33.pdf#page=6","Abrir facsímil")</f>
        <v>Abrir facsímil</v>
      </c>
      <c r="K4853" s="3" t="s">
        <v>22</v>
      </c>
    </row>
    <row r="4854" spans="1:11" ht="42" customHeight="1">
      <c r="A4854" s="2" t="s">
        <v>10200</v>
      </c>
      <c r="B4854" s="2" t="s">
        <v>10201</v>
      </c>
      <c r="C4854" s="2" t="s">
        <v>34</v>
      </c>
      <c r="D4854" s="2" t="s">
        <v>35</v>
      </c>
      <c r="E4854" s="5">
        <v>-31546</v>
      </c>
      <c r="F4854" s="3" t="s">
        <v>461</v>
      </c>
      <c r="G4854" s="3" t="s">
        <v>87</v>
      </c>
      <c r="H4854" s="2" t="s">
        <v>20</v>
      </c>
      <c r="I4854" s="2" t="s">
        <v>10202</v>
      </c>
      <c r="J4854" s="3" t="str">
        <f>HYPERLINK("https://www.boe.es/gazeta/dias/1813/08/17/pdfs/GMR-1813-29.pdf#page=7","Abrir facsímil")</f>
        <v>Abrir facsímil</v>
      </c>
      <c r="K4854" s="3" t="s">
        <v>22</v>
      </c>
    </row>
    <row r="4855" spans="1:11" ht="42" customHeight="1">
      <c r="A4855" s="2" t="s">
        <v>10203</v>
      </c>
      <c r="B4855" s="2" t="s">
        <v>10204</v>
      </c>
      <c r="C4855" s="2" t="s">
        <v>34</v>
      </c>
      <c r="D4855" s="2" t="s">
        <v>35</v>
      </c>
      <c r="E4855" s="5">
        <v>-31521</v>
      </c>
      <c r="F4855" s="3" t="s">
        <v>1282</v>
      </c>
      <c r="G4855" s="3" t="s">
        <v>207</v>
      </c>
      <c r="H4855" s="2" t="s">
        <v>20</v>
      </c>
      <c r="I4855" s="2" t="s">
        <v>10205</v>
      </c>
      <c r="J4855" s="3" t="str">
        <f>HYPERLINK("https://www.boe.es/gazeta/dias/1813/09/11/pdfs/GMR-1813-41.pdf#page=10","Abrir facsímil")</f>
        <v>Abrir facsímil</v>
      </c>
      <c r="K4855" s="3" t="s">
        <v>22</v>
      </c>
    </row>
    <row r="4856" spans="1:11" ht="42" customHeight="1">
      <c r="A4856" s="2" t="s">
        <v>10206</v>
      </c>
      <c r="B4856" s="2" t="s">
        <v>10207</v>
      </c>
      <c r="C4856" s="2" t="s">
        <v>34</v>
      </c>
      <c r="D4856" s="2" t="s">
        <v>35</v>
      </c>
      <c r="E4856" s="5">
        <v>-31430</v>
      </c>
      <c r="F4856" s="3" t="s">
        <v>1161</v>
      </c>
      <c r="G4856" s="3" t="s">
        <v>87</v>
      </c>
      <c r="H4856" s="2" t="s">
        <v>20</v>
      </c>
      <c r="I4856" s="2" t="s">
        <v>10208</v>
      </c>
      <c r="J4856" s="3" t="str">
        <f>HYPERLINK("https://www.boe.es/gazeta/dias/1813/12/11/pdfs/GMR-1813-86.pdf#page=7","Abrir facsímil")</f>
        <v>Abrir facsímil</v>
      </c>
      <c r="K4856" s="3" t="s">
        <v>22</v>
      </c>
    </row>
    <row r="4857" spans="1:11" ht="42" customHeight="1">
      <c r="A4857" s="2" t="s">
        <v>10209</v>
      </c>
      <c r="B4857" s="2" t="s">
        <v>10210</v>
      </c>
      <c r="C4857" s="2" t="s">
        <v>25</v>
      </c>
      <c r="D4857" s="2" t="s">
        <v>26</v>
      </c>
      <c r="E4857" s="5">
        <v>-31542</v>
      </c>
      <c r="F4857" s="3" t="s">
        <v>347</v>
      </c>
      <c r="G4857" s="3" t="s">
        <v>87</v>
      </c>
      <c r="H4857" s="2" t="s">
        <v>20</v>
      </c>
      <c r="I4857" s="2" t="s">
        <v>10211</v>
      </c>
      <c r="J4857" s="3" t="str">
        <f>HYPERLINK("https://www.boe.es/gazeta/dias/1813/08/21/pdfs/GMR-1813-31.pdf#page=7","Abrir facsímil")</f>
        <v>Abrir facsímil</v>
      </c>
      <c r="K4857" s="3" t="s">
        <v>22</v>
      </c>
    </row>
    <row r="4858" spans="1:11" ht="42" customHeight="1">
      <c r="A4858" s="2" t="s">
        <v>10212</v>
      </c>
      <c r="B4858" s="2" t="s">
        <v>10213</v>
      </c>
      <c r="C4858" s="2" t="s">
        <v>34</v>
      </c>
      <c r="D4858" s="2" t="s">
        <v>35</v>
      </c>
      <c r="E4858" s="5">
        <v>-31430</v>
      </c>
      <c r="F4858" s="3" t="s">
        <v>1161</v>
      </c>
      <c r="G4858" s="3" t="s">
        <v>87</v>
      </c>
      <c r="H4858" s="2" t="s">
        <v>20</v>
      </c>
      <c r="I4858" s="2" t="s">
        <v>10214</v>
      </c>
      <c r="J4858" s="3" t="str">
        <f>HYPERLINK("https://www.boe.es/gazeta/dias/1813/12/11/pdfs/GMR-1813-86.pdf#page=7","Abrir facsímil")</f>
        <v>Abrir facsímil</v>
      </c>
      <c r="K4858" s="3" t="s">
        <v>22</v>
      </c>
    </row>
    <row r="4859" spans="1:11" ht="42" customHeight="1">
      <c r="A4859" s="2" t="s">
        <v>10215</v>
      </c>
      <c r="B4859" s="2" t="s">
        <v>10216</v>
      </c>
      <c r="C4859" s="2" t="s">
        <v>16</v>
      </c>
      <c r="D4859" s="2" t="s">
        <v>17</v>
      </c>
      <c r="E4859" s="5">
        <v>-31559</v>
      </c>
      <c r="F4859" s="3" t="s">
        <v>1485</v>
      </c>
      <c r="G4859" s="3" t="s">
        <v>1486</v>
      </c>
      <c r="H4859" s="2" t="s">
        <v>20</v>
      </c>
      <c r="I4859" s="2" t="s">
        <v>10217</v>
      </c>
      <c r="J4859" s="3" t="str">
        <f>HYPERLINK("https://www.boe.es/gazeta/dias/1813/08/04/pdfs/GRE-1813-113.pdf#page=8","Abrir facsímil")</f>
        <v>Abrir facsímil</v>
      </c>
      <c r="K4859" s="3" t="s">
        <v>22</v>
      </c>
    </row>
    <row r="4860" spans="1:11" ht="42" customHeight="1">
      <c r="A4860" s="2" t="s">
        <v>10215</v>
      </c>
      <c r="B4860" s="2" t="s">
        <v>10216</v>
      </c>
      <c r="C4860" s="2" t="s">
        <v>16</v>
      </c>
      <c r="D4860" s="2" t="s">
        <v>17</v>
      </c>
      <c r="E4860" s="5">
        <v>-31528</v>
      </c>
      <c r="F4860" s="3" t="s">
        <v>1485</v>
      </c>
      <c r="G4860" s="3" t="s">
        <v>1486</v>
      </c>
      <c r="H4860" s="2" t="s">
        <v>20</v>
      </c>
      <c r="I4860" s="2" t="s">
        <v>10217</v>
      </c>
      <c r="J4860" s="3" t="str">
        <f>HYPERLINK("https://www.boe.es/gazeta/dias/1813/09/04/pdfs/GRE-1813-113.pdf#page=8","Abrir facsímil")</f>
        <v>Abrir facsímil</v>
      </c>
      <c r="K4860" s="3" t="s">
        <v>22</v>
      </c>
    </row>
    <row r="4861" spans="1:11" ht="42" customHeight="1">
      <c r="A4861" s="2" t="s">
        <v>10218</v>
      </c>
      <c r="B4861" s="2" t="s">
        <v>10219</v>
      </c>
      <c r="C4861" s="2" t="s">
        <v>34</v>
      </c>
      <c r="D4861" s="2" t="s">
        <v>35</v>
      </c>
      <c r="E4861" s="5">
        <v>-31719</v>
      </c>
      <c r="F4861" s="3" t="s">
        <v>251</v>
      </c>
      <c r="G4861" s="3" t="s">
        <v>19</v>
      </c>
      <c r="H4861" s="2" t="s">
        <v>20</v>
      </c>
      <c r="I4861" s="2" t="s">
        <v>10220</v>
      </c>
      <c r="J4861" s="3" t="str">
        <f>HYPERLINK("https://www.boe.es/gazeta/dias/1813/02/25/pdfs/GMD-1813-56.pdf#page=4","Abrir facsímil")</f>
        <v>Abrir facsímil</v>
      </c>
      <c r="K4861" s="3" t="s">
        <v>22</v>
      </c>
    </row>
    <row r="4862" spans="1:11" ht="42" customHeight="1">
      <c r="A4862" s="2" t="s">
        <v>10221</v>
      </c>
      <c r="B4862" s="2" t="s">
        <v>10221</v>
      </c>
      <c r="C4862" s="2" t="s">
        <v>16</v>
      </c>
      <c r="D4862" s="2" t="s">
        <v>17</v>
      </c>
      <c r="E4862" s="5">
        <v>-31756</v>
      </c>
      <c r="F4862" s="3" t="s">
        <v>951</v>
      </c>
      <c r="G4862" s="3" t="s">
        <v>952</v>
      </c>
      <c r="H4862" s="2" t="s">
        <v>20</v>
      </c>
      <c r="I4862" s="2" t="s">
        <v>10222</v>
      </c>
      <c r="J4862" s="3" t="str">
        <f>HYPERLINK("https://www.boe.es/gazeta/dias/1813/01/19/pdfs/GRE-1813-8.pdf#page=5","Abrir facsímil")</f>
        <v>Abrir facsímil</v>
      </c>
      <c r="K4862" s="3" t="s">
        <v>22</v>
      </c>
    </row>
    <row r="4863" spans="1:11" ht="42" customHeight="1">
      <c r="A4863" s="2" t="s">
        <v>10221</v>
      </c>
      <c r="B4863" s="2" t="s">
        <v>10221</v>
      </c>
      <c r="C4863" s="2" t="s">
        <v>6059</v>
      </c>
      <c r="D4863" s="2" t="s">
        <v>35</v>
      </c>
      <c r="E4863" s="5">
        <v>-31689</v>
      </c>
      <c r="F4863" s="3" t="s">
        <v>48</v>
      </c>
      <c r="G4863" s="3" t="s">
        <v>49</v>
      </c>
      <c r="H4863" s="2" t="s">
        <v>20</v>
      </c>
      <c r="I4863" s="2" t="s">
        <v>10223</v>
      </c>
      <c r="J4863" s="3" t="str">
        <f>HYPERLINK("https://www.boe.es/gazeta/dias/1813/03/27/pdfs/GRE-1813-38.pdf#page=7","Abrir facsímil")</f>
        <v>Abrir facsímil</v>
      </c>
      <c r="K4863" s="3" t="s">
        <v>22</v>
      </c>
    </row>
    <row r="4864" spans="1:11" ht="42" customHeight="1">
      <c r="A4864" s="2" t="s">
        <v>10221</v>
      </c>
      <c r="B4864" s="2" t="s">
        <v>10221</v>
      </c>
      <c r="C4864" s="2" t="s">
        <v>25</v>
      </c>
      <c r="D4864" s="2" t="s">
        <v>26</v>
      </c>
      <c r="E4864" s="5">
        <v>-31689</v>
      </c>
      <c r="F4864" s="3" t="s">
        <v>48</v>
      </c>
      <c r="G4864" s="3" t="s">
        <v>162</v>
      </c>
      <c r="H4864" s="2" t="s">
        <v>20</v>
      </c>
      <c r="I4864" s="2" t="s">
        <v>10224</v>
      </c>
      <c r="J4864" s="3" t="str">
        <f>HYPERLINK("https://www.boe.es/gazeta/dias/1813/03/27/pdfs/GRE-1813-38.pdf#page=8","Abrir facsímil")</f>
        <v>Abrir facsímil</v>
      </c>
      <c r="K4864" s="3" t="s">
        <v>22</v>
      </c>
    </row>
    <row r="4865" spans="1:11" ht="42" customHeight="1">
      <c r="A4865" s="2" t="s">
        <v>10221</v>
      </c>
      <c r="B4865" s="2" t="s">
        <v>10221</v>
      </c>
      <c r="C4865" s="2" t="s">
        <v>25</v>
      </c>
      <c r="D4865" s="2" t="s">
        <v>26</v>
      </c>
      <c r="E4865" s="5">
        <v>-31677</v>
      </c>
      <c r="F4865" s="3" t="s">
        <v>76</v>
      </c>
      <c r="G4865" s="3" t="s">
        <v>28</v>
      </c>
      <c r="H4865" s="2" t="s">
        <v>20</v>
      </c>
      <c r="I4865" s="2" t="s">
        <v>10225</v>
      </c>
      <c r="J4865" s="3" t="str">
        <f>HYPERLINK("https://www.boe.es/gazeta/dias/1813/04/08/pdfs/GRE-1813-43.pdf#page=8","Abrir facsímil")</f>
        <v>Abrir facsímil</v>
      </c>
      <c r="K4865" s="3" t="s">
        <v>22</v>
      </c>
    </row>
    <row r="4866" spans="1:11" ht="42" customHeight="1">
      <c r="A4866" s="2" t="s">
        <v>10226</v>
      </c>
      <c r="B4866" s="2" t="s">
        <v>10227</v>
      </c>
      <c r="C4866" s="2" t="s">
        <v>16</v>
      </c>
      <c r="D4866" s="2" t="s">
        <v>17</v>
      </c>
      <c r="E4866" s="5">
        <v>-31488</v>
      </c>
      <c r="F4866" s="3" t="s">
        <v>2370</v>
      </c>
      <c r="G4866" s="3" t="s">
        <v>19</v>
      </c>
      <c r="H4866" s="2" t="s">
        <v>20</v>
      </c>
      <c r="I4866" s="2" t="s">
        <v>10228</v>
      </c>
      <c r="J4866" s="3" t="str">
        <f>HYPERLINK("https://www.boe.es/gazeta/dias/1813/10/14/pdfs/GMR-1813-59.pdf#page=4","Abrir facsímil")</f>
        <v>Abrir facsímil</v>
      </c>
      <c r="K4866" s="3" t="s">
        <v>22</v>
      </c>
    </row>
    <row r="4867" spans="1:11" ht="42" customHeight="1">
      <c r="A4867" s="2" t="s">
        <v>10229</v>
      </c>
      <c r="B4867" s="2" t="s">
        <v>10230</v>
      </c>
      <c r="C4867" s="2" t="s">
        <v>25</v>
      </c>
      <c r="D4867" s="2" t="s">
        <v>26</v>
      </c>
      <c r="E4867" s="5">
        <v>-31752</v>
      </c>
      <c r="F4867" s="3" t="s">
        <v>182</v>
      </c>
      <c r="G4867" s="3" t="s">
        <v>183</v>
      </c>
      <c r="H4867" s="2" t="s">
        <v>20</v>
      </c>
      <c r="I4867" s="2" t="s">
        <v>10231</v>
      </c>
      <c r="J4867" s="3" t="str">
        <f>HYPERLINK("https://www.boe.es/gazeta/dias/1813/01/23/pdfs/GRE-1813-10.pdf#page=8","Abrir facsímil")</f>
        <v>Abrir facsímil</v>
      </c>
      <c r="K4867" s="3" t="s">
        <v>22</v>
      </c>
    </row>
    <row r="4868" spans="1:11" ht="42" customHeight="1">
      <c r="A4868" s="2" t="s">
        <v>10232</v>
      </c>
      <c r="B4868" s="2" t="s">
        <v>10233</v>
      </c>
      <c r="C4868" s="2" t="s">
        <v>16</v>
      </c>
      <c r="D4868" s="2" t="s">
        <v>17</v>
      </c>
      <c r="E4868" s="5">
        <v>-31710</v>
      </c>
      <c r="F4868" s="3" t="s">
        <v>2689</v>
      </c>
      <c r="G4868" s="3" t="s">
        <v>2690</v>
      </c>
      <c r="H4868" s="2" t="s">
        <v>29</v>
      </c>
      <c r="I4868" s="2" t="s">
        <v>10234</v>
      </c>
      <c r="J4868" s="3" t="str">
        <f>HYPERLINK("https://www.boe.es/gazeta/dias/1813/03/06/pdfs/GRE-1813-29.pdf#page=4","Abrir facsímil")</f>
        <v>Abrir facsímil</v>
      </c>
      <c r="K4868" s="3" t="s">
        <v>31</v>
      </c>
    </row>
    <row r="4869" spans="1:11" ht="42" customHeight="1">
      <c r="A4869" s="2" t="s">
        <v>10235</v>
      </c>
      <c r="B4869" s="2" t="s">
        <v>10236</v>
      </c>
      <c r="C4869" s="2" t="s">
        <v>16</v>
      </c>
      <c r="D4869" s="2" t="s">
        <v>17</v>
      </c>
      <c r="E4869" s="5">
        <v>-31570</v>
      </c>
      <c r="F4869" s="3" t="s">
        <v>1803</v>
      </c>
      <c r="G4869" s="3" t="s">
        <v>54</v>
      </c>
      <c r="H4869" s="2" t="s">
        <v>20</v>
      </c>
      <c r="I4869" s="2" t="s">
        <v>10237</v>
      </c>
      <c r="J4869" s="3" t="str">
        <f>HYPERLINK("https://www.boe.es/gazeta/dias/1813/07/24/pdfs/GRE-1813-94.pdf#page=3","Abrir facsímil")</f>
        <v>Abrir facsímil</v>
      </c>
      <c r="K4869" s="3" t="s">
        <v>22</v>
      </c>
    </row>
    <row r="4870" spans="1:11" ht="42" customHeight="1">
      <c r="A4870" s="2" t="s">
        <v>10238</v>
      </c>
      <c r="B4870" s="2" t="s">
        <v>10239</v>
      </c>
      <c r="C4870" s="2" t="s">
        <v>16</v>
      </c>
      <c r="D4870" s="2" t="s">
        <v>17</v>
      </c>
      <c r="E4870" s="5">
        <v>-31686</v>
      </c>
      <c r="F4870" s="3" t="s">
        <v>372</v>
      </c>
      <c r="G4870" s="3" t="s">
        <v>28</v>
      </c>
      <c r="H4870" s="2" t="s">
        <v>29</v>
      </c>
      <c r="I4870" s="2" t="s">
        <v>10240</v>
      </c>
      <c r="J4870" s="3" t="str">
        <f>HYPERLINK("https://www.boe.es/gazeta/dias/1813/03/30/pdfs/GRE-1813-39.pdf#page=8","Abrir facsímil")</f>
        <v>Abrir facsímil</v>
      </c>
      <c r="K4870" s="3" t="s">
        <v>31</v>
      </c>
    </row>
    <row r="4871" spans="1:11" ht="42" customHeight="1">
      <c r="A4871" s="2" t="s">
        <v>10241</v>
      </c>
      <c r="B4871" s="2" t="s">
        <v>10242</v>
      </c>
      <c r="C4871" s="2" t="s">
        <v>34</v>
      </c>
      <c r="D4871" s="2" t="s">
        <v>35</v>
      </c>
      <c r="E4871" s="5">
        <v>-31721</v>
      </c>
      <c r="F4871" s="3" t="s">
        <v>5009</v>
      </c>
      <c r="G4871" s="3" t="s">
        <v>19</v>
      </c>
      <c r="H4871" s="2" t="s">
        <v>20</v>
      </c>
      <c r="I4871" s="2" t="s">
        <v>10243</v>
      </c>
      <c r="J4871" s="3" t="str">
        <f>HYPERLINK("https://www.boe.es/gazeta/dias/1813/02/23/pdfs/GMD-1813-54.pdf#page=4","Abrir facsímil")</f>
        <v>Abrir facsímil</v>
      </c>
      <c r="K4871" s="3" t="s">
        <v>22</v>
      </c>
    </row>
    <row r="4872" spans="1:11" ht="42" customHeight="1">
      <c r="A4872" s="2" t="s">
        <v>10241</v>
      </c>
      <c r="B4872" s="2" t="s">
        <v>10242</v>
      </c>
      <c r="C4872" s="2" t="s">
        <v>16</v>
      </c>
      <c r="D4872" s="2" t="s">
        <v>17</v>
      </c>
      <c r="E4872" s="5">
        <v>-31665</v>
      </c>
      <c r="F4872" s="3" t="s">
        <v>396</v>
      </c>
      <c r="G4872" s="3" t="s">
        <v>95</v>
      </c>
      <c r="H4872" s="2" t="s">
        <v>20</v>
      </c>
      <c r="I4872" s="2" t="s">
        <v>10244</v>
      </c>
      <c r="J4872" s="3" t="str">
        <f>HYPERLINK("https://www.boe.es/gazeta/dias/1813/04/20/pdfs/GRE-1813-49.pdf#page=6","Abrir facsímil")</f>
        <v>Abrir facsímil</v>
      </c>
      <c r="K4872" s="3" t="s">
        <v>22</v>
      </c>
    </row>
    <row r="4873" spans="1:11" ht="42" customHeight="1">
      <c r="A4873" s="2" t="s">
        <v>10241</v>
      </c>
      <c r="B4873" s="2" t="s">
        <v>10242</v>
      </c>
      <c r="C4873" s="2" t="s">
        <v>16</v>
      </c>
      <c r="D4873" s="2" t="s">
        <v>17</v>
      </c>
      <c r="E4873" s="5">
        <v>-31654</v>
      </c>
      <c r="F4873" s="3" t="s">
        <v>1519</v>
      </c>
      <c r="G4873" s="3" t="s">
        <v>7549</v>
      </c>
      <c r="H4873" s="2" t="s">
        <v>20</v>
      </c>
      <c r="I4873" s="2" t="s">
        <v>10245</v>
      </c>
      <c r="J4873" s="3" t="str">
        <f>HYPERLINK("https://www.boe.es/gazeta/dias/1813/05/01/pdfs/GRE-1813-54.pdf#page=8","Abrir facsímil")</f>
        <v>Abrir facsímil</v>
      </c>
      <c r="K4873" s="3" t="s">
        <v>22</v>
      </c>
    </row>
    <row r="4874" spans="1:11" ht="42" customHeight="1">
      <c r="A4874" s="2" t="s">
        <v>10241</v>
      </c>
      <c r="B4874" s="2" t="s">
        <v>10242</v>
      </c>
      <c r="C4874" s="2" t="s">
        <v>16</v>
      </c>
      <c r="D4874" s="2" t="s">
        <v>17</v>
      </c>
      <c r="E4874" s="5">
        <v>-31651</v>
      </c>
      <c r="F4874" s="3" t="s">
        <v>579</v>
      </c>
      <c r="G4874" s="3" t="s">
        <v>10246</v>
      </c>
      <c r="H4874" s="2" t="s">
        <v>20</v>
      </c>
      <c r="I4874" s="2" t="s">
        <v>10247</v>
      </c>
      <c r="J4874" s="3" t="str">
        <f>HYPERLINK("https://www.boe.es/gazeta/dias/1813/05/04/pdfs/GRE-1813-55.pdf#page=7","Abrir facsímil")</f>
        <v>Abrir facsímil</v>
      </c>
      <c r="K4874" s="3" t="s">
        <v>22</v>
      </c>
    </row>
    <row r="4875" spans="1:11" ht="42" customHeight="1">
      <c r="A4875" s="2" t="s">
        <v>10241</v>
      </c>
      <c r="B4875" s="2" t="s">
        <v>10242</v>
      </c>
      <c r="C4875" s="2" t="s">
        <v>16</v>
      </c>
      <c r="D4875" s="2" t="s">
        <v>17</v>
      </c>
      <c r="E4875" s="5">
        <v>-31651</v>
      </c>
      <c r="F4875" s="3" t="s">
        <v>579</v>
      </c>
      <c r="G4875" s="3" t="s">
        <v>759</v>
      </c>
      <c r="H4875" s="2" t="s">
        <v>20</v>
      </c>
      <c r="I4875" s="2" t="s">
        <v>10248</v>
      </c>
      <c r="J4875" s="3" t="str">
        <f>HYPERLINK("https://www.boe.es/gazeta/dias/1813/05/04/pdfs/GRE-1813-55.pdf#page=8","Abrir facsímil")</f>
        <v>Abrir facsímil</v>
      </c>
      <c r="K4875" s="3" t="s">
        <v>22</v>
      </c>
    </row>
    <row r="4876" spans="1:11" ht="42" customHeight="1">
      <c r="A4876" s="2" t="s">
        <v>10241</v>
      </c>
      <c r="B4876" s="2" t="s">
        <v>10242</v>
      </c>
      <c r="C4876" s="2" t="s">
        <v>16</v>
      </c>
      <c r="D4876" s="2" t="s">
        <v>17</v>
      </c>
      <c r="E4876" s="5">
        <v>-31602</v>
      </c>
      <c r="F4876" s="3" t="s">
        <v>2117</v>
      </c>
      <c r="G4876" s="3" t="s">
        <v>3006</v>
      </c>
      <c r="H4876" s="2" t="s">
        <v>20</v>
      </c>
      <c r="I4876" s="2" t="s">
        <v>10249</v>
      </c>
      <c r="J4876" s="3" t="str">
        <f>HYPERLINK("https://www.boe.es/gazeta/dias/1813/06/22/pdfs/GMR-1813-9.pdf#page=15","Abrir facsímil")</f>
        <v>Abrir facsímil</v>
      </c>
      <c r="K4876" s="3" t="s">
        <v>22</v>
      </c>
    </row>
    <row r="4877" spans="1:11" ht="42" customHeight="1">
      <c r="A4877" s="2" t="s">
        <v>10241</v>
      </c>
      <c r="B4877" s="2" t="s">
        <v>10242</v>
      </c>
      <c r="C4877" s="2" t="s">
        <v>69</v>
      </c>
      <c r="D4877" s="2" t="s">
        <v>26</v>
      </c>
      <c r="E4877" s="5">
        <v>-31595</v>
      </c>
      <c r="F4877" s="3" t="s">
        <v>70</v>
      </c>
      <c r="G4877" s="3" t="s">
        <v>71</v>
      </c>
      <c r="H4877" s="2" t="s">
        <v>20</v>
      </c>
      <c r="I4877" s="2" t="s">
        <v>10250</v>
      </c>
      <c r="J4877" s="3" t="str">
        <f>HYPERLINK("https://www.boe.es/gazeta/dias/1813/06/29/pdfs/GMR-1813-13.pdf#page=16","Abrir facsímil")</f>
        <v>Abrir facsímil</v>
      </c>
      <c r="K4877" s="3" t="s">
        <v>22</v>
      </c>
    </row>
    <row r="4878" spans="1:11" ht="42" customHeight="1">
      <c r="A4878" s="2" t="s">
        <v>10241</v>
      </c>
      <c r="B4878" s="2" t="s">
        <v>10242</v>
      </c>
      <c r="C4878" s="2" t="s">
        <v>187</v>
      </c>
      <c r="D4878" s="2" t="s">
        <v>26</v>
      </c>
      <c r="E4878" s="5">
        <v>-31560</v>
      </c>
      <c r="F4878" s="3" t="s">
        <v>1233</v>
      </c>
      <c r="G4878" s="3" t="s">
        <v>28</v>
      </c>
      <c r="H4878" s="2" t="s">
        <v>20</v>
      </c>
      <c r="I4878" s="2" t="s">
        <v>10251</v>
      </c>
      <c r="J4878" s="3" t="str">
        <f>HYPERLINK("https://www.boe.es/gazeta/dias/1813/08/03/pdfs/GMR-1813-23.pdf#page=8","Abrir facsímil")</f>
        <v>Abrir facsímil</v>
      </c>
      <c r="K4878" s="3" t="s">
        <v>22</v>
      </c>
    </row>
    <row r="4879" spans="1:11" ht="42" customHeight="1">
      <c r="A4879" s="2" t="s">
        <v>10241</v>
      </c>
      <c r="B4879" s="2" t="s">
        <v>10242</v>
      </c>
      <c r="C4879" s="2" t="s">
        <v>16</v>
      </c>
      <c r="D4879" s="2" t="s">
        <v>17</v>
      </c>
      <c r="E4879" s="5">
        <v>-31544</v>
      </c>
      <c r="F4879" s="3" t="s">
        <v>44</v>
      </c>
      <c r="G4879" s="3" t="s">
        <v>28</v>
      </c>
      <c r="H4879" s="2" t="s">
        <v>20</v>
      </c>
      <c r="I4879" s="2" t="s">
        <v>10252</v>
      </c>
      <c r="J4879" s="3" t="str">
        <f>HYPERLINK("https://www.boe.es/gazeta/dias/1813/08/19/pdfs/GMR-1813-30.pdf#page=8","Abrir facsímil")</f>
        <v>Abrir facsímil</v>
      </c>
      <c r="K4879" s="3" t="s">
        <v>22</v>
      </c>
    </row>
    <row r="4880" spans="1:11" ht="42" customHeight="1">
      <c r="A4880" s="2" t="s">
        <v>10241</v>
      </c>
      <c r="B4880" s="2" t="s">
        <v>10242</v>
      </c>
      <c r="C4880" s="2" t="s">
        <v>16</v>
      </c>
      <c r="D4880" s="2" t="s">
        <v>17</v>
      </c>
      <c r="E4880" s="5">
        <v>-31516</v>
      </c>
      <c r="F4880" s="3" t="s">
        <v>246</v>
      </c>
      <c r="G4880" s="3" t="s">
        <v>19</v>
      </c>
      <c r="H4880" s="2" t="s">
        <v>20</v>
      </c>
      <c r="I4880" s="2" t="s">
        <v>10253</v>
      </c>
      <c r="J4880" s="3" t="str">
        <f>HYPERLINK("https://www.boe.es/gazeta/dias/1813/09/16/pdfs/GMR-1813-43.pdf#page=4","Abrir facsímil")</f>
        <v>Abrir facsímil</v>
      </c>
      <c r="K4880" s="3" t="s">
        <v>22</v>
      </c>
    </row>
    <row r="4881" spans="1:11" ht="42" customHeight="1">
      <c r="A4881" s="2" t="s">
        <v>10241</v>
      </c>
      <c r="B4881" s="2" t="s">
        <v>10242</v>
      </c>
      <c r="C4881" s="2" t="s">
        <v>16</v>
      </c>
      <c r="D4881" s="2" t="s">
        <v>17</v>
      </c>
      <c r="E4881" s="5">
        <v>-31507</v>
      </c>
      <c r="F4881" s="3" t="s">
        <v>2294</v>
      </c>
      <c r="G4881" s="3" t="s">
        <v>19</v>
      </c>
      <c r="H4881" s="2" t="s">
        <v>20</v>
      </c>
      <c r="I4881" s="2" t="s">
        <v>10254</v>
      </c>
      <c r="J4881" s="3" t="str">
        <f>HYPERLINK("https://www.boe.es/gazeta/dias/1813/09/25/pdfs/GRE-1813-126.pdf#page=4","Abrir facsímil")</f>
        <v>Abrir facsímil</v>
      </c>
      <c r="K4881" s="3" t="s">
        <v>22</v>
      </c>
    </row>
    <row r="4882" spans="1:11" ht="42" customHeight="1">
      <c r="A4882" s="2" t="s">
        <v>10241</v>
      </c>
      <c r="B4882" s="2" t="s">
        <v>10242</v>
      </c>
      <c r="C4882" s="2" t="s">
        <v>187</v>
      </c>
      <c r="D4882" s="2" t="s">
        <v>26</v>
      </c>
      <c r="E4882" s="5">
        <v>-31504</v>
      </c>
      <c r="F4882" s="3" t="s">
        <v>1361</v>
      </c>
      <c r="G4882" s="3" t="s">
        <v>28</v>
      </c>
      <c r="H4882" s="2" t="s">
        <v>20</v>
      </c>
      <c r="I4882" s="2" t="s">
        <v>10255</v>
      </c>
      <c r="J4882" s="3" t="str">
        <f>HYPERLINK("https://www.boe.es/gazeta/dias/1813/09/28/pdfs/GMR-1813-50.pdf#page=8","Abrir facsímil")</f>
        <v>Abrir facsímil</v>
      </c>
      <c r="K4882" s="3" t="s">
        <v>22</v>
      </c>
    </row>
    <row r="4883" spans="1:11" ht="42" customHeight="1">
      <c r="A4883" s="2" t="s">
        <v>10256</v>
      </c>
      <c r="B4883" s="2" t="s">
        <v>10257</v>
      </c>
      <c r="C4883" s="2" t="s">
        <v>16</v>
      </c>
      <c r="D4883" s="2" t="s">
        <v>17</v>
      </c>
      <c r="E4883" s="5">
        <v>-31455</v>
      </c>
      <c r="F4883" s="3" t="s">
        <v>6184</v>
      </c>
      <c r="G4883" s="3" t="s">
        <v>87</v>
      </c>
      <c r="H4883" s="2" t="s">
        <v>20</v>
      </c>
      <c r="I4883" s="2" t="s">
        <v>10258</v>
      </c>
      <c r="J4883" s="3" t="str">
        <f>HYPERLINK("https://www.boe.es/gazeta/dias/1813/11/16/pdfs/GMR-1813-74.pdf#page=7","Abrir facsímil")</f>
        <v>Abrir facsímil</v>
      </c>
      <c r="K4883" s="3" t="s">
        <v>22</v>
      </c>
    </row>
    <row r="4884" spans="1:11" ht="42" customHeight="1">
      <c r="A4884" s="2" t="s">
        <v>10259</v>
      </c>
      <c r="B4884" s="2" t="s">
        <v>10260</v>
      </c>
      <c r="C4884" s="2" t="s">
        <v>25</v>
      </c>
      <c r="D4884" s="2" t="s">
        <v>26</v>
      </c>
      <c r="E4884" s="5">
        <v>-31630</v>
      </c>
      <c r="F4884" s="3" t="s">
        <v>1324</v>
      </c>
      <c r="G4884" s="3" t="s">
        <v>3155</v>
      </c>
      <c r="H4884" s="2" t="s">
        <v>20</v>
      </c>
      <c r="I4884" s="2" t="s">
        <v>10261</v>
      </c>
      <c r="J4884" s="3" t="str">
        <f>HYPERLINK("https://www.boe.es/gazeta/dias/1813/05/25/pdfs/GRE-1813-64.pdf#page=8","Abrir facsímil")</f>
        <v>Abrir facsímil</v>
      </c>
      <c r="K4884" s="3" t="s">
        <v>22</v>
      </c>
    </row>
    <row r="4885" spans="1:11" ht="42" customHeight="1">
      <c r="A4885" s="2" t="s">
        <v>10262</v>
      </c>
      <c r="B4885" s="2" t="s">
        <v>10262</v>
      </c>
      <c r="C4885" s="2" t="s">
        <v>34</v>
      </c>
      <c r="D4885" s="2" t="s">
        <v>35</v>
      </c>
      <c r="E4885" s="5">
        <v>-31472</v>
      </c>
      <c r="F4885" s="3" t="s">
        <v>143</v>
      </c>
      <c r="G4885" s="3" t="s">
        <v>998</v>
      </c>
      <c r="H4885" s="2" t="s">
        <v>20</v>
      </c>
      <c r="I4885" s="2" t="s">
        <v>10263</v>
      </c>
      <c r="J4885" s="3" t="str">
        <f>HYPERLINK("https://www.boe.es/gazeta/dias/1813/10/30/pdfs/GMR-1813-66.pdf#page=6","Abrir facsímil")</f>
        <v>Abrir facsímil</v>
      </c>
      <c r="K4885" s="3" t="s">
        <v>22</v>
      </c>
    </row>
    <row r="4886" spans="1:11" ht="42" customHeight="1">
      <c r="A4886" s="2" t="s">
        <v>10262</v>
      </c>
      <c r="B4886" s="2" t="s">
        <v>10262</v>
      </c>
      <c r="C4886" s="2" t="s">
        <v>435</v>
      </c>
      <c r="D4886" s="2" t="s">
        <v>26</v>
      </c>
      <c r="E4886" s="5">
        <v>-31472</v>
      </c>
      <c r="F4886" s="3" t="s">
        <v>143</v>
      </c>
      <c r="G4886" s="3" t="s">
        <v>940</v>
      </c>
      <c r="H4886" s="2" t="s">
        <v>20</v>
      </c>
      <c r="I4886" s="2" t="s">
        <v>10264</v>
      </c>
      <c r="J4886" s="3" t="str">
        <f>HYPERLINK("https://www.boe.es/gazeta/dias/1813/10/30/pdfs/GMR-1813-66.pdf#page=8","Abrir facsímil")</f>
        <v>Abrir facsímil</v>
      </c>
      <c r="K4886" s="3" t="s">
        <v>22</v>
      </c>
    </row>
    <row r="4887" spans="1:11" ht="42" customHeight="1">
      <c r="A4887" s="2" t="s">
        <v>10262</v>
      </c>
      <c r="B4887" s="2" t="s">
        <v>10262</v>
      </c>
      <c r="C4887" s="2" t="s">
        <v>25</v>
      </c>
      <c r="D4887" s="2" t="s">
        <v>26</v>
      </c>
      <c r="E4887" s="5">
        <v>-31472</v>
      </c>
      <c r="F4887" s="3" t="s">
        <v>143</v>
      </c>
      <c r="G4887" s="3" t="s">
        <v>82</v>
      </c>
      <c r="H4887" s="2" t="s">
        <v>20</v>
      </c>
      <c r="I4887" s="2" t="s">
        <v>10265</v>
      </c>
      <c r="J4887" s="3" t="str">
        <f>HYPERLINK("https://www.boe.es/gazeta/dias/1813/10/30/pdfs/GMR-1813-66.pdf#page=5","Abrir facsímil")</f>
        <v>Abrir facsímil</v>
      </c>
      <c r="K4887" s="3" t="s">
        <v>22</v>
      </c>
    </row>
    <row r="4888" spans="1:11" ht="42" customHeight="1">
      <c r="A4888" s="2" t="s">
        <v>10262</v>
      </c>
      <c r="B4888" s="2" t="s">
        <v>10262</v>
      </c>
      <c r="C4888" s="2" t="s">
        <v>435</v>
      </c>
      <c r="D4888" s="2" t="s">
        <v>26</v>
      </c>
      <c r="E4888" s="5">
        <v>-31472</v>
      </c>
      <c r="F4888" s="3" t="s">
        <v>143</v>
      </c>
      <c r="G4888" s="3" t="s">
        <v>87</v>
      </c>
      <c r="H4888" s="2" t="s">
        <v>20</v>
      </c>
      <c r="I4888" s="2" t="s">
        <v>10266</v>
      </c>
      <c r="J4888" s="3" t="str">
        <f>HYPERLINK("https://www.boe.es/gazeta/dias/1813/10/30/pdfs/GMR-1813-66.pdf#page=7","Abrir facsímil")</f>
        <v>Abrir facsímil</v>
      </c>
      <c r="K4888" s="3" t="s">
        <v>22</v>
      </c>
    </row>
    <row r="4889" spans="1:11" ht="42" customHeight="1">
      <c r="A4889" s="2" t="s">
        <v>10262</v>
      </c>
      <c r="B4889" s="2" t="s">
        <v>10262</v>
      </c>
      <c r="C4889" s="2" t="s">
        <v>435</v>
      </c>
      <c r="D4889" s="2" t="s">
        <v>26</v>
      </c>
      <c r="E4889" s="5">
        <v>-31453</v>
      </c>
      <c r="F4889" s="3" t="s">
        <v>887</v>
      </c>
      <c r="G4889" s="3" t="s">
        <v>929</v>
      </c>
      <c r="H4889" s="2" t="s">
        <v>20</v>
      </c>
      <c r="I4889" s="2" t="s">
        <v>10267</v>
      </c>
      <c r="J4889" s="3" t="str">
        <f>HYPERLINK("https://www.boe.es/gazeta/dias/1813/11/18/pdfs/GMR-1813-76.pdf#page=11","Abrir facsímil")</f>
        <v>Abrir facsímil</v>
      </c>
      <c r="K4889" s="3" t="s">
        <v>22</v>
      </c>
    </row>
    <row r="4890" spans="1:11" ht="42" customHeight="1">
      <c r="A4890" s="2" t="s">
        <v>10268</v>
      </c>
      <c r="B4890" s="2" t="s">
        <v>10269</v>
      </c>
      <c r="C4890" s="2" t="s">
        <v>34</v>
      </c>
      <c r="D4890" s="2" t="s">
        <v>35</v>
      </c>
      <c r="E4890" s="5">
        <v>-31709</v>
      </c>
      <c r="F4890" s="3" t="s">
        <v>36</v>
      </c>
      <c r="G4890" s="3" t="s">
        <v>19</v>
      </c>
      <c r="H4890" s="2" t="s">
        <v>20</v>
      </c>
      <c r="I4890" s="2" t="s">
        <v>10270</v>
      </c>
      <c r="J4890" s="3" t="str">
        <f>HYPERLINK("https://www.boe.es/gazeta/dias/1813/03/07/pdfs/GMD-1813-66.pdf#page=4","Abrir facsímil")</f>
        <v>Abrir facsímil</v>
      </c>
      <c r="K4890" s="3" t="s">
        <v>22</v>
      </c>
    </row>
    <row r="4891" spans="1:11" ht="42" customHeight="1">
      <c r="A4891" s="2" t="s">
        <v>10271</v>
      </c>
      <c r="B4891" s="2" t="s">
        <v>10272</v>
      </c>
      <c r="C4891" s="2" t="s">
        <v>25</v>
      </c>
      <c r="D4891" s="2" t="s">
        <v>26</v>
      </c>
      <c r="E4891" s="5">
        <v>-31481</v>
      </c>
      <c r="F4891" s="3" t="s">
        <v>40</v>
      </c>
      <c r="G4891" s="3" t="s">
        <v>28</v>
      </c>
      <c r="H4891" s="2" t="s">
        <v>20</v>
      </c>
      <c r="I4891" s="2" t="s">
        <v>10273</v>
      </c>
      <c r="J4891" s="3" t="str">
        <f>HYPERLINK("https://www.boe.es/gazeta/dias/1813/10/21/pdfs/GMR-1813-62.pdf#page=8","Abrir facsímil")</f>
        <v>Abrir facsímil</v>
      </c>
      <c r="K4891" s="3" t="s">
        <v>22</v>
      </c>
    </row>
    <row r="4892" spans="1:11" ht="42" customHeight="1">
      <c r="A4892" s="2" t="s">
        <v>10274</v>
      </c>
      <c r="B4892" s="2" t="s">
        <v>10275</v>
      </c>
      <c r="C4892" s="2" t="s">
        <v>25</v>
      </c>
      <c r="D4892" s="2" t="s">
        <v>26</v>
      </c>
      <c r="E4892" s="5">
        <v>-31745</v>
      </c>
      <c r="F4892" s="3" t="s">
        <v>445</v>
      </c>
      <c r="G4892" s="3" t="s">
        <v>28</v>
      </c>
      <c r="H4892" s="2" t="s">
        <v>20</v>
      </c>
      <c r="I4892" s="2" t="s">
        <v>10276</v>
      </c>
      <c r="J4892" s="3" t="str">
        <f>HYPERLINK("https://www.boe.es/gazeta/dias/1813/01/30/pdfs/GRE-1813-13.pdf#page=8","Abrir facsímil")</f>
        <v>Abrir facsímil</v>
      </c>
      <c r="K4892" s="3" t="s">
        <v>22</v>
      </c>
    </row>
    <row r="4893" spans="1:11" ht="42" customHeight="1">
      <c r="A4893" s="2" t="s">
        <v>10277</v>
      </c>
      <c r="B4893" s="2" t="s">
        <v>10278</v>
      </c>
      <c r="C4893" s="2" t="s">
        <v>34</v>
      </c>
      <c r="D4893" s="2" t="s">
        <v>35</v>
      </c>
      <c r="E4893" s="5">
        <v>-31584</v>
      </c>
      <c r="F4893" s="3" t="s">
        <v>114</v>
      </c>
      <c r="G4893" s="3" t="s">
        <v>28</v>
      </c>
      <c r="H4893" s="2" t="s">
        <v>20</v>
      </c>
      <c r="I4893" s="2" t="s">
        <v>10279</v>
      </c>
      <c r="J4893" s="3" t="str">
        <f>HYPERLINK("https://www.boe.es/gazeta/dias/1813/07/10/pdfs/GRE-1813-86.pdf#page=8","Abrir facsímil")</f>
        <v>Abrir facsímil</v>
      </c>
      <c r="K4893" s="3" t="s">
        <v>22</v>
      </c>
    </row>
    <row r="4894" spans="1:11" ht="42" customHeight="1">
      <c r="A4894" s="2" t="s">
        <v>10277</v>
      </c>
      <c r="B4894" s="2" t="s">
        <v>10278</v>
      </c>
      <c r="C4894" s="2" t="s">
        <v>34</v>
      </c>
      <c r="D4894" s="2" t="s">
        <v>35</v>
      </c>
      <c r="E4894" s="5">
        <v>-31549</v>
      </c>
      <c r="F4894" s="3" t="s">
        <v>332</v>
      </c>
      <c r="G4894" s="3" t="s">
        <v>19</v>
      </c>
      <c r="H4894" s="2" t="s">
        <v>20</v>
      </c>
      <c r="I4894" s="2" t="s">
        <v>10280</v>
      </c>
      <c r="J4894" s="3" t="str">
        <f>HYPERLINK("https://www.boe.es/gazeta/dias/1813/08/14/pdfs/GMR-1813-28.pdf#page=4","Abrir facsímil")</f>
        <v>Abrir facsímil</v>
      </c>
      <c r="K4894" s="3" t="s">
        <v>22</v>
      </c>
    </row>
    <row r="4895" spans="1:11" ht="42" customHeight="1">
      <c r="A4895" s="2" t="s">
        <v>10281</v>
      </c>
      <c r="B4895" s="2" t="s">
        <v>10282</v>
      </c>
      <c r="C4895" s="2" t="s">
        <v>34</v>
      </c>
      <c r="D4895" s="2" t="s">
        <v>35</v>
      </c>
      <c r="E4895" s="5">
        <v>-31425</v>
      </c>
      <c r="F4895" s="3" t="s">
        <v>1955</v>
      </c>
      <c r="G4895" s="3" t="s">
        <v>178</v>
      </c>
      <c r="H4895" s="2" t="s">
        <v>20</v>
      </c>
      <c r="I4895" s="2" t="s">
        <v>10283</v>
      </c>
      <c r="J4895" s="3" t="str">
        <f>HYPERLINK("https://www.boe.es/gazeta/dias/1813/12/16/pdfs/GMR-1813-88.pdf#page=11","Abrir facsímil")</f>
        <v>Abrir facsímil</v>
      </c>
      <c r="K4895" s="3" t="s">
        <v>22</v>
      </c>
    </row>
    <row r="4896" spans="1:11" ht="42" customHeight="1">
      <c r="A4896" s="2" t="s">
        <v>10284</v>
      </c>
      <c r="B4896" s="2" t="s">
        <v>10285</v>
      </c>
      <c r="C4896" s="2" t="s">
        <v>25</v>
      </c>
      <c r="D4896" s="2" t="s">
        <v>26</v>
      </c>
      <c r="E4896" s="5">
        <v>-31675</v>
      </c>
      <c r="F4896" s="3" t="s">
        <v>27</v>
      </c>
      <c r="G4896" s="3" t="s">
        <v>28</v>
      </c>
      <c r="H4896" s="2" t="s">
        <v>20</v>
      </c>
      <c r="I4896" s="2" t="s">
        <v>10286</v>
      </c>
      <c r="J4896" s="3" t="str">
        <f>HYPERLINK("https://www.boe.es/gazeta/dias/1813/04/10/pdfs/GRE-1813-44.pdf#page=8","Abrir facsímil")</f>
        <v>Abrir facsímil</v>
      </c>
      <c r="K4896" s="3" t="s">
        <v>22</v>
      </c>
    </row>
    <row r="4897" spans="1:11" ht="42" customHeight="1">
      <c r="A4897" s="2" t="s">
        <v>10287</v>
      </c>
      <c r="B4897" s="2" t="s">
        <v>10288</v>
      </c>
      <c r="C4897" s="2" t="s">
        <v>16</v>
      </c>
      <c r="D4897" s="2" t="s">
        <v>97</v>
      </c>
      <c r="E4897" s="5">
        <v>-31519</v>
      </c>
      <c r="F4897" s="3" t="s">
        <v>312</v>
      </c>
      <c r="G4897" s="3" t="s">
        <v>313</v>
      </c>
      <c r="H4897" s="2" t="s">
        <v>20</v>
      </c>
      <c r="I4897" s="2" t="s">
        <v>10289</v>
      </c>
      <c r="J4897" s="3" t="str">
        <f>HYPERLINK("https://www.boe.es/gazeta/dias/1813/09/13/pdfs/GRE-1813-118E.pdf#page=9","Abrir facsímil")</f>
        <v>Abrir facsímil</v>
      </c>
      <c r="K4897" s="3" t="s">
        <v>22</v>
      </c>
    </row>
    <row r="4898" spans="1:11" ht="42" customHeight="1">
      <c r="A4898" s="2" t="s">
        <v>10290</v>
      </c>
      <c r="B4898" s="2" t="s">
        <v>10291</v>
      </c>
      <c r="C4898" s="2" t="s">
        <v>16</v>
      </c>
      <c r="D4898" s="2" t="s">
        <v>17</v>
      </c>
      <c r="E4898" s="5">
        <v>-31539</v>
      </c>
      <c r="F4898" s="3" t="s">
        <v>1220</v>
      </c>
      <c r="G4898" s="3" t="s">
        <v>65</v>
      </c>
      <c r="H4898" s="2" t="s">
        <v>20</v>
      </c>
      <c r="I4898" s="2" t="s">
        <v>10292</v>
      </c>
      <c r="J4898" s="3" t="str">
        <f>HYPERLINK("https://www.boe.es/gazeta/dias/1813/08/24/pdfs/GRE-1813-108.pdf#page=1","Abrir facsímil")</f>
        <v>Abrir facsímil</v>
      </c>
      <c r="K4898" s="3" t="s">
        <v>22</v>
      </c>
    </row>
    <row r="4899" spans="1:11" ht="42" customHeight="1">
      <c r="A4899" s="2" t="s">
        <v>10293</v>
      </c>
      <c r="B4899" s="2" t="s">
        <v>10294</v>
      </c>
      <c r="C4899" s="2" t="s">
        <v>16</v>
      </c>
      <c r="D4899" s="2" t="s">
        <v>17</v>
      </c>
      <c r="E4899" s="5">
        <v>-31709</v>
      </c>
      <c r="F4899" s="3" t="s">
        <v>36</v>
      </c>
      <c r="G4899" s="3" t="s">
        <v>19</v>
      </c>
      <c r="H4899" s="2" t="s">
        <v>20</v>
      </c>
      <c r="I4899" s="2" t="s">
        <v>10295</v>
      </c>
      <c r="J4899" s="3" t="str">
        <f>HYPERLINK("https://www.boe.es/gazeta/dias/1813/03/07/pdfs/GMD-1813-66.pdf#page=4","Abrir facsímil")</f>
        <v>Abrir facsímil</v>
      </c>
      <c r="K4899" s="3" t="s">
        <v>22</v>
      </c>
    </row>
    <row r="4900" spans="1:11" ht="42" customHeight="1">
      <c r="A4900" s="2" t="s">
        <v>10293</v>
      </c>
      <c r="B4900" s="2" t="s">
        <v>10294</v>
      </c>
      <c r="C4900" s="2" t="s">
        <v>16</v>
      </c>
      <c r="D4900" s="2" t="s">
        <v>17</v>
      </c>
      <c r="E4900" s="5">
        <v>-31507</v>
      </c>
      <c r="F4900" s="3" t="s">
        <v>61</v>
      </c>
      <c r="G4900" s="3" t="s">
        <v>28</v>
      </c>
      <c r="H4900" s="2" t="s">
        <v>20</v>
      </c>
      <c r="I4900" s="2" t="s">
        <v>10296</v>
      </c>
      <c r="J4900" s="3" t="str">
        <f>HYPERLINK("https://www.boe.es/gazeta/dias/1813/09/25/pdfs/GMR-1813-48.pdf#page=8","Abrir facsímil")</f>
        <v>Abrir facsímil</v>
      </c>
      <c r="K4900" s="3" t="s">
        <v>22</v>
      </c>
    </row>
    <row r="4901" spans="1:11" ht="42" customHeight="1">
      <c r="A4901" s="2" t="s">
        <v>10297</v>
      </c>
      <c r="B4901" s="2" t="s">
        <v>10298</v>
      </c>
      <c r="C4901" s="2" t="s">
        <v>34</v>
      </c>
      <c r="D4901" s="2" t="s">
        <v>35</v>
      </c>
      <c r="E4901" s="5">
        <v>-31425</v>
      </c>
      <c r="F4901" s="3" t="s">
        <v>1955</v>
      </c>
      <c r="G4901" s="3" t="s">
        <v>178</v>
      </c>
      <c r="H4901" s="2" t="s">
        <v>20</v>
      </c>
      <c r="I4901" s="2" t="s">
        <v>10299</v>
      </c>
      <c r="J4901" s="3" t="str">
        <f>HYPERLINK("https://www.boe.es/gazeta/dias/1813/12/16/pdfs/GMR-1813-88.pdf#page=11","Abrir facsímil")</f>
        <v>Abrir facsímil</v>
      </c>
      <c r="K4901" s="3" t="s">
        <v>22</v>
      </c>
    </row>
    <row r="4902" spans="1:11" ht="42" customHeight="1">
      <c r="A4902" s="2" t="s">
        <v>10297</v>
      </c>
      <c r="B4902" s="2" t="s">
        <v>10298</v>
      </c>
      <c r="C4902" s="2" t="s">
        <v>16</v>
      </c>
      <c r="D4902" s="2" t="s">
        <v>17</v>
      </c>
      <c r="E4902" s="5">
        <v>-31416</v>
      </c>
      <c r="F4902" s="3" t="s">
        <v>278</v>
      </c>
      <c r="G4902" s="3" t="s">
        <v>207</v>
      </c>
      <c r="H4902" s="2" t="s">
        <v>20</v>
      </c>
      <c r="I4902" s="2" t="s">
        <v>10300</v>
      </c>
      <c r="J4902" s="3" t="str">
        <f>HYPERLINK("https://www.boe.es/gazeta/dias/1813/12/25/pdfs/GMR-1813-92.pdf#page=10","Abrir facsímil")</f>
        <v>Abrir facsímil</v>
      </c>
      <c r="K4902" s="3" t="s">
        <v>22</v>
      </c>
    </row>
    <row r="4903" spans="1:11" ht="42" customHeight="1">
      <c r="A4903" s="2" t="s">
        <v>10301</v>
      </c>
      <c r="B4903" s="2" t="s">
        <v>10302</v>
      </c>
      <c r="C4903" s="2" t="s">
        <v>16</v>
      </c>
      <c r="D4903" s="2" t="s">
        <v>97</v>
      </c>
      <c r="E4903" s="5">
        <v>-31519</v>
      </c>
      <c r="F4903" s="3" t="s">
        <v>312</v>
      </c>
      <c r="G4903" s="3" t="s">
        <v>28</v>
      </c>
      <c r="H4903" s="2" t="s">
        <v>20</v>
      </c>
      <c r="I4903" s="2" t="s">
        <v>10303</v>
      </c>
      <c r="J4903" s="3" t="str">
        <f>HYPERLINK("https://www.boe.es/gazeta/dias/1813/09/13/pdfs/GRE-1813-118E.pdf#page=8","Abrir facsímil")</f>
        <v>Abrir facsímil</v>
      </c>
      <c r="K4903" s="3" t="s">
        <v>22</v>
      </c>
    </row>
    <row r="4904" spans="1:11" ht="42" customHeight="1">
      <c r="A4904" s="2" t="s">
        <v>10301</v>
      </c>
      <c r="B4904" s="2" t="s">
        <v>10302</v>
      </c>
      <c r="C4904" s="2" t="s">
        <v>16</v>
      </c>
      <c r="D4904" s="2" t="s">
        <v>17</v>
      </c>
      <c r="E4904" s="5">
        <v>-31507</v>
      </c>
      <c r="F4904" s="3" t="s">
        <v>61</v>
      </c>
      <c r="G4904" s="3" t="s">
        <v>28</v>
      </c>
      <c r="H4904" s="2" t="s">
        <v>20</v>
      </c>
      <c r="I4904" s="2" t="s">
        <v>10304</v>
      </c>
      <c r="J4904" s="3" t="str">
        <f>HYPERLINK("https://www.boe.es/gazeta/dias/1813/09/25/pdfs/GMR-1813-48.pdf#page=8","Abrir facsímil")</f>
        <v>Abrir facsímil</v>
      </c>
      <c r="K4904" s="3" t="s">
        <v>22</v>
      </c>
    </row>
    <row r="4905" spans="1:11" ht="42" customHeight="1">
      <c r="A4905" s="2" t="s">
        <v>10305</v>
      </c>
      <c r="B4905" s="2" t="s">
        <v>10306</v>
      </c>
      <c r="C4905" s="2" t="s">
        <v>16</v>
      </c>
      <c r="D4905" s="2" t="s">
        <v>17</v>
      </c>
      <c r="E4905" s="5">
        <v>-31717</v>
      </c>
      <c r="F4905" s="3" t="s">
        <v>2338</v>
      </c>
      <c r="G4905" s="3" t="s">
        <v>2110</v>
      </c>
      <c r="H4905" s="2" t="s">
        <v>20</v>
      </c>
      <c r="I4905" s="2" t="s">
        <v>10307</v>
      </c>
      <c r="J4905" s="3" t="str">
        <f>HYPERLINK("https://www.boe.es/gazeta/dias/1813/02/27/pdfs/GRE-1813-25.pdf#page=4","Abrir facsímil")</f>
        <v>Abrir facsímil</v>
      </c>
      <c r="K4905" s="3" t="s">
        <v>22</v>
      </c>
    </row>
    <row r="4906" spans="1:11" ht="42" customHeight="1">
      <c r="A4906" s="2" t="s">
        <v>10308</v>
      </c>
      <c r="B4906" s="2" t="s">
        <v>10309</v>
      </c>
      <c r="C4906" s="2" t="s">
        <v>16</v>
      </c>
      <c r="D4906" s="2" t="s">
        <v>17</v>
      </c>
      <c r="E4906" s="5">
        <v>-31539</v>
      </c>
      <c r="F4906" s="3" t="s">
        <v>1220</v>
      </c>
      <c r="G4906" s="3" t="s">
        <v>58</v>
      </c>
      <c r="H4906" s="2" t="s">
        <v>20</v>
      </c>
      <c r="I4906" s="2" t="s">
        <v>10310</v>
      </c>
      <c r="J4906" s="3" t="str">
        <f>HYPERLINK("https://www.boe.es/gazeta/dias/1813/08/24/pdfs/GRE-1813-108.pdf#page=2","Abrir facsímil")</f>
        <v>Abrir facsímil</v>
      </c>
      <c r="K4906" s="3" t="s">
        <v>22</v>
      </c>
    </row>
    <row r="4907" spans="1:11" ht="42" customHeight="1">
      <c r="A4907" s="2" t="s">
        <v>10311</v>
      </c>
      <c r="B4907" s="2" t="s">
        <v>10312</v>
      </c>
      <c r="C4907" s="2" t="s">
        <v>16</v>
      </c>
      <c r="D4907" s="2" t="s">
        <v>17</v>
      </c>
      <c r="E4907" s="5">
        <v>-31754</v>
      </c>
      <c r="F4907" s="3" t="s">
        <v>899</v>
      </c>
      <c r="G4907" s="3" t="s">
        <v>900</v>
      </c>
      <c r="H4907" s="2" t="s">
        <v>20</v>
      </c>
      <c r="I4907" s="2" t="s">
        <v>10313</v>
      </c>
      <c r="J4907" s="3" t="str">
        <f>HYPERLINK("https://www.boe.es/gazeta/dias/1813/01/21/pdfs/GRE-1813-9.pdf#page=8","Abrir facsímil")</f>
        <v>Abrir facsímil</v>
      </c>
      <c r="K4907" s="3" t="s">
        <v>22</v>
      </c>
    </row>
    <row r="4908" spans="1:11" ht="42" customHeight="1">
      <c r="A4908" s="2" t="s">
        <v>10311</v>
      </c>
      <c r="B4908" s="2" t="s">
        <v>10312</v>
      </c>
      <c r="C4908" s="2" t="s">
        <v>16</v>
      </c>
      <c r="D4908" s="2" t="s">
        <v>97</v>
      </c>
      <c r="E4908" s="5">
        <v>-31479</v>
      </c>
      <c r="F4908" s="3" t="s">
        <v>290</v>
      </c>
      <c r="G4908" s="3" t="s">
        <v>207</v>
      </c>
      <c r="H4908" s="2" t="s">
        <v>20</v>
      </c>
      <c r="I4908" s="2" t="s">
        <v>10314</v>
      </c>
      <c r="J4908" s="3" t="str">
        <f>HYPERLINK("https://www.boe.es/gazeta/dias/1813/10/23/pdfs/GRE-1813-139E.pdf#page=10","Abrir facsímil")</f>
        <v>Abrir facsímil</v>
      </c>
      <c r="K4908" s="3" t="s">
        <v>22</v>
      </c>
    </row>
    <row r="4909" spans="1:11" ht="42" customHeight="1">
      <c r="A4909" s="2" t="s">
        <v>10311</v>
      </c>
      <c r="B4909" s="2" t="s">
        <v>10312</v>
      </c>
      <c r="C4909" s="2" t="s">
        <v>16</v>
      </c>
      <c r="D4909" s="2" t="s">
        <v>17</v>
      </c>
      <c r="E4909" s="5">
        <v>-31462</v>
      </c>
      <c r="F4909" s="3" t="s">
        <v>1028</v>
      </c>
      <c r="G4909" s="3" t="s">
        <v>258</v>
      </c>
      <c r="H4909" s="2" t="s">
        <v>20</v>
      </c>
      <c r="I4909" s="2" t="s">
        <v>10315</v>
      </c>
      <c r="J4909" s="3" t="str">
        <f>HYPERLINK("https://www.boe.es/gazeta/dias/1813/11/09/pdfs/GMR-1813-71.pdf#page=12","Abrir facsímil")</f>
        <v>Abrir facsímil</v>
      </c>
      <c r="K4909" s="3" t="s">
        <v>22</v>
      </c>
    </row>
    <row r="4910" spans="1:11" ht="42" customHeight="1">
      <c r="A4910" s="2" t="s">
        <v>10316</v>
      </c>
      <c r="B4910" s="2" t="s">
        <v>10317</v>
      </c>
      <c r="C4910" s="2" t="s">
        <v>34</v>
      </c>
      <c r="D4910" s="2" t="s">
        <v>35</v>
      </c>
      <c r="E4910" s="5">
        <v>-31709</v>
      </c>
      <c r="F4910" s="3" t="s">
        <v>36</v>
      </c>
      <c r="G4910" s="3" t="s">
        <v>303</v>
      </c>
      <c r="H4910" s="2" t="s">
        <v>20</v>
      </c>
      <c r="I4910" s="2" t="s">
        <v>10318</v>
      </c>
      <c r="J4910" s="3" t="str">
        <f>HYPERLINK("https://www.boe.es/gazeta/dias/1813/03/07/pdfs/GMD-1813-66.pdf#page=3","Abrir facsímil")</f>
        <v>Abrir facsímil</v>
      </c>
      <c r="K4910" s="3" t="s">
        <v>22</v>
      </c>
    </row>
    <row r="4911" spans="1:11" ht="42" customHeight="1">
      <c r="A4911" s="2" t="s">
        <v>10316</v>
      </c>
      <c r="B4911" s="2" t="s">
        <v>10317</v>
      </c>
      <c r="C4911" s="2" t="s">
        <v>34</v>
      </c>
      <c r="D4911" s="2" t="s">
        <v>35</v>
      </c>
      <c r="E4911" s="5">
        <v>-31709</v>
      </c>
      <c r="F4911" s="3" t="s">
        <v>36</v>
      </c>
      <c r="G4911" s="3" t="s">
        <v>19</v>
      </c>
      <c r="H4911" s="2" t="s">
        <v>20</v>
      </c>
      <c r="I4911" s="2" t="s">
        <v>10319</v>
      </c>
      <c r="J4911" s="3" t="str">
        <f>HYPERLINK("https://www.boe.es/gazeta/dias/1813/03/07/pdfs/GMD-1813-66.pdf#page=4","Abrir facsímil")</f>
        <v>Abrir facsímil</v>
      </c>
      <c r="K4911" s="3" t="s">
        <v>22</v>
      </c>
    </row>
    <row r="4912" spans="1:11" ht="42" customHeight="1">
      <c r="A4912" s="2" t="s">
        <v>10320</v>
      </c>
      <c r="B4912" s="2" t="s">
        <v>10321</v>
      </c>
      <c r="C4912" s="2" t="s">
        <v>34</v>
      </c>
      <c r="D4912" s="2" t="s">
        <v>35</v>
      </c>
      <c r="E4912" s="5">
        <v>-31719</v>
      </c>
      <c r="F4912" s="3" t="s">
        <v>251</v>
      </c>
      <c r="G4912" s="3" t="s">
        <v>19</v>
      </c>
      <c r="H4912" s="2" t="s">
        <v>20</v>
      </c>
      <c r="I4912" s="2" t="s">
        <v>10322</v>
      </c>
      <c r="J4912" s="3" t="str">
        <f>HYPERLINK("https://www.boe.es/gazeta/dias/1813/02/25/pdfs/GMD-1813-56.pdf#page=4","Abrir facsímil")</f>
        <v>Abrir facsímil</v>
      </c>
      <c r="K4912" s="3" t="s">
        <v>22</v>
      </c>
    </row>
    <row r="4913" spans="1:11" ht="42" customHeight="1">
      <c r="A4913" s="2" t="s">
        <v>10323</v>
      </c>
      <c r="B4913" s="2" t="s">
        <v>10324</v>
      </c>
      <c r="C4913" s="2" t="s">
        <v>16</v>
      </c>
      <c r="D4913" s="2" t="s">
        <v>17</v>
      </c>
      <c r="E4913" s="5">
        <v>-31481</v>
      </c>
      <c r="F4913" s="3" t="s">
        <v>40</v>
      </c>
      <c r="G4913" s="3" t="s">
        <v>28</v>
      </c>
      <c r="H4913" s="2" t="s">
        <v>20</v>
      </c>
      <c r="I4913" s="2" t="s">
        <v>10325</v>
      </c>
      <c r="J4913" s="3" t="str">
        <f>HYPERLINK("https://www.boe.es/gazeta/dias/1813/10/21/pdfs/GMR-1813-62.pdf#page=8","Abrir facsímil")</f>
        <v>Abrir facsímil</v>
      </c>
      <c r="K4913" s="3" t="s">
        <v>22</v>
      </c>
    </row>
    <row r="4914" spans="1:11" ht="42" customHeight="1">
      <c r="A4914" s="2" t="s">
        <v>10326</v>
      </c>
      <c r="B4914" s="2" t="s">
        <v>10327</v>
      </c>
      <c r="C4914" s="2" t="s">
        <v>16</v>
      </c>
      <c r="D4914" s="2" t="s">
        <v>17</v>
      </c>
      <c r="E4914" s="5">
        <v>-31709</v>
      </c>
      <c r="F4914" s="3" t="s">
        <v>36</v>
      </c>
      <c r="G4914" s="3" t="s">
        <v>58</v>
      </c>
      <c r="H4914" s="2" t="s">
        <v>20</v>
      </c>
      <c r="I4914" s="2" t="s">
        <v>10328</v>
      </c>
      <c r="J4914" s="3" t="str">
        <f>HYPERLINK("https://www.boe.es/gazeta/dias/1813/03/07/pdfs/GMD-1813-66.pdf#page=2","Abrir facsímil")</f>
        <v>Abrir facsímil</v>
      </c>
      <c r="K4914" s="3" t="s">
        <v>22</v>
      </c>
    </row>
    <row r="4915" spans="1:11" ht="42" customHeight="1">
      <c r="A4915" s="2" t="s">
        <v>10329</v>
      </c>
      <c r="B4915" s="2" t="s">
        <v>10330</v>
      </c>
      <c r="C4915" s="2" t="s">
        <v>16</v>
      </c>
      <c r="D4915" s="2" t="s">
        <v>17</v>
      </c>
      <c r="E4915" s="5">
        <v>-31518</v>
      </c>
      <c r="F4915" s="3" t="s">
        <v>155</v>
      </c>
      <c r="G4915" s="3" t="s">
        <v>19</v>
      </c>
      <c r="H4915" s="2" t="s">
        <v>20</v>
      </c>
      <c r="I4915" s="2" t="s">
        <v>10331</v>
      </c>
      <c r="J4915" s="3" t="str">
        <f>HYPERLINK("https://www.boe.es/gazeta/dias/1813/09/14/pdfs/GRE-1813-119.pdf#page=4","Abrir facsímil")</f>
        <v>Abrir facsímil</v>
      </c>
      <c r="K4915" s="3" t="s">
        <v>22</v>
      </c>
    </row>
    <row r="4916" spans="1:11" ht="42" customHeight="1">
      <c r="A4916" s="2" t="s">
        <v>10332</v>
      </c>
      <c r="B4916" s="2" t="s">
        <v>10333</v>
      </c>
      <c r="C4916" s="2" t="s">
        <v>34</v>
      </c>
      <c r="D4916" s="2" t="s">
        <v>35</v>
      </c>
      <c r="E4916" s="5">
        <v>-31514</v>
      </c>
      <c r="F4916" s="3" t="s">
        <v>2099</v>
      </c>
      <c r="G4916" s="3" t="s">
        <v>19</v>
      </c>
      <c r="H4916" s="2" t="s">
        <v>20</v>
      </c>
      <c r="I4916" s="2" t="s">
        <v>10334</v>
      </c>
      <c r="J4916" s="3" t="str">
        <f>HYPERLINK("https://www.boe.es/gazeta/dias/1813/09/18/pdfs/GMR-1813-45.pdf#page=4","Abrir facsímil")</f>
        <v>Abrir facsímil</v>
      </c>
      <c r="K4916" s="3" t="s">
        <v>22</v>
      </c>
    </row>
    <row r="4917" spans="1:11" ht="42" customHeight="1">
      <c r="A4917" s="2" t="s">
        <v>10335</v>
      </c>
      <c r="B4917" s="2" t="s">
        <v>10335</v>
      </c>
      <c r="C4917" s="2" t="s">
        <v>16</v>
      </c>
      <c r="D4917" s="2" t="s">
        <v>17</v>
      </c>
      <c r="E4917" s="5">
        <v>-31448</v>
      </c>
      <c r="F4917" s="3" t="s">
        <v>325</v>
      </c>
      <c r="G4917" s="3" t="s">
        <v>19</v>
      </c>
      <c r="H4917" s="2" t="s">
        <v>20</v>
      </c>
      <c r="I4917" s="2" t="s">
        <v>10336</v>
      </c>
      <c r="J4917" s="3" t="str">
        <f>HYPERLINK("https://www.boe.es/gazeta/dias/1813/11/23/pdfs/GMR-1813-78.pdf#page=4","Abrir facsímil")</f>
        <v>Abrir facsímil</v>
      </c>
      <c r="K4917" s="3" t="s">
        <v>22</v>
      </c>
    </row>
    <row r="4918" spans="1:11" ht="42" customHeight="1">
      <c r="A4918" s="2" t="s">
        <v>10337</v>
      </c>
      <c r="B4918" s="2" t="s">
        <v>10338</v>
      </c>
      <c r="C4918" s="2" t="s">
        <v>16</v>
      </c>
      <c r="D4918" s="2" t="s">
        <v>17</v>
      </c>
      <c r="E4918" s="5">
        <v>-31444</v>
      </c>
      <c r="F4918" s="3" t="s">
        <v>389</v>
      </c>
      <c r="G4918" s="3" t="s">
        <v>8486</v>
      </c>
      <c r="H4918" s="2" t="s">
        <v>20</v>
      </c>
      <c r="I4918" s="2" t="s">
        <v>10339</v>
      </c>
      <c r="J4918" s="3" t="str">
        <f>HYPERLINK("https://www.boe.es/gazeta/dias/1813/11/27/pdfs/GMR-1813-80.pdf#page=2","Abrir facsímil")</f>
        <v>Abrir facsímil</v>
      </c>
      <c r="K4918" s="3" t="s">
        <v>22</v>
      </c>
    </row>
    <row r="4919" spans="1:11" ht="42" customHeight="1">
      <c r="A4919" s="2" t="s">
        <v>10340</v>
      </c>
      <c r="B4919" s="2" t="s">
        <v>10340</v>
      </c>
      <c r="C4919" s="2" t="s">
        <v>16</v>
      </c>
      <c r="D4919" s="2" t="s">
        <v>17</v>
      </c>
      <c r="E4919" s="5">
        <v>-31756</v>
      </c>
      <c r="F4919" s="3" t="s">
        <v>951</v>
      </c>
      <c r="G4919" s="3" t="s">
        <v>6421</v>
      </c>
      <c r="H4919" s="2" t="s">
        <v>20</v>
      </c>
      <c r="I4919" s="2" t="s">
        <v>10341</v>
      </c>
      <c r="J4919" s="3" t="str">
        <f>HYPERLINK("https://www.boe.es/gazeta/dias/1813/01/19/pdfs/GRE-1813-8.pdf#page=3","Abrir facsímil")</f>
        <v>Abrir facsímil</v>
      </c>
      <c r="K4919" s="3" t="s">
        <v>22</v>
      </c>
    </row>
    <row r="4920" spans="1:11" ht="42" customHeight="1">
      <c r="A4920" s="2" t="s">
        <v>10342</v>
      </c>
      <c r="B4920" s="2" t="s">
        <v>10343</v>
      </c>
      <c r="C4920" s="2" t="s">
        <v>25</v>
      </c>
      <c r="D4920" s="2" t="s">
        <v>26</v>
      </c>
      <c r="E4920" s="5">
        <v>-31738</v>
      </c>
      <c r="F4920" s="3" t="s">
        <v>2045</v>
      </c>
      <c r="G4920" s="3" t="s">
        <v>65</v>
      </c>
      <c r="H4920" s="2" t="s">
        <v>20</v>
      </c>
      <c r="I4920" s="2" t="s">
        <v>10344</v>
      </c>
      <c r="J4920" s="3" t="str">
        <f>HYPERLINK("https://www.boe.es/gazeta/dias/1813/02/06/pdfs/GMD-1813-37.pdf#page=1","Abrir facsímil")</f>
        <v>Abrir facsímil</v>
      </c>
      <c r="K4920" s="3" t="s">
        <v>22</v>
      </c>
    </row>
    <row r="4921" spans="1:11" ht="42" customHeight="1">
      <c r="A4921" s="2" t="s">
        <v>10345</v>
      </c>
      <c r="B4921" s="2" t="s">
        <v>10346</v>
      </c>
      <c r="C4921" s="2" t="s">
        <v>16</v>
      </c>
      <c r="D4921" s="2" t="s">
        <v>17</v>
      </c>
      <c r="E4921" s="5">
        <v>-31559</v>
      </c>
      <c r="F4921" s="3" t="s">
        <v>1485</v>
      </c>
      <c r="G4921" s="3" t="s">
        <v>1486</v>
      </c>
      <c r="H4921" s="2" t="s">
        <v>20</v>
      </c>
      <c r="I4921" s="2" t="s">
        <v>10347</v>
      </c>
      <c r="J4921" s="3" t="str">
        <f>HYPERLINK("https://www.boe.es/gazeta/dias/1813/08/04/pdfs/GRE-1813-113.pdf#page=8","Abrir facsímil")</f>
        <v>Abrir facsímil</v>
      </c>
      <c r="K4921" s="3" t="s">
        <v>22</v>
      </c>
    </row>
    <row r="4922" spans="1:11" ht="42" customHeight="1">
      <c r="A4922" s="2" t="s">
        <v>10345</v>
      </c>
      <c r="B4922" s="2" t="s">
        <v>10346</v>
      </c>
      <c r="C4922" s="2" t="s">
        <v>16</v>
      </c>
      <c r="D4922" s="2" t="s">
        <v>17</v>
      </c>
      <c r="E4922" s="5">
        <v>-31528</v>
      </c>
      <c r="F4922" s="3" t="s">
        <v>1485</v>
      </c>
      <c r="G4922" s="3" t="s">
        <v>1486</v>
      </c>
      <c r="H4922" s="2" t="s">
        <v>20</v>
      </c>
      <c r="I4922" s="2" t="s">
        <v>10347</v>
      </c>
      <c r="J4922" s="3" t="str">
        <f>HYPERLINK("https://www.boe.es/gazeta/dias/1813/09/04/pdfs/GRE-1813-113.pdf#page=8","Abrir facsímil")</f>
        <v>Abrir facsímil</v>
      </c>
      <c r="K4922" s="3" t="s">
        <v>22</v>
      </c>
    </row>
    <row r="4923" spans="1:11" ht="42" customHeight="1">
      <c r="A4923" s="2" t="s">
        <v>10348</v>
      </c>
      <c r="B4923" s="2" t="s">
        <v>10349</v>
      </c>
      <c r="C4923" s="2" t="s">
        <v>16</v>
      </c>
      <c r="D4923" s="2" t="s">
        <v>17</v>
      </c>
      <c r="E4923" s="5">
        <v>-31504</v>
      </c>
      <c r="F4923" s="3" t="s">
        <v>1361</v>
      </c>
      <c r="G4923" s="3" t="s">
        <v>28</v>
      </c>
      <c r="H4923" s="2" t="s">
        <v>20</v>
      </c>
      <c r="I4923" s="2" t="s">
        <v>10350</v>
      </c>
      <c r="J4923" s="3" t="str">
        <f>HYPERLINK("https://www.boe.es/gazeta/dias/1813/09/28/pdfs/GMR-1813-50.pdf#page=8","Abrir facsímil")</f>
        <v>Abrir facsímil</v>
      </c>
      <c r="K4923" s="3" t="s">
        <v>22</v>
      </c>
    </row>
    <row r="4924" spans="1:11" ht="42" customHeight="1">
      <c r="A4924" s="2" t="s">
        <v>10351</v>
      </c>
      <c r="B4924" s="2" t="s">
        <v>10351</v>
      </c>
      <c r="C4924" s="2" t="s">
        <v>16</v>
      </c>
      <c r="D4924" s="2" t="s">
        <v>17</v>
      </c>
      <c r="E4924" s="5">
        <v>-31735</v>
      </c>
      <c r="F4924" s="3" t="s">
        <v>558</v>
      </c>
      <c r="G4924" s="3" t="s">
        <v>4591</v>
      </c>
      <c r="H4924" s="2" t="s">
        <v>20</v>
      </c>
      <c r="I4924" s="2" t="s">
        <v>10352</v>
      </c>
      <c r="J4924" s="3" t="str">
        <f>HYPERLINK("https://www.boe.es/gazeta/dias/1813/02/09/pdfs/GRE-1813-17.pdf#page=6","Abrir facsímil")</f>
        <v>Abrir facsímil</v>
      </c>
      <c r="K4924" s="3" t="s">
        <v>22</v>
      </c>
    </row>
    <row r="4925" spans="1:11" ht="42" customHeight="1">
      <c r="A4925" s="2" t="s">
        <v>10353</v>
      </c>
      <c r="B4925" s="2" t="s">
        <v>10353</v>
      </c>
      <c r="C4925" s="2" t="s">
        <v>16</v>
      </c>
      <c r="D4925" s="2" t="s">
        <v>17</v>
      </c>
      <c r="E4925" s="5">
        <v>-31504</v>
      </c>
      <c r="F4925" s="3" t="s">
        <v>1361</v>
      </c>
      <c r="G4925" s="3" t="s">
        <v>54</v>
      </c>
      <c r="H4925" s="2" t="s">
        <v>20</v>
      </c>
      <c r="I4925" s="2" t="s">
        <v>10354</v>
      </c>
      <c r="J4925" s="3" t="str">
        <f>HYPERLINK("https://www.boe.es/gazeta/dias/1813/09/28/pdfs/GMR-1813-50.pdf#page=3","Abrir facsímil")</f>
        <v>Abrir facsímil</v>
      </c>
      <c r="K4925" s="3" t="s">
        <v>22</v>
      </c>
    </row>
    <row r="4926" spans="1:11" ht="42" customHeight="1">
      <c r="A4926" s="2" t="s">
        <v>10353</v>
      </c>
      <c r="B4926" s="2" t="s">
        <v>10353</v>
      </c>
      <c r="C4926" s="2" t="s">
        <v>16</v>
      </c>
      <c r="D4926" s="2" t="s">
        <v>17</v>
      </c>
      <c r="E4926" s="5">
        <v>-31502</v>
      </c>
      <c r="F4926" s="3" t="s">
        <v>1363</v>
      </c>
      <c r="G4926" s="3" t="s">
        <v>82</v>
      </c>
      <c r="H4926" s="2" t="s">
        <v>20</v>
      </c>
      <c r="I4926" s="2" t="s">
        <v>10355</v>
      </c>
      <c r="J4926" s="3" t="str">
        <f>HYPERLINK("https://www.boe.es/gazeta/dias/1813/09/30/pdfs/GRE-1813-128.pdf#page=5","Abrir facsímil")</f>
        <v>Abrir facsímil</v>
      </c>
      <c r="K4926" s="3" t="s">
        <v>22</v>
      </c>
    </row>
    <row r="4927" spans="1:11" ht="42" customHeight="1">
      <c r="A4927" s="2" t="s">
        <v>10356</v>
      </c>
      <c r="B4927" s="2" t="s">
        <v>10356</v>
      </c>
      <c r="C4927" s="2" t="s">
        <v>16</v>
      </c>
      <c r="D4927" s="2" t="s">
        <v>17</v>
      </c>
      <c r="E4927" s="5">
        <v>-31726</v>
      </c>
      <c r="F4927" s="3" t="s">
        <v>533</v>
      </c>
      <c r="G4927" s="3" t="s">
        <v>3365</v>
      </c>
      <c r="H4927" s="2" t="s">
        <v>20</v>
      </c>
      <c r="I4927" s="2" t="s">
        <v>10357</v>
      </c>
      <c r="J4927" s="3" t="str">
        <f>HYPERLINK("https://www.boe.es/gazeta/dias/1813/02/18/pdfs/GRE-1813-21.pdf#page=2","Abrir facsímil")</f>
        <v>Abrir facsímil</v>
      </c>
      <c r="K4927" s="3" t="s">
        <v>22</v>
      </c>
    </row>
    <row r="4928" spans="1:11" ht="42" customHeight="1">
      <c r="A4928" s="2" t="s">
        <v>10356</v>
      </c>
      <c r="B4928" s="2" t="s">
        <v>10356</v>
      </c>
      <c r="C4928" s="2" t="s">
        <v>16</v>
      </c>
      <c r="D4928" s="2" t="s">
        <v>17</v>
      </c>
      <c r="E4928" s="5">
        <v>-31725</v>
      </c>
      <c r="F4928" s="3" t="s">
        <v>3928</v>
      </c>
      <c r="G4928" s="3" t="s">
        <v>65</v>
      </c>
      <c r="H4928" s="2" t="s">
        <v>20</v>
      </c>
      <c r="I4928" s="2" t="s">
        <v>10358</v>
      </c>
      <c r="J4928" s="3" t="str">
        <f>HYPERLINK("https://www.boe.es/gazeta/dias/1813/02/19/pdfs/GMD-1813-50.pdf#page=1","Abrir facsímil")</f>
        <v>Abrir facsímil</v>
      </c>
      <c r="K4928" s="3" t="s">
        <v>22</v>
      </c>
    </row>
    <row r="4929" spans="1:11" ht="42" customHeight="1">
      <c r="A4929" s="2" t="s">
        <v>10356</v>
      </c>
      <c r="B4929" s="2" t="s">
        <v>10356</v>
      </c>
      <c r="C4929" s="2" t="s">
        <v>16</v>
      </c>
      <c r="D4929" s="2" t="s">
        <v>17</v>
      </c>
      <c r="E4929" s="5">
        <v>-31602</v>
      </c>
      <c r="F4929" s="3" t="s">
        <v>4545</v>
      </c>
      <c r="G4929" s="3" t="s">
        <v>58</v>
      </c>
      <c r="H4929" s="2" t="s">
        <v>20</v>
      </c>
      <c r="I4929" s="2" t="s">
        <v>10359</v>
      </c>
      <c r="J4929" s="3" t="str">
        <f>HYPERLINK("https://www.boe.es/gazeta/dias/1813/06/22/pdfs/GRE-1813-77.pdf#page=2","Abrir facsímil")</f>
        <v>Abrir facsímil</v>
      </c>
      <c r="K4929" s="3" t="s">
        <v>22</v>
      </c>
    </row>
    <row r="4930" spans="1:11" ht="42" customHeight="1">
      <c r="A4930" s="2" t="s">
        <v>10356</v>
      </c>
      <c r="B4930" s="2" t="s">
        <v>10356</v>
      </c>
      <c r="C4930" s="2" t="s">
        <v>16</v>
      </c>
      <c r="D4930" s="2" t="s">
        <v>17</v>
      </c>
      <c r="E4930" s="5">
        <v>-31591</v>
      </c>
      <c r="F4930" s="3" t="s">
        <v>2123</v>
      </c>
      <c r="G4930" s="3" t="s">
        <v>58</v>
      </c>
      <c r="H4930" s="2" t="s">
        <v>20</v>
      </c>
      <c r="I4930" s="2" t="s">
        <v>10360</v>
      </c>
      <c r="J4930" s="3" t="str">
        <f>HYPERLINK("https://www.boe.es/gazeta/dias/1813/07/03/pdfs/GRE-1813-83.pdf#page=2","Abrir facsímil")</f>
        <v>Abrir facsímil</v>
      </c>
      <c r="K4930" s="3" t="s">
        <v>22</v>
      </c>
    </row>
    <row r="4931" spans="1:11" ht="42" customHeight="1">
      <c r="A4931" s="2" t="s">
        <v>10361</v>
      </c>
      <c r="B4931" s="2" t="s">
        <v>10361</v>
      </c>
      <c r="C4931" s="2" t="s">
        <v>16</v>
      </c>
      <c r="D4931" s="2" t="s">
        <v>17</v>
      </c>
      <c r="E4931" s="5">
        <v>-31602</v>
      </c>
      <c r="F4931" s="3" t="s">
        <v>4545</v>
      </c>
      <c r="G4931" s="3" t="s">
        <v>58</v>
      </c>
      <c r="H4931" s="2" t="s">
        <v>20</v>
      </c>
      <c r="I4931" s="2" t="s">
        <v>10362</v>
      </c>
      <c r="J4931" s="3" t="str">
        <f>HYPERLINK("https://www.boe.es/gazeta/dias/1813/06/22/pdfs/GRE-1813-77.pdf#page=2","Abrir facsímil")</f>
        <v>Abrir facsímil</v>
      </c>
      <c r="K4931" s="3" t="s">
        <v>22</v>
      </c>
    </row>
    <row r="4932" spans="1:11" ht="42" customHeight="1">
      <c r="A4932" s="2" t="s">
        <v>10363</v>
      </c>
      <c r="B4932" s="2" t="s">
        <v>10363</v>
      </c>
      <c r="C4932" s="2" t="s">
        <v>16</v>
      </c>
      <c r="D4932" s="2" t="s">
        <v>17</v>
      </c>
      <c r="E4932" s="5">
        <v>-31698</v>
      </c>
      <c r="F4932" s="3" t="s">
        <v>470</v>
      </c>
      <c r="G4932" s="3" t="s">
        <v>19</v>
      </c>
      <c r="H4932" s="2" t="s">
        <v>20</v>
      </c>
      <c r="I4932" s="2" t="s">
        <v>10364</v>
      </c>
      <c r="J4932" s="3" t="str">
        <f>HYPERLINK("https://www.boe.es/gazeta/dias/1813/03/18/pdfs/GRE-1813-34.pdf#page=4","Abrir facsímil")</f>
        <v>Abrir facsímil</v>
      </c>
      <c r="K4932" s="3" t="s">
        <v>22</v>
      </c>
    </row>
    <row r="4933" spans="1:11" ht="42" customHeight="1">
      <c r="A4933" s="2" t="s">
        <v>10365</v>
      </c>
      <c r="B4933" s="2" t="s">
        <v>10365</v>
      </c>
      <c r="C4933" s="2" t="s">
        <v>16</v>
      </c>
      <c r="D4933" s="2" t="s">
        <v>17</v>
      </c>
      <c r="E4933" s="5">
        <v>-31677</v>
      </c>
      <c r="F4933" s="3" t="s">
        <v>76</v>
      </c>
      <c r="G4933" s="3" t="s">
        <v>65</v>
      </c>
      <c r="H4933" s="2" t="s">
        <v>20</v>
      </c>
      <c r="I4933" s="2" t="s">
        <v>10366</v>
      </c>
      <c r="J4933" s="3" t="str">
        <f>HYPERLINK("https://www.boe.es/gazeta/dias/1813/04/08/pdfs/GRE-1813-43.pdf#page=1","Abrir facsímil")</f>
        <v>Abrir facsímil</v>
      </c>
      <c r="K4933" s="3" t="s">
        <v>22</v>
      </c>
    </row>
    <row r="4934" spans="1:11" ht="42" customHeight="1">
      <c r="A4934" s="2" t="s">
        <v>10367</v>
      </c>
      <c r="B4934" s="2" t="s">
        <v>10367</v>
      </c>
      <c r="C4934" s="2" t="s">
        <v>16</v>
      </c>
      <c r="D4934" s="2" t="s">
        <v>17</v>
      </c>
      <c r="E4934" s="5">
        <v>-31759</v>
      </c>
      <c r="F4934" s="3" t="s">
        <v>419</v>
      </c>
      <c r="G4934" s="3" t="s">
        <v>3485</v>
      </c>
      <c r="H4934" s="2" t="s">
        <v>20</v>
      </c>
      <c r="I4934" s="2" t="s">
        <v>10368</v>
      </c>
      <c r="J4934" s="3" t="str">
        <f>HYPERLINK("https://www.boe.es/gazeta/dias/1813/01/16/pdfs/GRE-1813-7.pdf#page=6","Abrir facsímil")</f>
        <v>Abrir facsímil</v>
      </c>
      <c r="K4934" s="3" t="s">
        <v>22</v>
      </c>
    </row>
    <row r="4935" spans="1:11" ht="42" customHeight="1">
      <c r="A4935" s="2" t="s">
        <v>10367</v>
      </c>
      <c r="B4935" s="2" t="s">
        <v>10367</v>
      </c>
      <c r="C4935" s="2" t="s">
        <v>16</v>
      </c>
      <c r="D4935" s="2" t="s">
        <v>17</v>
      </c>
      <c r="E4935" s="5">
        <v>-31759</v>
      </c>
      <c r="F4935" s="3" t="s">
        <v>419</v>
      </c>
      <c r="G4935" s="3" t="s">
        <v>87</v>
      </c>
      <c r="H4935" s="2" t="s">
        <v>20</v>
      </c>
      <c r="I4935" s="2" t="s">
        <v>10369</v>
      </c>
      <c r="J4935" s="3" t="str">
        <f>HYPERLINK("https://www.boe.es/gazeta/dias/1813/01/16/pdfs/GRE-1813-7.pdf#page=7","Abrir facsímil")</f>
        <v>Abrir facsímil</v>
      </c>
      <c r="K4935" s="3" t="s">
        <v>22</v>
      </c>
    </row>
    <row r="4936" spans="1:11" ht="42" customHeight="1">
      <c r="A4936" s="2" t="s">
        <v>10370</v>
      </c>
      <c r="B4936" s="2" t="s">
        <v>10370</v>
      </c>
      <c r="C4936" s="2" t="s">
        <v>34</v>
      </c>
      <c r="D4936" s="2" t="s">
        <v>35</v>
      </c>
      <c r="E4936" s="5">
        <v>-31537</v>
      </c>
      <c r="F4936" s="3" t="s">
        <v>138</v>
      </c>
      <c r="G4936" s="3" t="s">
        <v>95</v>
      </c>
      <c r="H4936" s="2" t="s">
        <v>20</v>
      </c>
      <c r="I4936" s="2" t="s">
        <v>10371</v>
      </c>
      <c r="J4936" s="3" t="str">
        <f>HYPERLINK("https://www.boe.es/gazeta/dias/1813/08/26/pdfs/GMR-1813-33.pdf#page=6","Abrir facsímil")</f>
        <v>Abrir facsímil</v>
      </c>
      <c r="K4936" s="3" t="s">
        <v>22</v>
      </c>
    </row>
    <row r="4937" spans="1:11" ht="42" customHeight="1">
      <c r="A4937" s="2" t="s">
        <v>10372</v>
      </c>
      <c r="B4937" s="2" t="s">
        <v>10373</v>
      </c>
      <c r="C4937" s="2" t="s">
        <v>34</v>
      </c>
      <c r="D4937" s="2" t="s">
        <v>35</v>
      </c>
      <c r="E4937" s="5">
        <v>-31588</v>
      </c>
      <c r="F4937" s="3" t="s">
        <v>1535</v>
      </c>
      <c r="G4937" s="3" t="s">
        <v>3006</v>
      </c>
      <c r="H4937" s="2" t="s">
        <v>20</v>
      </c>
      <c r="I4937" s="2" t="s">
        <v>10374</v>
      </c>
      <c r="J4937" s="3" t="str">
        <f>HYPERLINK("https://www.boe.es/gazeta/dias/1813/07/06/pdfs/GMR-1813-15.pdf#page=15","Abrir facsímil")</f>
        <v>Abrir facsímil</v>
      </c>
      <c r="K4937" s="3" t="s">
        <v>22</v>
      </c>
    </row>
    <row r="4938" spans="1:11" ht="42" customHeight="1">
      <c r="A4938" s="2" t="s">
        <v>10372</v>
      </c>
      <c r="B4938" s="2" t="s">
        <v>10373</v>
      </c>
      <c r="C4938" s="2" t="s">
        <v>187</v>
      </c>
      <c r="D4938" s="2" t="s">
        <v>26</v>
      </c>
      <c r="E4938" s="5">
        <v>-31523</v>
      </c>
      <c r="F4938" s="3" t="s">
        <v>2140</v>
      </c>
      <c r="G4938" s="3" t="s">
        <v>28</v>
      </c>
      <c r="H4938" s="2" t="s">
        <v>20</v>
      </c>
      <c r="I4938" s="2" t="s">
        <v>10375</v>
      </c>
      <c r="J4938" s="3" t="str">
        <f>HYPERLINK("https://www.boe.es/gazeta/dias/1813/09/09/pdfs/GMR-1813-40.pdf#page=8","Abrir facsímil")</f>
        <v>Abrir facsímil</v>
      </c>
      <c r="K4938" s="3" t="s">
        <v>22</v>
      </c>
    </row>
    <row r="4939" spans="1:11" ht="42" customHeight="1">
      <c r="A4939" s="2" t="s">
        <v>10376</v>
      </c>
      <c r="B4939" s="2" t="s">
        <v>10376</v>
      </c>
      <c r="C4939" s="2" t="s">
        <v>25</v>
      </c>
      <c r="D4939" s="2" t="s">
        <v>26</v>
      </c>
      <c r="E4939" s="5">
        <v>-31738</v>
      </c>
      <c r="F4939" s="3" t="s">
        <v>2045</v>
      </c>
      <c r="G4939" s="3" t="s">
        <v>65</v>
      </c>
      <c r="H4939" s="2" t="s">
        <v>20</v>
      </c>
      <c r="I4939" s="2" t="s">
        <v>10377</v>
      </c>
      <c r="J4939" s="3" t="str">
        <f>HYPERLINK("https://www.boe.es/gazeta/dias/1813/02/06/pdfs/GMD-1813-37.pdf#page=1","Abrir facsímil")</f>
        <v>Abrir facsímil</v>
      </c>
      <c r="K4939" s="3" t="s">
        <v>22</v>
      </c>
    </row>
    <row r="4940" spans="1:11" ht="42" customHeight="1">
      <c r="A4940" s="2" t="s">
        <v>10378</v>
      </c>
      <c r="B4940" s="2" t="s">
        <v>10378</v>
      </c>
      <c r="C4940" s="2" t="s">
        <v>16</v>
      </c>
      <c r="D4940" s="2" t="s">
        <v>17</v>
      </c>
      <c r="E4940" s="5">
        <v>-31707</v>
      </c>
      <c r="F4940" s="3" t="s">
        <v>2195</v>
      </c>
      <c r="G4940" s="3" t="s">
        <v>54</v>
      </c>
      <c r="H4940" s="2" t="s">
        <v>20</v>
      </c>
      <c r="I4940" s="2" t="s">
        <v>10379</v>
      </c>
      <c r="J4940" s="3" t="str">
        <f>HYPERLINK("https://www.boe.es/gazeta/dias/1813/03/09/pdfs/GMD-1813-68.pdf#page=3","Abrir facsímil")</f>
        <v>Abrir facsímil</v>
      </c>
      <c r="K4940" s="3" t="s">
        <v>22</v>
      </c>
    </row>
    <row r="4941" spans="1:11" ht="42" customHeight="1">
      <c r="A4941" s="2" t="s">
        <v>10378</v>
      </c>
      <c r="B4941" s="2" t="s">
        <v>10378</v>
      </c>
      <c r="C4941" s="2" t="s">
        <v>16</v>
      </c>
      <c r="D4941" s="2" t="s">
        <v>17</v>
      </c>
      <c r="E4941" s="5">
        <v>-31706</v>
      </c>
      <c r="F4941" s="3" t="s">
        <v>2256</v>
      </c>
      <c r="G4941" s="3" t="s">
        <v>54</v>
      </c>
      <c r="H4941" s="2" t="s">
        <v>20</v>
      </c>
      <c r="I4941" s="2" t="s">
        <v>10380</v>
      </c>
      <c r="J4941" s="3" t="str">
        <f>HYPERLINK("https://www.boe.es/gazeta/dias/1813/03/10/pdfs/GMD-1813-69.pdf#page=3","Abrir facsímil")</f>
        <v>Abrir facsímil</v>
      </c>
      <c r="K4941" s="3" t="s">
        <v>22</v>
      </c>
    </row>
    <row r="4942" spans="1:11" ht="42" customHeight="1">
      <c r="A4942" s="2" t="s">
        <v>10381</v>
      </c>
      <c r="B4942" s="2" t="s">
        <v>10382</v>
      </c>
      <c r="C4942" s="2" t="s">
        <v>16</v>
      </c>
      <c r="D4942" s="2" t="s">
        <v>17</v>
      </c>
      <c r="E4942" s="5">
        <v>-31574</v>
      </c>
      <c r="F4942" s="3" t="s">
        <v>1343</v>
      </c>
      <c r="G4942" s="3" t="s">
        <v>207</v>
      </c>
      <c r="H4942" s="2" t="s">
        <v>20</v>
      </c>
      <c r="I4942" s="2" t="s">
        <v>10383</v>
      </c>
      <c r="J4942" s="3" t="str">
        <f>HYPERLINK("https://www.boe.es/gazeta/dias/1813/07/20/pdfs/GMR-1813-19.pdf#page=10","Abrir facsímil")</f>
        <v>Abrir facsímil</v>
      </c>
      <c r="K4942" s="3" t="s">
        <v>22</v>
      </c>
    </row>
    <row r="4943" spans="1:11" ht="42" customHeight="1">
      <c r="A4943" s="2" t="s">
        <v>10384</v>
      </c>
      <c r="B4943" s="2" t="s">
        <v>10385</v>
      </c>
      <c r="C4943" s="2" t="s">
        <v>16</v>
      </c>
      <c r="D4943" s="2" t="s">
        <v>17</v>
      </c>
      <c r="E4943" s="5">
        <v>-31582</v>
      </c>
      <c r="F4943" s="3" t="s">
        <v>907</v>
      </c>
      <c r="G4943" s="3" t="s">
        <v>54</v>
      </c>
      <c r="H4943" s="2" t="s">
        <v>20</v>
      </c>
      <c r="I4943" s="2" t="s">
        <v>10386</v>
      </c>
      <c r="J4943" s="3" t="str">
        <f>HYPERLINK("https://www.boe.es/gazeta/dias/1813/07/12/pdfs/GRE-1813-87.pdf#page=3","Abrir facsímil")</f>
        <v>Abrir facsímil</v>
      </c>
      <c r="K4943" s="3" t="s">
        <v>22</v>
      </c>
    </row>
    <row r="4944" spans="1:11" ht="42" customHeight="1">
      <c r="A4944" s="2" t="s">
        <v>10387</v>
      </c>
      <c r="B4944" s="2" t="s">
        <v>10388</v>
      </c>
      <c r="C4944" s="2" t="s">
        <v>16</v>
      </c>
      <c r="D4944" s="2" t="s">
        <v>17</v>
      </c>
      <c r="E4944" s="5">
        <v>-31612</v>
      </c>
      <c r="F4944" s="3" t="s">
        <v>5784</v>
      </c>
      <c r="G4944" s="3" t="s">
        <v>28</v>
      </c>
      <c r="H4944" s="2" t="s">
        <v>20</v>
      </c>
      <c r="I4944" s="2" t="s">
        <v>10389</v>
      </c>
      <c r="J4944" s="3" t="str">
        <f>HYPERLINK("https://www.boe.es/gazeta/dias/1813/06/12/pdfs/GRE-1813-73.pdf#page=8","Abrir facsímil")</f>
        <v>Abrir facsímil</v>
      </c>
      <c r="K4944" s="3" t="s">
        <v>22</v>
      </c>
    </row>
    <row r="4945" spans="1:11" ht="42" customHeight="1">
      <c r="A4945" s="2" t="s">
        <v>10387</v>
      </c>
      <c r="B4945" s="2" t="s">
        <v>10388</v>
      </c>
      <c r="C4945" s="2" t="s">
        <v>16</v>
      </c>
      <c r="D4945" s="2" t="s">
        <v>17</v>
      </c>
      <c r="E4945" s="5">
        <v>-31564</v>
      </c>
      <c r="F4945" s="3" t="s">
        <v>206</v>
      </c>
      <c r="G4945" s="3" t="s">
        <v>58</v>
      </c>
      <c r="H4945" s="2" t="s">
        <v>20</v>
      </c>
      <c r="I4945" s="2" t="s">
        <v>10390</v>
      </c>
      <c r="J4945" s="3" t="str">
        <f>HYPERLINK("https://www.boe.es/gazeta/dias/1813/07/30/pdfs/GMR-1813-22.pdf#page=2","Abrir facsímil")</f>
        <v>Abrir facsímil</v>
      </c>
      <c r="K4945" s="3" t="s">
        <v>22</v>
      </c>
    </row>
    <row r="4946" spans="1:11" ht="42" customHeight="1">
      <c r="A4946" s="2" t="s">
        <v>10387</v>
      </c>
      <c r="B4946" s="2" t="s">
        <v>10388</v>
      </c>
      <c r="C4946" s="2" t="s">
        <v>16</v>
      </c>
      <c r="D4946" s="2" t="s">
        <v>17</v>
      </c>
      <c r="E4946" s="5">
        <v>-31507</v>
      </c>
      <c r="F4946" s="3" t="s">
        <v>2294</v>
      </c>
      <c r="G4946" s="3" t="s">
        <v>19</v>
      </c>
      <c r="H4946" s="2" t="s">
        <v>20</v>
      </c>
      <c r="I4946" s="2" t="s">
        <v>10391</v>
      </c>
      <c r="J4946" s="3" t="str">
        <f>HYPERLINK("https://www.boe.es/gazeta/dias/1813/09/25/pdfs/GRE-1813-126.pdf#page=4","Abrir facsímil")</f>
        <v>Abrir facsímil</v>
      </c>
      <c r="K4946" s="3" t="s">
        <v>22</v>
      </c>
    </row>
    <row r="4947" spans="1:11" ht="42" customHeight="1">
      <c r="A4947" s="2" t="s">
        <v>10387</v>
      </c>
      <c r="B4947" s="2" t="s">
        <v>10388</v>
      </c>
      <c r="C4947" s="2" t="s">
        <v>16</v>
      </c>
      <c r="D4947" s="2" t="s">
        <v>17</v>
      </c>
      <c r="E4947" s="5">
        <v>-31500</v>
      </c>
      <c r="F4947" s="3" t="s">
        <v>938</v>
      </c>
      <c r="G4947" s="3" t="s">
        <v>58</v>
      </c>
      <c r="H4947" s="2" t="s">
        <v>20</v>
      </c>
      <c r="I4947" s="2" t="s">
        <v>10392</v>
      </c>
      <c r="J4947" s="3" t="str">
        <f>HYPERLINK("https://www.boe.es/gazeta/dias/1813/10/02/pdfs/GMR-1813-52.pdf#page=2","Abrir facsímil")</f>
        <v>Abrir facsímil</v>
      </c>
      <c r="K4947" s="3" t="s">
        <v>22</v>
      </c>
    </row>
    <row r="4948" spans="1:11" ht="42" customHeight="1">
      <c r="A4948" s="2" t="s">
        <v>10393</v>
      </c>
      <c r="B4948" s="2" t="s">
        <v>10394</v>
      </c>
      <c r="C4948" s="2" t="s">
        <v>16</v>
      </c>
      <c r="D4948" s="2" t="s">
        <v>17</v>
      </c>
      <c r="E4948" s="5">
        <v>-31490</v>
      </c>
      <c r="F4948" s="3" t="s">
        <v>3271</v>
      </c>
      <c r="G4948" s="3" t="s">
        <v>82</v>
      </c>
      <c r="H4948" s="2" t="s">
        <v>20</v>
      </c>
      <c r="I4948" s="2" t="s">
        <v>10395</v>
      </c>
      <c r="J4948" s="3" t="str">
        <f>HYPERLINK("https://www.boe.es/gazeta/dias/1813/10/12/pdfs/GRE-1813-133.pdf#page=5","Abrir facsímil")</f>
        <v>Abrir facsímil</v>
      </c>
      <c r="K4948" s="3" t="s">
        <v>22</v>
      </c>
    </row>
    <row r="4949" spans="1:11" ht="42" customHeight="1">
      <c r="A4949" s="2" t="s">
        <v>10396</v>
      </c>
      <c r="B4949" s="2" t="s">
        <v>10396</v>
      </c>
      <c r="C4949" s="2" t="s">
        <v>16</v>
      </c>
      <c r="D4949" s="2" t="s">
        <v>17</v>
      </c>
      <c r="E4949" s="5">
        <v>-31567</v>
      </c>
      <c r="F4949" s="3" t="s">
        <v>1471</v>
      </c>
      <c r="G4949" s="3" t="s">
        <v>28</v>
      </c>
      <c r="H4949" s="2" t="s">
        <v>20</v>
      </c>
      <c r="I4949" s="2" t="s">
        <v>10397</v>
      </c>
      <c r="J4949" s="3" t="str">
        <f>HYPERLINK("https://www.boe.es/gazeta/dias/1813/07/27/pdfs/GRE-1813-95.pdf#page=8","Abrir facsímil")</f>
        <v>Abrir facsímil</v>
      </c>
      <c r="K4949" s="3" t="s">
        <v>22</v>
      </c>
    </row>
    <row r="4950" spans="1:11" ht="42" customHeight="1">
      <c r="A4950" s="2" t="s">
        <v>10396</v>
      </c>
      <c r="B4950" s="2" t="s">
        <v>10396</v>
      </c>
      <c r="C4950" s="2" t="s">
        <v>16</v>
      </c>
      <c r="D4950" s="2" t="s">
        <v>17</v>
      </c>
      <c r="E4950" s="5">
        <v>-31558</v>
      </c>
      <c r="F4950" s="3" t="s">
        <v>1288</v>
      </c>
      <c r="G4950" s="3" t="s">
        <v>87</v>
      </c>
      <c r="H4950" s="2" t="s">
        <v>20</v>
      </c>
      <c r="I4950" s="2" t="s">
        <v>10398</v>
      </c>
      <c r="J4950" s="3" t="str">
        <f>HYPERLINK("https://www.boe.es/gazeta/dias/1813/08/05/pdfs/GMR-1813-24.pdf#page=7","Abrir facsímil")</f>
        <v>Abrir facsímil</v>
      </c>
      <c r="K4950" s="3" t="s">
        <v>22</v>
      </c>
    </row>
    <row r="4951" spans="1:11" ht="42" customHeight="1">
      <c r="A4951" s="2" t="s">
        <v>10399</v>
      </c>
      <c r="B4951" s="2" t="s">
        <v>10400</v>
      </c>
      <c r="C4951" s="2" t="s">
        <v>16</v>
      </c>
      <c r="D4951" s="2" t="s">
        <v>17</v>
      </c>
      <c r="E4951" s="5">
        <v>-31467</v>
      </c>
      <c r="F4951" s="3" t="s">
        <v>120</v>
      </c>
      <c r="G4951" s="3" t="s">
        <v>87</v>
      </c>
      <c r="H4951" s="2" t="s">
        <v>20</v>
      </c>
      <c r="I4951" s="2" t="s">
        <v>10401</v>
      </c>
      <c r="J4951" s="3" t="str">
        <f>HYPERLINK("https://www.boe.es/gazeta/dias/1813/11/04/pdfs/GMR-1813-68.pdf#page=7","Abrir facsímil")</f>
        <v>Abrir facsímil</v>
      </c>
      <c r="K4951" s="3" t="s">
        <v>22</v>
      </c>
    </row>
    <row r="4952" spans="1:11" ht="42" customHeight="1">
      <c r="A4952" s="2" t="s">
        <v>10399</v>
      </c>
      <c r="B4952" s="2" t="s">
        <v>10400</v>
      </c>
      <c r="C4952" s="2" t="s">
        <v>16</v>
      </c>
      <c r="D4952" s="2" t="s">
        <v>17</v>
      </c>
      <c r="E4952" s="5">
        <v>-31458</v>
      </c>
      <c r="F4952" s="3" t="s">
        <v>1171</v>
      </c>
      <c r="G4952" s="3" t="s">
        <v>95</v>
      </c>
      <c r="H4952" s="2" t="s">
        <v>20</v>
      </c>
      <c r="I4952" s="2" t="s">
        <v>10402</v>
      </c>
      <c r="J4952" s="3" t="str">
        <f>HYPERLINK("https://www.boe.es/gazeta/dias/1813/11/13/pdfs/GRE-1813-149.pdf#page=6","Abrir facsímil")</f>
        <v>Abrir facsímil</v>
      </c>
      <c r="K4952" s="3" t="s">
        <v>22</v>
      </c>
    </row>
    <row r="4953" spans="1:11" ht="42" customHeight="1">
      <c r="A4953" s="2" t="s">
        <v>10403</v>
      </c>
      <c r="B4953" s="2" t="s">
        <v>10403</v>
      </c>
      <c r="C4953" s="2" t="s">
        <v>16</v>
      </c>
      <c r="D4953" s="2" t="s">
        <v>17</v>
      </c>
      <c r="E4953" s="5">
        <v>-31707</v>
      </c>
      <c r="F4953" s="3" t="s">
        <v>2195</v>
      </c>
      <c r="G4953" s="3" t="s">
        <v>54</v>
      </c>
      <c r="H4953" s="2" t="s">
        <v>20</v>
      </c>
      <c r="I4953" s="2" t="s">
        <v>10404</v>
      </c>
      <c r="J4953" s="3" t="str">
        <f>HYPERLINK("https://www.boe.es/gazeta/dias/1813/03/09/pdfs/GMD-1813-68.pdf#page=3","Abrir facsímil")</f>
        <v>Abrir facsímil</v>
      </c>
      <c r="K4953" s="3" t="s">
        <v>22</v>
      </c>
    </row>
    <row r="4954" spans="1:11" ht="42" customHeight="1">
      <c r="A4954" s="2" t="s">
        <v>10405</v>
      </c>
      <c r="B4954" s="2" t="s">
        <v>10406</v>
      </c>
      <c r="C4954" s="2" t="s">
        <v>16</v>
      </c>
      <c r="D4954" s="2" t="s">
        <v>17</v>
      </c>
      <c r="E4954" s="5">
        <v>-31451</v>
      </c>
      <c r="F4954" s="3" t="s">
        <v>2325</v>
      </c>
      <c r="G4954" s="3" t="s">
        <v>3386</v>
      </c>
      <c r="H4954" s="2" t="s">
        <v>20</v>
      </c>
      <c r="I4954" s="2" t="s">
        <v>10407</v>
      </c>
      <c r="J4954" s="3" t="str">
        <f>HYPERLINK("https://www.boe.es/gazeta/dias/1813/11/20/pdfs/GMR-1813-77.pdf#page=3","Abrir facsímil")</f>
        <v>Abrir facsímil</v>
      </c>
      <c r="K4954" s="3" t="s">
        <v>22</v>
      </c>
    </row>
    <row r="4955" spans="1:11" ht="42" customHeight="1">
      <c r="A4955" s="2" t="s">
        <v>10408</v>
      </c>
      <c r="B4955" s="2" t="s">
        <v>10409</v>
      </c>
      <c r="C4955" s="2" t="s">
        <v>16</v>
      </c>
      <c r="D4955" s="2" t="s">
        <v>17</v>
      </c>
      <c r="E4955" s="5">
        <v>-31640</v>
      </c>
      <c r="F4955" s="3" t="s">
        <v>2392</v>
      </c>
      <c r="G4955" s="3" t="s">
        <v>3612</v>
      </c>
      <c r="H4955" s="2" t="s">
        <v>20</v>
      </c>
      <c r="I4955" s="2" t="s">
        <v>10410</v>
      </c>
      <c r="J4955" s="3" t="str">
        <f>HYPERLINK("https://www.boe.es/gazeta/dias/1813/05/15/pdfs/GRE-1813-60.pdf#page=6","Abrir facsímil")</f>
        <v>Abrir facsímil</v>
      </c>
      <c r="K4955" s="3" t="s">
        <v>22</v>
      </c>
    </row>
    <row r="4956" spans="1:11" ht="42" customHeight="1">
      <c r="A4956" s="2" t="s">
        <v>10411</v>
      </c>
      <c r="B4956" s="2" t="s">
        <v>10411</v>
      </c>
      <c r="C4956" s="2" t="s">
        <v>16</v>
      </c>
      <c r="D4956" s="2" t="s">
        <v>17</v>
      </c>
      <c r="E4956" s="5">
        <v>-31766</v>
      </c>
      <c r="F4956" s="3" t="s">
        <v>1356</v>
      </c>
      <c r="G4956" s="3" t="s">
        <v>87</v>
      </c>
      <c r="H4956" s="2" t="s">
        <v>20</v>
      </c>
      <c r="I4956" s="2" t="s">
        <v>10412</v>
      </c>
      <c r="J4956" s="3" t="str">
        <f>HYPERLINK("https://www.boe.es/gazeta/dias/1813/01/09/pdfs/GRE-1813-4.pdf#page=7","Abrir facsímil")</f>
        <v>Abrir facsímil</v>
      </c>
      <c r="K4956" s="3" t="s">
        <v>22</v>
      </c>
    </row>
    <row r="4957" spans="1:11" ht="42" customHeight="1">
      <c r="A4957" s="2" t="s">
        <v>10411</v>
      </c>
      <c r="B4957" s="2" t="s">
        <v>10411</v>
      </c>
      <c r="C4957" s="2" t="s">
        <v>16</v>
      </c>
      <c r="D4957" s="2" t="s">
        <v>17</v>
      </c>
      <c r="E4957" s="5">
        <v>-31706</v>
      </c>
      <c r="F4957" s="3" t="s">
        <v>2256</v>
      </c>
      <c r="G4957" s="3" t="s">
        <v>54</v>
      </c>
      <c r="H4957" s="2" t="s">
        <v>20</v>
      </c>
      <c r="I4957" s="2" t="s">
        <v>10413</v>
      </c>
      <c r="J4957" s="3" t="str">
        <f>HYPERLINK("https://www.boe.es/gazeta/dias/1813/03/10/pdfs/GMD-1813-69.pdf#page=3","Abrir facsímil")</f>
        <v>Abrir facsímil</v>
      </c>
      <c r="K4957" s="3" t="s">
        <v>22</v>
      </c>
    </row>
    <row r="4958" spans="1:11" ht="42" customHeight="1">
      <c r="A4958" s="2" t="s">
        <v>10411</v>
      </c>
      <c r="B4958" s="2" t="s">
        <v>10411</v>
      </c>
      <c r="C4958" s="2" t="s">
        <v>34</v>
      </c>
      <c r="D4958" s="2" t="s">
        <v>35</v>
      </c>
      <c r="E4958" s="5">
        <v>-31664</v>
      </c>
      <c r="F4958" s="3" t="s">
        <v>1144</v>
      </c>
      <c r="G4958" s="3" t="s">
        <v>58</v>
      </c>
      <c r="H4958" s="2" t="s">
        <v>20</v>
      </c>
      <c r="I4958" s="2" t="s">
        <v>10414</v>
      </c>
      <c r="J4958" s="3" t="str">
        <f>HYPERLINK("https://www.boe.es/gazeta/dias/1813/04/21/pdfs/GMD-1813-111.pdf#page=2","Abrir facsímil")</f>
        <v>Abrir facsímil</v>
      </c>
      <c r="K4958" s="3" t="s">
        <v>22</v>
      </c>
    </row>
    <row r="4959" spans="1:11" ht="42" customHeight="1">
      <c r="A4959" s="2" t="s">
        <v>10415</v>
      </c>
      <c r="B4959" s="2" t="s">
        <v>10415</v>
      </c>
      <c r="C4959" s="2" t="s">
        <v>16</v>
      </c>
      <c r="D4959" s="2" t="s">
        <v>17</v>
      </c>
      <c r="E4959" s="5">
        <v>-31710</v>
      </c>
      <c r="F4959" s="3" t="s">
        <v>4744</v>
      </c>
      <c r="G4959" s="3" t="s">
        <v>19</v>
      </c>
      <c r="H4959" s="2" t="s">
        <v>20</v>
      </c>
      <c r="I4959" s="2" t="s">
        <v>10416</v>
      </c>
      <c r="J4959" s="3" t="str">
        <f>HYPERLINK("https://www.boe.es/gazeta/dias/1813/03/06/pdfs/GMD-1813-65.pdf#page=4","Abrir facsímil")</f>
        <v>Abrir facsímil</v>
      </c>
      <c r="K4959" s="3" t="s">
        <v>22</v>
      </c>
    </row>
    <row r="4960" spans="1:11" ht="42" customHeight="1">
      <c r="A4960" s="2" t="s">
        <v>10417</v>
      </c>
      <c r="B4960" s="2" t="s">
        <v>10417</v>
      </c>
      <c r="C4960" s="2" t="s">
        <v>16</v>
      </c>
      <c r="D4960" s="2" t="s">
        <v>17</v>
      </c>
      <c r="E4960" s="5">
        <v>-31707</v>
      </c>
      <c r="F4960" s="3" t="s">
        <v>2195</v>
      </c>
      <c r="G4960" s="3" t="s">
        <v>58</v>
      </c>
      <c r="H4960" s="2" t="s">
        <v>20</v>
      </c>
      <c r="I4960" s="2" t="s">
        <v>10418</v>
      </c>
      <c r="J4960" s="3" t="str">
        <f>HYPERLINK("https://www.boe.es/gazeta/dias/1813/03/09/pdfs/GMD-1813-68.pdf#page=2","Abrir facsímil")</f>
        <v>Abrir facsímil</v>
      </c>
      <c r="K4960" s="3" t="s">
        <v>22</v>
      </c>
    </row>
    <row r="4961" spans="1:11" ht="42" customHeight="1">
      <c r="A4961" s="2" t="s">
        <v>10417</v>
      </c>
      <c r="B4961" s="2" t="s">
        <v>10417</v>
      </c>
      <c r="C4961" s="2" t="s">
        <v>16</v>
      </c>
      <c r="D4961" s="2" t="s">
        <v>17</v>
      </c>
      <c r="E4961" s="5">
        <v>-31578</v>
      </c>
      <c r="F4961" s="3" t="s">
        <v>974</v>
      </c>
      <c r="G4961" s="3" t="s">
        <v>313</v>
      </c>
      <c r="H4961" s="2" t="s">
        <v>20</v>
      </c>
      <c r="I4961" s="2" t="s">
        <v>10419</v>
      </c>
      <c r="J4961" s="3" t="str">
        <f>HYPERLINK("https://www.boe.es/gazeta/dias/1813/07/16/pdfs/GMR-1813-18.pdf#page=9","Abrir facsímil")</f>
        <v>Abrir facsímil</v>
      </c>
      <c r="K4961" s="3" t="s">
        <v>22</v>
      </c>
    </row>
    <row r="4962" spans="1:11" ht="42" customHeight="1">
      <c r="A4962" s="2" t="s">
        <v>10420</v>
      </c>
      <c r="B4962" s="2" t="s">
        <v>10420</v>
      </c>
      <c r="C4962" s="2" t="s">
        <v>25</v>
      </c>
      <c r="D4962" s="2" t="s">
        <v>26</v>
      </c>
      <c r="E4962" s="5">
        <v>-31523</v>
      </c>
      <c r="F4962" s="3" t="s">
        <v>2140</v>
      </c>
      <c r="G4962" s="3" t="s">
        <v>19</v>
      </c>
      <c r="H4962" s="2" t="s">
        <v>20</v>
      </c>
      <c r="I4962" s="2" t="s">
        <v>10421</v>
      </c>
      <c r="J4962" s="3" t="str">
        <f>HYPERLINK("https://www.boe.es/gazeta/dias/1813/09/09/pdfs/GMR-1813-40.pdf#page=4","Abrir facsímil")</f>
        <v>Abrir facsímil</v>
      </c>
      <c r="K4962" s="3" t="s">
        <v>22</v>
      </c>
    </row>
    <row r="4963" spans="1:11" ht="42" customHeight="1">
      <c r="A4963" s="2" t="s">
        <v>10422</v>
      </c>
      <c r="B4963" s="2" t="s">
        <v>10422</v>
      </c>
      <c r="C4963" s="2" t="s">
        <v>16</v>
      </c>
      <c r="D4963" s="2" t="s">
        <v>17</v>
      </c>
      <c r="E4963" s="5">
        <v>-31613</v>
      </c>
      <c r="F4963" s="3" t="s">
        <v>1629</v>
      </c>
      <c r="G4963" s="3" t="s">
        <v>258</v>
      </c>
      <c r="H4963" s="2" t="s">
        <v>20</v>
      </c>
      <c r="I4963" s="2" t="s">
        <v>10423</v>
      </c>
      <c r="J4963" s="3" t="str">
        <f>HYPERLINK("https://www.boe.es/gazeta/dias/1813/06/11/pdfs/GMR-1813-4.pdf#page=12","Abrir facsímil")</f>
        <v>Abrir facsímil</v>
      </c>
      <c r="K4963" s="3" t="s">
        <v>22</v>
      </c>
    </row>
    <row r="4964" spans="1:11" ht="42" customHeight="1">
      <c r="A4964" s="2" t="s">
        <v>10424</v>
      </c>
      <c r="B4964" s="2" t="s">
        <v>10424</v>
      </c>
      <c r="C4964" s="2" t="s">
        <v>16</v>
      </c>
      <c r="D4964" s="2" t="s">
        <v>17</v>
      </c>
      <c r="E4964" s="5">
        <v>-31509</v>
      </c>
      <c r="F4964" s="3" t="s">
        <v>202</v>
      </c>
      <c r="G4964" s="3" t="s">
        <v>54</v>
      </c>
      <c r="H4964" s="2" t="s">
        <v>20</v>
      </c>
      <c r="I4964" s="2" t="s">
        <v>10425</v>
      </c>
      <c r="J4964" s="3" t="str">
        <f>HYPERLINK("https://www.boe.es/gazeta/dias/1813/09/23/pdfs/GMR-1813-47.pdf#page=3","Abrir facsímil")</f>
        <v>Abrir facsímil</v>
      </c>
      <c r="K4964" s="3" t="s">
        <v>22</v>
      </c>
    </row>
    <row r="4965" spans="1:11" ht="42" customHeight="1">
      <c r="A4965" s="2" t="s">
        <v>10426</v>
      </c>
      <c r="B4965" s="2" t="s">
        <v>10427</v>
      </c>
      <c r="C4965" s="2" t="s">
        <v>16</v>
      </c>
      <c r="D4965" s="2" t="s">
        <v>17</v>
      </c>
      <c r="E4965" s="5">
        <v>-31546</v>
      </c>
      <c r="F4965" s="3" t="s">
        <v>2057</v>
      </c>
      <c r="G4965" s="3" t="s">
        <v>87</v>
      </c>
      <c r="H4965" s="2" t="s">
        <v>20</v>
      </c>
      <c r="I4965" s="2" t="s">
        <v>10428</v>
      </c>
      <c r="J4965" s="3" t="str">
        <f>HYPERLINK("https://www.boe.es/gazeta/dias/1813/08/17/pdfs/GRE-1813-105.pdf#page=7","Abrir facsímil")</f>
        <v>Abrir facsímil</v>
      </c>
      <c r="K4965" s="3" t="s">
        <v>22</v>
      </c>
    </row>
    <row r="4966" spans="1:11" ht="42" customHeight="1">
      <c r="A4966" s="2" t="s">
        <v>10429</v>
      </c>
      <c r="B4966" s="2" t="s">
        <v>10430</v>
      </c>
      <c r="C4966" s="2" t="s">
        <v>25</v>
      </c>
      <c r="D4966" s="2" t="s">
        <v>26</v>
      </c>
      <c r="E4966" s="5">
        <v>-31752</v>
      </c>
      <c r="F4966" s="3" t="s">
        <v>182</v>
      </c>
      <c r="G4966" s="3" t="s">
        <v>183</v>
      </c>
      <c r="H4966" s="2" t="s">
        <v>20</v>
      </c>
      <c r="I4966" s="2" t="s">
        <v>10431</v>
      </c>
      <c r="J4966" s="3" t="str">
        <f>HYPERLINK("https://www.boe.es/gazeta/dias/1813/01/23/pdfs/GRE-1813-10.pdf#page=8","Abrir facsímil")</f>
        <v>Abrir facsímil</v>
      </c>
      <c r="K4966" s="3" t="s">
        <v>22</v>
      </c>
    </row>
    <row r="4967" spans="1:11" ht="42" customHeight="1">
      <c r="A4967" s="2" t="s">
        <v>10432</v>
      </c>
      <c r="B4967" s="2" t="s">
        <v>10433</v>
      </c>
      <c r="C4967" s="2" t="s">
        <v>25</v>
      </c>
      <c r="D4967" s="2" t="s">
        <v>26</v>
      </c>
      <c r="E4967" s="5">
        <v>-31745</v>
      </c>
      <c r="F4967" s="3" t="s">
        <v>445</v>
      </c>
      <c r="G4967" s="3" t="s">
        <v>28</v>
      </c>
      <c r="H4967" s="2" t="s">
        <v>20</v>
      </c>
      <c r="I4967" s="2" t="s">
        <v>10434</v>
      </c>
      <c r="J4967" s="3" t="str">
        <f>HYPERLINK("https://www.boe.es/gazeta/dias/1813/01/30/pdfs/GRE-1813-13.pdf#page=8","Abrir facsímil")</f>
        <v>Abrir facsímil</v>
      </c>
      <c r="K4967" s="3" t="s">
        <v>22</v>
      </c>
    </row>
    <row r="4968" spans="1:11" ht="42" customHeight="1">
      <c r="A4968" s="2" t="s">
        <v>10435</v>
      </c>
      <c r="B4968" s="2" t="s">
        <v>10436</v>
      </c>
      <c r="C4968" s="2" t="s">
        <v>277</v>
      </c>
      <c r="D4968" s="2" t="s">
        <v>26</v>
      </c>
      <c r="E4968" s="5">
        <v>-31483</v>
      </c>
      <c r="F4968" s="3" t="s">
        <v>1292</v>
      </c>
      <c r="G4968" s="3" t="s">
        <v>1293</v>
      </c>
      <c r="H4968" s="2" t="s">
        <v>20</v>
      </c>
      <c r="I4968" s="2" t="s">
        <v>10437</v>
      </c>
      <c r="J4968" s="3" t="str">
        <f>HYPERLINK("https://www.boe.es/gazeta/dias/1813/10/19/pdfs/GMR-1813-61.pdf#page=12","Abrir facsímil")</f>
        <v>Abrir facsímil</v>
      </c>
      <c r="K4968" s="3" t="s">
        <v>22</v>
      </c>
    </row>
    <row r="4969" spans="1:11" ht="42" customHeight="1">
      <c r="A4969" s="2" t="s">
        <v>10438</v>
      </c>
      <c r="B4969" s="2" t="s">
        <v>10439</v>
      </c>
      <c r="C4969" s="2" t="s">
        <v>25</v>
      </c>
      <c r="D4969" s="2" t="s">
        <v>26</v>
      </c>
      <c r="E4969" s="5">
        <v>-31481</v>
      </c>
      <c r="F4969" s="3" t="s">
        <v>40</v>
      </c>
      <c r="G4969" s="3" t="s">
        <v>28</v>
      </c>
      <c r="H4969" s="2" t="s">
        <v>20</v>
      </c>
      <c r="I4969" s="2" t="s">
        <v>10440</v>
      </c>
      <c r="J4969" s="3" t="str">
        <f>HYPERLINK("https://www.boe.es/gazeta/dias/1813/10/21/pdfs/GMR-1813-62.pdf#page=8","Abrir facsímil")</f>
        <v>Abrir facsímil</v>
      </c>
      <c r="K4969" s="3" t="s">
        <v>22</v>
      </c>
    </row>
    <row r="4970" spans="1:11" ht="42" customHeight="1">
      <c r="A4970" s="2" t="s">
        <v>10441</v>
      </c>
      <c r="B4970" s="2" t="s">
        <v>10442</v>
      </c>
      <c r="C4970" s="2" t="s">
        <v>187</v>
      </c>
      <c r="D4970" s="2" t="s">
        <v>26</v>
      </c>
      <c r="E4970" s="5">
        <v>-31689</v>
      </c>
      <c r="F4970" s="3" t="s">
        <v>48</v>
      </c>
      <c r="G4970" s="3" t="s">
        <v>162</v>
      </c>
      <c r="H4970" s="2" t="s">
        <v>20</v>
      </c>
      <c r="I4970" s="2" t="s">
        <v>10443</v>
      </c>
      <c r="J4970" s="3" t="str">
        <f>HYPERLINK("https://www.boe.es/gazeta/dias/1813/03/27/pdfs/GRE-1813-38.pdf#page=8","Abrir facsímil")</f>
        <v>Abrir facsímil</v>
      </c>
      <c r="K4970" s="3" t="s">
        <v>22</v>
      </c>
    </row>
    <row r="4971" spans="1:11" ht="42" customHeight="1">
      <c r="A4971" s="2" t="s">
        <v>10444</v>
      </c>
      <c r="B4971" s="2" t="s">
        <v>10444</v>
      </c>
      <c r="C4971" s="2" t="s">
        <v>16</v>
      </c>
      <c r="D4971" s="2" t="s">
        <v>97</v>
      </c>
      <c r="E4971" s="5">
        <v>-31446</v>
      </c>
      <c r="F4971" s="3" t="s">
        <v>1877</v>
      </c>
      <c r="G4971" s="3" t="s">
        <v>19</v>
      </c>
      <c r="H4971" s="2" t="s">
        <v>20</v>
      </c>
      <c r="I4971" s="2" t="s">
        <v>10445</v>
      </c>
      <c r="J4971" s="3" t="str">
        <f>HYPERLINK("https://www.boe.es/gazeta/dias/1813/11/25/pdfs/GRE-1813-155E.pdf#page=4","Abrir facsímil")</f>
        <v>Abrir facsímil</v>
      </c>
      <c r="K4971" s="3" t="s">
        <v>22</v>
      </c>
    </row>
    <row r="4972" spans="1:11" ht="42" customHeight="1">
      <c r="A4972" s="2" t="s">
        <v>10446</v>
      </c>
      <c r="B4972" s="2" t="s">
        <v>10446</v>
      </c>
      <c r="C4972" s="2" t="s">
        <v>16</v>
      </c>
      <c r="D4972" s="2" t="s">
        <v>17</v>
      </c>
      <c r="E4972" s="5">
        <v>-31744</v>
      </c>
      <c r="F4972" s="3" t="s">
        <v>5679</v>
      </c>
      <c r="G4972" s="3" t="s">
        <v>6427</v>
      </c>
      <c r="H4972" s="2" t="s">
        <v>20</v>
      </c>
      <c r="I4972" s="2" t="s">
        <v>10447</v>
      </c>
      <c r="J4972" s="3" t="str">
        <f>HYPERLINK("https://www.boe.es/gazeta/dias/1813/01/31/pdfs/GMD-1813-31.pdf#page=3","Abrir facsímil")</f>
        <v>Abrir facsímil</v>
      </c>
      <c r="K4972" s="3" t="s">
        <v>22</v>
      </c>
    </row>
    <row r="4973" spans="1:11" ht="42" customHeight="1">
      <c r="A4973" s="2" t="s">
        <v>10448</v>
      </c>
      <c r="B4973" s="2" t="s">
        <v>10448</v>
      </c>
      <c r="C4973" s="2" t="s">
        <v>16</v>
      </c>
      <c r="D4973" s="2" t="s">
        <v>17</v>
      </c>
      <c r="E4973" s="5">
        <v>-31448</v>
      </c>
      <c r="F4973" s="3" t="s">
        <v>325</v>
      </c>
      <c r="G4973" s="3" t="s">
        <v>28</v>
      </c>
      <c r="H4973" s="2" t="s">
        <v>20</v>
      </c>
      <c r="I4973" s="2" t="s">
        <v>10449</v>
      </c>
      <c r="J4973" s="3" t="str">
        <f>HYPERLINK("https://www.boe.es/gazeta/dias/1813/11/23/pdfs/GMR-1813-78.pdf#page=8","Abrir facsímil")</f>
        <v>Abrir facsímil</v>
      </c>
      <c r="K4973" s="3" t="s">
        <v>22</v>
      </c>
    </row>
    <row r="4974" spans="1:11" ht="42" customHeight="1">
      <c r="A4974" s="2" t="s">
        <v>10450</v>
      </c>
      <c r="B4974" s="2" t="s">
        <v>10450</v>
      </c>
      <c r="C4974" s="2" t="s">
        <v>16</v>
      </c>
      <c r="D4974" s="2" t="s">
        <v>17</v>
      </c>
      <c r="E4974" s="5">
        <v>-31556</v>
      </c>
      <c r="F4974" s="3" t="s">
        <v>118</v>
      </c>
      <c r="G4974" s="3" t="s">
        <v>5250</v>
      </c>
      <c r="H4974" s="2" t="s">
        <v>20</v>
      </c>
      <c r="I4974" s="2" t="s">
        <v>10451</v>
      </c>
      <c r="J4974" s="3" t="str">
        <f>HYPERLINK("https://www.boe.es/gazeta/dias/1813/08/07/pdfs/GMR-1813-25.pdf#page=4","Abrir facsímil")</f>
        <v>Abrir facsímil</v>
      </c>
      <c r="K4974" s="3" t="s">
        <v>22</v>
      </c>
    </row>
    <row r="4975" spans="1:11" ht="42" customHeight="1">
      <c r="A4975" s="2" t="s">
        <v>10450</v>
      </c>
      <c r="B4975" s="2" t="s">
        <v>10450</v>
      </c>
      <c r="C4975" s="2" t="s">
        <v>16</v>
      </c>
      <c r="D4975" s="2" t="s">
        <v>17</v>
      </c>
      <c r="E4975" s="5">
        <v>-31532</v>
      </c>
      <c r="F4975" s="3" t="s">
        <v>215</v>
      </c>
      <c r="G4975" s="3" t="s">
        <v>58</v>
      </c>
      <c r="H4975" s="2" t="s">
        <v>20</v>
      </c>
      <c r="I4975" s="2" t="s">
        <v>10452</v>
      </c>
      <c r="J4975" s="3" t="str">
        <f>HYPERLINK("https://www.boe.es/gazeta/dias/1813/08/31/pdfs/GRE-1813-111.pdf#page=2","Abrir facsímil")</f>
        <v>Abrir facsímil</v>
      </c>
      <c r="K4975" s="3" t="s">
        <v>22</v>
      </c>
    </row>
    <row r="4976" spans="1:11" ht="42" customHeight="1">
      <c r="A4976" s="2" t="s">
        <v>10450</v>
      </c>
      <c r="B4976" s="2" t="s">
        <v>10450</v>
      </c>
      <c r="C4976" s="2" t="s">
        <v>16</v>
      </c>
      <c r="D4976" s="2" t="s">
        <v>17</v>
      </c>
      <c r="E4976" s="5">
        <v>-31516</v>
      </c>
      <c r="F4976" s="3" t="s">
        <v>1685</v>
      </c>
      <c r="G4976" s="3" t="s">
        <v>1686</v>
      </c>
      <c r="H4976" s="2" t="s">
        <v>20</v>
      </c>
      <c r="I4976" s="2" t="s">
        <v>10453</v>
      </c>
      <c r="J4976" s="3" t="str">
        <f>HYPERLINK("https://www.boe.es/gazeta/dias/1813/09/16/pdfs/GRE-1813-120.pdf#page=7","Abrir facsímil")</f>
        <v>Abrir facsímil</v>
      </c>
      <c r="K4976" s="3" t="s">
        <v>22</v>
      </c>
    </row>
    <row r="4977" spans="1:11" ht="42" customHeight="1">
      <c r="A4977" s="2" t="s">
        <v>10454</v>
      </c>
      <c r="B4977" s="2" t="s">
        <v>10455</v>
      </c>
      <c r="C4977" s="2" t="s">
        <v>16</v>
      </c>
      <c r="D4977" s="2" t="s">
        <v>17</v>
      </c>
      <c r="E4977" s="5">
        <v>-31766</v>
      </c>
      <c r="F4977" s="3" t="s">
        <v>1356</v>
      </c>
      <c r="G4977" s="3" t="s">
        <v>87</v>
      </c>
      <c r="H4977" s="2" t="s">
        <v>20</v>
      </c>
      <c r="I4977" s="2" t="s">
        <v>10456</v>
      </c>
      <c r="J4977" s="3" t="str">
        <f>HYPERLINK("https://www.boe.es/gazeta/dias/1813/01/09/pdfs/GRE-1813-4.pdf#page=7","Abrir facsímil")</f>
        <v>Abrir facsímil</v>
      </c>
      <c r="K4977" s="3" t="s">
        <v>22</v>
      </c>
    </row>
    <row r="4978" spans="1:11" ht="42" customHeight="1">
      <c r="A4978" s="2" t="s">
        <v>10457</v>
      </c>
      <c r="B4978" s="2" t="s">
        <v>10458</v>
      </c>
      <c r="C4978" s="2" t="s">
        <v>16</v>
      </c>
      <c r="D4978" s="2" t="s">
        <v>17</v>
      </c>
      <c r="E4978" s="5">
        <v>-31731</v>
      </c>
      <c r="F4978" s="3" t="s">
        <v>866</v>
      </c>
      <c r="G4978" s="3" t="s">
        <v>10459</v>
      </c>
      <c r="H4978" s="2" t="s">
        <v>20</v>
      </c>
      <c r="I4978" s="2" t="s">
        <v>10460</v>
      </c>
      <c r="J4978" s="3" t="str">
        <f>HYPERLINK("https://www.boe.es/gazeta/dias/1813/02/13/pdfs/GRE-1813-19.pdf#page=8","Abrir facsímil")</f>
        <v>Abrir facsímil</v>
      </c>
      <c r="K4978" s="3" t="s">
        <v>22</v>
      </c>
    </row>
    <row r="4979" spans="1:11" ht="42" customHeight="1">
      <c r="A4979" s="2" t="s">
        <v>10461</v>
      </c>
      <c r="B4979" s="2" t="s">
        <v>10462</v>
      </c>
      <c r="C4979" s="2" t="s">
        <v>16</v>
      </c>
      <c r="D4979" s="2" t="s">
        <v>17</v>
      </c>
      <c r="E4979" s="5">
        <v>-31584</v>
      </c>
      <c r="F4979" s="3" t="s">
        <v>114</v>
      </c>
      <c r="G4979" s="3" t="s">
        <v>95</v>
      </c>
      <c r="H4979" s="2" t="s">
        <v>20</v>
      </c>
      <c r="I4979" s="2" t="s">
        <v>10463</v>
      </c>
      <c r="J4979" s="3" t="str">
        <f>HYPERLINK("https://www.boe.es/gazeta/dias/1813/07/10/pdfs/GRE-1813-86.pdf#page=6","Abrir facsímil")</f>
        <v>Abrir facsímil</v>
      </c>
      <c r="K4979" s="3" t="s">
        <v>22</v>
      </c>
    </row>
    <row r="4980" spans="1:11" ht="42" customHeight="1">
      <c r="A4980" s="2" t="s">
        <v>10464</v>
      </c>
      <c r="B4980" s="2" t="s">
        <v>10465</v>
      </c>
      <c r="C4980" s="2" t="s">
        <v>25</v>
      </c>
      <c r="D4980" s="2" t="s">
        <v>26</v>
      </c>
      <c r="E4980" s="5">
        <v>-31745</v>
      </c>
      <c r="F4980" s="3" t="s">
        <v>445</v>
      </c>
      <c r="G4980" s="3" t="s">
        <v>28</v>
      </c>
      <c r="H4980" s="2" t="s">
        <v>20</v>
      </c>
      <c r="I4980" s="2" t="s">
        <v>10466</v>
      </c>
      <c r="J4980" s="3" t="str">
        <f>HYPERLINK("https://www.boe.es/gazeta/dias/1813/01/30/pdfs/GRE-1813-13.pdf#page=8","Abrir facsímil")</f>
        <v>Abrir facsímil</v>
      </c>
      <c r="K4980" s="3" t="s">
        <v>22</v>
      </c>
    </row>
    <row r="4981" spans="1:11" ht="42" customHeight="1">
      <c r="A4981" s="2" t="s">
        <v>10467</v>
      </c>
      <c r="B4981" s="2" t="s">
        <v>10468</v>
      </c>
      <c r="C4981" s="2" t="s">
        <v>25</v>
      </c>
      <c r="D4981" s="2" t="s">
        <v>26</v>
      </c>
      <c r="E4981" s="5">
        <v>-31675</v>
      </c>
      <c r="F4981" s="3" t="s">
        <v>27</v>
      </c>
      <c r="G4981" s="3" t="s">
        <v>648</v>
      </c>
      <c r="H4981" s="2" t="s">
        <v>20</v>
      </c>
      <c r="I4981" s="2" t="s">
        <v>10469</v>
      </c>
      <c r="J4981" s="3" t="str">
        <f>HYPERLINK("https://www.boe.es/gazeta/dias/1813/04/10/pdfs/GRE-1813-44.pdf#page=7","Abrir facsímil")</f>
        <v>Abrir facsímil</v>
      </c>
      <c r="K4981" s="3" t="s">
        <v>22</v>
      </c>
    </row>
    <row r="4982" spans="1:11" ht="42" customHeight="1">
      <c r="A4982" s="2" t="s">
        <v>10470</v>
      </c>
      <c r="B4982" s="2" t="s">
        <v>10471</v>
      </c>
      <c r="C4982" s="2" t="s">
        <v>34</v>
      </c>
      <c r="D4982" s="2" t="s">
        <v>35</v>
      </c>
      <c r="E4982" s="5">
        <v>-31755</v>
      </c>
      <c r="F4982" s="3" t="s">
        <v>2592</v>
      </c>
      <c r="G4982" s="3" t="s">
        <v>10472</v>
      </c>
      <c r="H4982" s="2" t="s">
        <v>20</v>
      </c>
      <c r="I4982" s="2" t="s">
        <v>10473</v>
      </c>
      <c r="J4982" s="3" t="str">
        <f>HYPERLINK("https://www.boe.es/gazeta/dias/1813/01/20/pdfs/GMD-1813-20.pdf#page=3","Abrir facsímil")</f>
        <v>Abrir facsímil</v>
      </c>
      <c r="K4982" s="3" t="s">
        <v>22</v>
      </c>
    </row>
    <row r="4983" spans="1:11" ht="42" customHeight="1">
      <c r="A4983" s="2" t="s">
        <v>10474</v>
      </c>
      <c r="B4983" s="2" t="s">
        <v>10475</v>
      </c>
      <c r="C4983" s="2" t="s">
        <v>25</v>
      </c>
      <c r="D4983" s="2" t="s">
        <v>26</v>
      </c>
      <c r="E4983" s="5">
        <v>-31677</v>
      </c>
      <c r="F4983" s="3" t="s">
        <v>76</v>
      </c>
      <c r="G4983" s="3" t="s">
        <v>28</v>
      </c>
      <c r="H4983" s="2" t="s">
        <v>20</v>
      </c>
      <c r="I4983" s="2" t="s">
        <v>10476</v>
      </c>
      <c r="J4983" s="3" t="str">
        <f>HYPERLINK("https://www.boe.es/gazeta/dias/1813/04/08/pdfs/GRE-1813-43.pdf#page=8","Abrir facsímil")</f>
        <v>Abrir facsímil</v>
      </c>
      <c r="K4983" s="3" t="s">
        <v>22</v>
      </c>
    </row>
    <row r="4984" spans="1:11" ht="42" customHeight="1">
      <c r="A4984" s="2" t="s">
        <v>10477</v>
      </c>
      <c r="B4984" s="2" t="s">
        <v>10478</v>
      </c>
      <c r="C4984" s="2" t="s">
        <v>34</v>
      </c>
      <c r="D4984" s="2" t="s">
        <v>35</v>
      </c>
      <c r="E4984" s="5">
        <v>-31709</v>
      </c>
      <c r="F4984" s="3" t="s">
        <v>36</v>
      </c>
      <c r="G4984" s="3" t="s">
        <v>303</v>
      </c>
      <c r="H4984" s="2" t="s">
        <v>20</v>
      </c>
      <c r="I4984" s="2" t="s">
        <v>10479</v>
      </c>
      <c r="J4984" s="3" t="str">
        <f>HYPERLINK("https://www.boe.es/gazeta/dias/1813/03/07/pdfs/GMD-1813-66.pdf#page=3","Abrir facsímil")</f>
        <v>Abrir facsímil</v>
      </c>
      <c r="K4984" s="3" t="s">
        <v>22</v>
      </c>
    </row>
    <row r="4985" spans="1:11" ht="42" customHeight="1">
      <c r="A4985" s="2" t="s">
        <v>10480</v>
      </c>
      <c r="B4985" s="2" t="s">
        <v>10481</v>
      </c>
      <c r="C4985" s="2" t="s">
        <v>16</v>
      </c>
      <c r="D4985" s="2" t="s">
        <v>17</v>
      </c>
      <c r="E4985" s="5">
        <v>-31432</v>
      </c>
      <c r="F4985" s="3" t="s">
        <v>803</v>
      </c>
      <c r="G4985" s="3" t="s">
        <v>28</v>
      </c>
      <c r="H4985" s="2" t="s">
        <v>20</v>
      </c>
      <c r="I4985" s="2" t="s">
        <v>10482</v>
      </c>
      <c r="J4985" s="3" t="str">
        <f>HYPERLINK("https://www.boe.es/gazeta/dias/1813/12/09/pdfs/GRE-1813-162.pdf#page=8","Abrir facsímil")</f>
        <v>Abrir facsímil</v>
      </c>
      <c r="K4985" s="3" t="s">
        <v>22</v>
      </c>
    </row>
    <row r="4986" spans="1:11" ht="42" customHeight="1">
      <c r="A4986" s="2" t="s">
        <v>10483</v>
      </c>
      <c r="B4986" s="2" t="s">
        <v>10483</v>
      </c>
      <c r="C4986" s="2" t="s">
        <v>16</v>
      </c>
      <c r="D4986" s="2" t="s">
        <v>17</v>
      </c>
      <c r="E4986" s="5">
        <v>-31413</v>
      </c>
      <c r="F4986" s="3" t="s">
        <v>152</v>
      </c>
      <c r="G4986" s="3" t="s">
        <v>54</v>
      </c>
      <c r="H4986" s="2" t="s">
        <v>20</v>
      </c>
      <c r="I4986" s="2" t="s">
        <v>10484</v>
      </c>
      <c r="J4986" s="3" t="str">
        <f>HYPERLINK("https://www.boe.es/gazeta/dias/1813/12/28/pdfs/GRE-1813-170.pdf#page=3","Abrir facsímil")</f>
        <v>Abrir facsímil</v>
      </c>
      <c r="K4986" s="3" t="s">
        <v>22</v>
      </c>
    </row>
    <row r="4987" spans="1:11" ht="42" customHeight="1">
      <c r="A4987" s="2" t="s">
        <v>10485</v>
      </c>
      <c r="B4987" s="2" t="s">
        <v>10486</v>
      </c>
      <c r="C4987" s="2" t="s">
        <v>16</v>
      </c>
      <c r="D4987" s="2" t="s">
        <v>17</v>
      </c>
      <c r="E4987" s="5">
        <v>-31462</v>
      </c>
      <c r="F4987" s="3" t="s">
        <v>542</v>
      </c>
      <c r="G4987" s="3" t="s">
        <v>95</v>
      </c>
      <c r="H4987" s="2" t="s">
        <v>29</v>
      </c>
      <c r="I4987" s="2" t="s">
        <v>10487</v>
      </c>
      <c r="J4987" s="3" t="str">
        <f>HYPERLINK("https://www.boe.es/gazeta/dias/1813/11/09/pdfs/GRE-1813-146.pdf#page=6","Abrir facsímil")</f>
        <v>Abrir facsímil</v>
      </c>
      <c r="K4987" s="3" t="s">
        <v>31</v>
      </c>
    </row>
    <row r="4988" spans="1:11" ht="42" customHeight="1">
      <c r="A4988" s="2" t="s">
        <v>10488</v>
      </c>
      <c r="B4988" s="2" t="s">
        <v>10488</v>
      </c>
      <c r="C4988" s="2" t="s">
        <v>16</v>
      </c>
      <c r="D4988" s="2" t="s">
        <v>17</v>
      </c>
      <c r="E4988" s="5">
        <v>-31418</v>
      </c>
      <c r="F4988" s="3" t="s">
        <v>1529</v>
      </c>
      <c r="G4988" s="3" t="s">
        <v>65</v>
      </c>
      <c r="H4988" s="2" t="s">
        <v>20</v>
      </c>
      <c r="I4988" s="2" t="s">
        <v>10489</v>
      </c>
      <c r="J4988" s="3" t="str">
        <f>HYPERLINK("https://www.boe.es/gazeta/dias/1813/12/23/pdfs/GMR-1813-91.pdf#page=1","Abrir facsímil")</f>
        <v>Abrir facsímil</v>
      </c>
      <c r="K4988" s="3" t="s">
        <v>22</v>
      </c>
    </row>
    <row r="4989" spans="1:11" ht="42" customHeight="1">
      <c r="A4989" s="2" t="s">
        <v>10490</v>
      </c>
      <c r="B4989" s="2" t="s">
        <v>10490</v>
      </c>
      <c r="C4989" s="2" t="s">
        <v>16</v>
      </c>
      <c r="D4989" s="2" t="s">
        <v>17</v>
      </c>
      <c r="E4989" s="5">
        <v>-31707</v>
      </c>
      <c r="F4989" s="3" t="s">
        <v>2195</v>
      </c>
      <c r="G4989" s="3" t="s">
        <v>54</v>
      </c>
      <c r="H4989" s="2" t="s">
        <v>20</v>
      </c>
      <c r="I4989" s="2" t="s">
        <v>10491</v>
      </c>
      <c r="J4989" s="3" t="str">
        <f>HYPERLINK("https://www.boe.es/gazeta/dias/1813/03/09/pdfs/GMD-1813-68.pdf#page=3","Abrir facsímil")</f>
        <v>Abrir facsímil</v>
      </c>
      <c r="K4989" s="3" t="s">
        <v>22</v>
      </c>
    </row>
    <row r="4990" spans="1:11" ht="42" customHeight="1">
      <c r="A4990" s="2" t="s">
        <v>10492</v>
      </c>
      <c r="B4990" s="2" t="s">
        <v>10492</v>
      </c>
      <c r="C4990" s="2" t="s">
        <v>25</v>
      </c>
      <c r="D4990" s="2" t="s">
        <v>26</v>
      </c>
      <c r="E4990" s="5">
        <v>-31425</v>
      </c>
      <c r="F4990" s="3" t="s">
        <v>1669</v>
      </c>
      <c r="G4990" s="3" t="s">
        <v>19</v>
      </c>
      <c r="H4990" s="2" t="s">
        <v>20</v>
      </c>
      <c r="I4990" s="2" t="s">
        <v>10493</v>
      </c>
      <c r="J4990" s="3" t="str">
        <f>HYPERLINK("https://www.boe.es/gazeta/dias/1813/12/16/pdfs/GRE-1813-165.pdf#page=4","Abrir facsímil")</f>
        <v>Abrir facsímil</v>
      </c>
      <c r="K4990" s="3" t="s">
        <v>22</v>
      </c>
    </row>
    <row r="4991" spans="1:11" ht="42" customHeight="1">
      <c r="A4991" s="2" t="s">
        <v>10494</v>
      </c>
      <c r="B4991" s="2" t="s">
        <v>10494</v>
      </c>
      <c r="C4991" s="2" t="s">
        <v>16</v>
      </c>
      <c r="D4991" s="2" t="s">
        <v>17</v>
      </c>
      <c r="E4991" s="5">
        <v>-31582</v>
      </c>
      <c r="F4991" s="3" t="s">
        <v>907</v>
      </c>
      <c r="G4991" s="3" t="s">
        <v>19</v>
      </c>
      <c r="H4991" s="2" t="s">
        <v>20</v>
      </c>
      <c r="I4991" s="2" t="s">
        <v>10495</v>
      </c>
      <c r="J4991" s="3" t="str">
        <f>HYPERLINK("https://www.boe.es/gazeta/dias/1813/07/12/pdfs/GRE-1813-87.pdf#page=4","Abrir facsímil")</f>
        <v>Abrir facsímil</v>
      </c>
      <c r="K4991" s="3" t="s">
        <v>22</v>
      </c>
    </row>
    <row r="4992" spans="1:11" ht="42" customHeight="1">
      <c r="A4992" s="2" t="s">
        <v>10496</v>
      </c>
      <c r="B4992" s="2" t="s">
        <v>10496</v>
      </c>
      <c r="C4992" s="2" t="s">
        <v>277</v>
      </c>
      <c r="D4992" s="2" t="s">
        <v>26</v>
      </c>
      <c r="E4992" s="5">
        <v>-31674</v>
      </c>
      <c r="F4992" s="3" t="s">
        <v>2773</v>
      </c>
      <c r="G4992" s="3" t="s">
        <v>58</v>
      </c>
      <c r="H4992" s="2" t="s">
        <v>20</v>
      </c>
      <c r="I4992" s="2" t="s">
        <v>10497</v>
      </c>
      <c r="J4992" s="3" t="str">
        <f>HYPERLINK("https://www.boe.es/gazeta/dias/1813/04/11/pdfs/GMD-1813-101.pdf#page=2","Abrir facsímil")</f>
        <v>Abrir facsímil</v>
      </c>
      <c r="K4992" s="3" t="s">
        <v>22</v>
      </c>
    </row>
    <row r="4993" spans="1:11" ht="42" customHeight="1">
      <c r="A4993" s="2" t="s">
        <v>10498</v>
      </c>
      <c r="B4993" s="2" t="s">
        <v>10498</v>
      </c>
      <c r="C4993" s="2" t="s">
        <v>187</v>
      </c>
      <c r="D4993" s="2" t="s">
        <v>26</v>
      </c>
      <c r="E4993" s="5">
        <v>-31674</v>
      </c>
      <c r="F4993" s="3" t="s">
        <v>2773</v>
      </c>
      <c r="G4993" s="3" t="s">
        <v>2141</v>
      </c>
      <c r="H4993" s="2" t="s">
        <v>20</v>
      </c>
      <c r="I4993" s="2" t="s">
        <v>10499</v>
      </c>
      <c r="J4993" s="3" t="str">
        <f>HYPERLINK("https://www.boe.es/gazeta/dias/1813/04/11/pdfs/GMD-1813-101.pdf#page=3","Abrir facsímil")</f>
        <v>Abrir facsímil</v>
      </c>
      <c r="K4993" s="3" t="s">
        <v>22</v>
      </c>
    </row>
    <row r="4994" spans="1:11" ht="42" customHeight="1">
      <c r="A4994" s="2" t="s">
        <v>10500</v>
      </c>
      <c r="B4994" s="2" t="s">
        <v>10500</v>
      </c>
      <c r="C4994" s="2" t="s">
        <v>16</v>
      </c>
      <c r="D4994" s="2" t="s">
        <v>17</v>
      </c>
      <c r="E4994" s="5">
        <v>-31595</v>
      </c>
      <c r="F4994" s="3" t="s">
        <v>1319</v>
      </c>
      <c r="G4994" s="3" t="s">
        <v>28</v>
      </c>
      <c r="H4994" s="2" t="s">
        <v>20</v>
      </c>
      <c r="I4994" s="2" t="s">
        <v>10501</v>
      </c>
      <c r="J4994" s="3" t="str">
        <f>HYPERLINK("https://www.boe.es/gazeta/dias/1813/06/29/pdfs/GRE-1813-80.pdf#page=8","Abrir facsímil")</f>
        <v>Abrir facsímil</v>
      </c>
      <c r="K4994" s="3" t="s">
        <v>22</v>
      </c>
    </row>
    <row r="4995" spans="1:11" ht="42" customHeight="1">
      <c r="A4995" s="2" t="s">
        <v>10502</v>
      </c>
      <c r="B4995" s="2" t="s">
        <v>10502</v>
      </c>
      <c r="C4995" s="2" t="s">
        <v>16</v>
      </c>
      <c r="D4995" s="2" t="s">
        <v>17</v>
      </c>
      <c r="E4995" s="5">
        <v>-31448</v>
      </c>
      <c r="F4995" s="3" t="s">
        <v>325</v>
      </c>
      <c r="G4995" s="3" t="s">
        <v>87</v>
      </c>
      <c r="H4995" s="2" t="s">
        <v>20</v>
      </c>
      <c r="I4995" s="2" t="s">
        <v>10503</v>
      </c>
      <c r="J4995" s="3" t="str">
        <f>HYPERLINK("https://www.boe.es/gazeta/dias/1813/11/23/pdfs/GMR-1813-78.pdf#page=7","Abrir facsímil")</f>
        <v>Abrir facsímil</v>
      </c>
      <c r="K4995" s="3" t="s">
        <v>22</v>
      </c>
    </row>
    <row r="4996" spans="1:11" ht="42" customHeight="1">
      <c r="A4996" s="2" t="s">
        <v>10504</v>
      </c>
      <c r="B4996" s="2" t="s">
        <v>10504</v>
      </c>
      <c r="C4996" s="2" t="s">
        <v>16</v>
      </c>
      <c r="D4996" s="2" t="s">
        <v>17</v>
      </c>
      <c r="E4996" s="5">
        <v>-31756</v>
      </c>
      <c r="F4996" s="3" t="s">
        <v>951</v>
      </c>
      <c r="G4996" s="3" t="s">
        <v>952</v>
      </c>
      <c r="H4996" s="2" t="s">
        <v>20</v>
      </c>
      <c r="I4996" s="2" t="s">
        <v>10505</v>
      </c>
      <c r="J4996" s="3" t="str">
        <f>HYPERLINK("https://www.boe.es/gazeta/dias/1813/01/19/pdfs/GRE-1813-8.pdf#page=5","Abrir facsímil")</f>
        <v>Abrir facsímil</v>
      </c>
      <c r="K4996" s="3" t="s">
        <v>22</v>
      </c>
    </row>
    <row r="4997" spans="1:11" ht="42" customHeight="1">
      <c r="A4997" s="2" t="s">
        <v>10504</v>
      </c>
      <c r="B4997" s="2" t="s">
        <v>10504</v>
      </c>
      <c r="C4997" s="2" t="s">
        <v>25</v>
      </c>
      <c r="D4997" s="2" t="s">
        <v>26</v>
      </c>
      <c r="E4997" s="5">
        <v>-31675</v>
      </c>
      <c r="F4997" s="3" t="s">
        <v>27</v>
      </c>
      <c r="G4997" s="3" t="s">
        <v>648</v>
      </c>
      <c r="H4997" s="2" t="s">
        <v>20</v>
      </c>
      <c r="I4997" s="2" t="s">
        <v>10506</v>
      </c>
      <c r="J4997" s="3" t="str">
        <f>HYPERLINK("https://www.boe.es/gazeta/dias/1813/04/10/pdfs/GRE-1813-44.pdf#page=7","Abrir facsímil")</f>
        <v>Abrir facsímil</v>
      </c>
      <c r="K4997" s="3" t="s">
        <v>22</v>
      </c>
    </row>
    <row r="4998" spans="1:11" ht="42" customHeight="1">
      <c r="A4998" s="2" t="s">
        <v>10507</v>
      </c>
      <c r="B4998" s="2" t="s">
        <v>10507</v>
      </c>
      <c r="C4998" s="2" t="s">
        <v>277</v>
      </c>
      <c r="D4998" s="2" t="s">
        <v>26</v>
      </c>
      <c r="E4998" s="5">
        <v>-31558</v>
      </c>
      <c r="F4998" s="3" t="s">
        <v>1288</v>
      </c>
      <c r="G4998" s="3" t="s">
        <v>28</v>
      </c>
      <c r="H4998" s="2" t="s">
        <v>20</v>
      </c>
      <c r="I4998" s="2" t="s">
        <v>10508</v>
      </c>
      <c r="J4998" s="3" t="str">
        <f>HYPERLINK("https://www.boe.es/gazeta/dias/1813/08/05/pdfs/GMR-1813-24.pdf#page=8","Abrir facsímil")</f>
        <v>Abrir facsímil</v>
      </c>
      <c r="K4998" s="3" t="s">
        <v>22</v>
      </c>
    </row>
    <row r="4999" spans="1:11" ht="42" customHeight="1">
      <c r="A4999" s="2" t="s">
        <v>10509</v>
      </c>
      <c r="B4999" s="2" t="s">
        <v>10510</v>
      </c>
      <c r="C4999" s="2" t="s">
        <v>16</v>
      </c>
      <c r="D4999" s="2" t="s">
        <v>97</v>
      </c>
      <c r="E4999" s="5">
        <v>-31519</v>
      </c>
      <c r="F4999" s="3" t="s">
        <v>312</v>
      </c>
      <c r="G4999" s="3" t="s">
        <v>28</v>
      </c>
      <c r="H4999" s="2" t="s">
        <v>20</v>
      </c>
      <c r="I4999" s="2" t="s">
        <v>10511</v>
      </c>
      <c r="J4999" s="3" t="str">
        <f>HYPERLINK("https://www.boe.es/gazeta/dias/1813/09/13/pdfs/GRE-1813-118E.pdf#page=8","Abrir facsímil")</f>
        <v>Abrir facsímil</v>
      </c>
      <c r="K4999" s="3" t="s">
        <v>22</v>
      </c>
    </row>
    <row r="5000" spans="1:11" ht="42" customHeight="1">
      <c r="A5000" s="2" t="s">
        <v>10512</v>
      </c>
      <c r="B5000" s="2" t="s">
        <v>10513</v>
      </c>
      <c r="C5000" s="2" t="s">
        <v>16</v>
      </c>
      <c r="D5000" s="2" t="s">
        <v>17</v>
      </c>
      <c r="E5000" s="5">
        <v>-31507</v>
      </c>
      <c r="F5000" s="3" t="s">
        <v>61</v>
      </c>
      <c r="G5000" s="3" t="s">
        <v>791</v>
      </c>
      <c r="H5000" s="2" t="s">
        <v>20</v>
      </c>
      <c r="I5000" s="2" t="s">
        <v>10514</v>
      </c>
      <c r="J5000" s="3" t="str">
        <f>HYPERLINK("https://www.boe.es/gazeta/dias/1813/09/25/pdfs/GMR-1813-48.pdf#page=7","Abrir facsímil")</f>
        <v>Abrir facsímil</v>
      </c>
      <c r="K5000" s="3" t="s">
        <v>22</v>
      </c>
    </row>
    <row r="5001" spans="1:11" ht="42" customHeight="1">
      <c r="A5001" s="2" t="s">
        <v>10515</v>
      </c>
      <c r="B5001" s="2" t="s">
        <v>10515</v>
      </c>
      <c r="C5001" s="2" t="s">
        <v>16</v>
      </c>
      <c r="D5001" s="2" t="s">
        <v>17</v>
      </c>
      <c r="E5001" s="5">
        <v>-31678</v>
      </c>
      <c r="F5001" s="3" t="s">
        <v>8495</v>
      </c>
      <c r="G5001" s="3" t="s">
        <v>65</v>
      </c>
      <c r="H5001" s="2" t="s">
        <v>20</v>
      </c>
      <c r="I5001" s="2" t="s">
        <v>10516</v>
      </c>
      <c r="J5001" s="3" t="str">
        <f>HYPERLINK("https://www.boe.es/gazeta/dias/1813/04/07/pdfs/GMD-1813-97.pdf#page=1","Abrir facsímil")</f>
        <v>Abrir facsímil</v>
      </c>
      <c r="K5001" s="3" t="s">
        <v>22</v>
      </c>
    </row>
    <row r="5002" spans="1:11" ht="42" customHeight="1">
      <c r="A5002" s="2" t="s">
        <v>10517</v>
      </c>
      <c r="B5002" s="2" t="s">
        <v>10518</v>
      </c>
      <c r="C5002" s="2" t="s">
        <v>16</v>
      </c>
      <c r="D5002" s="2" t="s">
        <v>17</v>
      </c>
      <c r="E5002" s="5">
        <v>-31684</v>
      </c>
      <c r="F5002" s="3" t="s">
        <v>427</v>
      </c>
      <c r="G5002" s="3" t="s">
        <v>1123</v>
      </c>
      <c r="H5002" s="2" t="s">
        <v>20</v>
      </c>
      <c r="I5002" s="2" t="s">
        <v>10519</v>
      </c>
      <c r="J5002" s="3" t="str">
        <f>HYPERLINK("https://www.boe.es/gazeta/dias/1813/04/01/pdfs/GRE-1813-40.pdf#page=8","Abrir facsímil")</f>
        <v>Abrir facsímil</v>
      </c>
      <c r="K5002" s="3" t="s">
        <v>22</v>
      </c>
    </row>
    <row r="5003" spans="1:11" ht="42" customHeight="1">
      <c r="A5003" s="2" t="s">
        <v>10520</v>
      </c>
      <c r="B5003" s="2" t="s">
        <v>10521</v>
      </c>
      <c r="C5003" s="2" t="s">
        <v>69</v>
      </c>
      <c r="D5003" s="2" t="s">
        <v>26</v>
      </c>
      <c r="E5003" s="5">
        <v>-31434</v>
      </c>
      <c r="F5003" s="3" t="s">
        <v>948</v>
      </c>
      <c r="G5003" s="3" t="s">
        <v>87</v>
      </c>
      <c r="H5003" s="2" t="s">
        <v>20</v>
      </c>
      <c r="I5003" s="2" t="s">
        <v>10522</v>
      </c>
      <c r="J5003" s="3" t="str">
        <f>HYPERLINK("https://www.boe.es/gazeta/dias/1813/12/07/pdfs/GMR-1813-84.pdf#page=7","Abrir facsímil")</f>
        <v>Abrir facsímil</v>
      </c>
      <c r="K5003" s="3" t="s">
        <v>22</v>
      </c>
    </row>
    <row r="5004" spans="1:11" ht="42" customHeight="1">
      <c r="A5004" s="2" t="s">
        <v>10523</v>
      </c>
      <c r="B5004" s="2" t="s">
        <v>10524</v>
      </c>
      <c r="C5004" s="2" t="s">
        <v>25</v>
      </c>
      <c r="D5004" s="2" t="s">
        <v>26</v>
      </c>
      <c r="E5004" s="5">
        <v>-31677</v>
      </c>
      <c r="F5004" s="3" t="s">
        <v>76</v>
      </c>
      <c r="G5004" s="3" t="s">
        <v>28</v>
      </c>
      <c r="H5004" s="2" t="s">
        <v>20</v>
      </c>
      <c r="I5004" s="2" t="s">
        <v>10525</v>
      </c>
      <c r="J5004" s="3" t="str">
        <f>HYPERLINK("https://www.boe.es/gazeta/dias/1813/04/08/pdfs/GRE-1813-43.pdf#page=8","Abrir facsímil")</f>
        <v>Abrir facsímil</v>
      </c>
      <c r="K5004" s="3" t="s">
        <v>22</v>
      </c>
    </row>
    <row r="5005" spans="1:11" ht="42" customHeight="1">
      <c r="A5005" s="2" t="s">
        <v>10526</v>
      </c>
      <c r="B5005" s="2" t="s">
        <v>10527</v>
      </c>
      <c r="C5005" s="2" t="s">
        <v>16</v>
      </c>
      <c r="D5005" s="2" t="s">
        <v>17</v>
      </c>
      <c r="E5005" s="5">
        <v>-31432</v>
      </c>
      <c r="F5005" s="3" t="s">
        <v>803</v>
      </c>
      <c r="G5005" s="3" t="s">
        <v>95</v>
      </c>
      <c r="H5005" s="2" t="s">
        <v>20</v>
      </c>
      <c r="I5005" s="2" t="s">
        <v>10528</v>
      </c>
      <c r="J5005" s="3" t="str">
        <f>HYPERLINK("https://www.boe.es/gazeta/dias/1813/12/09/pdfs/GRE-1813-162.pdf#page=6","Abrir facsímil")</f>
        <v>Abrir facsímil</v>
      </c>
      <c r="K5005" s="3" t="s">
        <v>22</v>
      </c>
    </row>
    <row r="5006" spans="1:11" ht="42" customHeight="1">
      <c r="A5006" s="2" t="s">
        <v>10529</v>
      </c>
      <c r="B5006" s="2" t="s">
        <v>10529</v>
      </c>
      <c r="C5006" s="2" t="s">
        <v>16</v>
      </c>
      <c r="D5006" s="2" t="s">
        <v>17</v>
      </c>
      <c r="E5006" s="5">
        <v>-31430</v>
      </c>
      <c r="F5006" s="3" t="s">
        <v>1731</v>
      </c>
      <c r="G5006" s="3" t="s">
        <v>65</v>
      </c>
      <c r="H5006" s="2" t="s">
        <v>20</v>
      </c>
      <c r="I5006" s="2" t="s">
        <v>10530</v>
      </c>
      <c r="J5006" s="3" t="str">
        <f>HYPERLINK("https://www.boe.es/gazeta/dias/1813/12/11/pdfs/GRE-1813-163.pdf#page=1","Abrir facsímil")</f>
        <v>Abrir facsímil</v>
      </c>
      <c r="K5006" s="3" t="s">
        <v>22</v>
      </c>
    </row>
    <row r="5007" spans="1:11" ht="42" customHeight="1">
      <c r="A5007" s="2" t="s">
        <v>10531</v>
      </c>
      <c r="B5007" s="2" t="s">
        <v>10532</v>
      </c>
      <c r="C5007" s="2" t="s">
        <v>435</v>
      </c>
      <c r="D5007" s="2" t="s">
        <v>26</v>
      </c>
      <c r="E5007" s="5">
        <v>-31479</v>
      </c>
      <c r="F5007" s="3" t="s">
        <v>322</v>
      </c>
      <c r="G5007" s="3" t="s">
        <v>1307</v>
      </c>
      <c r="H5007" s="2" t="s">
        <v>20</v>
      </c>
      <c r="I5007" s="2" t="s">
        <v>10533</v>
      </c>
      <c r="J5007" s="3" t="str">
        <f>HYPERLINK("https://www.boe.es/gazeta/dias/1813/10/23/pdfs/GMR-1813-63.pdf#page=12","Abrir facsímil")</f>
        <v>Abrir facsímil</v>
      </c>
      <c r="K5007" s="3" t="s">
        <v>22</v>
      </c>
    </row>
    <row r="5008" spans="1:11" ht="42" customHeight="1">
      <c r="A5008" s="2" t="s">
        <v>10534</v>
      </c>
      <c r="B5008" s="2" t="s">
        <v>10534</v>
      </c>
      <c r="C5008" s="2" t="s">
        <v>34</v>
      </c>
      <c r="D5008" s="2" t="s">
        <v>35</v>
      </c>
      <c r="E5008" s="5">
        <v>-31674</v>
      </c>
      <c r="F5008" s="3" t="s">
        <v>2773</v>
      </c>
      <c r="G5008" s="3" t="s">
        <v>58</v>
      </c>
      <c r="H5008" s="2" t="s">
        <v>20</v>
      </c>
      <c r="I5008" s="2" t="s">
        <v>10535</v>
      </c>
      <c r="J5008" s="3" t="str">
        <f>HYPERLINK("https://www.boe.es/gazeta/dias/1813/04/11/pdfs/GMD-1813-101.pdf#page=2","Abrir facsímil")</f>
        <v>Abrir facsímil</v>
      </c>
      <c r="K5008" s="3" t="s">
        <v>22</v>
      </c>
    </row>
    <row r="5009" spans="1:11" ht="42" customHeight="1">
      <c r="A5009" s="2" t="s">
        <v>10536</v>
      </c>
      <c r="B5009" s="2" t="s">
        <v>10536</v>
      </c>
      <c r="C5009" s="2" t="s">
        <v>34</v>
      </c>
      <c r="D5009" s="2" t="s">
        <v>35</v>
      </c>
      <c r="E5009" s="5">
        <v>-31427</v>
      </c>
      <c r="F5009" s="3" t="s">
        <v>489</v>
      </c>
      <c r="G5009" s="3" t="s">
        <v>95</v>
      </c>
      <c r="H5009" s="2" t="s">
        <v>20</v>
      </c>
      <c r="I5009" s="2" t="s">
        <v>10537</v>
      </c>
      <c r="J5009" s="3" t="str">
        <f>HYPERLINK("https://www.boe.es/gazeta/dias/1813/12/14/pdfs/GMR-1813-87.pdf#page=6","Abrir facsímil")</f>
        <v>Abrir facsímil</v>
      </c>
      <c r="K5009" s="3" t="s">
        <v>22</v>
      </c>
    </row>
    <row r="5010" spans="1:11" ht="42" customHeight="1">
      <c r="A5010" s="2" t="s">
        <v>10538</v>
      </c>
      <c r="B5010" s="2" t="s">
        <v>10538</v>
      </c>
      <c r="C5010" s="2" t="s">
        <v>34</v>
      </c>
      <c r="D5010" s="2" t="s">
        <v>35</v>
      </c>
      <c r="E5010" s="5">
        <v>-31427</v>
      </c>
      <c r="F5010" s="3" t="s">
        <v>489</v>
      </c>
      <c r="G5010" s="3" t="s">
        <v>95</v>
      </c>
      <c r="H5010" s="2" t="s">
        <v>20</v>
      </c>
      <c r="I5010" s="2" t="s">
        <v>10539</v>
      </c>
      <c r="J5010" s="3" t="str">
        <f>HYPERLINK("https://www.boe.es/gazeta/dias/1813/12/14/pdfs/GMR-1813-87.pdf#page=6","Abrir facsímil")</f>
        <v>Abrir facsímil</v>
      </c>
      <c r="K5010" s="3" t="s">
        <v>22</v>
      </c>
    </row>
    <row r="5011" spans="1:11" ht="42" customHeight="1">
      <c r="A5011" s="2" t="s">
        <v>10540</v>
      </c>
      <c r="B5011" s="2" t="s">
        <v>10540</v>
      </c>
      <c r="C5011" s="2" t="s">
        <v>187</v>
      </c>
      <c r="D5011" s="2" t="s">
        <v>26</v>
      </c>
      <c r="E5011" s="5">
        <v>-31734</v>
      </c>
      <c r="F5011" s="3" t="s">
        <v>362</v>
      </c>
      <c r="G5011" s="3" t="s">
        <v>58</v>
      </c>
      <c r="H5011" s="2" t="s">
        <v>20</v>
      </c>
      <c r="I5011" s="2" t="s">
        <v>10541</v>
      </c>
      <c r="J5011" s="3" t="str">
        <f>HYPERLINK("https://www.boe.es/gazeta/dias/1813/02/10/pdfs/GMD-1813-41.pdf#page=2","Abrir facsímil")</f>
        <v>Abrir facsímil</v>
      </c>
      <c r="K5011" s="3" t="s">
        <v>22</v>
      </c>
    </row>
    <row r="5012" spans="1:11" ht="42" customHeight="1">
      <c r="A5012" s="2" t="s">
        <v>10542</v>
      </c>
      <c r="B5012" s="2" t="s">
        <v>10542</v>
      </c>
      <c r="C5012" s="2" t="s">
        <v>25</v>
      </c>
      <c r="D5012" s="2" t="s">
        <v>26</v>
      </c>
      <c r="E5012" s="5">
        <v>-31667</v>
      </c>
      <c r="F5012" s="3" t="s">
        <v>3712</v>
      </c>
      <c r="G5012" s="3" t="s">
        <v>58</v>
      </c>
      <c r="H5012" s="2" t="s">
        <v>20</v>
      </c>
      <c r="I5012" s="2" t="s">
        <v>10543</v>
      </c>
      <c r="J5012" s="3" t="str">
        <f>HYPERLINK("https://www.boe.es/gazeta/dias/1813/04/18/pdfs/GMD-1813-108.pdf#page=2","Abrir facsímil")</f>
        <v>Abrir facsímil</v>
      </c>
      <c r="K5012" s="3" t="s">
        <v>22</v>
      </c>
    </row>
    <row r="5013" spans="1:11" ht="42" customHeight="1">
      <c r="A5013" s="2" t="s">
        <v>10542</v>
      </c>
      <c r="B5013" s="2" t="s">
        <v>10542</v>
      </c>
      <c r="C5013" s="2" t="s">
        <v>16</v>
      </c>
      <c r="D5013" s="2" t="s">
        <v>17</v>
      </c>
      <c r="E5013" s="5">
        <v>-31495</v>
      </c>
      <c r="F5013" s="3" t="s">
        <v>194</v>
      </c>
      <c r="G5013" s="3" t="s">
        <v>65</v>
      </c>
      <c r="H5013" s="2" t="s">
        <v>20</v>
      </c>
      <c r="I5013" s="2" t="s">
        <v>10544</v>
      </c>
      <c r="J5013" s="3" t="str">
        <f>HYPERLINK("https://www.boe.es/gazeta/dias/1813/10/07/pdfs/GMR-1813-55.pdf#page=1","Abrir facsímil")</f>
        <v>Abrir facsímil</v>
      </c>
      <c r="K5013" s="3" t="s">
        <v>22</v>
      </c>
    </row>
    <row r="5014" spans="1:11" ht="42" customHeight="1">
      <c r="A5014" s="2" t="s">
        <v>10545</v>
      </c>
      <c r="B5014" s="2" t="s">
        <v>10545</v>
      </c>
      <c r="C5014" s="2" t="s">
        <v>16</v>
      </c>
      <c r="D5014" s="2" t="s">
        <v>17</v>
      </c>
      <c r="E5014" s="5">
        <v>-31563</v>
      </c>
      <c r="F5014" s="3" t="s">
        <v>1267</v>
      </c>
      <c r="G5014" s="3" t="s">
        <v>19</v>
      </c>
      <c r="H5014" s="2" t="s">
        <v>20</v>
      </c>
      <c r="I5014" s="2" t="s">
        <v>10546</v>
      </c>
      <c r="J5014" s="3" t="str">
        <f>HYPERLINK("https://www.boe.es/gazeta/dias/1813/07/31/pdfs/GRE-1813-97.pdf#page=4","Abrir facsímil")</f>
        <v>Abrir facsímil</v>
      </c>
      <c r="K5014" s="3" t="s">
        <v>22</v>
      </c>
    </row>
    <row r="5015" spans="1:11" ht="42" customHeight="1">
      <c r="A5015" s="2" t="s">
        <v>10547</v>
      </c>
      <c r="B5015" s="2" t="s">
        <v>10548</v>
      </c>
      <c r="C5015" s="2" t="s">
        <v>25</v>
      </c>
      <c r="D5015" s="2" t="s">
        <v>26</v>
      </c>
      <c r="E5015" s="5">
        <v>-31745</v>
      </c>
      <c r="F5015" s="3" t="s">
        <v>445</v>
      </c>
      <c r="G5015" s="3" t="s">
        <v>475</v>
      </c>
      <c r="H5015" s="2" t="s">
        <v>20</v>
      </c>
      <c r="I5015" s="2" t="s">
        <v>10549</v>
      </c>
      <c r="J5015" s="3" t="str">
        <f>HYPERLINK("https://www.boe.es/gazeta/dias/1813/01/30/pdfs/GRE-1813-13.pdf#page=7","Abrir facsímil")</f>
        <v>Abrir facsímil</v>
      </c>
      <c r="K5015" s="3" t="s">
        <v>22</v>
      </c>
    </row>
    <row r="5016" spans="1:11" ht="42" customHeight="1">
      <c r="A5016" s="2" t="s">
        <v>10550</v>
      </c>
      <c r="B5016" s="2" t="s">
        <v>10551</v>
      </c>
      <c r="C5016" s="2" t="s">
        <v>16</v>
      </c>
      <c r="D5016" s="2" t="s">
        <v>17</v>
      </c>
      <c r="E5016" s="5">
        <v>-31630</v>
      </c>
      <c r="F5016" s="3" t="s">
        <v>1324</v>
      </c>
      <c r="G5016" s="3" t="s">
        <v>19</v>
      </c>
      <c r="H5016" s="2" t="s">
        <v>20</v>
      </c>
      <c r="I5016" s="2" t="s">
        <v>10552</v>
      </c>
      <c r="J5016" s="3" t="str">
        <f>HYPERLINK("https://www.boe.es/gazeta/dias/1813/05/25/pdfs/GRE-1813-64.pdf#page=4","Abrir facsímil")</f>
        <v>Abrir facsímil</v>
      </c>
      <c r="K5016" s="3" t="s">
        <v>22</v>
      </c>
    </row>
    <row r="5017" spans="1:11" ht="42" customHeight="1">
      <c r="A5017" s="2" t="s">
        <v>10553</v>
      </c>
      <c r="B5017" s="2" t="s">
        <v>10554</v>
      </c>
      <c r="C5017" s="2" t="s">
        <v>16</v>
      </c>
      <c r="D5017" s="2" t="s">
        <v>17</v>
      </c>
      <c r="E5017" s="5">
        <v>-31451</v>
      </c>
      <c r="F5017" s="3" t="s">
        <v>2325</v>
      </c>
      <c r="G5017" s="3" t="s">
        <v>3386</v>
      </c>
      <c r="H5017" s="2" t="s">
        <v>20</v>
      </c>
      <c r="I5017" s="2" t="s">
        <v>10555</v>
      </c>
      <c r="J5017" s="3" t="str">
        <f>HYPERLINK("https://www.boe.es/gazeta/dias/1813/11/20/pdfs/GMR-1813-77.pdf#page=3","Abrir facsímil")</f>
        <v>Abrir facsímil</v>
      </c>
      <c r="K5017" s="3" t="s">
        <v>22</v>
      </c>
    </row>
    <row r="5018" spans="1:11" ht="42" customHeight="1">
      <c r="A5018" s="2" t="s">
        <v>10556</v>
      </c>
      <c r="B5018" s="2" t="s">
        <v>10557</v>
      </c>
      <c r="C5018" s="2" t="s">
        <v>16</v>
      </c>
      <c r="D5018" s="2" t="s">
        <v>17</v>
      </c>
      <c r="E5018" s="5">
        <v>-31439</v>
      </c>
      <c r="F5018" s="3" t="s">
        <v>3821</v>
      </c>
      <c r="G5018" s="3" t="s">
        <v>19</v>
      </c>
      <c r="H5018" s="2" t="s">
        <v>20</v>
      </c>
      <c r="I5018" s="2" t="s">
        <v>10558</v>
      </c>
      <c r="J5018" s="3" t="str">
        <f>HYPERLINK("https://www.boe.es/gazeta/dias/1813/12/02/pdfs/GRE-1813-159.pdf#page=4","Abrir facsímil")</f>
        <v>Abrir facsímil</v>
      </c>
      <c r="K5018" s="3" t="s">
        <v>22</v>
      </c>
    </row>
    <row r="5019" spans="1:11" ht="42" customHeight="1">
      <c r="A5019" s="2" t="s">
        <v>10559</v>
      </c>
      <c r="B5019" s="2" t="s">
        <v>10560</v>
      </c>
      <c r="C5019" s="2" t="s">
        <v>25</v>
      </c>
      <c r="D5019" s="2" t="s">
        <v>26</v>
      </c>
      <c r="E5019" s="5">
        <v>-31675</v>
      </c>
      <c r="F5019" s="3" t="s">
        <v>27</v>
      </c>
      <c r="G5019" s="3" t="s">
        <v>28</v>
      </c>
      <c r="H5019" s="2" t="s">
        <v>20</v>
      </c>
      <c r="I5019" s="2" t="s">
        <v>10561</v>
      </c>
      <c r="J5019" s="3" t="str">
        <f>HYPERLINK("https://www.boe.es/gazeta/dias/1813/04/10/pdfs/GRE-1813-44.pdf#page=8","Abrir facsímil")</f>
        <v>Abrir facsímil</v>
      </c>
      <c r="K5019" s="3" t="s">
        <v>22</v>
      </c>
    </row>
    <row r="5020" spans="1:11" ht="42" customHeight="1">
      <c r="A5020" s="2" t="s">
        <v>10562</v>
      </c>
      <c r="B5020" s="2" t="s">
        <v>10563</v>
      </c>
      <c r="C5020" s="2" t="s">
        <v>277</v>
      </c>
      <c r="D5020" s="2" t="s">
        <v>26</v>
      </c>
      <c r="E5020" s="5">
        <v>-31655</v>
      </c>
      <c r="F5020" s="3" t="s">
        <v>858</v>
      </c>
      <c r="G5020" s="3" t="s">
        <v>983</v>
      </c>
      <c r="H5020" s="2" t="s">
        <v>20</v>
      </c>
      <c r="I5020" s="2" t="s">
        <v>10564</v>
      </c>
      <c r="J5020" s="3" t="str">
        <f>HYPERLINK("https://www.boe.es/gazeta/dias/1813/04/30/pdfs/GMD-1813-120.pdf#page=3","Abrir facsímil")</f>
        <v>Abrir facsímil</v>
      </c>
      <c r="K5020" s="3" t="s">
        <v>22</v>
      </c>
    </row>
    <row r="5021" spans="1:11" ht="42" customHeight="1">
      <c r="A5021" s="2" t="s">
        <v>10565</v>
      </c>
      <c r="B5021" s="2" t="s">
        <v>10566</v>
      </c>
      <c r="C5021" s="2" t="s">
        <v>16</v>
      </c>
      <c r="D5021" s="2" t="s">
        <v>97</v>
      </c>
      <c r="E5021" s="5">
        <v>-31519</v>
      </c>
      <c r="F5021" s="3" t="s">
        <v>312</v>
      </c>
      <c r="G5021" s="3" t="s">
        <v>313</v>
      </c>
      <c r="H5021" s="2" t="s">
        <v>20</v>
      </c>
      <c r="I5021" s="2" t="s">
        <v>10567</v>
      </c>
      <c r="J5021" s="3" t="str">
        <f>HYPERLINK("https://www.boe.es/gazeta/dias/1813/09/13/pdfs/GRE-1813-118E.pdf#page=9","Abrir facsímil")</f>
        <v>Abrir facsímil</v>
      </c>
      <c r="K5021" s="3" t="s">
        <v>22</v>
      </c>
    </row>
    <row r="5022" spans="1:11" ht="42" customHeight="1">
      <c r="A5022" s="2" t="s">
        <v>10568</v>
      </c>
      <c r="B5022" s="2" t="s">
        <v>10569</v>
      </c>
      <c r="C5022" s="2" t="s">
        <v>16</v>
      </c>
      <c r="D5022" s="2" t="s">
        <v>17</v>
      </c>
      <c r="E5022" s="5">
        <v>-31733</v>
      </c>
      <c r="F5022" s="3" t="s">
        <v>3036</v>
      </c>
      <c r="G5022" s="3" t="s">
        <v>95</v>
      </c>
      <c r="H5022" s="2" t="s">
        <v>20</v>
      </c>
      <c r="I5022" s="2" t="s">
        <v>10570</v>
      </c>
      <c r="J5022" s="3" t="str">
        <f>HYPERLINK("https://www.boe.es/gazeta/dias/1813/02/11/pdfs/GRE-1813-18.pdf#page=6","Abrir facsímil")</f>
        <v>Abrir facsímil</v>
      </c>
      <c r="K5022" s="3" t="s">
        <v>22</v>
      </c>
    </row>
    <row r="5023" spans="1:11" ht="42" customHeight="1">
      <c r="A5023" s="2" t="s">
        <v>10571</v>
      </c>
      <c r="B5023" s="2" t="s">
        <v>10572</v>
      </c>
      <c r="C5023" s="2" t="s">
        <v>16</v>
      </c>
      <c r="D5023" s="2" t="s">
        <v>97</v>
      </c>
      <c r="E5023" s="5">
        <v>-31479</v>
      </c>
      <c r="F5023" s="3" t="s">
        <v>290</v>
      </c>
      <c r="G5023" s="3" t="s">
        <v>82</v>
      </c>
      <c r="H5023" s="2" t="s">
        <v>20</v>
      </c>
      <c r="I5023" s="2" t="s">
        <v>10573</v>
      </c>
      <c r="J5023" s="3" t="str">
        <f>HYPERLINK("https://www.boe.es/gazeta/dias/1813/10/23/pdfs/GRE-1813-139E.pdf#page=5","Abrir facsímil")</f>
        <v>Abrir facsímil</v>
      </c>
      <c r="K5023" s="3" t="s">
        <v>22</v>
      </c>
    </row>
    <row r="5024" spans="1:11" ht="42" customHeight="1">
      <c r="A5024" s="2" t="s">
        <v>10571</v>
      </c>
      <c r="B5024" s="2" t="s">
        <v>10572</v>
      </c>
      <c r="C5024" s="2" t="s">
        <v>16</v>
      </c>
      <c r="D5024" s="2" t="s">
        <v>17</v>
      </c>
      <c r="E5024" s="5">
        <v>-31465</v>
      </c>
      <c r="F5024" s="3" t="s">
        <v>407</v>
      </c>
      <c r="G5024" s="3" t="s">
        <v>82</v>
      </c>
      <c r="H5024" s="2" t="s">
        <v>20</v>
      </c>
      <c r="I5024" s="2" t="s">
        <v>10574</v>
      </c>
      <c r="J5024" s="3" t="str">
        <f>HYPERLINK("https://www.boe.es/gazeta/dias/1813/11/06/pdfs/GMR-1813-70.pdf#page=5","Abrir facsímil")</f>
        <v>Abrir facsímil</v>
      </c>
      <c r="K5024" s="3" t="s">
        <v>22</v>
      </c>
    </row>
    <row r="5025" spans="1:11" ht="42" customHeight="1">
      <c r="A5025" s="2" t="s">
        <v>10575</v>
      </c>
      <c r="B5025" s="2" t="s">
        <v>10576</v>
      </c>
      <c r="C5025" s="2" t="s">
        <v>16</v>
      </c>
      <c r="D5025" s="2" t="s">
        <v>97</v>
      </c>
      <c r="E5025" s="5">
        <v>-31479</v>
      </c>
      <c r="F5025" s="3" t="s">
        <v>290</v>
      </c>
      <c r="G5025" s="3" t="s">
        <v>258</v>
      </c>
      <c r="H5025" s="2" t="s">
        <v>20</v>
      </c>
      <c r="I5025" s="2" t="s">
        <v>10577</v>
      </c>
      <c r="J5025" s="3" t="str">
        <f>HYPERLINK("https://www.boe.es/gazeta/dias/1813/10/23/pdfs/GRE-1813-139E.pdf#page=12","Abrir facsímil")</f>
        <v>Abrir facsímil</v>
      </c>
      <c r="K5025" s="3" t="s">
        <v>22</v>
      </c>
    </row>
    <row r="5026" spans="1:11" ht="42" customHeight="1">
      <c r="A5026" s="2" t="s">
        <v>10578</v>
      </c>
      <c r="B5026" s="2" t="s">
        <v>10579</v>
      </c>
      <c r="C5026" s="2" t="s">
        <v>16</v>
      </c>
      <c r="D5026" s="2" t="s">
        <v>17</v>
      </c>
      <c r="E5026" s="5">
        <v>-31460</v>
      </c>
      <c r="F5026" s="3" t="s">
        <v>599</v>
      </c>
      <c r="G5026" s="3" t="s">
        <v>28</v>
      </c>
      <c r="H5026" s="2" t="s">
        <v>20</v>
      </c>
      <c r="I5026" s="2" t="s">
        <v>10580</v>
      </c>
      <c r="J5026" s="3" t="str">
        <f>HYPERLINK("https://www.boe.es/gazeta/dias/1813/11/11/pdfs/GMR-1813-72.pdf#page=8","Abrir facsímil")</f>
        <v>Abrir facsímil</v>
      </c>
      <c r="K5026" s="3" t="s">
        <v>22</v>
      </c>
    </row>
    <row r="5027" spans="1:11" ht="42" customHeight="1">
      <c r="A5027" s="2" t="s">
        <v>10581</v>
      </c>
      <c r="B5027" s="2" t="s">
        <v>10581</v>
      </c>
      <c r="C5027" s="2" t="s">
        <v>435</v>
      </c>
      <c r="D5027" s="2" t="s">
        <v>26</v>
      </c>
      <c r="E5027" s="5">
        <v>-31446</v>
      </c>
      <c r="F5027" s="3" t="s">
        <v>103</v>
      </c>
      <c r="G5027" s="3" t="s">
        <v>945</v>
      </c>
      <c r="H5027" s="2" t="s">
        <v>20</v>
      </c>
      <c r="I5027" s="2" t="s">
        <v>10582</v>
      </c>
      <c r="J5027" s="3" t="str">
        <f>HYPERLINK("https://www.boe.es/gazeta/dias/1813/11/25/pdfs/GMR-1813-79.pdf#page=8","Abrir facsímil")</f>
        <v>Abrir facsímil</v>
      </c>
      <c r="K5027" s="3" t="s">
        <v>22</v>
      </c>
    </row>
    <row r="5028" spans="1:11" ht="42" customHeight="1">
      <c r="A5028" s="2" t="s">
        <v>10583</v>
      </c>
      <c r="B5028" s="2" t="s">
        <v>10584</v>
      </c>
      <c r="C5028" s="2" t="s">
        <v>435</v>
      </c>
      <c r="D5028" s="2" t="s">
        <v>26</v>
      </c>
      <c r="E5028" s="5">
        <v>-31670</v>
      </c>
      <c r="F5028" s="3" t="s">
        <v>92</v>
      </c>
      <c r="G5028" s="3" t="s">
        <v>95</v>
      </c>
      <c r="H5028" s="2" t="s">
        <v>20</v>
      </c>
      <c r="I5028" s="2" t="s">
        <v>10585</v>
      </c>
      <c r="J5028" s="3" t="str">
        <f>HYPERLINK("https://www.boe.es/gazeta/dias/1813/04/15/pdfs/GRE-1813-46.pdf#page=6","Abrir facsímil")</f>
        <v>Abrir facsímil</v>
      </c>
      <c r="K5028" s="3" t="s">
        <v>22</v>
      </c>
    </row>
    <row r="5029" spans="1:11" ht="42" customHeight="1">
      <c r="A5029" s="2" t="s">
        <v>10586</v>
      </c>
      <c r="B5029" s="2" t="s">
        <v>10587</v>
      </c>
      <c r="C5029" s="2" t="s">
        <v>16</v>
      </c>
      <c r="D5029" s="2" t="s">
        <v>17</v>
      </c>
      <c r="E5029" s="5">
        <v>-31770</v>
      </c>
      <c r="F5029" s="3" t="s">
        <v>188</v>
      </c>
      <c r="G5029" s="3" t="s">
        <v>28</v>
      </c>
      <c r="H5029" s="2" t="s">
        <v>20</v>
      </c>
      <c r="I5029" s="2" t="s">
        <v>10588</v>
      </c>
      <c r="J5029" s="3" t="str">
        <f>HYPERLINK("https://www.boe.es/gazeta/dias/1813/01/05/pdfs/GRE-1813-3.pdf#page=8","Abrir facsímil")</f>
        <v>Abrir facsímil</v>
      </c>
      <c r="K5029" s="3" t="s">
        <v>22</v>
      </c>
    </row>
    <row r="5030" spans="1:11" ht="42" customHeight="1">
      <c r="A5030" s="2" t="s">
        <v>10586</v>
      </c>
      <c r="B5030" s="2" t="s">
        <v>10587</v>
      </c>
      <c r="C5030" s="2" t="s">
        <v>16</v>
      </c>
      <c r="D5030" s="2" t="s">
        <v>17</v>
      </c>
      <c r="E5030" s="5">
        <v>-31768</v>
      </c>
      <c r="F5030" s="3" t="s">
        <v>188</v>
      </c>
      <c r="G5030" s="3" t="s">
        <v>28</v>
      </c>
      <c r="H5030" s="2" t="s">
        <v>20</v>
      </c>
      <c r="I5030" s="2" t="s">
        <v>10588</v>
      </c>
      <c r="J5030" s="3" t="str">
        <f>HYPERLINK("https://www.boe.es/gazeta/dias/1813/01/07/pdfs/GRE-1813-3.pdf#page=8","Abrir facsímil")</f>
        <v>Abrir facsímil</v>
      </c>
      <c r="K5030" s="3" t="s">
        <v>22</v>
      </c>
    </row>
    <row r="5031" spans="1:11" ht="42" customHeight="1">
      <c r="A5031" s="2" t="s">
        <v>10589</v>
      </c>
      <c r="B5031" s="2" t="s">
        <v>10589</v>
      </c>
      <c r="C5031" s="2" t="s">
        <v>16</v>
      </c>
      <c r="D5031" s="2" t="s">
        <v>17</v>
      </c>
      <c r="E5031" s="5">
        <v>-31773</v>
      </c>
      <c r="F5031" s="3" t="s">
        <v>3667</v>
      </c>
      <c r="G5031" s="3" t="s">
        <v>7730</v>
      </c>
      <c r="H5031" s="2" t="s">
        <v>20</v>
      </c>
      <c r="I5031" s="2" t="s">
        <v>10590</v>
      </c>
      <c r="J5031" s="3" t="str">
        <f>HYPERLINK("https://www.boe.es/gazeta/dias/1813/01/02/pdfs/GRE-1813-1.pdf#page=7","Abrir facsímil")</f>
        <v>Abrir facsímil</v>
      </c>
      <c r="K5031" s="3" t="s">
        <v>22</v>
      </c>
    </row>
    <row r="5032" spans="1:11" ht="42" customHeight="1">
      <c r="A5032" s="2" t="s">
        <v>10589</v>
      </c>
      <c r="B5032" s="2" t="s">
        <v>10589</v>
      </c>
      <c r="C5032" s="2" t="s">
        <v>16</v>
      </c>
      <c r="D5032" s="2" t="s">
        <v>17</v>
      </c>
      <c r="E5032" s="5">
        <v>-31724</v>
      </c>
      <c r="F5032" s="3" t="s">
        <v>626</v>
      </c>
      <c r="G5032" s="3" t="s">
        <v>6206</v>
      </c>
      <c r="H5032" s="2" t="s">
        <v>20</v>
      </c>
      <c r="I5032" s="2" t="s">
        <v>10591</v>
      </c>
      <c r="J5032" s="3" t="str">
        <f>HYPERLINK("https://www.boe.es/gazeta/dias/1813/02/20/pdfs/GRE-1813-22.pdf#page=6","Abrir facsímil")</f>
        <v>Abrir facsímil</v>
      </c>
      <c r="K5032" s="3" t="s">
        <v>22</v>
      </c>
    </row>
    <row r="5033" spans="1:11" ht="42" customHeight="1">
      <c r="A5033" s="2" t="s">
        <v>10589</v>
      </c>
      <c r="B5033" s="2" t="s">
        <v>10589</v>
      </c>
      <c r="C5033" s="2" t="s">
        <v>16</v>
      </c>
      <c r="D5033" s="2" t="s">
        <v>17</v>
      </c>
      <c r="E5033" s="5">
        <v>-31588</v>
      </c>
      <c r="F5033" s="3" t="s">
        <v>1535</v>
      </c>
      <c r="G5033" s="3" t="s">
        <v>207</v>
      </c>
      <c r="H5033" s="2" t="s">
        <v>20</v>
      </c>
      <c r="I5033" s="2" t="s">
        <v>10592</v>
      </c>
      <c r="J5033" s="3" t="str">
        <f>HYPERLINK("https://www.boe.es/gazeta/dias/1813/07/06/pdfs/GMR-1813-15.pdf#page=10","Abrir facsímil")</f>
        <v>Abrir facsímil</v>
      </c>
      <c r="K5033" s="3" t="s">
        <v>22</v>
      </c>
    </row>
    <row r="5034" spans="1:11" ht="42" customHeight="1">
      <c r="A5034" s="2" t="s">
        <v>10589</v>
      </c>
      <c r="B5034" s="2" t="s">
        <v>10589</v>
      </c>
      <c r="C5034" s="2" t="s">
        <v>16</v>
      </c>
      <c r="D5034" s="2" t="s">
        <v>17</v>
      </c>
      <c r="E5034" s="5">
        <v>-31582</v>
      </c>
      <c r="F5034" s="3" t="s">
        <v>907</v>
      </c>
      <c r="G5034" s="3" t="s">
        <v>2210</v>
      </c>
      <c r="H5034" s="2" t="s">
        <v>20</v>
      </c>
      <c r="I5034" s="2" t="s">
        <v>10593</v>
      </c>
      <c r="J5034" s="3" t="str">
        <f>HYPERLINK("https://www.boe.es/gazeta/dias/1813/07/12/pdfs/GRE-1813-87.pdf#page=5","Abrir facsímil")</f>
        <v>Abrir facsímil</v>
      </c>
      <c r="K5034" s="3" t="s">
        <v>22</v>
      </c>
    </row>
    <row r="5035" spans="1:11" ht="42" customHeight="1">
      <c r="A5035" s="2" t="s">
        <v>10589</v>
      </c>
      <c r="B5035" s="2" t="s">
        <v>10589</v>
      </c>
      <c r="C5035" s="2" t="s">
        <v>16</v>
      </c>
      <c r="D5035" s="2" t="s">
        <v>17</v>
      </c>
      <c r="E5035" s="5">
        <v>-31579</v>
      </c>
      <c r="F5035" s="3" t="s">
        <v>609</v>
      </c>
      <c r="G5035" s="3" t="s">
        <v>3601</v>
      </c>
      <c r="H5035" s="2" t="s">
        <v>20</v>
      </c>
      <c r="I5035" s="2" t="s">
        <v>10594</v>
      </c>
      <c r="J5035" s="3" t="str">
        <f>HYPERLINK("https://www.boe.es/gazeta/dias/1813/07/15/pdfs/GRE-1813-89.pdf#page=5","Abrir facsímil")</f>
        <v>Abrir facsímil</v>
      </c>
      <c r="K5035" s="3" t="s">
        <v>22</v>
      </c>
    </row>
    <row r="5036" spans="1:11" ht="42" customHeight="1">
      <c r="A5036" s="2" t="s">
        <v>10589</v>
      </c>
      <c r="B5036" s="2" t="s">
        <v>10589</v>
      </c>
      <c r="C5036" s="2" t="s">
        <v>16</v>
      </c>
      <c r="D5036" s="2" t="s">
        <v>17</v>
      </c>
      <c r="E5036" s="5">
        <v>-31579</v>
      </c>
      <c r="F5036" s="3" t="s">
        <v>609</v>
      </c>
      <c r="G5036" s="3" t="s">
        <v>95</v>
      </c>
      <c r="H5036" s="2" t="s">
        <v>20</v>
      </c>
      <c r="I5036" s="2" t="s">
        <v>10595</v>
      </c>
      <c r="J5036" s="3" t="str">
        <f>HYPERLINK("https://www.boe.es/gazeta/dias/1813/07/15/pdfs/GRE-1813-89.pdf#page=6","Abrir facsímil")</f>
        <v>Abrir facsímil</v>
      </c>
      <c r="K5036" s="3" t="s">
        <v>22</v>
      </c>
    </row>
    <row r="5037" spans="1:11" ht="42" customHeight="1">
      <c r="A5037" s="2" t="s">
        <v>10589</v>
      </c>
      <c r="B5037" s="2" t="s">
        <v>10589</v>
      </c>
      <c r="C5037" s="2" t="s">
        <v>16</v>
      </c>
      <c r="D5037" s="2" t="s">
        <v>17</v>
      </c>
      <c r="E5037" s="5">
        <v>-31571</v>
      </c>
      <c r="F5037" s="3" t="s">
        <v>788</v>
      </c>
      <c r="G5037" s="3" t="s">
        <v>789</v>
      </c>
      <c r="H5037" s="2" t="s">
        <v>20</v>
      </c>
      <c r="I5037" s="2" t="s">
        <v>10596</v>
      </c>
      <c r="J5037" s="3" t="str">
        <f>HYPERLINK("https://www.boe.es/gazeta/dias/1813/07/23/pdfs/GMR-1813-20.pdf#page=12","Abrir facsímil")</f>
        <v>Abrir facsímil</v>
      </c>
      <c r="K5037" s="3" t="s">
        <v>22</v>
      </c>
    </row>
    <row r="5038" spans="1:11" ht="42" customHeight="1">
      <c r="A5038" s="2" t="s">
        <v>10589</v>
      </c>
      <c r="B5038" s="2" t="s">
        <v>10589</v>
      </c>
      <c r="C5038" s="2" t="s">
        <v>16</v>
      </c>
      <c r="D5038" s="2" t="s">
        <v>17</v>
      </c>
      <c r="E5038" s="5">
        <v>-31546</v>
      </c>
      <c r="F5038" s="3" t="s">
        <v>461</v>
      </c>
      <c r="G5038" s="3" t="s">
        <v>58</v>
      </c>
      <c r="H5038" s="2" t="s">
        <v>20</v>
      </c>
      <c r="I5038" s="2" t="s">
        <v>10597</v>
      </c>
      <c r="J5038" s="3" t="str">
        <f>HYPERLINK("https://www.boe.es/gazeta/dias/1813/08/17/pdfs/GMR-1813-29.pdf#page=2","Abrir facsímil")</f>
        <v>Abrir facsímil</v>
      </c>
      <c r="K5038" s="3" t="s">
        <v>22</v>
      </c>
    </row>
    <row r="5039" spans="1:11" ht="42" customHeight="1">
      <c r="A5039" s="2" t="s">
        <v>10589</v>
      </c>
      <c r="B5039" s="2" t="s">
        <v>10589</v>
      </c>
      <c r="C5039" s="2" t="s">
        <v>16</v>
      </c>
      <c r="D5039" s="2" t="s">
        <v>17</v>
      </c>
      <c r="E5039" s="5">
        <v>-31521</v>
      </c>
      <c r="F5039" s="3" t="s">
        <v>1282</v>
      </c>
      <c r="G5039" s="3" t="s">
        <v>95</v>
      </c>
      <c r="H5039" s="2" t="s">
        <v>20</v>
      </c>
      <c r="I5039" s="2" t="s">
        <v>10598</v>
      </c>
      <c r="J5039" s="3" t="str">
        <f>HYPERLINK("https://www.boe.es/gazeta/dias/1813/09/11/pdfs/GMR-1813-41.pdf#page=6","Abrir facsímil")</f>
        <v>Abrir facsímil</v>
      </c>
      <c r="K5039" s="3" t="s">
        <v>22</v>
      </c>
    </row>
    <row r="5040" spans="1:11" ht="42" customHeight="1">
      <c r="A5040" s="2" t="s">
        <v>10589</v>
      </c>
      <c r="B5040" s="2" t="s">
        <v>10589</v>
      </c>
      <c r="C5040" s="2" t="s">
        <v>16</v>
      </c>
      <c r="D5040" s="2" t="s">
        <v>97</v>
      </c>
      <c r="E5040" s="5">
        <v>-31519</v>
      </c>
      <c r="F5040" s="3" t="s">
        <v>312</v>
      </c>
      <c r="G5040" s="3" t="s">
        <v>95</v>
      </c>
      <c r="H5040" s="2" t="s">
        <v>20</v>
      </c>
      <c r="I5040" s="2" t="s">
        <v>10599</v>
      </c>
      <c r="J5040" s="3" t="str">
        <f>HYPERLINK("https://www.boe.es/gazeta/dias/1813/09/13/pdfs/GRE-1813-118E.pdf#page=6","Abrir facsímil")</f>
        <v>Abrir facsímil</v>
      </c>
      <c r="K5040" s="3" t="s">
        <v>22</v>
      </c>
    </row>
    <row r="5041" spans="1:11" ht="42" customHeight="1">
      <c r="A5041" s="2" t="s">
        <v>10600</v>
      </c>
      <c r="B5041" s="2" t="s">
        <v>10601</v>
      </c>
      <c r="C5041" s="2" t="s">
        <v>16</v>
      </c>
      <c r="D5041" s="2" t="s">
        <v>17</v>
      </c>
      <c r="E5041" s="5">
        <v>-31759</v>
      </c>
      <c r="F5041" s="3" t="s">
        <v>419</v>
      </c>
      <c r="G5041" s="3" t="s">
        <v>2680</v>
      </c>
      <c r="H5041" s="2" t="s">
        <v>20</v>
      </c>
      <c r="I5041" s="2" t="s">
        <v>10602</v>
      </c>
      <c r="J5041" s="3" t="str">
        <f>HYPERLINK("https://www.boe.es/gazeta/dias/1813/01/16/pdfs/GRE-1813-7.pdf#page=5","Abrir facsímil")</f>
        <v>Abrir facsímil</v>
      </c>
      <c r="K5041" s="3" t="s">
        <v>22</v>
      </c>
    </row>
    <row r="5042" spans="1:11" ht="42" customHeight="1">
      <c r="A5042" s="2" t="s">
        <v>10600</v>
      </c>
      <c r="B5042" s="2" t="s">
        <v>10601</v>
      </c>
      <c r="C5042" s="2" t="s">
        <v>16</v>
      </c>
      <c r="D5042" s="2" t="s">
        <v>17</v>
      </c>
      <c r="E5042" s="5">
        <v>-31754</v>
      </c>
      <c r="F5042" s="3" t="s">
        <v>899</v>
      </c>
      <c r="G5042" s="3" t="s">
        <v>10603</v>
      </c>
      <c r="H5042" s="2" t="s">
        <v>20</v>
      </c>
      <c r="I5042" s="2" t="s">
        <v>10604</v>
      </c>
      <c r="J5042" s="3" t="str">
        <f>HYPERLINK("https://www.boe.es/gazeta/dias/1813/01/21/pdfs/GRE-1813-9.pdf#page=3","Abrir facsímil")</f>
        <v>Abrir facsímil</v>
      </c>
      <c r="K5042" s="3" t="s">
        <v>22</v>
      </c>
    </row>
    <row r="5043" spans="1:11" ht="42" customHeight="1">
      <c r="A5043" s="2" t="s">
        <v>10600</v>
      </c>
      <c r="B5043" s="2" t="s">
        <v>10601</v>
      </c>
      <c r="C5043" s="2" t="s">
        <v>109</v>
      </c>
      <c r="D5043" s="2" t="s">
        <v>26</v>
      </c>
      <c r="E5043" s="5">
        <v>-31728</v>
      </c>
      <c r="F5043" s="3" t="s">
        <v>1434</v>
      </c>
      <c r="G5043" s="3" t="s">
        <v>2541</v>
      </c>
      <c r="H5043" s="2" t="s">
        <v>20</v>
      </c>
      <c r="I5043" s="2" t="s">
        <v>10605</v>
      </c>
      <c r="J5043" s="3" t="str">
        <f>HYPERLINK("https://www.boe.es/gazeta/dias/1813/02/16/pdfs/GRE-1813-20.pdf#page=8","Abrir facsímil")</f>
        <v>Abrir facsímil</v>
      </c>
      <c r="K5043" s="3" t="s">
        <v>22</v>
      </c>
    </row>
    <row r="5044" spans="1:11" ht="42" customHeight="1">
      <c r="A5044" s="2" t="s">
        <v>10600</v>
      </c>
      <c r="B5044" s="2" t="s">
        <v>10601</v>
      </c>
      <c r="C5044" s="2" t="s">
        <v>16</v>
      </c>
      <c r="D5044" s="2" t="s">
        <v>17</v>
      </c>
      <c r="E5044" s="5">
        <v>-31693</v>
      </c>
      <c r="F5044" s="3" t="s">
        <v>3950</v>
      </c>
      <c r="G5044" s="3" t="s">
        <v>1562</v>
      </c>
      <c r="H5044" s="2" t="s">
        <v>20</v>
      </c>
      <c r="I5044" s="2" t="s">
        <v>10606</v>
      </c>
      <c r="J5044" s="3" t="str">
        <f>HYPERLINK("https://www.boe.es/gazeta/dias/1813/03/23/pdfs/GRE-1813-36.pdf#page=6","Abrir facsímil")</f>
        <v>Abrir facsímil</v>
      </c>
      <c r="K5044" s="3" t="s">
        <v>22</v>
      </c>
    </row>
    <row r="5045" spans="1:11" ht="42" customHeight="1">
      <c r="A5045" s="2" t="s">
        <v>10600</v>
      </c>
      <c r="B5045" s="2" t="s">
        <v>10601</v>
      </c>
      <c r="C5045" s="2" t="s">
        <v>16</v>
      </c>
      <c r="D5045" s="2" t="s">
        <v>17</v>
      </c>
      <c r="E5045" s="5">
        <v>-31598</v>
      </c>
      <c r="F5045" s="3" t="s">
        <v>286</v>
      </c>
      <c r="G5045" s="3" t="s">
        <v>19</v>
      </c>
      <c r="H5045" s="2" t="s">
        <v>20</v>
      </c>
      <c r="I5045" s="2" t="s">
        <v>10607</v>
      </c>
      <c r="J5045" s="3" t="str">
        <f>HYPERLINK("https://www.boe.es/gazeta/dias/1813/06/26/pdfs/GRE-1813-79.pdf#page=4","Abrir facsímil")</f>
        <v>Abrir facsímil</v>
      </c>
      <c r="K5045" s="3" t="s">
        <v>22</v>
      </c>
    </row>
    <row r="5046" spans="1:11" ht="42" customHeight="1">
      <c r="A5046" s="2" t="s">
        <v>10600</v>
      </c>
      <c r="B5046" s="2" t="s">
        <v>10601</v>
      </c>
      <c r="C5046" s="2" t="s">
        <v>16</v>
      </c>
      <c r="D5046" s="2" t="s">
        <v>17</v>
      </c>
      <c r="E5046" s="5">
        <v>-31598</v>
      </c>
      <c r="F5046" s="3" t="s">
        <v>286</v>
      </c>
      <c r="G5046" s="3" t="s">
        <v>82</v>
      </c>
      <c r="H5046" s="2" t="s">
        <v>20</v>
      </c>
      <c r="I5046" s="2" t="s">
        <v>10608</v>
      </c>
      <c r="J5046" s="3" t="str">
        <f>HYPERLINK("https://www.boe.es/gazeta/dias/1813/06/26/pdfs/GRE-1813-79.pdf#page=5","Abrir facsímil")</f>
        <v>Abrir facsímil</v>
      </c>
      <c r="K5046" s="3" t="s">
        <v>22</v>
      </c>
    </row>
    <row r="5047" spans="1:11" ht="42" customHeight="1">
      <c r="A5047" s="2" t="s">
        <v>10600</v>
      </c>
      <c r="B5047" s="2" t="s">
        <v>10601</v>
      </c>
      <c r="C5047" s="2" t="s">
        <v>16</v>
      </c>
      <c r="D5047" s="2" t="s">
        <v>17</v>
      </c>
      <c r="E5047" s="5">
        <v>-31588</v>
      </c>
      <c r="F5047" s="3" t="s">
        <v>1535</v>
      </c>
      <c r="G5047" s="3" t="s">
        <v>178</v>
      </c>
      <c r="H5047" s="2" t="s">
        <v>20</v>
      </c>
      <c r="I5047" s="2" t="s">
        <v>10609</v>
      </c>
      <c r="J5047" s="3" t="str">
        <f>HYPERLINK("https://www.boe.es/gazeta/dias/1813/07/06/pdfs/GMR-1813-15.pdf#page=11","Abrir facsímil")</f>
        <v>Abrir facsímil</v>
      </c>
      <c r="K5047" s="3" t="s">
        <v>22</v>
      </c>
    </row>
    <row r="5048" spans="1:11" ht="42" customHeight="1">
      <c r="A5048" s="2" t="s">
        <v>10600</v>
      </c>
      <c r="B5048" s="2" t="s">
        <v>10601</v>
      </c>
      <c r="C5048" s="2" t="s">
        <v>16</v>
      </c>
      <c r="D5048" s="2" t="s">
        <v>17</v>
      </c>
      <c r="E5048" s="5">
        <v>-31521</v>
      </c>
      <c r="F5048" s="3" t="s">
        <v>1282</v>
      </c>
      <c r="G5048" s="3" t="s">
        <v>87</v>
      </c>
      <c r="H5048" s="2" t="s">
        <v>20</v>
      </c>
      <c r="I5048" s="2" t="s">
        <v>10610</v>
      </c>
      <c r="J5048" s="3" t="str">
        <f>HYPERLINK("https://www.boe.es/gazeta/dias/1813/09/11/pdfs/GMR-1813-41.pdf#page=7","Abrir facsímil")</f>
        <v>Abrir facsímil</v>
      </c>
      <c r="K5048" s="3" t="s">
        <v>22</v>
      </c>
    </row>
    <row r="5049" spans="1:11" ht="42" customHeight="1">
      <c r="A5049" s="2" t="s">
        <v>10600</v>
      </c>
      <c r="B5049" s="2" t="s">
        <v>10601</v>
      </c>
      <c r="C5049" s="2" t="s">
        <v>16</v>
      </c>
      <c r="D5049" s="2" t="s">
        <v>97</v>
      </c>
      <c r="E5049" s="5">
        <v>-31519</v>
      </c>
      <c r="F5049" s="3" t="s">
        <v>312</v>
      </c>
      <c r="G5049" s="3" t="s">
        <v>87</v>
      </c>
      <c r="H5049" s="2" t="s">
        <v>20</v>
      </c>
      <c r="I5049" s="2" t="s">
        <v>10611</v>
      </c>
      <c r="J5049" s="3" t="str">
        <f>HYPERLINK("https://www.boe.es/gazeta/dias/1813/09/13/pdfs/GRE-1813-118E.pdf#page=7","Abrir facsímil")</f>
        <v>Abrir facsímil</v>
      </c>
      <c r="K5049" s="3" t="s">
        <v>22</v>
      </c>
    </row>
    <row r="5050" spans="1:11" ht="42" customHeight="1">
      <c r="A5050" s="2" t="s">
        <v>10612</v>
      </c>
      <c r="B5050" s="2" t="s">
        <v>10613</v>
      </c>
      <c r="C5050" s="2" t="s">
        <v>16</v>
      </c>
      <c r="D5050" s="2" t="s">
        <v>17</v>
      </c>
      <c r="E5050" s="5">
        <v>-31588</v>
      </c>
      <c r="F5050" s="3" t="s">
        <v>1535</v>
      </c>
      <c r="G5050" s="3" t="s">
        <v>28</v>
      </c>
      <c r="H5050" s="2" t="s">
        <v>20</v>
      </c>
      <c r="I5050" s="2" t="s">
        <v>10614</v>
      </c>
      <c r="J5050" s="3" t="str">
        <f>HYPERLINK("https://www.boe.es/gazeta/dias/1813/07/06/pdfs/GMR-1813-15.pdf#page=8","Abrir facsímil")</f>
        <v>Abrir facsímil</v>
      </c>
      <c r="K5050" s="3" t="s">
        <v>22</v>
      </c>
    </row>
    <row r="5051" spans="1:11" ht="42" customHeight="1">
      <c r="A5051" s="2" t="s">
        <v>10615</v>
      </c>
      <c r="B5051" s="2" t="s">
        <v>10615</v>
      </c>
      <c r="C5051" s="2" t="s">
        <v>16</v>
      </c>
      <c r="D5051" s="2" t="s">
        <v>17</v>
      </c>
      <c r="E5051" s="5">
        <v>-31553</v>
      </c>
      <c r="F5051" s="3" t="s">
        <v>592</v>
      </c>
      <c r="G5051" s="3" t="s">
        <v>95</v>
      </c>
      <c r="H5051" s="2" t="s">
        <v>20</v>
      </c>
      <c r="I5051" s="2" t="s">
        <v>10616</v>
      </c>
      <c r="J5051" s="3" t="str">
        <f>HYPERLINK("https://www.boe.es/gazeta/dias/1813/08/10/pdfs/GRE-1813-101.pdf#page=6","Abrir facsímil")</f>
        <v>Abrir facsímil</v>
      </c>
      <c r="K5051" s="3" t="s">
        <v>22</v>
      </c>
    </row>
    <row r="5052" spans="1:11" ht="42" customHeight="1">
      <c r="A5052" s="2" t="s">
        <v>10617</v>
      </c>
      <c r="B5052" s="2" t="s">
        <v>10618</v>
      </c>
      <c r="C5052" s="2" t="s">
        <v>34</v>
      </c>
      <c r="D5052" s="2" t="s">
        <v>35</v>
      </c>
      <c r="E5052" s="5">
        <v>-31709</v>
      </c>
      <c r="F5052" s="3" t="s">
        <v>36</v>
      </c>
      <c r="G5052" s="3" t="s">
        <v>19</v>
      </c>
      <c r="H5052" s="2" t="s">
        <v>20</v>
      </c>
      <c r="I5052" s="2" t="s">
        <v>10619</v>
      </c>
      <c r="J5052" s="3" t="str">
        <f>HYPERLINK("https://www.boe.es/gazeta/dias/1813/03/07/pdfs/GMD-1813-66.pdf#page=4","Abrir facsímil")</f>
        <v>Abrir facsímil</v>
      </c>
      <c r="K5052" s="3" t="s">
        <v>22</v>
      </c>
    </row>
    <row r="5053" spans="1:11" ht="42" customHeight="1">
      <c r="A5053" s="2" t="s">
        <v>10620</v>
      </c>
      <c r="B5053" s="2" t="s">
        <v>10621</v>
      </c>
      <c r="C5053" s="2" t="s">
        <v>34</v>
      </c>
      <c r="D5053" s="2" t="s">
        <v>35</v>
      </c>
      <c r="E5053" s="5">
        <v>-31720</v>
      </c>
      <c r="F5053" s="3" t="s">
        <v>672</v>
      </c>
      <c r="G5053" s="3" t="s">
        <v>19</v>
      </c>
      <c r="H5053" s="2" t="s">
        <v>20</v>
      </c>
      <c r="I5053" s="2" t="s">
        <v>10622</v>
      </c>
      <c r="J5053" s="3" t="str">
        <f>HYPERLINK("https://www.boe.es/gazeta/dias/1813/02/24/pdfs/GMD-1813-55.pdf#page=4","Abrir facsímil")</f>
        <v>Abrir facsímil</v>
      </c>
      <c r="K5053" s="3" t="s">
        <v>22</v>
      </c>
    </row>
    <row r="5054" spans="1:11" ht="42" customHeight="1">
      <c r="A5054" s="2" t="s">
        <v>10623</v>
      </c>
      <c r="B5054" s="2" t="s">
        <v>10624</v>
      </c>
      <c r="C5054" s="2" t="s">
        <v>16</v>
      </c>
      <c r="D5054" s="2" t="s">
        <v>17</v>
      </c>
      <c r="E5054" s="5">
        <v>-31623</v>
      </c>
      <c r="F5054" s="3" t="s">
        <v>267</v>
      </c>
      <c r="G5054" s="3" t="s">
        <v>270</v>
      </c>
      <c r="H5054" s="2" t="s">
        <v>20</v>
      </c>
      <c r="I5054" s="2" t="s">
        <v>10625</v>
      </c>
      <c r="J5054" s="3" t="str">
        <f>HYPERLINK("https://www.boe.es/gazeta/dias/1813/06/01/pdfs/GRE-1813-67.pdf#page=5","Abrir facsímil")</f>
        <v>Abrir facsímil</v>
      </c>
      <c r="K5054" s="3" t="s">
        <v>22</v>
      </c>
    </row>
    <row r="5055" spans="1:11" ht="42" customHeight="1">
      <c r="A5055" s="2" t="s">
        <v>10626</v>
      </c>
      <c r="B5055" s="2" t="s">
        <v>10627</v>
      </c>
      <c r="C5055" s="2" t="s">
        <v>34</v>
      </c>
      <c r="D5055" s="2" t="s">
        <v>35</v>
      </c>
      <c r="E5055" s="5">
        <v>-31709</v>
      </c>
      <c r="F5055" s="3" t="s">
        <v>36</v>
      </c>
      <c r="G5055" s="3" t="s">
        <v>19</v>
      </c>
      <c r="H5055" s="2" t="s">
        <v>20</v>
      </c>
      <c r="I5055" s="2" t="s">
        <v>10628</v>
      </c>
      <c r="J5055" s="3" t="str">
        <f>HYPERLINK("https://www.boe.es/gazeta/dias/1813/03/07/pdfs/GMD-1813-66.pdf#page=4","Abrir facsímil")</f>
        <v>Abrir facsímil</v>
      </c>
      <c r="K5055" s="3" t="s">
        <v>22</v>
      </c>
    </row>
    <row r="5056" spans="1:11" ht="42" customHeight="1">
      <c r="A5056" s="2" t="s">
        <v>10629</v>
      </c>
      <c r="B5056" s="2" t="s">
        <v>10630</v>
      </c>
      <c r="C5056" s="2" t="s">
        <v>16</v>
      </c>
      <c r="D5056" s="2" t="s">
        <v>17</v>
      </c>
      <c r="E5056" s="5">
        <v>-31570</v>
      </c>
      <c r="F5056" s="3" t="s">
        <v>1803</v>
      </c>
      <c r="G5056" s="3" t="s">
        <v>54</v>
      </c>
      <c r="H5056" s="2" t="s">
        <v>20</v>
      </c>
      <c r="I5056" s="2" t="s">
        <v>10631</v>
      </c>
      <c r="J5056" s="3" t="str">
        <f>HYPERLINK("https://www.boe.es/gazeta/dias/1813/07/24/pdfs/GRE-1813-94.pdf#page=3","Abrir facsímil")</f>
        <v>Abrir facsímil</v>
      </c>
      <c r="K5056" s="3" t="s">
        <v>22</v>
      </c>
    </row>
    <row r="5057" spans="1:11" ht="42" customHeight="1">
      <c r="A5057" s="2" t="s">
        <v>10632</v>
      </c>
      <c r="B5057" s="2" t="s">
        <v>10633</v>
      </c>
      <c r="C5057" s="2" t="s">
        <v>16</v>
      </c>
      <c r="D5057" s="2" t="s">
        <v>17</v>
      </c>
      <c r="E5057" s="5">
        <v>-31735</v>
      </c>
      <c r="F5057" s="3" t="s">
        <v>558</v>
      </c>
      <c r="G5057" s="3" t="s">
        <v>6296</v>
      </c>
      <c r="H5057" s="2" t="s">
        <v>20</v>
      </c>
      <c r="I5057" s="2" t="s">
        <v>10634</v>
      </c>
      <c r="J5057" s="3" t="str">
        <f>HYPERLINK("https://www.boe.es/gazeta/dias/1813/02/09/pdfs/GRE-1813-17.pdf#page=7","Abrir facsímil")</f>
        <v>Abrir facsímil</v>
      </c>
      <c r="K5057" s="3" t="s">
        <v>22</v>
      </c>
    </row>
    <row r="5058" spans="1:11" ht="42" customHeight="1">
      <c r="A5058" s="2" t="s">
        <v>10635</v>
      </c>
      <c r="B5058" s="2" t="s">
        <v>10635</v>
      </c>
      <c r="C5058" s="2" t="s">
        <v>16</v>
      </c>
      <c r="D5058" s="2" t="s">
        <v>17</v>
      </c>
      <c r="E5058" s="5">
        <v>-31715</v>
      </c>
      <c r="F5058" s="3" t="s">
        <v>3358</v>
      </c>
      <c r="G5058" s="3" t="s">
        <v>65</v>
      </c>
      <c r="H5058" s="2" t="s">
        <v>20</v>
      </c>
      <c r="I5058" s="2" t="s">
        <v>10636</v>
      </c>
      <c r="J5058" s="3" t="str">
        <f>HYPERLINK("https://www.boe.es/gazeta/dias/1813/03/01/pdfs/GMD-1813-60.pdf#page=1","Abrir facsímil")</f>
        <v>Abrir facsímil</v>
      </c>
      <c r="K5058" s="3" t="s">
        <v>22</v>
      </c>
    </row>
    <row r="5059" spans="1:11" ht="42" customHeight="1">
      <c r="A5059" s="2" t="s">
        <v>10637</v>
      </c>
      <c r="B5059" s="2" t="s">
        <v>10637</v>
      </c>
      <c r="C5059" s="2" t="s">
        <v>16</v>
      </c>
      <c r="D5059" s="2" t="s">
        <v>17</v>
      </c>
      <c r="E5059" s="5">
        <v>-31462</v>
      </c>
      <c r="F5059" s="3" t="s">
        <v>542</v>
      </c>
      <c r="G5059" s="3" t="s">
        <v>19</v>
      </c>
      <c r="H5059" s="2" t="s">
        <v>20</v>
      </c>
      <c r="I5059" s="2" t="s">
        <v>10638</v>
      </c>
      <c r="J5059" s="3" t="str">
        <f>HYPERLINK("https://www.boe.es/gazeta/dias/1813/11/09/pdfs/GRE-1813-146.pdf#page=4","Abrir facsímil")</f>
        <v>Abrir facsímil</v>
      </c>
      <c r="K5059" s="3" t="s">
        <v>22</v>
      </c>
    </row>
    <row r="5060" spans="1:11" ht="42" customHeight="1">
      <c r="A5060" s="2" t="s">
        <v>10639</v>
      </c>
      <c r="B5060" s="2" t="s">
        <v>10639</v>
      </c>
      <c r="C5060" s="2" t="s">
        <v>16</v>
      </c>
      <c r="D5060" s="2" t="s">
        <v>17</v>
      </c>
      <c r="E5060" s="5">
        <v>-31460</v>
      </c>
      <c r="F5060" s="3" t="s">
        <v>599</v>
      </c>
      <c r="G5060" s="3" t="s">
        <v>54</v>
      </c>
      <c r="H5060" s="2" t="s">
        <v>20</v>
      </c>
      <c r="I5060" s="2" t="s">
        <v>10640</v>
      </c>
      <c r="J5060" s="3" t="str">
        <f>HYPERLINK("https://www.boe.es/gazeta/dias/1813/11/11/pdfs/GMR-1813-72.pdf#page=3","Abrir facsímil")</f>
        <v>Abrir facsímil</v>
      </c>
      <c r="K5060" s="3" t="s">
        <v>22</v>
      </c>
    </row>
    <row r="5061" spans="1:11" ht="42" customHeight="1">
      <c r="A5061" s="2" t="s">
        <v>10641</v>
      </c>
      <c r="B5061" s="2" t="s">
        <v>10642</v>
      </c>
      <c r="C5061" s="2" t="s">
        <v>16</v>
      </c>
      <c r="D5061" s="2" t="s">
        <v>17</v>
      </c>
      <c r="E5061" s="5">
        <v>-31460</v>
      </c>
      <c r="F5061" s="3" t="s">
        <v>599</v>
      </c>
      <c r="G5061" s="3" t="s">
        <v>58</v>
      </c>
      <c r="H5061" s="2" t="s">
        <v>20</v>
      </c>
      <c r="I5061" s="2" t="s">
        <v>10643</v>
      </c>
      <c r="J5061" s="3" t="str">
        <f>HYPERLINK("https://www.boe.es/gazeta/dias/1813/11/11/pdfs/GMR-1813-72.pdf#page=2","Abrir facsímil")</f>
        <v>Abrir facsímil</v>
      </c>
      <c r="K5061" s="3" t="s">
        <v>22</v>
      </c>
    </row>
    <row r="5062" spans="1:11" ht="42" customHeight="1">
      <c r="A5062" s="2" t="s">
        <v>10644</v>
      </c>
      <c r="B5062" s="2" t="s">
        <v>10644</v>
      </c>
      <c r="C5062" s="2" t="s">
        <v>25</v>
      </c>
      <c r="D5062" s="2" t="s">
        <v>26</v>
      </c>
      <c r="E5062" s="5">
        <v>-31682</v>
      </c>
      <c r="F5062" s="3" t="s">
        <v>5159</v>
      </c>
      <c r="G5062" s="3" t="s">
        <v>9545</v>
      </c>
      <c r="H5062" s="2" t="s">
        <v>20</v>
      </c>
      <c r="I5062" s="2" t="s">
        <v>10645</v>
      </c>
      <c r="J5062" s="3" t="str">
        <f>HYPERLINK("https://www.boe.es/gazeta/dias/1813/04/03/pdfs/GRE-1813-41.pdf#page=6","Abrir facsímil")</f>
        <v>Abrir facsímil</v>
      </c>
      <c r="K5062" s="3" t="s">
        <v>22</v>
      </c>
    </row>
    <row r="5063" spans="1:11" ht="42" customHeight="1">
      <c r="A5063" s="2" t="s">
        <v>10644</v>
      </c>
      <c r="B5063" s="2" t="s">
        <v>10644</v>
      </c>
      <c r="C5063" s="2" t="s">
        <v>16</v>
      </c>
      <c r="D5063" s="2" t="s">
        <v>17</v>
      </c>
      <c r="E5063" s="5">
        <v>-31682</v>
      </c>
      <c r="F5063" s="3" t="s">
        <v>5159</v>
      </c>
      <c r="G5063" s="3" t="s">
        <v>5160</v>
      </c>
      <c r="H5063" s="2" t="s">
        <v>20</v>
      </c>
      <c r="I5063" s="2" t="s">
        <v>10646</v>
      </c>
      <c r="J5063" s="3" t="str">
        <f>HYPERLINK("https://www.boe.es/gazeta/dias/1813/04/03/pdfs/GRE-1813-41.pdf#page=7","Abrir facsímil")</f>
        <v>Abrir facsímil</v>
      </c>
      <c r="K5063" s="3" t="s">
        <v>22</v>
      </c>
    </row>
    <row r="5064" spans="1:11" ht="42" customHeight="1">
      <c r="A5064" s="2" t="s">
        <v>10644</v>
      </c>
      <c r="B5064" s="2" t="s">
        <v>10644</v>
      </c>
      <c r="C5064" s="2" t="s">
        <v>25</v>
      </c>
      <c r="D5064" s="2" t="s">
        <v>26</v>
      </c>
      <c r="E5064" s="5">
        <v>-31649</v>
      </c>
      <c r="F5064" s="3" t="s">
        <v>1057</v>
      </c>
      <c r="G5064" s="3" t="s">
        <v>5916</v>
      </c>
      <c r="H5064" s="2" t="s">
        <v>20</v>
      </c>
      <c r="I5064" s="2" t="s">
        <v>10647</v>
      </c>
      <c r="J5064" s="3" t="str">
        <f>HYPERLINK("https://www.boe.es/gazeta/dias/1813/05/06/pdfs/GRE-1813-56.pdf#page=5","Abrir facsímil")</f>
        <v>Abrir facsímil</v>
      </c>
      <c r="K5064" s="3" t="s">
        <v>22</v>
      </c>
    </row>
    <row r="5065" spans="1:11" ht="42" customHeight="1">
      <c r="A5065" s="2" t="s">
        <v>10644</v>
      </c>
      <c r="B5065" s="2" t="s">
        <v>10644</v>
      </c>
      <c r="C5065" s="2" t="s">
        <v>25</v>
      </c>
      <c r="D5065" s="2" t="s">
        <v>26</v>
      </c>
      <c r="E5065" s="5">
        <v>-31618</v>
      </c>
      <c r="F5065" s="3" t="s">
        <v>1057</v>
      </c>
      <c r="G5065" s="3" t="s">
        <v>5916</v>
      </c>
      <c r="H5065" s="2" t="s">
        <v>20</v>
      </c>
      <c r="I5065" s="2" t="s">
        <v>10647</v>
      </c>
      <c r="J5065" s="3" t="str">
        <f>HYPERLINK("https://www.boe.es/gazeta/dias/1813/06/06/pdfs/GRE-1813-56.pdf#page=5","Abrir facsímil")</f>
        <v>Abrir facsímil</v>
      </c>
      <c r="K5065" s="3" t="s">
        <v>22</v>
      </c>
    </row>
    <row r="5066" spans="1:11" ht="42" customHeight="1">
      <c r="A5066" s="2" t="s">
        <v>10644</v>
      </c>
      <c r="B5066" s="2" t="s">
        <v>10644</v>
      </c>
      <c r="C5066" s="2" t="s">
        <v>16</v>
      </c>
      <c r="D5066" s="2" t="s">
        <v>17</v>
      </c>
      <c r="E5066" s="5">
        <v>-31565</v>
      </c>
      <c r="F5066" s="3" t="s">
        <v>306</v>
      </c>
      <c r="G5066" s="3" t="s">
        <v>82</v>
      </c>
      <c r="H5066" s="2" t="s">
        <v>20</v>
      </c>
      <c r="I5066" s="2" t="s">
        <v>10648</v>
      </c>
      <c r="J5066" s="3" t="str">
        <f>HYPERLINK("https://www.boe.es/gazeta/dias/1813/07/29/pdfs/GRE-1813-96.pdf#page=5","Abrir facsímil")</f>
        <v>Abrir facsímil</v>
      </c>
      <c r="K5066" s="3" t="s">
        <v>22</v>
      </c>
    </row>
    <row r="5067" spans="1:11" ht="42" customHeight="1">
      <c r="A5067" s="2" t="s">
        <v>10649</v>
      </c>
      <c r="B5067" s="2" t="s">
        <v>10650</v>
      </c>
      <c r="C5067" s="2" t="s">
        <v>16</v>
      </c>
      <c r="D5067" s="2" t="s">
        <v>17</v>
      </c>
      <c r="E5067" s="5">
        <v>-31633</v>
      </c>
      <c r="F5067" s="3" t="s">
        <v>875</v>
      </c>
      <c r="G5067" s="3" t="s">
        <v>58</v>
      </c>
      <c r="H5067" s="2" t="s">
        <v>20</v>
      </c>
      <c r="I5067" s="2" t="s">
        <v>10651</v>
      </c>
      <c r="J5067" s="3" t="str">
        <f>HYPERLINK("https://www.boe.es/gazeta/dias/1813/05/22/pdfs/GRE-1813-63.pdf#page=2","Abrir facsímil")</f>
        <v>Abrir facsímil</v>
      </c>
      <c r="K5067" s="3" t="s">
        <v>22</v>
      </c>
    </row>
    <row r="5068" spans="1:11" ht="42" customHeight="1">
      <c r="A5068" s="2" t="s">
        <v>10652</v>
      </c>
      <c r="B5068" s="2" t="s">
        <v>10652</v>
      </c>
      <c r="C5068" s="2" t="s">
        <v>435</v>
      </c>
      <c r="D5068" s="2" t="s">
        <v>26</v>
      </c>
      <c r="E5068" s="5">
        <v>-31703</v>
      </c>
      <c r="F5068" s="3" t="s">
        <v>526</v>
      </c>
      <c r="G5068" s="3" t="s">
        <v>2517</v>
      </c>
      <c r="H5068" s="2" t="s">
        <v>20</v>
      </c>
      <c r="I5068" s="2" t="s">
        <v>10653</v>
      </c>
      <c r="J5068" s="3" t="str">
        <f>HYPERLINK("https://www.boe.es/gazeta/dias/1813/03/13/pdfs/GMD-1813-72.pdf#page=4","Abrir facsímil")</f>
        <v>Abrir facsímil</v>
      </c>
      <c r="K5068" s="3" t="s">
        <v>22</v>
      </c>
    </row>
    <row r="5069" spans="1:11" ht="42" customHeight="1">
      <c r="A5069" s="2" t="s">
        <v>10654</v>
      </c>
      <c r="B5069" s="2" t="s">
        <v>10654</v>
      </c>
      <c r="C5069" s="2" t="s">
        <v>16</v>
      </c>
      <c r="D5069" s="2" t="s">
        <v>17</v>
      </c>
      <c r="E5069" s="5">
        <v>-31694</v>
      </c>
      <c r="F5069" s="3" t="s">
        <v>2756</v>
      </c>
      <c r="G5069" s="3" t="s">
        <v>19</v>
      </c>
      <c r="H5069" s="2" t="s">
        <v>20</v>
      </c>
      <c r="I5069" s="2" t="s">
        <v>10655</v>
      </c>
      <c r="J5069" s="3" t="str">
        <f>HYPERLINK("https://www.boe.es/gazeta/dias/1813/03/22/pdfs/GMD-1813-81.pdf#page=4","Abrir facsímil")</f>
        <v>Abrir facsímil</v>
      </c>
      <c r="K5069" s="3" t="s">
        <v>22</v>
      </c>
    </row>
    <row r="5070" spans="1:11" ht="42" customHeight="1">
      <c r="A5070" s="2" t="s">
        <v>10656</v>
      </c>
      <c r="B5070" s="2" t="s">
        <v>10657</v>
      </c>
      <c r="C5070" s="2" t="s">
        <v>34</v>
      </c>
      <c r="D5070" s="2" t="s">
        <v>35</v>
      </c>
      <c r="E5070" s="5">
        <v>-31709</v>
      </c>
      <c r="F5070" s="3" t="s">
        <v>36</v>
      </c>
      <c r="G5070" s="3" t="s">
        <v>303</v>
      </c>
      <c r="H5070" s="2" t="s">
        <v>20</v>
      </c>
      <c r="I5070" s="2" t="s">
        <v>10658</v>
      </c>
      <c r="J5070" s="3" t="str">
        <f>HYPERLINK("https://www.boe.es/gazeta/dias/1813/03/07/pdfs/GMD-1813-66.pdf#page=3","Abrir facsímil")</f>
        <v>Abrir facsímil</v>
      </c>
      <c r="K5070" s="3" t="s">
        <v>22</v>
      </c>
    </row>
    <row r="5071" spans="1:11" ht="42" customHeight="1">
      <c r="A5071" s="2" t="s">
        <v>10659</v>
      </c>
      <c r="B5071" s="2" t="s">
        <v>10659</v>
      </c>
      <c r="C5071" s="2" t="s">
        <v>109</v>
      </c>
      <c r="D5071" s="2" t="s">
        <v>26</v>
      </c>
      <c r="E5071" s="5">
        <v>-31683</v>
      </c>
      <c r="F5071" s="3" t="s">
        <v>1213</v>
      </c>
      <c r="G5071" s="3" t="s">
        <v>54</v>
      </c>
      <c r="H5071" s="2" t="s">
        <v>20</v>
      </c>
      <c r="I5071" s="2" t="s">
        <v>10660</v>
      </c>
      <c r="J5071" s="3" t="str">
        <f>HYPERLINK("https://www.boe.es/gazeta/dias/1813/04/02/pdfs/GMD-1813-92.pdf#page=3","Abrir facsímil")</f>
        <v>Abrir facsímil</v>
      </c>
      <c r="K5071" s="3" t="s">
        <v>22</v>
      </c>
    </row>
    <row r="5072" spans="1:11" ht="42" customHeight="1">
      <c r="A5072" s="2" t="s">
        <v>10661</v>
      </c>
      <c r="B5072" s="2" t="s">
        <v>10661</v>
      </c>
      <c r="C5072" s="2" t="s">
        <v>16</v>
      </c>
      <c r="D5072" s="2" t="s">
        <v>17</v>
      </c>
      <c r="E5072" s="5">
        <v>-31770</v>
      </c>
      <c r="F5072" s="3" t="s">
        <v>1738</v>
      </c>
      <c r="G5072" s="3" t="s">
        <v>65</v>
      </c>
      <c r="H5072" s="2" t="s">
        <v>20</v>
      </c>
      <c r="I5072" s="2" t="s">
        <v>10662</v>
      </c>
      <c r="J5072" s="3" t="str">
        <f>HYPERLINK("https://www.boe.es/gazeta/dias/1813/01/05/pdfs/GRE-1813-2.pdf#page=1","Abrir facsímil")</f>
        <v>Abrir facsímil</v>
      </c>
      <c r="K5072" s="3" t="s">
        <v>22</v>
      </c>
    </row>
    <row r="5073" spans="1:11" ht="42" customHeight="1">
      <c r="A5073" s="2" t="s">
        <v>10663</v>
      </c>
      <c r="B5073" s="2" t="s">
        <v>10663</v>
      </c>
      <c r="C5073" s="2" t="s">
        <v>16</v>
      </c>
      <c r="D5073" s="2" t="s">
        <v>17</v>
      </c>
      <c r="E5073" s="5">
        <v>-31659</v>
      </c>
      <c r="F5073" s="3" t="s">
        <v>3041</v>
      </c>
      <c r="G5073" s="3" t="s">
        <v>65</v>
      </c>
      <c r="H5073" s="2" t="s">
        <v>20</v>
      </c>
      <c r="I5073" s="2" t="s">
        <v>10664</v>
      </c>
      <c r="J5073" s="3" t="str">
        <f>HYPERLINK("https://www.boe.es/gazeta/dias/1813/04/26/pdfs/GMD-1813-116.pdf#page=1","Abrir facsímil")</f>
        <v>Abrir facsímil</v>
      </c>
      <c r="K5073" s="3" t="s">
        <v>22</v>
      </c>
    </row>
    <row r="5074" spans="1:11" ht="42" customHeight="1">
      <c r="A5074" s="2" t="s">
        <v>10663</v>
      </c>
      <c r="B5074" s="2" t="s">
        <v>10663</v>
      </c>
      <c r="C5074" s="2" t="s">
        <v>34</v>
      </c>
      <c r="D5074" s="2" t="s">
        <v>35</v>
      </c>
      <c r="E5074" s="5">
        <v>-31572</v>
      </c>
      <c r="F5074" s="3" t="s">
        <v>317</v>
      </c>
      <c r="G5074" s="3" t="s">
        <v>95</v>
      </c>
      <c r="H5074" s="2" t="s">
        <v>20</v>
      </c>
      <c r="I5074" s="2" t="s">
        <v>10665</v>
      </c>
      <c r="J5074" s="3" t="str">
        <f>HYPERLINK("https://www.boe.es/gazeta/dias/1813/07/22/pdfs/GRE-1813-93.pdf#page=6","Abrir facsímil")</f>
        <v>Abrir facsímil</v>
      </c>
      <c r="K5074" s="3" t="s">
        <v>22</v>
      </c>
    </row>
    <row r="5075" spans="1:11" ht="42" customHeight="1">
      <c r="A5075" s="2" t="s">
        <v>10663</v>
      </c>
      <c r="B5075" s="2" t="s">
        <v>10663</v>
      </c>
      <c r="C5075" s="2" t="s">
        <v>34</v>
      </c>
      <c r="D5075" s="2" t="s">
        <v>35</v>
      </c>
      <c r="E5075" s="5">
        <v>-31537</v>
      </c>
      <c r="F5075" s="3" t="s">
        <v>5241</v>
      </c>
      <c r="G5075" s="3" t="s">
        <v>54</v>
      </c>
      <c r="H5075" s="2" t="s">
        <v>20</v>
      </c>
      <c r="I5075" s="2" t="s">
        <v>10666</v>
      </c>
      <c r="J5075" s="3" t="str">
        <f>HYPERLINK("https://www.boe.es/gazeta/dias/1813/08/26/pdfs/GRE-1813-109.pdf#page=3","Abrir facsímil")</f>
        <v>Abrir facsímil</v>
      </c>
      <c r="K5075" s="3" t="s">
        <v>22</v>
      </c>
    </row>
    <row r="5076" spans="1:11" ht="42" customHeight="1">
      <c r="A5076" s="2" t="s">
        <v>10663</v>
      </c>
      <c r="B5076" s="2" t="s">
        <v>10663</v>
      </c>
      <c r="C5076" s="2" t="s">
        <v>16</v>
      </c>
      <c r="D5076" s="2" t="s">
        <v>17</v>
      </c>
      <c r="E5076" s="5">
        <v>-31413</v>
      </c>
      <c r="F5076" s="3" t="s">
        <v>149</v>
      </c>
      <c r="G5076" s="3" t="s">
        <v>54</v>
      </c>
      <c r="H5076" s="2" t="s">
        <v>20</v>
      </c>
      <c r="I5076" s="2" t="s">
        <v>10667</v>
      </c>
      <c r="J5076" s="3" t="str">
        <f>HYPERLINK("https://www.boe.es/gazeta/dias/1813/12/28/pdfs/GMR-1813-93.pdf#page=3","Abrir facsímil")</f>
        <v>Abrir facsímil</v>
      </c>
      <c r="K5076" s="3" t="s">
        <v>22</v>
      </c>
    </row>
    <row r="5077" spans="1:11" ht="42" customHeight="1">
      <c r="A5077" s="2" t="s">
        <v>10668</v>
      </c>
      <c r="B5077" s="2" t="s">
        <v>10668</v>
      </c>
      <c r="C5077" s="2" t="s">
        <v>16</v>
      </c>
      <c r="D5077" s="2" t="s">
        <v>17</v>
      </c>
      <c r="E5077" s="5">
        <v>-31523</v>
      </c>
      <c r="F5077" s="3" t="s">
        <v>2140</v>
      </c>
      <c r="G5077" s="3" t="s">
        <v>82</v>
      </c>
      <c r="H5077" s="2" t="s">
        <v>20</v>
      </c>
      <c r="I5077" s="2" t="s">
        <v>10669</v>
      </c>
      <c r="J5077" s="3" t="str">
        <f>HYPERLINK("https://www.boe.es/gazeta/dias/1813/09/09/pdfs/GMR-1813-40.pdf#page=5","Abrir facsímil")</f>
        <v>Abrir facsímil</v>
      </c>
      <c r="K5077" s="3" t="s">
        <v>22</v>
      </c>
    </row>
    <row r="5078" spans="1:11" ht="42" customHeight="1">
      <c r="A5078" s="2" t="s">
        <v>10670</v>
      </c>
      <c r="B5078" s="2" t="s">
        <v>10670</v>
      </c>
      <c r="C5078" s="2" t="s">
        <v>16</v>
      </c>
      <c r="D5078" s="2" t="s">
        <v>17</v>
      </c>
      <c r="E5078" s="5">
        <v>-31430</v>
      </c>
      <c r="F5078" s="3" t="s">
        <v>1731</v>
      </c>
      <c r="G5078" s="3" t="s">
        <v>58</v>
      </c>
      <c r="H5078" s="2" t="s">
        <v>20</v>
      </c>
      <c r="I5078" s="2" t="s">
        <v>10671</v>
      </c>
      <c r="J5078" s="3" t="str">
        <f>HYPERLINK("https://www.boe.es/gazeta/dias/1813/12/11/pdfs/GRE-1813-163.pdf#page=2","Abrir facsímil")</f>
        <v>Abrir facsímil</v>
      </c>
      <c r="K5078" s="3" t="s">
        <v>22</v>
      </c>
    </row>
    <row r="5079" spans="1:11" ht="42" customHeight="1">
      <c r="A5079" s="2" t="s">
        <v>10672</v>
      </c>
      <c r="B5079" s="2" t="s">
        <v>10672</v>
      </c>
      <c r="C5079" s="2" t="s">
        <v>34</v>
      </c>
      <c r="D5079" s="2" t="s">
        <v>35</v>
      </c>
      <c r="E5079" s="5">
        <v>-31686</v>
      </c>
      <c r="F5079" s="3" t="s">
        <v>7037</v>
      </c>
      <c r="G5079" s="3" t="s">
        <v>19</v>
      </c>
      <c r="H5079" s="2" t="s">
        <v>20</v>
      </c>
      <c r="I5079" s="2" t="s">
        <v>10673</v>
      </c>
      <c r="J5079" s="3" t="str">
        <f>HYPERLINK("https://www.boe.es/gazeta/dias/1813/03/30/pdfs/GMD-1813-89.pdf#page=4","Abrir facsímil")</f>
        <v>Abrir facsímil</v>
      </c>
      <c r="K5079" s="3" t="s">
        <v>22</v>
      </c>
    </row>
    <row r="5080" spans="1:11" ht="42" customHeight="1">
      <c r="A5080" s="2" t="s">
        <v>10674</v>
      </c>
      <c r="B5080" s="2" t="s">
        <v>10674</v>
      </c>
      <c r="C5080" s="2" t="s">
        <v>187</v>
      </c>
      <c r="D5080" s="2" t="s">
        <v>26</v>
      </c>
      <c r="E5080" s="5">
        <v>-31511</v>
      </c>
      <c r="F5080" s="3" t="s">
        <v>935</v>
      </c>
      <c r="G5080" s="3" t="s">
        <v>82</v>
      </c>
      <c r="H5080" s="2" t="s">
        <v>20</v>
      </c>
      <c r="I5080" s="2" t="s">
        <v>10675</v>
      </c>
      <c r="J5080" s="3" t="str">
        <f>HYPERLINK("https://www.boe.es/gazeta/dias/1813/09/21/pdfs/GMR-1813-46.pdf#page=5","Abrir facsímil")</f>
        <v>Abrir facsímil</v>
      </c>
      <c r="K5080" s="3" t="s">
        <v>22</v>
      </c>
    </row>
    <row r="5081" spans="1:11" ht="42" customHeight="1">
      <c r="A5081" s="2" t="s">
        <v>10674</v>
      </c>
      <c r="B5081" s="2" t="s">
        <v>10674</v>
      </c>
      <c r="C5081" s="2" t="s">
        <v>34</v>
      </c>
      <c r="D5081" s="2" t="s">
        <v>35</v>
      </c>
      <c r="E5081" s="5">
        <v>-31500</v>
      </c>
      <c r="F5081" s="3" t="s">
        <v>938</v>
      </c>
      <c r="G5081" s="3" t="s">
        <v>5553</v>
      </c>
      <c r="H5081" s="2" t="s">
        <v>20</v>
      </c>
      <c r="I5081" s="2" t="s">
        <v>10676</v>
      </c>
      <c r="J5081" s="3" t="str">
        <f>HYPERLINK("https://www.boe.es/gazeta/dias/1813/10/02/pdfs/GMR-1813-52.pdf#page=5","Abrir facsímil")</f>
        <v>Abrir facsímil</v>
      </c>
      <c r="K5081" s="3" t="s">
        <v>22</v>
      </c>
    </row>
    <row r="5082" spans="1:11" ht="42" customHeight="1">
      <c r="A5082" s="2" t="s">
        <v>10677</v>
      </c>
      <c r="B5082" s="2" t="s">
        <v>10677</v>
      </c>
      <c r="C5082" s="2" t="s">
        <v>16</v>
      </c>
      <c r="D5082" s="2" t="s">
        <v>17</v>
      </c>
      <c r="E5082" s="5">
        <v>-31427</v>
      </c>
      <c r="F5082" s="3" t="s">
        <v>489</v>
      </c>
      <c r="G5082" s="3" t="s">
        <v>87</v>
      </c>
      <c r="H5082" s="2" t="s">
        <v>20</v>
      </c>
      <c r="I5082" s="2" t="s">
        <v>10678</v>
      </c>
      <c r="J5082" s="3" t="str">
        <f>HYPERLINK("https://www.boe.es/gazeta/dias/1813/12/14/pdfs/GMR-1813-87.pdf#page=7","Abrir facsímil")</f>
        <v>Abrir facsímil</v>
      </c>
      <c r="K5082" s="3" t="s">
        <v>22</v>
      </c>
    </row>
    <row r="5083" spans="1:11" ht="42" customHeight="1">
      <c r="A5083" s="2" t="s">
        <v>10679</v>
      </c>
      <c r="B5083" s="2" t="s">
        <v>10679</v>
      </c>
      <c r="C5083" s="2" t="s">
        <v>16</v>
      </c>
      <c r="D5083" s="2" t="s">
        <v>17</v>
      </c>
      <c r="E5083" s="5">
        <v>-31679</v>
      </c>
      <c r="F5083" s="3" t="s">
        <v>571</v>
      </c>
      <c r="G5083" s="3" t="s">
        <v>54</v>
      </c>
      <c r="H5083" s="2" t="s">
        <v>20</v>
      </c>
      <c r="I5083" s="2" t="s">
        <v>10680</v>
      </c>
      <c r="J5083" s="3" t="str">
        <f>HYPERLINK("https://www.boe.es/gazeta/dias/1813/04/06/pdfs/GRE-1813-42.pdf#page=3","Abrir facsímil")</f>
        <v>Abrir facsímil</v>
      </c>
      <c r="K5083" s="3" t="s">
        <v>22</v>
      </c>
    </row>
    <row r="5084" spans="1:11" ht="42" customHeight="1">
      <c r="A5084" s="2" t="s">
        <v>10681</v>
      </c>
      <c r="B5084" s="2" t="s">
        <v>10681</v>
      </c>
      <c r="C5084" s="2" t="s">
        <v>16</v>
      </c>
      <c r="D5084" s="2" t="s">
        <v>17</v>
      </c>
      <c r="E5084" s="5">
        <v>-31773</v>
      </c>
      <c r="F5084" s="3" t="s">
        <v>3667</v>
      </c>
      <c r="G5084" s="3" t="s">
        <v>65</v>
      </c>
      <c r="H5084" s="2" t="s">
        <v>20</v>
      </c>
      <c r="I5084" s="2" t="s">
        <v>10682</v>
      </c>
      <c r="J5084" s="3" t="str">
        <f>HYPERLINK("https://www.boe.es/gazeta/dias/1813/01/02/pdfs/GRE-1813-1.pdf#page=1","Abrir facsímil")</f>
        <v>Abrir facsímil</v>
      </c>
      <c r="K5084" s="3" t="s">
        <v>22</v>
      </c>
    </row>
    <row r="5085" spans="1:11" ht="42" customHeight="1">
      <c r="A5085" s="2" t="s">
        <v>10681</v>
      </c>
      <c r="B5085" s="2" t="s">
        <v>10681</v>
      </c>
      <c r="C5085" s="2" t="s">
        <v>16</v>
      </c>
      <c r="D5085" s="2" t="s">
        <v>17</v>
      </c>
      <c r="E5085" s="5">
        <v>-31585</v>
      </c>
      <c r="F5085" s="3" t="s">
        <v>177</v>
      </c>
      <c r="G5085" s="3" t="s">
        <v>54</v>
      </c>
      <c r="H5085" s="2" t="s">
        <v>20</v>
      </c>
      <c r="I5085" s="2" t="s">
        <v>10683</v>
      </c>
      <c r="J5085" s="3" t="str">
        <f>HYPERLINK("https://www.boe.es/gazeta/dias/1813/07/09/pdfs/GMR-1813-16.pdf#page=3","Abrir facsímil")</f>
        <v>Abrir facsímil</v>
      </c>
      <c r="K5085" s="3" t="s">
        <v>22</v>
      </c>
    </row>
    <row r="5086" spans="1:11" ht="42" customHeight="1">
      <c r="A5086" s="2" t="s">
        <v>10681</v>
      </c>
      <c r="B5086" s="2" t="s">
        <v>10681</v>
      </c>
      <c r="C5086" s="2" t="s">
        <v>25</v>
      </c>
      <c r="D5086" s="2" t="s">
        <v>26</v>
      </c>
      <c r="E5086" s="5">
        <v>-31518</v>
      </c>
      <c r="F5086" s="3" t="s">
        <v>155</v>
      </c>
      <c r="G5086" s="3" t="s">
        <v>87</v>
      </c>
      <c r="H5086" s="2" t="s">
        <v>20</v>
      </c>
      <c r="I5086" s="2" t="s">
        <v>10684</v>
      </c>
      <c r="J5086" s="3" t="str">
        <f>HYPERLINK("https://www.boe.es/gazeta/dias/1813/09/14/pdfs/GRE-1813-119.pdf#page=7","Abrir facsímil")</f>
        <v>Abrir facsímil</v>
      </c>
      <c r="K5086" s="3" t="s">
        <v>22</v>
      </c>
    </row>
    <row r="5087" spans="1:11" ht="42" customHeight="1">
      <c r="A5087" s="2" t="s">
        <v>10681</v>
      </c>
      <c r="B5087" s="2" t="s">
        <v>10681</v>
      </c>
      <c r="C5087" s="2" t="s">
        <v>16</v>
      </c>
      <c r="D5087" s="2" t="s">
        <v>97</v>
      </c>
      <c r="E5087" s="5">
        <v>-31479</v>
      </c>
      <c r="F5087" s="3" t="s">
        <v>290</v>
      </c>
      <c r="G5087" s="3" t="s">
        <v>87</v>
      </c>
      <c r="H5087" s="2" t="s">
        <v>20</v>
      </c>
      <c r="I5087" s="2" t="s">
        <v>10685</v>
      </c>
      <c r="J5087" s="3" t="str">
        <f>HYPERLINK("https://www.boe.es/gazeta/dias/1813/10/23/pdfs/GRE-1813-139E.pdf#page=7","Abrir facsímil")</f>
        <v>Abrir facsímil</v>
      </c>
      <c r="K5087" s="3" t="s">
        <v>22</v>
      </c>
    </row>
    <row r="5088" spans="1:11" ht="42" customHeight="1">
      <c r="A5088" s="2" t="s">
        <v>10686</v>
      </c>
      <c r="B5088" s="2" t="s">
        <v>10686</v>
      </c>
      <c r="C5088" s="2" t="s">
        <v>16</v>
      </c>
      <c r="D5088" s="2" t="s">
        <v>17</v>
      </c>
      <c r="E5088" s="5">
        <v>-31474</v>
      </c>
      <c r="F5088" s="3" t="s">
        <v>130</v>
      </c>
      <c r="G5088" s="3" t="s">
        <v>58</v>
      </c>
      <c r="H5088" s="2" t="s">
        <v>20</v>
      </c>
      <c r="I5088" s="2" t="s">
        <v>10687</v>
      </c>
      <c r="J5088" s="3" t="str">
        <f>HYPERLINK("https://www.boe.es/gazeta/dias/1813/10/28/pdfs/GRE-1813-141.pdf#page=2","Abrir facsímil")</f>
        <v>Abrir facsímil</v>
      </c>
      <c r="K5088" s="3" t="s">
        <v>22</v>
      </c>
    </row>
    <row r="5089" spans="1:11" ht="42" customHeight="1">
      <c r="A5089" s="2" t="s">
        <v>10688</v>
      </c>
      <c r="B5089" s="2" t="s">
        <v>10689</v>
      </c>
      <c r="C5089" s="2" t="s">
        <v>25</v>
      </c>
      <c r="D5089" s="2" t="s">
        <v>26</v>
      </c>
      <c r="E5089" s="5">
        <v>-31637</v>
      </c>
      <c r="F5089" s="3" t="s">
        <v>855</v>
      </c>
      <c r="G5089" s="3" t="s">
        <v>19</v>
      </c>
      <c r="H5089" s="2" t="s">
        <v>20</v>
      </c>
      <c r="I5089" s="2" t="s">
        <v>10690</v>
      </c>
      <c r="J5089" s="3" t="str">
        <f>HYPERLINK("https://www.boe.es/gazeta/dias/1813/05/18/pdfs/GMD-1813-138.pdf#page=4","Abrir facsímil")</f>
        <v>Abrir facsímil</v>
      </c>
      <c r="K5089" s="3" t="s">
        <v>22</v>
      </c>
    </row>
    <row r="5090" spans="1:11" ht="42" customHeight="1">
      <c r="A5090" s="2" t="s">
        <v>10691</v>
      </c>
      <c r="B5090" s="2" t="s">
        <v>10692</v>
      </c>
      <c r="C5090" s="2" t="s">
        <v>25</v>
      </c>
      <c r="D5090" s="2" t="s">
        <v>26</v>
      </c>
      <c r="E5090" s="5">
        <v>-31628</v>
      </c>
      <c r="F5090" s="3" t="s">
        <v>358</v>
      </c>
      <c r="G5090" s="3" t="s">
        <v>54</v>
      </c>
      <c r="H5090" s="2" t="s">
        <v>29</v>
      </c>
      <c r="I5090" s="2" t="s">
        <v>10693</v>
      </c>
      <c r="J5090" s="3" t="str">
        <f>HYPERLINK("https://www.boe.es/gazeta/dias/1813/05/27/pdfs/GRE-1813-65.pdf#page=3","Abrir facsímil")</f>
        <v>Abrir facsímil</v>
      </c>
      <c r="K5090" s="3" t="s">
        <v>31</v>
      </c>
    </row>
    <row r="5091" spans="1:11" ht="42" customHeight="1">
      <c r="A5091" s="2" t="s">
        <v>10694</v>
      </c>
      <c r="B5091" s="2" t="s">
        <v>10695</v>
      </c>
      <c r="C5091" s="2" t="s">
        <v>16</v>
      </c>
      <c r="D5091" s="2" t="s">
        <v>17</v>
      </c>
      <c r="E5091" s="5">
        <v>-31602</v>
      </c>
      <c r="F5091" s="3" t="s">
        <v>2117</v>
      </c>
      <c r="G5091" s="3" t="s">
        <v>207</v>
      </c>
      <c r="H5091" s="2" t="s">
        <v>29</v>
      </c>
      <c r="I5091" s="2" t="s">
        <v>10696</v>
      </c>
      <c r="J5091" s="3" t="str">
        <f>HYPERLINK("https://www.boe.es/gazeta/dias/1813/06/22/pdfs/GMR-1813-9.pdf#page=10","Abrir facsímil")</f>
        <v>Abrir facsímil</v>
      </c>
      <c r="K5091" s="3" t="s">
        <v>31</v>
      </c>
    </row>
    <row r="5092" spans="1:11" ht="42" customHeight="1">
      <c r="A5092" s="2" t="s">
        <v>10697</v>
      </c>
      <c r="B5092" s="2" t="s">
        <v>10698</v>
      </c>
      <c r="C5092" s="2" t="s">
        <v>16</v>
      </c>
      <c r="D5092" s="2" t="s">
        <v>17</v>
      </c>
      <c r="E5092" s="5">
        <v>-31759</v>
      </c>
      <c r="F5092" s="3" t="s">
        <v>419</v>
      </c>
      <c r="G5092" s="3" t="s">
        <v>420</v>
      </c>
      <c r="H5092" s="2" t="s">
        <v>20</v>
      </c>
      <c r="I5092" s="2" t="s">
        <v>10699</v>
      </c>
      <c r="J5092" s="3" t="str">
        <f>HYPERLINK("https://www.boe.es/gazeta/dias/1813/01/16/pdfs/GRE-1813-7.pdf#page=8","Abrir facsímil")</f>
        <v>Abrir facsímil</v>
      </c>
      <c r="K5092" s="3" t="s">
        <v>22</v>
      </c>
    </row>
    <row r="5093" spans="1:11" ht="42" customHeight="1">
      <c r="A5093" s="2" t="s">
        <v>10700</v>
      </c>
      <c r="B5093" s="2" t="s">
        <v>10700</v>
      </c>
      <c r="C5093" s="2" t="s">
        <v>16</v>
      </c>
      <c r="D5093" s="2" t="s">
        <v>17</v>
      </c>
      <c r="E5093" s="5">
        <v>-31668</v>
      </c>
      <c r="F5093" s="3" t="s">
        <v>574</v>
      </c>
      <c r="G5093" s="3" t="s">
        <v>28</v>
      </c>
      <c r="H5093" s="2" t="s">
        <v>20</v>
      </c>
      <c r="I5093" s="2" t="s">
        <v>10701</v>
      </c>
      <c r="J5093" s="3" t="str">
        <f>HYPERLINK("https://www.boe.es/gazeta/dias/1813/04/17/pdfs/GRE-1813-48.pdf#page=8","Abrir facsímil")</f>
        <v>Abrir facsímil</v>
      </c>
      <c r="K5093" s="3" t="s">
        <v>22</v>
      </c>
    </row>
    <row r="5094" spans="1:11" ht="42" customHeight="1">
      <c r="A5094" s="2" t="s">
        <v>10702</v>
      </c>
      <c r="B5094" s="2" t="s">
        <v>10702</v>
      </c>
      <c r="C5094" s="2" t="s">
        <v>34</v>
      </c>
      <c r="D5094" s="2" t="s">
        <v>35</v>
      </c>
      <c r="E5094" s="5">
        <v>-31709</v>
      </c>
      <c r="F5094" s="3" t="s">
        <v>36</v>
      </c>
      <c r="G5094" s="3" t="s">
        <v>303</v>
      </c>
      <c r="H5094" s="2" t="s">
        <v>20</v>
      </c>
      <c r="I5094" s="2" t="s">
        <v>10703</v>
      </c>
      <c r="J5094" s="3" t="str">
        <f>HYPERLINK("https://www.boe.es/gazeta/dias/1813/03/07/pdfs/GMD-1813-66.pdf#page=3","Abrir facsímil")</f>
        <v>Abrir facsímil</v>
      </c>
      <c r="K5094" s="3" t="s">
        <v>22</v>
      </c>
    </row>
    <row r="5095" spans="1:11" ht="42" customHeight="1">
      <c r="A5095" s="2" t="s">
        <v>10704</v>
      </c>
      <c r="B5095" s="2" t="s">
        <v>10704</v>
      </c>
      <c r="C5095" s="2" t="s">
        <v>16</v>
      </c>
      <c r="D5095" s="2" t="s">
        <v>17</v>
      </c>
      <c r="E5095" s="5">
        <v>-31772</v>
      </c>
      <c r="F5095" s="3" t="s">
        <v>709</v>
      </c>
      <c r="G5095" s="3" t="s">
        <v>82</v>
      </c>
      <c r="H5095" s="2" t="s">
        <v>20</v>
      </c>
      <c r="I5095" s="2" t="s">
        <v>10705</v>
      </c>
      <c r="J5095" s="3" t="str">
        <f>HYPERLINK("https://www.boe.es/gazeta/dias/1813/01/03/pdfs/GRE-1813-69.pdf#page=5","Abrir facsímil")</f>
        <v>Abrir facsímil</v>
      </c>
      <c r="K5095" s="3" t="s">
        <v>22</v>
      </c>
    </row>
    <row r="5096" spans="1:11" ht="42" customHeight="1">
      <c r="A5096" s="2" t="s">
        <v>10704</v>
      </c>
      <c r="B5096" s="2" t="s">
        <v>10704</v>
      </c>
      <c r="C5096" s="2" t="s">
        <v>16</v>
      </c>
      <c r="D5096" s="2" t="s">
        <v>17</v>
      </c>
      <c r="E5096" s="5">
        <v>-31751</v>
      </c>
      <c r="F5096" s="3" t="s">
        <v>10706</v>
      </c>
      <c r="G5096" s="3" t="s">
        <v>19</v>
      </c>
      <c r="H5096" s="2" t="s">
        <v>20</v>
      </c>
      <c r="I5096" s="2" t="s">
        <v>10707</v>
      </c>
      <c r="J5096" s="3" t="str">
        <f>HYPERLINK("https://www.boe.es/gazeta/dias/1813/01/24/pdfs/GMD-1813-24.pdf#page=4","Abrir facsímil")</f>
        <v>Abrir facsímil</v>
      </c>
      <c r="K5096" s="3" t="s">
        <v>22</v>
      </c>
    </row>
    <row r="5097" spans="1:11" ht="42" customHeight="1">
      <c r="A5097" s="2" t="s">
        <v>10704</v>
      </c>
      <c r="B5097" s="2" t="s">
        <v>10704</v>
      </c>
      <c r="C5097" s="2" t="s">
        <v>34</v>
      </c>
      <c r="D5097" s="2" t="s">
        <v>35</v>
      </c>
      <c r="E5097" s="5">
        <v>-31675</v>
      </c>
      <c r="F5097" s="3" t="s">
        <v>2552</v>
      </c>
      <c r="G5097" s="3" t="s">
        <v>19</v>
      </c>
      <c r="H5097" s="2" t="s">
        <v>20</v>
      </c>
      <c r="I5097" s="2" t="s">
        <v>10708</v>
      </c>
      <c r="J5097" s="3" t="str">
        <f>HYPERLINK("https://www.boe.es/gazeta/dias/1813/04/10/pdfs/GMD-1813-100.pdf#page=4","Abrir facsímil")</f>
        <v>Abrir facsímil</v>
      </c>
      <c r="K5097" s="3" t="s">
        <v>22</v>
      </c>
    </row>
    <row r="5098" spans="1:11" ht="42" customHeight="1">
      <c r="A5098" s="2" t="s">
        <v>10704</v>
      </c>
      <c r="B5098" s="2" t="s">
        <v>10704</v>
      </c>
      <c r="C5098" s="2" t="s">
        <v>16</v>
      </c>
      <c r="D5098" s="2" t="s">
        <v>17</v>
      </c>
      <c r="E5098" s="5">
        <v>-31621</v>
      </c>
      <c r="F5098" s="3" t="s">
        <v>709</v>
      </c>
      <c r="G5098" s="3" t="s">
        <v>82</v>
      </c>
      <c r="H5098" s="2" t="s">
        <v>20</v>
      </c>
      <c r="I5098" s="2" t="s">
        <v>10705</v>
      </c>
      <c r="J5098" s="3" t="str">
        <f>HYPERLINK("https://www.boe.es/gazeta/dias/1813/06/03/pdfs/GRE-1813-69.pdf#page=5","Abrir facsímil")</f>
        <v>Abrir facsímil</v>
      </c>
      <c r="K5098" s="3" t="s">
        <v>22</v>
      </c>
    </row>
    <row r="5099" spans="1:11" ht="42" customHeight="1">
      <c r="A5099" s="2" t="s">
        <v>10704</v>
      </c>
      <c r="B5099" s="2" t="s">
        <v>10704</v>
      </c>
      <c r="C5099" s="2" t="s">
        <v>34</v>
      </c>
      <c r="D5099" s="2" t="s">
        <v>35</v>
      </c>
      <c r="E5099" s="5">
        <v>-31495</v>
      </c>
      <c r="F5099" s="3" t="s">
        <v>194</v>
      </c>
      <c r="G5099" s="3" t="s">
        <v>812</v>
      </c>
      <c r="H5099" s="2" t="s">
        <v>20</v>
      </c>
      <c r="I5099" s="2" t="s">
        <v>10709</v>
      </c>
      <c r="J5099" s="3" t="str">
        <f>HYPERLINK("https://www.boe.es/gazeta/dias/1813/10/07/pdfs/GMR-1813-55.pdf#page=4","Abrir facsímil")</f>
        <v>Abrir facsímil</v>
      </c>
      <c r="K5099" s="3" t="s">
        <v>22</v>
      </c>
    </row>
    <row r="5100" spans="1:11" ht="42" customHeight="1">
      <c r="A5100" s="2" t="s">
        <v>10704</v>
      </c>
      <c r="B5100" s="2" t="s">
        <v>10704</v>
      </c>
      <c r="C5100" s="2" t="s">
        <v>16</v>
      </c>
      <c r="D5100" s="2" t="s">
        <v>17</v>
      </c>
      <c r="E5100" s="5">
        <v>-31476</v>
      </c>
      <c r="F5100" s="3" t="s">
        <v>158</v>
      </c>
      <c r="G5100" s="3" t="s">
        <v>95</v>
      </c>
      <c r="H5100" s="2" t="s">
        <v>20</v>
      </c>
      <c r="I5100" s="2" t="s">
        <v>10710</v>
      </c>
      <c r="J5100" s="3" t="str">
        <f>HYPERLINK("https://www.boe.es/gazeta/dias/1813/10/26/pdfs/GMR-1813-64.pdf#page=6","Abrir facsímil")</f>
        <v>Abrir facsímil</v>
      </c>
      <c r="K5100" s="3" t="s">
        <v>22</v>
      </c>
    </row>
    <row r="5101" spans="1:11" ht="42" customHeight="1">
      <c r="A5101" s="2" t="s">
        <v>10704</v>
      </c>
      <c r="B5101" s="2" t="s">
        <v>10704</v>
      </c>
      <c r="C5101" s="2" t="s">
        <v>25</v>
      </c>
      <c r="D5101" s="2" t="s">
        <v>26</v>
      </c>
      <c r="E5101" s="5">
        <v>-31416</v>
      </c>
      <c r="F5101" s="3" t="s">
        <v>278</v>
      </c>
      <c r="G5101" s="3" t="s">
        <v>207</v>
      </c>
      <c r="H5101" s="2" t="s">
        <v>20</v>
      </c>
      <c r="I5101" s="2" t="s">
        <v>10711</v>
      </c>
      <c r="J5101" s="3" t="str">
        <f>HYPERLINK("https://www.boe.es/gazeta/dias/1813/12/25/pdfs/GMR-1813-92.pdf#page=10","Abrir facsímil")</f>
        <v>Abrir facsímil</v>
      </c>
      <c r="K5101" s="3" t="s">
        <v>22</v>
      </c>
    </row>
    <row r="5102" spans="1:11" ht="42" customHeight="1">
      <c r="A5102" s="2" t="s">
        <v>10704</v>
      </c>
      <c r="B5102" s="2" t="s">
        <v>10704</v>
      </c>
      <c r="C5102" s="2" t="s">
        <v>34</v>
      </c>
      <c r="D5102" s="2" t="s">
        <v>35</v>
      </c>
      <c r="E5102" s="5">
        <v>-31411</v>
      </c>
      <c r="F5102" s="3" t="s">
        <v>2306</v>
      </c>
      <c r="G5102" s="3" t="s">
        <v>28</v>
      </c>
      <c r="H5102" s="2" t="s">
        <v>20</v>
      </c>
      <c r="I5102" s="2" t="s">
        <v>10712</v>
      </c>
      <c r="J5102" s="3" t="str">
        <f>HYPERLINK("https://www.boe.es/gazeta/dias/1813/12/30/pdfs/GMR-1813-94.pdf#page=8","Abrir facsímil")</f>
        <v>Abrir facsímil</v>
      </c>
      <c r="K5102" s="3" t="s">
        <v>22</v>
      </c>
    </row>
    <row r="5103" spans="1:11" ht="42" customHeight="1">
      <c r="A5103" s="2" t="s">
        <v>10713</v>
      </c>
      <c r="B5103" s="2" t="s">
        <v>10714</v>
      </c>
      <c r="C5103" s="2" t="s">
        <v>16</v>
      </c>
      <c r="D5103" s="2" t="s">
        <v>17</v>
      </c>
      <c r="E5103" s="5">
        <v>-31432</v>
      </c>
      <c r="F5103" s="3" t="s">
        <v>803</v>
      </c>
      <c r="G5103" s="3" t="s">
        <v>28</v>
      </c>
      <c r="H5103" s="2" t="s">
        <v>20</v>
      </c>
      <c r="I5103" s="2" t="s">
        <v>10715</v>
      </c>
      <c r="J5103" s="3" t="str">
        <f>HYPERLINK("https://www.boe.es/gazeta/dias/1813/12/09/pdfs/GRE-1813-162.pdf#page=8","Abrir facsímil")</f>
        <v>Abrir facsímil</v>
      </c>
      <c r="K5103" s="3" t="s">
        <v>22</v>
      </c>
    </row>
    <row r="5104" spans="1:11" ht="42" customHeight="1">
      <c r="A5104" s="2" t="s">
        <v>10716</v>
      </c>
      <c r="B5104" s="2" t="s">
        <v>10717</v>
      </c>
      <c r="C5104" s="2" t="s">
        <v>277</v>
      </c>
      <c r="D5104" s="2" t="s">
        <v>26</v>
      </c>
      <c r="E5104" s="5">
        <v>-31719</v>
      </c>
      <c r="F5104" s="3" t="s">
        <v>251</v>
      </c>
      <c r="G5104" s="3" t="s">
        <v>19</v>
      </c>
      <c r="H5104" s="2" t="s">
        <v>20</v>
      </c>
      <c r="I5104" s="2" t="s">
        <v>10718</v>
      </c>
      <c r="J5104" s="3" t="str">
        <f>HYPERLINK("https://www.boe.es/gazeta/dias/1813/02/25/pdfs/GMD-1813-56.pdf#page=4","Abrir facsímil")</f>
        <v>Abrir facsímil</v>
      </c>
      <c r="K5104" s="3" t="s">
        <v>22</v>
      </c>
    </row>
    <row r="5105" spans="1:11" ht="42" customHeight="1">
      <c r="A5105" s="2" t="s">
        <v>10719</v>
      </c>
      <c r="B5105" s="2" t="s">
        <v>10719</v>
      </c>
      <c r="C5105" s="2" t="s">
        <v>16</v>
      </c>
      <c r="D5105" s="2" t="s">
        <v>17</v>
      </c>
      <c r="E5105" s="5">
        <v>-31752</v>
      </c>
      <c r="F5105" s="3" t="s">
        <v>182</v>
      </c>
      <c r="G5105" s="3" t="s">
        <v>87</v>
      </c>
      <c r="H5105" s="2" t="s">
        <v>20</v>
      </c>
      <c r="I5105" s="2" t="s">
        <v>10720</v>
      </c>
      <c r="J5105" s="3" t="str">
        <f>HYPERLINK("https://www.boe.es/gazeta/dias/1813/01/23/pdfs/GRE-1813-10.pdf#page=7","Abrir facsímil")</f>
        <v>Abrir facsímil</v>
      </c>
      <c r="K5105" s="3" t="s">
        <v>22</v>
      </c>
    </row>
    <row r="5106" spans="1:11" ht="42" customHeight="1">
      <c r="A5106" s="2" t="s">
        <v>10721</v>
      </c>
      <c r="B5106" s="2" t="s">
        <v>10721</v>
      </c>
      <c r="C5106" s="2" t="s">
        <v>16</v>
      </c>
      <c r="D5106" s="2" t="s">
        <v>17</v>
      </c>
      <c r="E5106" s="5">
        <v>-31581</v>
      </c>
      <c r="F5106" s="3" t="s">
        <v>1321</v>
      </c>
      <c r="G5106" s="3" t="s">
        <v>2541</v>
      </c>
      <c r="H5106" s="2" t="s">
        <v>20</v>
      </c>
      <c r="I5106" s="2" t="s">
        <v>10722</v>
      </c>
      <c r="J5106" s="3" t="str">
        <f>HYPERLINK("https://www.boe.es/gazeta/dias/1813/07/13/pdfs/GMR-1813-17.pdf#page=4","Abrir facsímil")</f>
        <v>Abrir facsímil</v>
      </c>
      <c r="K5106" s="3" t="s">
        <v>22</v>
      </c>
    </row>
    <row r="5107" spans="1:11" ht="42" customHeight="1">
      <c r="A5107" s="2" t="s">
        <v>10723</v>
      </c>
      <c r="B5107" s="2" t="s">
        <v>10723</v>
      </c>
      <c r="C5107" s="2" t="s">
        <v>16</v>
      </c>
      <c r="D5107" s="2" t="s">
        <v>17</v>
      </c>
      <c r="E5107" s="5">
        <v>-31773</v>
      </c>
      <c r="F5107" s="3" t="s">
        <v>3667</v>
      </c>
      <c r="G5107" s="3" t="s">
        <v>2765</v>
      </c>
      <c r="H5107" s="2" t="s">
        <v>20</v>
      </c>
      <c r="I5107" s="2" t="s">
        <v>10724</v>
      </c>
      <c r="J5107" s="3" t="str">
        <f>HYPERLINK("https://www.boe.es/gazeta/dias/1813/01/02/pdfs/GRE-1813-1.pdf#page=4","Abrir facsímil")</f>
        <v>Abrir facsímil</v>
      </c>
      <c r="K5107" s="3" t="s">
        <v>22</v>
      </c>
    </row>
    <row r="5108" spans="1:11" ht="42" customHeight="1">
      <c r="A5108" s="2" t="s">
        <v>10723</v>
      </c>
      <c r="B5108" s="2" t="s">
        <v>10723</v>
      </c>
      <c r="C5108" s="2" t="s">
        <v>16</v>
      </c>
      <c r="D5108" s="2" t="s">
        <v>17</v>
      </c>
      <c r="E5108" s="5">
        <v>-31598</v>
      </c>
      <c r="F5108" s="3" t="s">
        <v>286</v>
      </c>
      <c r="G5108" s="3" t="s">
        <v>54</v>
      </c>
      <c r="H5108" s="2" t="s">
        <v>20</v>
      </c>
      <c r="I5108" s="2" t="s">
        <v>10725</v>
      </c>
      <c r="J5108" s="3" t="str">
        <f>HYPERLINK("https://www.boe.es/gazeta/dias/1813/06/26/pdfs/GRE-1813-79.pdf#page=3","Abrir facsímil")</f>
        <v>Abrir facsímil</v>
      </c>
      <c r="K5108" s="3" t="s">
        <v>22</v>
      </c>
    </row>
    <row r="5109" spans="1:11" ht="42" customHeight="1">
      <c r="A5109" s="2" t="s">
        <v>10726</v>
      </c>
      <c r="B5109" s="2" t="s">
        <v>10726</v>
      </c>
      <c r="C5109" s="2" t="s">
        <v>16</v>
      </c>
      <c r="D5109" s="2" t="s">
        <v>17</v>
      </c>
      <c r="E5109" s="5">
        <v>-31595</v>
      </c>
      <c r="F5109" s="3" t="s">
        <v>1319</v>
      </c>
      <c r="G5109" s="3" t="s">
        <v>58</v>
      </c>
      <c r="H5109" s="2" t="s">
        <v>20</v>
      </c>
      <c r="I5109" s="2" t="s">
        <v>10727</v>
      </c>
      <c r="J5109" s="3" t="str">
        <f>HYPERLINK("https://www.boe.es/gazeta/dias/1813/06/29/pdfs/GRE-1813-80.pdf#page=2","Abrir facsímil")</f>
        <v>Abrir facsímil</v>
      </c>
      <c r="K5109" s="3" t="s">
        <v>22</v>
      </c>
    </row>
    <row r="5110" spans="1:11" ht="42" customHeight="1">
      <c r="A5110" s="2" t="s">
        <v>10726</v>
      </c>
      <c r="B5110" s="2" t="s">
        <v>10726</v>
      </c>
      <c r="C5110" s="2" t="s">
        <v>16</v>
      </c>
      <c r="D5110" s="2" t="s">
        <v>17</v>
      </c>
      <c r="E5110" s="5">
        <v>-31595</v>
      </c>
      <c r="F5110" s="3" t="s">
        <v>1319</v>
      </c>
      <c r="G5110" s="3" t="s">
        <v>19</v>
      </c>
      <c r="H5110" s="2" t="s">
        <v>20</v>
      </c>
      <c r="I5110" s="2" t="s">
        <v>10728</v>
      </c>
      <c r="J5110" s="3" t="str">
        <f>HYPERLINK("https://www.boe.es/gazeta/dias/1813/06/29/pdfs/GRE-1813-80.pdf#page=4","Abrir facsímil")</f>
        <v>Abrir facsímil</v>
      </c>
      <c r="K5110" s="3" t="s">
        <v>22</v>
      </c>
    </row>
    <row r="5111" spans="1:11" ht="42" customHeight="1">
      <c r="A5111" s="2" t="s">
        <v>10729</v>
      </c>
      <c r="B5111" s="2" t="s">
        <v>10729</v>
      </c>
      <c r="C5111" s="2" t="s">
        <v>16</v>
      </c>
      <c r="D5111" s="2" t="s">
        <v>17</v>
      </c>
      <c r="E5111" s="5">
        <v>-31679</v>
      </c>
      <c r="F5111" s="3" t="s">
        <v>571</v>
      </c>
      <c r="G5111" s="3" t="s">
        <v>54</v>
      </c>
      <c r="H5111" s="2" t="s">
        <v>20</v>
      </c>
      <c r="I5111" s="2" t="s">
        <v>10730</v>
      </c>
      <c r="J5111" s="3" t="str">
        <f>HYPERLINK("https://www.boe.es/gazeta/dias/1813/04/06/pdfs/GRE-1813-42.pdf#page=3","Abrir facsímil")</f>
        <v>Abrir facsímil</v>
      </c>
      <c r="K5111" s="3" t="s">
        <v>22</v>
      </c>
    </row>
    <row r="5112" spans="1:11" ht="42" customHeight="1">
      <c r="A5112" s="2" t="s">
        <v>10731</v>
      </c>
      <c r="B5112" s="2" t="s">
        <v>10731</v>
      </c>
      <c r="C5112" s="2" t="s">
        <v>16</v>
      </c>
      <c r="D5112" s="2" t="s">
        <v>17</v>
      </c>
      <c r="E5112" s="5">
        <v>-31656</v>
      </c>
      <c r="F5112" s="3" t="s">
        <v>576</v>
      </c>
      <c r="G5112" s="3" t="s">
        <v>10732</v>
      </c>
      <c r="H5112" s="2" t="s">
        <v>20</v>
      </c>
      <c r="I5112" s="2" t="s">
        <v>10733</v>
      </c>
      <c r="J5112" s="3" t="str">
        <f>HYPERLINK("https://www.boe.es/gazeta/dias/1813/04/29/pdfs/GRE-1813-53.pdf#page=6","Abrir facsímil")</f>
        <v>Abrir facsímil</v>
      </c>
      <c r="K5112" s="3" t="s">
        <v>22</v>
      </c>
    </row>
    <row r="5113" spans="1:11" ht="42" customHeight="1">
      <c r="A5113" s="2" t="s">
        <v>10731</v>
      </c>
      <c r="B5113" s="2" t="s">
        <v>10731</v>
      </c>
      <c r="C5113" s="2" t="s">
        <v>16</v>
      </c>
      <c r="D5113" s="2" t="s">
        <v>17</v>
      </c>
      <c r="E5113" s="5">
        <v>-31656</v>
      </c>
      <c r="F5113" s="3" t="s">
        <v>576</v>
      </c>
      <c r="G5113" s="3" t="s">
        <v>19</v>
      </c>
      <c r="H5113" s="2" t="s">
        <v>20</v>
      </c>
      <c r="I5113" s="2" t="s">
        <v>10734</v>
      </c>
      <c r="J5113" s="3" t="str">
        <f>HYPERLINK("https://www.boe.es/gazeta/dias/1813/04/29/pdfs/GRE-1813-53.pdf#page=4","Abrir facsímil")</f>
        <v>Abrir facsímil</v>
      </c>
      <c r="K5113" s="3" t="s">
        <v>22</v>
      </c>
    </row>
    <row r="5114" spans="1:11" ht="42" customHeight="1">
      <c r="A5114" s="2" t="s">
        <v>10735</v>
      </c>
      <c r="B5114" s="2" t="s">
        <v>10736</v>
      </c>
      <c r="C5114" s="2" t="s">
        <v>109</v>
      </c>
      <c r="D5114" s="2" t="s">
        <v>26</v>
      </c>
      <c r="E5114" s="5">
        <v>-31772</v>
      </c>
      <c r="F5114" s="3" t="s">
        <v>709</v>
      </c>
      <c r="G5114" s="3" t="s">
        <v>82</v>
      </c>
      <c r="H5114" s="2" t="s">
        <v>20</v>
      </c>
      <c r="I5114" s="2" t="s">
        <v>10737</v>
      </c>
      <c r="J5114" s="3" t="str">
        <f>HYPERLINK("https://www.boe.es/gazeta/dias/1813/01/03/pdfs/GRE-1813-69.pdf#page=5","Abrir facsímil")</f>
        <v>Abrir facsímil</v>
      </c>
      <c r="K5114" s="3" t="s">
        <v>22</v>
      </c>
    </row>
    <row r="5115" spans="1:11" ht="42" customHeight="1">
      <c r="A5115" s="2" t="s">
        <v>10735</v>
      </c>
      <c r="B5115" s="2" t="s">
        <v>10736</v>
      </c>
      <c r="C5115" s="2" t="s">
        <v>109</v>
      </c>
      <c r="D5115" s="2" t="s">
        <v>26</v>
      </c>
      <c r="E5115" s="5">
        <v>-31621</v>
      </c>
      <c r="F5115" s="3" t="s">
        <v>709</v>
      </c>
      <c r="G5115" s="3" t="s">
        <v>82</v>
      </c>
      <c r="H5115" s="2" t="s">
        <v>20</v>
      </c>
      <c r="I5115" s="2" t="s">
        <v>10737</v>
      </c>
      <c r="J5115" s="3" t="str">
        <f>HYPERLINK("https://www.boe.es/gazeta/dias/1813/06/03/pdfs/GRE-1813-69.pdf#page=5","Abrir facsímil")</f>
        <v>Abrir facsímil</v>
      </c>
      <c r="K5115" s="3" t="s">
        <v>22</v>
      </c>
    </row>
    <row r="5116" spans="1:11" ht="42" customHeight="1">
      <c r="A5116" s="2" t="s">
        <v>10738</v>
      </c>
      <c r="B5116" s="2" t="s">
        <v>10739</v>
      </c>
      <c r="C5116" s="2" t="s">
        <v>16</v>
      </c>
      <c r="D5116" s="2" t="s">
        <v>17</v>
      </c>
      <c r="E5116" s="5">
        <v>-31772</v>
      </c>
      <c r="F5116" s="3" t="s">
        <v>709</v>
      </c>
      <c r="G5116" s="3" t="s">
        <v>19</v>
      </c>
      <c r="H5116" s="2" t="s">
        <v>20</v>
      </c>
      <c r="I5116" s="2" t="s">
        <v>10740</v>
      </c>
      <c r="J5116" s="3" t="str">
        <f>HYPERLINK("https://www.boe.es/gazeta/dias/1813/01/03/pdfs/GRE-1813-69.pdf#page=4","Abrir facsímil")</f>
        <v>Abrir facsímil</v>
      </c>
      <c r="K5116" s="3" t="s">
        <v>22</v>
      </c>
    </row>
    <row r="5117" spans="1:11" ht="42" customHeight="1">
      <c r="A5117" s="2" t="s">
        <v>10738</v>
      </c>
      <c r="B5117" s="2" t="s">
        <v>10739</v>
      </c>
      <c r="C5117" s="2" t="s">
        <v>16</v>
      </c>
      <c r="D5117" s="2" t="s">
        <v>17</v>
      </c>
      <c r="E5117" s="5">
        <v>-31621</v>
      </c>
      <c r="F5117" s="3" t="s">
        <v>709</v>
      </c>
      <c r="G5117" s="3" t="s">
        <v>19</v>
      </c>
      <c r="H5117" s="2" t="s">
        <v>20</v>
      </c>
      <c r="I5117" s="2" t="s">
        <v>10740</v>
      </c>
      <c r="J5117" s="3" t="str">
        <f>HYPERLINK("https://www.boe.es/gazeta/dias/1813/06/03/pdfs/GRE-1813-69.pdf#page=4","Abrir facsímil")</f>
        <v>Abrir facsímil</v>
      </c>
      <c r="K5117" s="3" t="s">
        <v>22</v>
      </c>
    </row>
    <row r="5118" spans="1:11" ht="42" customHeight="1">
      <c r="A5118" s="2" t="s">
        <v>10741</v>
      </c>
      <c r="B5118" s="2" t="s">
        <v>10741</v>
      </c>
      <c r="C5118" s="2" t="s">
        <v>16</v>
      </c>
      <c r="D5118" s="2" t="s">
        <v>17</v>
      </c>
      <c r="E5118" s="5">
        <v>-31717</v>
      </c>
      <c r="F5118" s="3" t="s">
        <v>2338</v>
      </c>
      <c r="G5118" s="3" t="s">
        <v>82</v>
      </c>
      <c r="H5118" s="2" t="s">
        <v>20</v>
      </c>
      <c r="I5118" s="2" t="s">
        <v>10742</v>
      </c>
      <c r="J5118" s="3" t="str">
        <f>HYPERLINK("https://www.boe.es/gazeta/dias/1813/02/27/pdfs/GRE-1813-25.pdf#page=5","Abrir facsímil")</f>
        <v>Abrir facsímil</v>
      </c>
      <c r="K5118" s="3" t="s">
        <v>22</v>
      </c>
    </row>
    <row r="5119" spans="1:11" ht="42" customHeight="1">
      <c r="A5119" s="2" t="s">
        <v>10743</v>
      </c>
      <c r="B5119" s="2" t="s">
        <v>10744</v>
      </c>
      <c r="C5119" s="2" t="s">
        <v>16</v>
      </c>
      <c r="D5119" s="2" t="s">
        <v>17</v>
      </c>
      <c r="E5119" s="5">
        <v>-31685</v>
      </c>
      <c r="F5119" s="3" t="s">
        <v>2671</v>
      </c>
      <c r="G5119" s="3" t="s">
        <v>58</v>
      </c>
      <c r="H5119" s="2" t="s">
        <v>20</v>
      </c>
      <c r="I5119" s="2" t="s">
        <v>10745</v>
      </c>
      <c r="J5119" s="3" t="str">
        <f>HYPERLINK("https://www.boe.es/gazeta/dias/1813/03/31/pdfs/GMD-1813-90.pdf#page=2","Abrir facsímil")</f>
        <v>Abrir facsímil</v>
      </c>
      <c r="K5119" s="3" t="s">
        <v>22</v>
      </c>
    </row>
    <row r="5120" spans="1:11" ht="42" customHeight="1">
      <c r="A5120" s="2" t="s">
        <v>10746</v>
      </c>
      <c r="B5120" s="2" t="s">
        <v>10746</v>
      </c>
      <c r="C5120" s="2" t="s">
        <v>16</v>
      </c>
      <c r="D5120" s="2" t="s">
        <v>17</v>
      </c>
      <c r="E5120" s="5">
        <v>-31588</v>
      </c>
      <c r="F5120" s="3" t="s">
        <v>2402</v>
      </c>
      <c r="G5120" s="3" t="s">
        <v>65</v>
      </c>
      <c r="H5120" s="2" t="s">
        <v>20</v>
      </c>
      <c r="I5120" s="2" t="s">
        <v>10747</v>
      </c>
      <c r="J5120" s="3" t="str">
        <f>HYPERLINK("https://www.boe.es/gazeta/dias/1813/07/06/pdfs/GRE-1813-84.pdf#page=1","Abrir facsímil")</f>
        <v>Abrir facsímil</v>
      </c>
      <c r="K5120" s="3" t="s">
        <v>22</v>
      </c>
    </row>
    <row r="5121" spans="1:11" ht="42" customHeight="1">
      <c r="A5121" s="2" t="s">
        <v>10748</v>
      </c>
      <c r="B5121" s="2" t="s">
        <v>10749</v>
      </c>
      <c r="C5121" s="2" t="s">
        <v>16</v>
      </c>
      <c r="D5121" s="2" t="s">
        <v>17</v>
      </c>
      <c r="E5121" s="5">
        <v>-31698</v>
      </c>
      <c r="F5121" s="3" t="s">
        <v>470</v>
      </c>
      <c r="G5121" s="3" t="s">
        <v>471</v>
      </c>
      <c r="H5121" s="2" t="s">
        <v>20</v>
      </c>
      <c r="I5121" s="2" t="s">
        <v>10750</v>
      </c>
      <c r="J5121" s="3" t="str">
        <f>HYPERLINK("https://www.boe.es/gazeta/dias/1813/03/18/pdfs/GRE-1813-34.pdf#page=7","Abrir facsímil")</f>
        <v>Abrir facsímil</v>
      </c>
      <c r="K5121" s="3" t="s">
        <v>22</v>
      </c>
    </row>
    <row r="5122" spans="1:11" ht="42" customHeight="1">
      <c r="A5122" s="2" t="s">
        <v>10751</v>
      </c>
      <c r="B5122" s="2" t="s">
        <v>10751</v>
      </c>
      <c r="C5122" s="2" t="s">
        <v>16</v>
      </c>
      <c r="D5122" s="2" t="s">
        <v>17</v>
      </c>
      <c r="E5122" s="5">
        <v>-31516</v>
      </c>
      <c r="F5122" s="3" t="s">
        <v>1685</v>
      </c>
      <c r="G5122" s="3" t="s">
        <v>1686</v>
      </c>
      <c r="H5122" s="2" t="s">
        <v>20</v>
      </c>
      <c r="I5122" s="2" t="s">
        <v>10752</v>
      </c>
      <c r="J5122" s="3" t="str">
        <f>HYPERLINK("https://www.boe.es/gazeta/dias/1813/09/16/pdfs/GRE-1813-120.pdf#page=7","Abrir facsímil")</f>
        <v>Abrir facsímil</v>
      </c>
      <c r="K5122" s="3" t="s">
        <v>22</v>
      </c>
    </row>
    <row r="5123" spans="1:11" ht="42" customHeight="1">
      <c r="A5123" s="2" t="s">
        <v>10753</v>
      </c>
      <c r="B5123" s="2" t="s">
        <v>10753</v>
      </c>
      <c r="C5123" s="2" t="s">
        <v>16</v>
      </c>
      <c r="D5123" s="2" t="s">
        <v>17</v>
      </c>
      <c r="E5123" s="5">
        <v>-31645</v>
      </c>
      <c r="F5123" s="3" t="s">
        <v>4666</v>
      </c>
      <c r="G5123" s="3" t="s">
        <v>65</v>
      </c>
      <c r="H5123" s="2" t="s">
        <v>20</v>
      </c>
      <c r="I5123" s="2" t="s">
        <v>10754</v>
      </c>
      <c r="J5123" s="3" t="str">
        <f>HYPERLINK("https://www.boe.es/gazeta/dias/1813/05/10/pdfs/GMD-1813-130.pdf#page=1","Abrir facsímil")</f>
        <v>Abrir facsímil</v>
      </c>
      <c r="K5123" s="3" t="s">
        <v>22</v>
      </c>
    </row>
    <row r="5124" spans="1:11" ht="42" customHeight="1">
      <c r="A5124" s="2" t="s">
        <v>10755</v>
      </c>
      <c r="B5124" s="2" t="s">
        <v>10755</v>
      </c>
      <c r="C5124" s="2" t="s">
        <v>16</v>
      </c>
      <c r="D5124" s="2" t="s">
        <v>17</v>
      </c>
      <c r="E5124" s="5">
        <v>-31542</v>
      </c>
      <c r="F5124" s="3" t="s">
        <v>337</v>
      </c>
      <c r="G5124" s="3" t="s">
        <v>95</v>
      </c>
      <c r="H5124" s="2" t="s">
        <v>20</v>
      </c>
      <c r="I5124" s="2" t="s">
        <v>10756</v>
      </c>
      <c r="J5124" s="3" t="str">
        <f>HYPERLINK("https://www.boe.es/gazeta/dias/1813/08/21/pdfs/GRE-1813-107.pdf#page=6","Abrir facsímil")</f>
        <v>Abrir facsímil</v>
      </c>
      <c r="K5124" s="3" t="s">
        <v>22</v>
      </c>
    </row>
    <row r="5125" spans="1:11" ht="42" customHeight="1">
      <c r="A5125" s="2" t="s">
        <v>10757</v>
      </c>
      <c r="B5125" s="2" t="s">
        <v>10757</v>
      </c>
      <c r="C5125" s="2" t="s">
        <v>16</v>
      </c>
      <c r="D5125" s="2" t="s">
        <v>17</v>
      </c>
      <c r="E5125" s="5">
        <v>-31598</v>
      </c>
      <c r="F5125" s="3" t="s">
        <v>286</v>
      </c>
      <c r="G5125" s="3" t="s">
        <v>58</v>
      </c>
      <c r="H5125" s="2" t="s">
        <v>20</v>
      </c>
      <c r="I5125" s="2" t="s">
        <v>10758</v>
      </c>
      <c r="J5125" s="3" t="str">
        <f>HYPERLINK("https://www.boe.es/gazeta/dias/1813/06/26/pdfs/GRE-1813-79.pdf#page=2","Abrir facsímil")</f>
        <v>Abrir facsímil</v>
      </c>
      <c r="K5125" s="3" t="s">
        <v>22</v>
      </c>
    </row>
    <row r="5126" spans="1:11" ht="42" customHeight="1">
      <c r="A5126" s="2" t="s">
        <v>10759</v>
      </c>
      <c r="B5126" s="2" t="s">
        <v>10759</v>
      </c>
      <c r="C5126" s="2" t="s">
        <v>16</v>
      </c>
      <c r="D5126" s="2" t="s">
        <v>17</v>
      </c>
      <c r="E5126" s="5">
        <v>-31578</v>
      </c>
      <c r="F5126" s="3" t="s">
        <v>974</v>
      </c>
      <c r="G5126" s="3" t="s">
        <v>2367</v>
      </c>
      <c r="H5126" s="2" t="s">
        <v>20</v>
      </c>
      <c r="I5126" s="2" t="s">
        <v>10760</v>
      </c>
      <c r="J5126" s="3" t="str">
        <f>HYPERLINK("https://www.boe.es/gazeta/dias/1813/07/16/pdfs/GMR-1813-18.pdf#page=6","Abrir facsímil")</f>
        <v>Abrir facsímil</v>
      </c>
      <c r="K5126" s="3" t="s">
        <v>22</v>
      </c>
    </row>
    <row r="5127" spans="1:11" ht="42" customHeight="1">
      <c r="A5127" s="2" t="s">
        <v>10761</v>
      </c>
      <c r="B5127" s="2" t="s">
        <v>10761</v>
      </c>
      <c r="C5127" s="2" t="s">
        <v>16</v>
      </c>
      <c r="D5127" s="2" t="s">
        <v>17</v>
      </c>
      <c r="E5127" s="5">
        <v>-31598</v>
      </c>
      <c r="F5127" s="3" t="s">
        <v>286</v>
      </c>
      <c r="G5127" s="3" t="s">
        <v>28</v>
      </c>
      <c r="H5127" s="2" t="s">
        <v>20</v>
      </c>
      <c r="I5127" s="2" t="s">
        <v>10762</v>
      </c>
      <c r="J5127" s="3" t="str">
        <f>HYPERLINK("https://www.boe.es/gazeta/dias/1813/06/26/pdfs/GRE-1813-79.pdf#page=8","Abrir facsímil")</f>
        <v>Abrir facsímil</v>
      </c>
      <c r="K5127" s="3" t="s">
        <v>22</v>
      </c>
    </row>
    <row r="5128" spans="1:11" ht="42" customHeight="1">
      <c r="A5128" s="2" t="s">
        <v>10763</v>
      </c>
      <c r="B5128" s="2" t="s">
        <v>10763</v>
      </c>
      <c r="C5128" s="2" t="s">
        <v>16</v>
      </c>
      <c r="D5128" s="2" t="s">
        <v>17</v>
      </c>
      <c r="E5128" s="5">
        <v>-31752</v>
      </c>
      <c r="F5128" s="3" t="s">
        <v>182</v>
      </c>
      <c r="G5128" s="3" t="s">
        <v>58</v>
      </c>
      <c r="H5128" s="2" t="s">
        <v>20</v>
      </c>
      <c r="I5128" s="2" t="s">
        <v>10764</v>
      </c>
      <c r="J5128" s="3" t="str">
        <f>HYPERLINK("https://www.boe.es/gazeta/dias/1813/01/23/pdfs/GRE-1813-10.pdf#page=2","Abrir facsímil")</f>
        <v>Abrir facsímil</v>
      </c>
      <c r="K5128" s="3" t="s">
        <v>22</v>
      </c>
    </row>
    <row r="5129" spans="1:11" ht="42" customHeight="1">
      <c r="A5129" s="2" t="s">
        <v>10763</v>
      </c>
      <c r="B5129" s="2" t="s">
        <v>10763</v>
      </c>
      <c r="C5129" s="2" t="s">
        <v>16</v>
      </c>
      <c r="D5129" s="2" t="s">
        <v>17</v>
      </c>
      <c r="E5129" s="5">
        <v>-31598</v>
      </c>
      <c r="F5129" s="3" t="s">
        <v>286</v>
      </c>
      <c r="G5129" s="3" t="s">
        <v>54</v>
      </c>
      <c r="H5129" s="2" t="s">
        <v>20</v>
      </c>
      <c r="I5129" s="2" t="s">
        <v>10765</v>
      </c>
      <c r="J5129" s="3" t="str">
        <f>HYPERLINK("https://www.boe.es/gazeta/dias/1813/06/26/pdfs/GRE-1813-79.pdf#page=3","Abrir facsímil")</f>
        <v>Abrir facsímil</v>
      </c>
      <c r="K5129" s="3" t="s">
        <v>22</v>
      </c>
    </row>
    <row r="5130" spans="1:11" ht="42" customHeight="1">
      <c r="A5130" s="2" t="s">
        <v>10766</v>
      </c>
      <c r="B5130" s="2" t="s">
        <v>10766</v>
      </c>
      <c r="C5130" s="2" t="s">
        <v>16</v>
      </c>
      <c r="D5130" s="2" t="s">
        <v>17</v>
      </c>
      <c r="E5130" s="5">
        <v>-31766</v>
      </c>
      <c r="F5130" s="3" t="s">
        <v>1356</v>
      </c>
      <c r="G5130" s="3" t="s">
        <v>4703</v>
      </c>
      <c r="H5130" s="2" t="s">
        <v>20</v>
      </c>
      <c r="I5130" s="2" t="s">
        <v>10767</v>
      </c>
      <c r="J5130" s="3" t="str">
        <f>HYPERLINK("https://www.boe.es/gazeta/dias/1813/01/09/pdfs/GRE-1813-4.pdf#page=5","Abrir facsímil")</f>
        <v>Abrir facsímil</v>
      </c>
      <c r="K5130" s="3" t="s">
        <v>22</v>
      </c>
    </row>
    <row r="5131" spans="1:11" ht="42" customHeight="1">
      <c r="A5131" s="2" t="s">
        <v>10768</v>
      </c>
      <c r="B5131" s="2" t="s">
        <v>10768</v>
      </c>
      <c r="C5131" s="2" t="s">
        <v>16</v>
      </c>
      <c r="D5131" s="2" t="s">
        <v>17</v>
      </c>
      <c r="E5131" s="5">
        <v>-31763</v>
      </c>
      <c r="F5131" s="3" t="s">
        <v>668</v>
      </c>
      <c r="G5131" s="3" t="s">
        <v>669</v>
      </c>
      <c r="H5131" s="2" t="s">
        <v>20</v>
      </c>
      <c r="I5131" s="2" t="s">
        <v>10769</v>
      </c>
      <c r="J5131" s="3" t="str">
        <f>HYPERLINK("https://www.boe.es/gazeta/dias/1813/01/12/pdfs/GRE-1813-5.pdf#page=6","Abrir facsímil")</f>
        <v>Abrir facsímil</v>
      </c>
      <c r="K5131" s="3" t="s">
        <v>22</v>
      </c>
    </row>
    <row r="5132" spans="1:11" ht="42" customHeight="1">
      <c r="A5132" s="2" t="s">
        <v>10770</v>
      </c>
      <c r="B5132" s="2" t="s">
        <v>10770</v>
      </c>
      <c r="C5132" s="2" t="s">
        <v>16</v>
      </c>
      <c r="D5132" s="2" t="s">
        <v>17</v>
      </c>
      <c r="E5132" s="5">
        <v>-31763</v>
      </c>
      <c r="F5132" s="3" t="s">
        <v>668</v>
      </c>
      <c r="G5132" s="3" t="s">
        <v>82</v>
      </c>
      <c r="H5132" s="2" t="s">
        <v>20</v>
      </c>
      <c r="I5132" s="2" t="s">
        <v>10771</v>
      </c>
      <c r="J5132" s="3" t="str">
        <f>HYPERLINK("https://www.boe.es/gazeta/dias/1813/01/12/pdfs/GRE-1813-5.pdf#page=5","Abrir facsímil")</f>
        <v>Abrir facsímil</v>
      </c>
      <c r="K5132" s="3" t="s">
        <v>22</v>
      </c>
    </row>
    <row r="5133" spans="1:11" ht="42" customHeight="1">
      <c r="A5133" s="2" t="s">
        <v>10768</v>
      </c>
      <c r="B5133" s="2" t="s">
        <v>10768</v>
      </c>
      <c r="C5133" s="2" t="s">
        <v>16</v>
      </c>
      <c r="D5133" s="2" t="s">
        <v>17</v>
      </c>
      <c r="E5133" s="5">
        <v>-31752</v>
      </c>
      <c r="F5133" s="3" t="s">
        <v>182</v>
      </c>
      <c r="G5133" s="3" t="s">
        <v>54</v>
      </c>
      <c r="H5133" s="2" t="s">
        <v>20</v>
      </c>
      <c r="I5133" s="2" t="s">
        <v>10772</v>
      </c>
      <c r="J5133" s="3" t="str">
        <f>HYPERLINK("https://www.boe.es/gazeta/dias/1813/01/23/pdfs/GRE-1813-10.pdf#page=3","Abrir facsímil")</f>
        <v>Abrir facsímil</v>
      </c>
      <c r="K5133" s="3" t="s">
        <v>22</v>
      </c>
    </row>
    <row r="5134" spans="1:11" ht="42" customHeight="1">
      <c r="A5134" s="2" t="s">
        <v>10773</v>
      </c>
      <c r="B5134" s="2" t="s">
        <v>10773</v>
      </c>
      <c r="C5134" s="2" t="s">
        <v>16</v>
      </c>
      <c r="D5134" s="2" t="s">
        <v>17</v>
      </c>
      <c r="E5134" s="5">
        <v>-31766</v>
      </c>
      <c r="F5134" s="3" t="s">
        <v>1356</v>
      </c>
      <c r="G5134" s="3" t="s">
        <v>4703</v>
      </c>
      <c r="H5134" s="2" t="s">
        <v>20</v>
      </c>
      <c r="I5134" s="2" t="s">
        <v>10774</v>
      </c>
      <c r="J5134" s="3" t="str">
        <f>HYPERLINK("https://www.boe.es/gazeta/dias/1813/01/09/pdfs/GRE-1813-4.pdf#page=5","Abrir facsímil")</f>
        <v>Abrir facsímil</v>
      </c>
      <c r="K5134" s="3" t="s">
        <v>22</v>
      </c>
    </row>
    <row r="5135" spans="1:11" ht="42" customHeight="1">
      <c r="A5135" s="2" t="s">
        <v>10773</v>
      </c>
      <c r="B5135" s="2" t="s">
        <v>10773</v>
      </c>
      <c r="C5135" s="2" t="s">
        <v>16</v>
      </c>
      <c r="D5135" s="2" t="s">
        <v>17</v>
      </c>
      <c r="E5135" s="5">
        <v>-31598</v>
      </c>
      <c r="F5135" s="3" t="s">
        <v>286</v>
      </c>
      <c r="G5135" s="3" t="s">
        <v>19</v>
      </c>
      <c r="H5135" s="2" t="s">
        <v>20</v>
      </c>
      <c r="I5135" s="2" t="s">
        <v>10775</v>
      </c>
      <c r="J5135" s="3" t="str">
        <f>HYPERLINK("https://www.boe.es/gazeta/dias/1813/06/26/pdfs/GRE-1813-79.pdf#page=4","Abrir facsímil")</f>
        <v>Abrir facsímil</v>
      </c>
      <c r="K5135" s="3" t="s">
        <v>22</v>
      </c>
    </row>
    <row r="5136" spans="1:11" ht="42" customHeight="1">
      <c r="A5136" s="2" t="s">
        <v>10773</v>
      </c>
      <c r="B5136" s="2" t="s">
        <v>10773</v>
      </c>
      <c r="C5136" s="2" t="s">
        <v>16</v>
      </c>
      <c r="D5136" s="2" t="s">
        <v>17</v>
      </c>
      <c r="E5136" s="5">
        <v>-31585</v>
      </c>
      <c r="F5136" s="3" t="s">
        <v>177</v>
      </c>
      <c r="G5136" s="3" t="s">
        <v>54</v>
      </c>
      <c r="H5136" s="2" t="s">
        <v>20</v>
      </c>
      <c r="I5136" s="2" t="s">
        <v>10776</v>
      </c>
      <c r="J5136" s="3" t="str">
        <f>HYPERLINK("https://www.boe.es/gazeta/dias/1813/07/09/pdfs/GMR-1813-16.pdf#page=3","Abrir facsímil")</f>
        <v>Abrir facsímil</v>
      </c>
      <c r="K5136" s="3" t="s">
        <v>22</v>
      </c>
    </row>
    <row r="5137" spans="1:11" ht="42" customHeight="1">
      <c r="A5137" s="2" t="s">
        <v>10773</v>
      </c>
      <c r="B5137" s="2" t="s">
        <v>10773</v>
      </c>
      <c r="C5137" s="2" t="s">
        <v>16</v>
      </c>
      <c r="D5137" s="2" t="s">
        <v>17</v>
      </c>
      <c r="E5137" s="5">
        <v>-31585</v>
      </c>
      <c r="F5137" s="3" t="s">
        <v>177</v>
      </c>
      <c r="G5137" s="3" t="s">
        <v>19</v>
      </c>
      <c r="H5137" s="2" t="s">
        <v>20</v>
      </c>
      <c r="I5137" s="2" t="s">
        <v>10777</v>
      </c>
      <c r="J5137" s="3" t="str">
        <f>HYPERLINK("https://www.boe.es/gazeta/dias/1813/07/09/pdfs/GMR-1813-16.pdf#page=4","Abrir facsímil")</f>
        <v>Abrir facsímil</v>
      </c>
      <c r="K5137" s="3" t="s">
        <v>22</v>
      </c>
    </row>
    <row r="5138" spans="1:11" ht="42" customHeight="1">
      <c r="A5138" s="2" t="s">
        <v>10773</v>
      </c>
      <c r="B5138" s="2" t="s">
        <v>10773</v>
      </c>
      <c r="C5138" s="2" t="s">
        <v>16</v>
      </c>
      <c r="D5138" s="2" t="s">
        <v>17</v>
      </c>
      <c r="E5138" s="5">
        <v>-31581</v>
      </c>
      <c r="F5138" s="3" t="s">
        <v>1321</v>
      </c>
      <c r="G5138" s="3" t="s">
        <v>58</v>
      </c>
      <c r="H5138" s="2" t="s">
        <v>20</v>
      </c>
      <c r="I5138" s="2" t="s">
        <v>10778</v>
      </c>
      <c r="J5138" s="3" t="str">
        <f>HYPERLINK("https://www.boe.es/gazeta/dias/1813/07/13/pdfs/GMR-1813-17.pdf#page=2","Abrir facsímil")</f>
        <v>Abrir facsímil</v>
      </c>
      <c r="K5138" s="3" t="s">
        <v>22</v>
      </c>
    </row>
    <row r="5139" spans="1:11" ht="42" customHeight="1">
      <c r="A5139" s="2" t="s">
        <v>10773</v>
      </c>
      <c r="B5139" s="2" t="s">
        <v>10773</v>
      </c>
      <c r="C5139" s="2" t="s">
        <v>16</v>
      </c>
      <c r="D5139" s="2" t="s">
        <v>17</v>
      </c>
      <c r="E5139" s="5">
        <v>-31578</v>
      </c>
      <c r="F5139" s="3" t="s">
        <v>974</v>
      </c>
      <c r="G5139" s="3" t="s">
        <v>82</v>
      </c>
      <c r="H5139" s="2" t="s">
        <v>20</v>
      </c>
      <c r="I5139" s="2" t="s">
        <v>10779</v>
      </c>
      <c r="J5139" s="3" t="str">
        <f>HYPERLINK("https://www.boe.es/gazeta/dias/1813/07/16/pdfs/GMR-1813-18.pdf#page=5","Abrir facsímil")</f>
        <v>Abrir facsímil</v>
      </c>
      <c r="K5139" s="3" t="s">
        <v>22</v>
      </c>
    </row>
    <row r="5140" spans="1:11" ht="42" customHeight="1">
      <c r="A5140" s="2" t="s">
        <v>10780</v>
      </c>
      <c r="B5140" s="2" t="s">
        <v>10780</v>
      </c>
      <c r="C5140" s="2" t="s">
        <v>16</v>
      </c>
      <c r="D5140" s="2" t="s">
        <v>17</v>
      </c>
      <c r="E5140" s="5">
        <v>-31430</v>
      </c>
      <c r="F5140" s="3" t="s">
        <v>1161</v>
      </c>
      <c r="G5140" s="3" t="s">
        <v>19</v>
      </c>
      <c r="H5140" s="2" t="s">
        <v>20</v>
      </c>
      <c r="I5140" s="2" t="s">
        <v>10781</v>
      </c>
      <c r="J5140" s="3" t="str">
        <f>HYPERLINK("https://www.boe.es/gazeta/dias/1813/12/11/pdfs/GMR-1813-86.pdf#page=4","Abrir facsímil")</f>
        <v>Abrir facsímil</v>
      </c>
      <c r="K5140" s="3" t="s">
        <v>22</v>
      </c>
    </row>
    <row r="5141" spans="1:11" ht="42" customHeight="1">
      <c r="A5141" s="2" t="s">
        <v>10782</v>
      </c>
      <c r="B5141" s="2" t="s">
        <v>10783</v>
      </c>
      <c r="C5141" s="2" t="s">
        <v>16</v>
      </c>
      <c r="D5141" s="2" t="s">
        <v>17</v>
      </c>
      <c r="E5141" s="5">
        <v>-31756</v>
      </c>
      <c r="F5141" s="3" t="s">
        <v>951</v>
      </c>
      <c r="G5141" s="3" t="s">
        <v>952</v>
      </c>
      <c r="H5141" s="2" t="s">
        <v>20</v>
      </c>
      <c r="I5141" s="2" t="s">
        <v>10784</v>
      </c>
      <c r="J5141" s="3" t="str">
        <f>HYPERLINK("https://www.boe.es/gazeta/dias/1813/01/19/pdfs/GRE-1813-8.pdf#page=5","Abrir facsímil")</f>
        <v>Abrir facsímil</v>
      </c>
      <c r="K5141" s="3" t="s">
        <v>22</v>
      </c>
    </row>
    <row r="5142" spans="1:11" ht="42" customHeight="1">
      <c r="A5142" s="2" t="s">
        <v>10785</v>
      </c>
      <c r="B5142" s="2" t="s">
        <v>10786</v>
      </c>
      <c r="C5142" s="2" t="s">
        <v>16</v>
      </c>
      <c r="D5142" s="2" t="s">
        <v>17</v>
      </c>
      <c r="E5142" s="5">
        <v>-31756</v>
      </c>
      <c r="F5142" s="3" t="s">
        <v>951</v>
      </c>
      <c r="G5142" s="3" t="s">
        <v>5886</v>
      </c>
      <c r="H5142" s="2" t="s">
        <v>20</v>
      </c>
      <c r="I5142" s="2" t="s">
        <v>10787</v>
      </c>
      <c r="J5142" s="3" t="str">
        <f>HYPERLINK("https://www.boe.es/gazeta/dias/1813/01/19/pdfs/GRE-1813-8.pdf#page=6","Abrir facsímil")</f>
        <v>Abrir facsímil</v>
      </c>
      <c r="K5142" s="3" t="s">
        <v>22</v>
      </c>
    </row>
    <row r="5143" spans="1:11" ht="42" customHeight="1">
      <c r="A5143" s="2" t="s">
        <v>10788</v>
      </c>
      <c r="B5143" s="2" t="s">
        <v>10788</v>
      </c>
      <c r="C5143" s="2" t="s">
        <v>16</v>
      </c>
      <c r="D5143" s="2" t="s">
        <v>17</v>
      </c>
      <c r="E5143" s="5">
        <v>-31731</v>
      </c>
      <c r="F5143" s="3" t="s">
        <v>866</v>
      </c>
      <c r="G5143" s="3" t="s">
        <v>8695</v>
      </c>
      <c r="H5143" s="2" t="s">
        <v>20</v>
      </c>
      <c r="I5143" s="2" t="s">
        <v>10789</v>
      </c>
      <c r="J5143" s="3" t="str">
        <f>HYPERLINK("https://www.boe.es/gazeta/dias/1813/02/13/pdfs/GRE-1813-19.pdf#page=2","Abrir facsímil")</f>
        <v>Abrir facsímil</v>
      </c>
      <c r="K5143" s="3" t="s">
        <v>22</v>
      </c>
    </row>
    <row r="5144" spans="1:11" ht="42" customHeight="1">
      <c r="A5144" s="2" t="s">
        <v>10790</v>
      </c>
      <c r="B5144" s="2" t="s">
        <v>10790</v>
      </c>
      <c r="C5144" s="2" t="s">
        <v>16</v>
      </c>
      <c r="D5144" s="2" t="s">
        <v>17</v>
      </c>
      <c r="E5144" s="5">
        <v>-31606</v>
      </c>
      <c r="F5144" s="3" t="s">
        <v>124</v>
      </c>
      <c r="G5144" s="3" t="s">
        <v>82</v>
      </c>
      <c r="H5144" s="2" t="s">
        <v>20</v>
      </c>
      <c r="I5144" s="2" t="s">
        <v>10791</v>
      </c>
      <c r="J5144" s="3" t="str">
        <f>HYPERLINK("https://www.boe.es/gazeta/dias/1813/06/18/pdfs/GMR-1813-7.pdf#page=5","Abrir facsímil")</f>
        <v>Abrir facsímil</v>
      </c>
      <c r="K5144" s="3" t="s">
        <v>22</v>
      </c>
    </row>
    <row r="5145" spans="1:11" ht="42" customHeight="1">
      <c r="A5145" s="2" t="s">
        <v>10792</v>
      </c>
      <c r="B5145" s="2" t="s">
        <v>10792</v>
      </c>
      <c r="C5145" s="2" t="s">
        <v>16</v>
      </c>
      <c r="D5145" s="2" t="s">
        <v>17</v>
      </c>
      <c r="E5145" s="5">
        <v>-31599</v>
      </c>
      <c r="F5145" s="3" t="s">
        <v>2470</v>
      </c>
      <c r="G5145" s="3" t="s">
        <v>58</v>
      </c>
      <c r="H5145" s="2" t="s">
        <v>20</v>
      </c>
      <c r="I5145" s="2" t="s">
        <v>10793</v>
      </c>
      <c r="J5145" s="3" t="str">
        <f>HYPERLINK("https://www.boe.es/gazeta/dias/1813/06/25/pdfs/GMR-1813-11.pdf#page=2","Abrir facsímil")</f>
        <v>Abrir facsímil</v>
      </c>
      <c r="K5145" s="3" t="s">
        <v>22</v>
      </c>
    </row>
    <row r="5146" spans="1:11" ht="42" customHeight="1">
      <c r="A5146" s="2" t="s">
        <v>10794</v>
      </c>
      <c r="B5146" s="2" t="s">
        <v>10794</v>
      </c>
      <c r="C5146" s="2" t="s">
        <v>16</v>
      </c>
      <c r="D5146" s="2" t="s">
        <v>17</v>
      </c>
      <c r="E5146" s="5">
        <v>-31595</v>
      </c>
      <c r="F5146" s="3" t="s">
        <v>1319</v>
      </c>
      <c r="G5146" s="3" t="s">
        <v>82</v>
      </c>
      <c r="H5146" s="2" t="s">
        <v>20</v>
      </c>
      <c r="I5146" s="2" t="s">
        <v>10795</v>
      </c>
      <c r="J5146" s="3" t="str">
        <f>HYPERLINK("https://www.boe.es/gazeta/dias/1813/06/29/pdfs/GRE-1813-80.pdf#page=5","Abrir facsímil")</f>
        <v>Abrir facsímil</v>
      </c>
      <c r="K5146" s="3" t="s">
        <v>22</v>
      </c>
    </row>
    <row r="5147" spans="1:11" ht="42" customHeight="1">
      <c r="A5147" s="2" t="s">
        <v>10796</v>
      </c>
      <c r="B5147" s="2" t="s">
        <v>10796</v>
      </c>
      <c r="C5147" s="2" t="s">
        <v>16</v>
      </c>
      <c r="D5147" s="2" t="s">
        <v>17</v>
      </c>
      <c r="E5147" s="5">
        <v>-31711</v>
      </c>
      <c r="F5147" s="3" t="s">
        <v>385</v>
      </c>
      <c r="G5147" s="3" t="s">
        <v>28</v>
      </c>
      <c r="H5147" s="2" t="s">
        <v>20</v>
      </c>
      <c r="I5147" s="2" t="s">
        <v>10797</v>
      </c>
      <c r="J5147" s="3" t="str">
        <f>HYPERLINK("https://www.boe.es/gazeta/dias/1813/03/05/pdfs/GRE-1813-99.pdf#page=8","Abrir facsímil")</f>
        <v>Abrir facsímil</v>
      </c>
      <c r="K5147" s="3" t="s">
        <v>22</v>
      </c>
    </row>
    <row r="5148" spans="1:11" ht="42" customHeight="1">
      <c r="A5148" s="2" t="s">
        <v>10796</v>
      </c>
      <c r="B5148" s="2" t="s">
        <v>10796</v>
      </c>
      <c r="C5148" s="2" t="s">
        <v>16</v>
      </c>
      <c r="D5148" s="2" t="s">
        <v>17</v>
      </c>
      <c r="E5148" s="5">
        <v>-31558</v>
      </c>
      <c r="F5148" s="3" t="s">
        <v>385</v>
      </c>
      <c r="G5148" s="3" t="s">
        <v>28</v>
      </c>
      <c r="H5148" s="2" t="s">
        <v>20</v>
      </c>
      <c r="I5148" s="2" t="s">
        <v>10797</v>
      </c>
      <c r="J5148" s="3" t="str">
        <f>HYPERLINK("https://www.boe.es/gazeta/dias/1813/08/05/pdfs/GRE-1813-99.pdf#page=8","Abrir facsímil")</f>
        <v>Abrir facsímil</v>
      </c>
      <c r="K5148" s="3" t="s">
        <v>22</v>
      </c>
    </row>
    <row r="5149" spans="1:11" ht="42" customHeight="1">
      <c r="A5149" s="2" t="s">
        <v>10798</v>
      </c>
      <c r="B5149" s="2" t="s">
        <v>10798</v>
      </c>
      <c r="C5149" s="2" t="s">
        <v>16</v>
      </c>
      <c r="D5149" s="2" t="s">
        <v>17</v>
      </c>
      <c r="E5149" s="5">
        <v>-31711</v>
      </c>
      <c r="F5149" s="3" t="s">
        <v>385</v>
      </c>
      <c r="G5149" s="3" t="s">
        <v>28</v>
      </c>
      <c r="H5149" s="2" t="s">
        <v>20</v>
      </c>
      <c r="I5149" s="2" t="s">
        <v>10799</v>
      </c>
      <c r="J5149" s="3" t="str">
        <f>HYPERLINK("https://www.boe.es/gazeta/dias/1813/03/05/pdfs/GRE-1813-99.pdf#page=8","Abrir facsímil")</f>
        <v>Abrir facsímil</v>
      </c>
      <c r="K5149" s="3" t="s">
        <v>22</v>
      </c>
    </row>
    <row r="5150" spans="1:11" ht="42" customHeight="1">
      <c r="A5150" s="2" t="s">
        <v>10798</v>
      </c>
      <c r="B5150" s="2" t="s">
        <v>10798</v>
      </c>
      <c r="C5150" s="2" t="s">
        <v>16</v>
      </c>
      <c r="D5150" s="2" t="s">
        <v>17</v>
      </c>
      <c r="E5150" s="5">
        <v>-31703</v>
      </c>
      <c r="F5150" s="3" t="s">
        <v>4331</v>
      </c>
      <c r="G5150" s="3" t="s">
        <v>4332</v>
      </c>
      <c r="H5150" s="2" t="s">
        <v>20</v>
      </c>
      <c r="I5150" s="2" t="s">
        <v>10800</v>
      </c>
      <c r="J5150" s="3" t="str">
        <f>HYPERLINK("https://www.boe.es/gazeta/dias/1813/03/13/pdfs/GRE-1813-32.pdf#page=5","Abrir facsímil")</f>
        <v>Abrir facsímil</v>
      </c>
      <c r="K5150" s="3" t="s">
        <v>22</v>
      </c>
    </row>
    <row r="5151" spans="1:11" ht="42" customHeight="1">
      <c r="A5151" s="2" t="s">
        <v>10798</v>
      </c>
      <c r="B5151" s="2" t="s">
        <v>10798</v>
      </c>
      <c r="C5151" s="2" t="s">
        <v>16</v>
      </c>
      <c r="D5151" s="2" t="s">
        <v>17</v>
      </c>
      <c r="E5151" s="5">
        <v>-31693</v>
      </c>
      <c r="F5151" s="3" t="s">
        <v>3950</v>
      </c>
      <c r="G5151" s="3" t="s">
        <v>6507</v>
      </c>
      <c r="H5151" s="2" t="s">
        <v>20</v>
      </c>
      <c r="I5151" s="2" t="s">
        <v>10801</v>
      </c>
      <c r="J5151" s="3" t="str">
        <f>HYPERLINK("https://www.boe.es/gazeta/dias/1813/03/23/pdfs/GRE-1813-36.pdf#page=5","Abrir facsímil")</f>
        <v>Abrir facsímil</v>
      </c>
      <c r="K5151" s="3" t="s">
        <v>22</v>
      </c>
    </row>
    <row r="5152" spans="1:11" ht="42" customHeight="1">
      <c r="A5152" s="2" t="s">
        <v>10798</v>
      </c>
      <c r="B5152" s="2" t="s">
        <v>10798</v>
      </c>
      <c r="C5152" s="2" t="s">
        <v>16</v>
      </c>
      <c r="D5152" s="2" t="s">
        <v>17</v>
      </c>
      <c r="E5152" s="5">
        <v>-31626</v>
      </c>
      <c r="F5152" s="3" t="s">
        <v>64</v>
      </c>
      <c r="G5152" s="3" t="s">
        <v>95</v>
      </c>
      <c r="H5152" s="2" t="s">
        <v>20</v>
      </c>
      <c r="I5152" s="2" t="s">
        <v>10802</v>
      </c>
      <c r="J5152" s="3" t="str">
        <f>HYPERLINK("https://www.boe.es/gazeta/dias/1813/05/29/pdfs/GRE-1813-66.pdf#page=6","Abrir facsímil")</f>
        <v>Abrir facsímil</v>
      </c>
      <c r="K5152" s="3" t="s">
        <v>22</v>
      </c>
    </row>
    <row r="5153" spans="1:11" ht="42" customHeight="1">
      <c r="A5153" s="2" t="s">
        <v>10798</v>
      </c>
      <c r="B5153" s="2" t="s">
        <v>10798</v>
      </c>
      <c r="C5153" s="2" t="s">
        <v>16</v>
      </c>
      <c r="D5153" s="2" t="s">
        <v>17</v>
      </c>
      <c r="E5153" s="5">
        <v>-31582</v>
      </c>
      <c r="F5153" s="3" t="s">
        <v>907</v>
      </c>
      <c r="G5153" s="3" t="s">
        <v>65</v>
      </c>
      <c r="H5153" s="2" t="s">
        <v>20</v>
      </c>
      <c r="I5153" s="2" t="s">
        <v>10803</v>
      </c>
      <c r="J5153" s="3" t="str">
        <f>HYPERLINK("https://www.boe.es/gazeta/dias/1813/07/12/pdfs/GRE-1813-87.pdf#page=1","Abrir facsímil")</f>
        <v>Abrir facsímil</v>
      </c>
      <c r="K5153" s="3" t="s">
        <v>22</v>
      </c>
    </row>
    <row r="5154" spans="1:11" ht="42" customHeight="1">
      <c r="A5154" s="2" t="s">
        <v>10798</v>
      </c>
      <c r="B5154" s="2" t="s">
        <v>10798</v>
      </c>
      <c r="C5154" s="2" t="s">
        <v>16</v>
      </c>
      <c r="D5154" s="2" t="s">
        <v>17</v>
      </c>
      <c r="E5154" s="5">
        <v>-31574</v>
      </c>
      <c r="F5154" s="3" t="s">
        <v>1343</v>
      </c>
      <c r="G5154" s="3" t="s">
        <v>19</v>
      </c>
      <c r="H5154" s="2" t="s">
        <v>20</v>
      </c>
      <c r="I5154" s="2" t="s">
        <v>10804</v>
      </c>
      <c r="J5154" s="3" t="str">
        <f>HYPERLINK("https://www.boe.es/gazeta/dias/1813/07/20/pdfs/GMR-1813-19.pdf#page=4","Abrir facsímil")</f>
        <v>Abrir facsímil</v>
      </c>
      <c r="K5154" s="3" t="s">
        <v>22</v>
      </c>
    </row>
    <row r="5155" spans="1:11" ht="42" customHeight="1">
      <c r="A5155" s="2" t="s">
        <v>10798</v>
      </c>
      <c r="B5155" s="2" t="s">
        <v>10798</v>
      </c>
      <c r="C5155" s="2" t="s">
        <v>16</v>
      </c>
      <c r="D5155" s="2" t="s">
        <v>17</v>
      </c>
      <c r="E5155" s="5">
        <v>-31574</v>
      </c>
      <c r="F5155" s="3" t="s">
        <v>1343</v>
      </c>
      <c r="G5155" s="3" t="s">
        <v>82</v>
      </c>
      <c r="H5155" s="2" t="s">
        <v>20</v>
      </c>
      <c r="I5155" s="2" t="s">
        <v>10805</v>
      </c>
      <c r="J5155" s="3" t="str">
        <f>HYPERLINK("https://www.boe.es/gazeta/dias/1813/07/20/pdfs/GMR-1813-19.pdf#page=5","Abrir facsímil")</f>
        <v>Abrir facsímil</v>
      </c>
      <c r="K5155" s="3" t="s">
        <v>22</v>
      </c>
    </row>
    <row r="5156" spans="1:11" ht="42" customHeight="1">
      <c r="A5156" s="2" t="s">
        <v>10798</v>
      </c>
      <c r="B5156" s="2" t="s">
        <v>10798</v>
      </c>
      <c r="C5156" s="2" t="s">
        <v>16</v>
      </c>
      <c r="D5156" s="2" t="s">
        <v>17</v>
      </c>
      <c r="E5156" s="5">
        <v>-31574</v>
      </c>
      <c r="F5156" s="3" t="s">
        <v>1343</v>
      </c>
      <c r="G5156" s="3" t="s">
        <v>313</v>
      </c>
      <c r="H5156" s="2" t="s">
        <v>20</v>
      </c>
      <c r="I5156" s="2" t="s">
        <v>10806</v>
      </c>
      <c r="J5156" s="3" t="str">
        <f>HYPERLINK("https://www.boe.es/gazeta/dias/1813/07/20/pdfs/GMR-1813-19.pdf#page=9","Abrir facsímil")</f>
        <v>Abrir facsímil</v>
      </c>
      <c r="K5156" s="3" t="s">
        <v>22</v>
      </c>
    </row>
    <row r="5157" spans="1:11" ht="42" customHeight="1">
      <c r="A5157" s="2" t="s">
        <v>10798</v>
      </c>
      <c r="B5157" s="2" t="s">
        <v>10798</v>
      </c>
      <c r="C5157" s="2" t="s">
        <v>16</v>
      </c>
      <c r="D5157" s="2" t="s">
        <v>17</v>
      </c>
      <c r="E5157" s="5">
        <v>-31570</v>
      </c>
      <c r="F5157" s="3" t="s">
        <v>1803</v>
      </c>
      <c r="G5157" s="3" t="s">
        <v>28</v>
      </c>
      <c r="H5157" s="2" t="s">
        <v>20</v>
      </c>
      <c r="I5157" s="2" t="s">
        <v>10807</v>
      </c>
      <c r="J5157" s="3" t="str">
        <f>HYPERLINK("https://www.boe.es/gazeta/dias/1813/07/24/pdfs/GRE-1813-94.pdf#page=8","Abrir facsímil")</f>
        <v>Abrir facsímil</v>
      </c>
      <c r="K5157" s="3" t="s">
        <v>22</v>
      </c>
    </row>
    <row r="5158" spans="1:11" ht="42" customHeight="1">
      <c r="A5158" s="2" t="s">
        <v>10798</v>
      </c>
      <c r="B5158" s="2" t="s">
        <v>10798</v>
      </c>
      <c r="C5158" s="2" t="s">
        <v>16</v>
      </c>
      <c r="D5158" s="2" t="s">
        <v>17</v>
      </c>
      <c r="E5158" s="5">
        <v>-31567</v>
      </c>
      <c r="F5158" s="3" t="s">
        <v>820</v>
      </c>
      <c r="G5158" s="3" t="s">
        <v>7681</v>
      </c>
      <c r="H5158" s="2" t="s">
        <v>20</v>
      </c>
      <c r="I5158" s="2" t="s">
        <v>10808</v>
      </c>
      <c r="J5158" s="3" t="str">
        <f>HYPERLINK("https://www.boe.es/gazeta/dias/1813/07/27/pdfs/GMR-1813-21.pdf#page=11","Abrir facsímil")</f>
        <v>Abrir facsímil</v>
      </c>
      <c r="K5158" s="3" t="s">
        <v>22</v>
      </c>
    </row>
    <row r="5159" spans="1:11" ht="42" customHeight="1">
      <c r="A5159" s="2" t="s">
        <v>10798</v>
      </c>
      <c r="B5159" s="2" t="s">
        <v>10798</v>
      </c>
      <c r="C5159" s="2" t="s">
        <v>16</v>
      </c>
      <c r="D5159" s="2" t="s">
        <v>17</v>
      </c>
      <c r="E5159" s="5">
        <v>-31567</v>
      </c>
      <c r="F5159" s="3" t="s">
        <v>820</v>
      </c>
      <c r="G5159" s="3" t="s">
        <v>747</v>
      </c>
      <c r="H5159" s="2" t="s">
        <v>20</v>
      </c>
      <c r="I5159" s="2" t="s">
        <v>10809</v>
      </c>
      <c r="J5159" s="3" t="str">
        <f>HYPERLINK("https://www.boe.es/gazeta/dias/1813/07/27/pdfs/GMR-1813-21.pdf#page=10","Abrir facsímil")</f>
        <v>Abrir facsímil</v>
      </c>
      <c r="K5159" s="3" t="s">
        <v>22</v>
      </c>
    </row>
    <row r="5160" spans="1:11" ht="42" customHeight="1">
      <c r="A5160" s="2" t="s">
        <v>10798</v>
      </c>
      <c r="B5160" s="2" t="s">
        <v>10798</v>
      </c>
      <c r="C5160" s="2" t="s">
        <v>16</v>
      </c>
      <c r="D5160" s="2" t="s">
        <v>17</v>
      </c>
      <c r="E5160" s="5">
        <v>-31563</v>
      </c>
      <c r="F5160" s="3" t="s">
        <v>1267</v>
      </c>
      <c r="G5160" s="3" t="s">
        <v>87</v>
      </c>
      <c r="H5160" s="2" t="s">
        <v>20</v>
      </c>
      <c r="I5160" s="2" t="s">
        <v>10810</v>
      </c>
      <c r="J5160" s="3" t="str">
        <f>HYPERLINK("https://www.boe.es/gazeta/dias/1813/07/31/pdfs/GRE-1813-97.pdf#page=7","Abrir facsímil")</f>
        <v>Abrir facsímil</v>
      </c>
      <c r="K5160" s="3" t="s">
        <v>22</v>
      </c>
    </row>
    <row r="5161" spans="1:11" ht="42" customHeight="1">
      <c r="A5161" s="2" t="s">
        <v>10798</v>
      </c>
      <c r="B5161" s="2" t="s">
        <v>10798</v>
      </c>
      <c r="C5161" s="2" t="s">
        <v>16</v>
      </c>
      <c r="D5161" s="2" t="s">
        <v>17</v>
      </c>
      <c r="E5161" s="5">
        <v>-31560</v>
      </c>
      <c r="F5161" s="3" t="s">
        <v>1233</v>
      </c>
      <c r="G5161" s="3" t="s">
        <v>95</v>
      </c>
      <c r="H5161" s="2" t="s">
        <v>20</v>
      </c>
      <c r="I5161" s="2" t="s">
        <v>10811</v>
      </c>
      <c r="J5161" s="3" t="str">
        <f>HYPERLINK("https://www.boe.es/gazeta/dias/1813/08/03/pdfs/GMR-1813-23.pdf#page=6","Abrir facsímil")</f>
        <v>Abrir facsímil</v>
      </c>
      <c r="K5161" s="3" t="s">
        <v>22</v>
      </c>
    </row>
    <row r="5162" spans="1:11" ht="42" customHeight="1">
      <c r="A5162" s="2" t="s">
        <v>10798</v>
      </c>
      <c r="B5162" s="2" t="s">
        <v>10798</v>
      </c>
      <c r="C5162" s="2" t="s">
        <v>16</v>
      </c>
      <c r="D5162" s="2" t="s">
        <v>17</v>
      </c>
      <c r="E5162" s="5">
        <v>-31558</v>
      </c>
      <c r="F5162" s="3" t="s">
        <v>385</v>
      </c>
      <c r="G5162" s="3" t="s">
        <v>28</v>
      </c>
      <c r="H5162" s="2" t="s">
        <v>20</v>
      </c>
      <c r="I5162" s="2" t="s">
        <v>10799</v>
      </c>
      <c r="J5162" s="3" t="str">
        <f>HYPERLINK("https://www.boe.es/gazeta/dias/1813/08/05/pdfs/GRE-1813-99.pdf#page=8","Abrir facsímil")</f>
        <v>Abrir facsímil</v>
      </c>
      <c r="K5162" s="3" t="s">
        <v>22</v>
      </c>
    </row>
    <row r="5163" spans="1:11" ht="42" customHeight="1">
      <c r="A5163" s="2" t="s">
        <v>10798</v>
      </c>
      <c r="B5163" s="2" t="s">
        <v>10798</v>
      </c>
      <c r="C5163" s="2" t="s">
        <v>16</v>
      </c>
      <c r="D5163" s="2" t="s">
        <v>17</v>
      </c>
      <c r="E5163" s="5">
        <v>-31535</v>
      </c>
      <c r="F5163" s="3" t="s">
        <v>894</v>
      </c>
      <c r="G5163" s="3" t="s">
        <v>3375</v>
      </c>
      <c r="H5163" s="2" t="s">
        <v>20</v>
      </c>
      <c r="I5163" s="2" t="s">
        <v>10812</v>
      </c>
      <c r="J5163" s="3" t="str">
        <f>HYPERLINK("https://www.boe.es/gazeta/dias/1813/08/28/pdfs/GMR-1813-34.pdf#page=4","Abrir facsímil")</f>
        <v>Abrir facsímil</v>
      </c>
      <c r="K5163" s="3" t="s">
        <v>22</v>
      </c>
    </row>
    <row r="5164" spans="1:11" ht="42" customHeight="1">
      <c r="A5164" s="2" t="s">
        <v>10798</v>
      </c>
      <c r="B5164" s="2" t="s">
        <v>10798</v>
      </c>
      <c r="C5164" s="2" t="s">
        <v>16</v>
      </c>
      <c r="D5164" s="2" t="s">
        <v>17</v>
      </c>
      <c r="E5164" s="5">
        <v>-31521</v>
      </c>
      <c r="F5164" s="3" t="s">
        <v>1282</v>
      </c>
      <c r="G5164" s="3" t="s">
        <v>82</v>
      </c>
      <c r="H5164" s="2" t="s">
        <v>20</v>
      </c>
      <c r="I5164" s="2" t="s">
        <v>10813</v>
      </c>
      <c r="J5164" s="3" t="str">
        <f>HYPERLINK("https://www.boe.es/gazeta/dias/1813/09/11/pdfs/GMR-1813-41.pdf#page=5","Abrir facsímil")</f>
        <v>Abrir facsímil</v>
      </c>
      <c r="K5164" s="3" t="s">
        <v>22</v>
      </c>
    </row>
    <row r="5165" spans="1:11" ht="42" customHeight="1">
      <c r="A5165" s="2" t="s">
        <v>10798</v>
      </c>
      <c r="B5165" s="2" t="s">
        <v>10798</v>
      </c>
      <c r="C5165" s="2" t="s">
        <v>16</v>
      </c>
      <c r="D5165" s="2" t="s">
        <v>17</v>
      </c>
      <c r="E5165" s="5">
        <v>-31518</v>
      </c>
      <c r="F5165" s="3" t="s">
        <v>155</v>
      </c>
      <c r="G5165" s="3" t="s">
        <v>58</v>
      </c>
      <c r="H5165" s="2" t="s">
        <v>20</v>
      </c>
      <c r="I5165" s="2" t="s">
        <v>10814</v>
      </c>
      <c r="J5165" s="3" t="str">
        <f>HYPERLINK("https://www.boe.es/gazeta/dias/1813/09/14/pdfs/GRE-1813-119.pdf#page=2","Abrir facsímil")</f>
        <v>Abrir facsímil</v>
      </c>
      <c r="K5165" s="3" t="s">
        <v>22</v>
      </c>
    </row>
    <row r="5166" spans="1:11" ht="42" customHeight="1">
      <c r="A5166" s="2" t="s">
        <v>10798</v>
      </c>
      <c r="B5166" s="2" t="s">
        <v>10798</v>
      </c>
      <c r="C5166" s="2" t="s">
        <v>16</v>
      </c>
      <c r="D5166" s="2" t="s">
        <v>17</v>
      </c>
      <c r="E5166" s="5">
        <v>-31500</v>
      </c>
      <c r="F5166" s="3" t="s">
        <v>5349</v>
      </c>
      <c r="G5166" s="3" t="s">
        <v>54</v>
      </c>
      <c r="H5166" s="2" t="s">
        <v>20</v>
      </c>
      <c r="I5166" s="2" t="s">
        <v>10815</v>
      </c>
      <c r="J5166" s="3" t="str">
        <f>HYPERLINK("https://www.boe.es/gazeta/dias/1813/10/02/pdfs/GRE-1813-129.pdf#page=3","Abrir facsímil")</f>
        <v>Abrir facsímil</v>
      </c>
      <c r="K5166" s="3" t="s">
        <v>22</v>
      </c>
    </row>
    <row r="5167" spans="1:11" ht="42" customHeight="1">
      <c r="A5167" s="2" t="s">
        <v>10798</v>
      </c>
      <c r="B5167" s="2" t="s">
        <v>10798</v>
      </c>
      <c r="C5167" s="2" t="s">
        <v>16</v>
      </c>
      <c r="D5167" s="2" t="s">
        <v>17</v>
      </c>
      <c r="E5167" s="5">
        <v>-31451</v>
      </c>
      <c r="F5167" s="3" t="s">
        <v>2325</v>
      </c>
      <c r="G5167" s="3" t="s">
        <v>28</v>
      </c>
      <c r="H5167" s="2" t="s">
        <v>20</v>
      </c>
      <c r="I5167" s="2" t="s">
        <v>10816</v>
      </c>
      <c r="J5167" s="3" t="str">
        <f>HYPERLINK("https://www.boe.es/gazeta/dias/1813/11/20/pdfs/GMR-1813-77.pdf#page=8","Abrir facsímil")</f>
        <v>Abrir facsímil</v>
      </c>
      <c r="K5167" s="3" t="s">
        <v>22</v>
      </c>
    </row>
    <row r="5168" spans="1:11" ht="42" customHeight="1">
      <c r="A5168" s="2" t="s">
        <v>10798</v>
      </c>
      <c r="B5168" s="2" t="s">
        <v>10798</v>
      </c>
      <c r="C5168" s="2" t="s">
        <v>16</v>
      </c>
      <c r="D5168" s="2" t="s">
        <v>17</v>
      </c>
      <c r="E5168" s="5">
        <v>-31448</v>
      </c>
      <c r="F5168" s="3" t="s">
        <v>325</v>
      </c>
      <c r="G5168" s="3" t="s">
        <v>207</v>
      </c>
      <c r="H5168" s="2" t="s">
        <v>20</v>
      </c>
      <c r="I5168" s="2" t="s">
        <v>10817</v>
      </c>
      <c r="J5168" s="3" t="str">
        <f>HYPERLINK("https://www.boe.es/gazeta/dias/1813/11/23/pdfs/GMR-1813-78.pdf#page=10","Abrir facsímil")</f>
        <v>Abrir facsímil</v>
      </c>
      <c r="K5168" s="3" t="s">
        <v>22</v>
      </c>
    </row>
    <row r="5169" spans="1:11" ht="42" customHeight="1">
      <c r="A5169" s="2" t="s">
        <v>10798</v>
      </c>
      <c r="B5169" s="2" t="s">
        <v>10798</v>
      </c>
      <c r="C5169" s="2" t="s">
        <v>16</v>
      </c>
      <c r="D5169" s="2" t="s">
        <v>17</v>
      </c>
      <c r="E5169" s="5">
        <v>-31439</v>
      </c>
      <c r="F5169" s="3" t="s">
        <v>3821</v>
      </c>
      <c r="G5169" s="3" t="s">
        <v>58</v>
      </c>
      <c r="H5169" s="2" t="s">
        <v>20</v>
      </c>
      <c r="I5169" s="2" t="s">
        <v>10818</v>
      </c>
      <c r="J5169" s="3" t="str">
        <f>HYPERLINK("https://www.boe.es/gazeta/dias/1813/12/02/pdfs/GRE-1813-159.pdf#page=2","Abrir facsímil")</f>
        <v>Abrir facsímil</v>
      </c>
      <c r="K5169" s="3" t="s">
        <v>22</v>
      </c>
    </row>
    <row r="5170" spans="1:11" ht="42" customHeight="1">
      <c r="A5170" s="2" t="s">
        <v>10819</v>
      </c>
      <c r="B5170" s="2" t="s">
        <v>10820</v>
      </c>
      <c r="C5170" s="2" t="s">
        <v>16</v>
      </c>
      <c r="D5170" s="2" t="s">
        <v>17</v>
      </c>
      <c r="E5170" s="5">
        <v>-31712</v>
      </c>
      <c r="F5170" s="3" t="s">
        <v>3469</v>
      </c>
      <c r="G5170" s="3" t="s">
        <v>28</v>
      </c>
      <c r="H5170" s="2" t="s">
        <v>29</v>
      </c>
      <c r="I5170" s="2" t="s">
        <v>10821</v>
      </c>
      <c r="J5170" s="3" t="str">
        <f>HYPERLINK("https://www.boe.es/gazeta/dias/1813/03/04/pdfs/GRE-1813-28.pdf#page=8","Abrir facsímil")</f>
        <v>Abrir facsímil</v>
      </c>
      <c r="K5170" s="3" t="s">
        <v>31</v>
      </c>
    </row>
    <row r="5171" spans="1:11" ht="42" customHeight="1">
      <c r="A5171" s="2" t="s">
        <v>10819</v>
      </c>
      <c r="B5171" s="2" t="s">
        <v>10820</v>
      </c>
      <c r="C5171" s="2" t="s">
        <v>16</v>
      </c>
      <c r="D5171" s="2" t="s">
        <v>17</v>
      </c>
      <c r="E5171" s="5">
        <v>-31607</v>
      </c>
      <c r="F5171" s="3" t="s">
        <v>3370</v>
      </c>
      <c r="G5171" s="3" t="s">
        <v>3371</v>
      </c>
      <c r="H5171" s="2" t="s">
        <v>29</v>
      </c>
      <c r="I5171" s="2" t="s">
        <v>10822</v>
      </c>
      <c r="J5171" s="3" t="str">
        <f>HYPERLINK("https://www.boe.es/gazeta/dias/1813/06/17/pdfs/GRE-1813-75.pdf#page=6","Abrir facsímil")</f>
        <v>Abrir facsímil</v>
      </c>
      <c r="K5171" s="3" t="s">
        <v>31</v>
      </c>
    </row>
    <row r="5172" spans="1:11" ht="42" customHeight="1">
      <c r="A5172" s="2" t="s">
        <v>10819</v>
      </c>
      <c r="B5172" s="2" t="s">
        <v>10820</v>
      </c>
      <c r="C5172" s="2" t="s">
        <v>16</v>
      </c>
      <c r="D5172" s="2" t="s">
        <v>17</v>
      </c>
      <c r="E5172" s="5">
        <v>-31602</v>
      </c>
      <c r="F5172" s="3" t="s">
        <v>2117</v>
      </c>
      <c r="G5172" s="3" t="s">
        <v>207</v>
      </c>
      <c r="H5172" s="2" t="s">
        <v>29</v>
      </c>
      <c r="I5172" s="2" t="s">
        <v>10823</v>
      </c>
      <c r="J5172" s="3" t="str">
        <f>HYPERLINK("https://www.boe.es/gazeta/dias/1813/06/22/pdfs/GMR-1813-9.pdf#page=10","Abrir facsímil")</f>
        <v>Abrir facsímil</v>
      </c>
      <c r="K5172" s="3" t="s">
        <v>31</v>
      </c>
    </row>
    <row r="5173" spans="1:11" ht="42" customHeight="1">
      <c r="A5173" s="2" t="s">
        <v>10819</v>
      </c>
      <c r="B5173" s="2" t="s">
        <v>10820</v>
      </c>
      <c r="C5173" s="2" t="s">
        <v>16</v>
      </c>
      <c r="D5173" s="2" t="s">
        <v>17</v>
      </c>
      <c r="E5173" s="5">
        <v>-31567</v>
      </c>
      <c r="F5173" s="3" t="s">
        <v>1471</v>
      </c>
      <c r="G5173" s="3" t="s">
        <v>19</v>
      </c>
      <c r="H5173" s="2" t="s">
        <v>29</v>
      </c>
      <c r="I5173" s="2" t="s">
        <v>10824</v>
      </c>
      <c r="J5173" s="3" t="str">
        <f>HYPERLINK("https://www.boe.es/gazeta/dias/1813/07/27/pdfs/GRE-1813-95.pdf#page=4","Abrir facsímil")</f>
        <v>Abrir facsímil</v>
      </c>
      <c r="K5173" s="3" t="s">
        <v>31</v>
      </c>
    </row>
    <row r="5174" spans="1:11" ht="42" customHeight="1">
      <c r="A5174" s="2" t="s">
        <v>10819</v>
      </c>
      <c r="B5174" s="2" t="s">
        <v>10820</v>
      </c>
      <c r="C5174" s="2" t="s">
        <v>16</v>
      </c>
      <c r="D5174" s="2" t="s">
        <v>17</v>
      </c>
      <c r="E5174" s="5">
        <v>-31563</v>
      </c>
      <c r="F5174" s="3" t="s">
        <v>1267</v>
      </c>
      <c r="G5174" s="3" t="s">
        <v>95</v>
      </c>
      <c r="H5174" s="2" t="s">
        <v>29</v>
      </c>
      <c r="I5174" s="2" t="s">
        <v>10825</v>
      </c>
      <c r="J5174" s="3" t="str">
        <f>HYPERLINK("https://www.boe.es/gazeta/dias/1813/07/31/pdfs/GRE-1813-97.pdf#page=6","Abrir facsímil")</f>
        <v>Abrir facsímil</v>
      </c>
      <c r="K5174" s="3" t="s">
        <v>31</v>
      </c>
    </row>
    <row r="5175" spans="1:11" ht="42" customHeight="1">
      <c r="A5175" s="2" t="s">
        <v>10819</v>
      </c>
      <c r="B5175" s="2" t="s">
        <v>10820</v>
      </c>
      <c r="C5175" s="2" t="s">
        <v>16</v>
      </c>
      <c r="D5175" s="2" t="s">
        <v>17</v>
      </c>
      <c r="E5175" s="5">
        <v>-31558</v>
      </c>
      <c r="F5175" s="3" t="s">
        <v>1288</v>
      </c>
      <c r="G5175" s="3" t="s">
        <v>82</v>
      </c>
      <c r="H5175" s="2" t="s">
        <v>29</v>
      </c>
      <c r="I5175" s="2" t="s">
        <v>10826</v>
      </c>
      <c r="J5175" s="3" t="str">
        <f>HYPERLINK("https://www.boe.es/gazeta/dias/1813/08/05/pdfs/GMR-1813-24.pdf#page=5","Abrir facsímil")</f>
        <v>Abrir facsímil</v>
      </c>
      <c r="K5175" s="3" t="s">
        <v>31</v>
      </c>
    </row>
    <row r="5176" spans="1:11" ht="42" customHeight="1">
      <c r="A5176" s="2" t="s">
        <v>10827</v>
      </c>
      <c r="B5176" s="2" t="s">
        <v>10828</v>
      </c>
      <c r="C5176" s="2" t="s">
        <v>16</v>
      </c>
      <c r="D5176" s="2" t="s">
        <v>17</v>
      </c>
      <c r="E5176" s="5">
        <v>-31579</v>
      </c>
      <c r="F5176" s="3" t="s">
        <v>609</v>
      </c>
      <c r="G5176" s="3" t="s">
        <v>19</v>
      </c>
      <c r="H5176" s="2" t="s">
        <v>29</v>
      </c>
      <c r="I5176" s="2" t="s">
        <v>10829</v>
      </c>
      <c r="J5176" s="3" t="str">
        <f>HYPERLINK("https://www.boe.es/gazeta/dias/1813/07/15/pdfs/GRE-1813-89.pdf#page=4","Abrir facsímil")</f>
        <v>Abrir facsímil</v>
      </c>
      <c r="K5176" s="3" t="s">
        <v>31</v>
      </c>
    </row>
    <row r="5177" spans="1:11" ht="42" customHeight="1">
      <c r="A5177" s="2" t="s">
        <v>10830</v>
      </c>
      <c r="B5177" s="2" t="s">
        <v>10831</v>
      </c>
      <c r="C5177" s="2" t="s">
        <v>25</v>
      </c>
      <c r="D5177" s="2" t="s">
        <v>26</v>
      </c>
      <c r="E5177" s="5">
        <v>-31672</v>
      </c>
      <c r="F5177" s="3" t="s">
        <v>238</v>
      </c>
      <c r="G5177" s="3" t="s">
        <v>87</v>
      </c>
      <c r="H5177" s="2" t="s">
        <v>29</v>
      </c>
      <c r="I5177" s="2" t="s">
        <v>10832</v>
      </c>
      <c r="J5177" s="3" t="str">
        <f>HYPERLINK("https://www.boe.es/gazeta/dias/1813/04/13/pdfs/GRE-1813-45.pdf#page=7","Abrir facsímil")</f>
        <v>Abrir facsímil</v>
      </c>
      <c r="K5177" s="3" t="s">
        <v>31</v>
      </c>
    </row>
    <row r="5178" spans="1:11" ht="42" customHeight="1">
      <c r="A5178" s="2" t="s">
        <v>10833</v>
      </c>
      <c r="B5178" s="2" t="s">
        <v>10834</v>
      </c>
      <c r="C5178" s="2" t="s">
        <v>16</v>
      </c>
      <c r="D5178" s="2" t="s">
        <v>17</v>
      </c>
      <c r="E5178" s="5">
        <v>-31581</v>
      </c>
      <c r="F5178" s="3" t="s">
        <v>3599</v>
      </c>
      <c r="G5178" s="3" t="s">
        <v>19</v>
      </c>
      <c r="H5178" s="2" t="s">
        <v>29</v>
      </c>
      <c r="I5178" s="2" t="s">
        <v>10835</v>
      </c>
      <c r="J5178" s="3" t="str">
        <f>HYPERLINK("https://www.boe.es/gazeta/dias/1813/07/13/pdfs/GRE-1813-88.pdf#page=4","Abrir facsímil")</f>
        <v>Abrir facsímil</v>
      </c>
      <c r="K5178" s="3" t="s">
        <v>31</v>
      </c>
    </row>
    <row r="5179" spans="1:11" ht="42" customHeight="1">
      <c r="A5179" s="2" t="s">
        <v>10836</v>
      </c>
      <c r="B5179" s="2" t="s">
        <v>10837</v>
      </c>
      <c r="C5179" s="2" t="s">
        <v>16</v>
      </c>
      <c r="D5179" s="2" t="s">
        <v>17</v>
      </c>
      <c r="E5179" s="5">
        <v>-31733</v>
      </c>
      <c r="F5179" s="3" t="s">
        <v>3036</v>
      </c>
      <c r="G5179" s="3" t="s">
        <v>3198</v>
      </c>
      <c r="H5179" s="2" t="s">
        <v>29</v>
      </c>
      <c r="I5179" s="2" t="s">
        <v>10838</v>
      </c>
      <c r="J5179" s="3" t="str">
        <f>HYPERLINK("https://www.boe.es/gazeta/dias/1813/02/11/pdfs/GRE-1813-18.pdf#page=7","Abrir facsímil")</f>
        <v>Abrir facsímil</v>
      </c>
      <c r="K5179" s="3" t="s">
        <v>31</v>
      </c>
    </row>
    <row r="5180" spans="1:11" ht="42" customHeight="1">
      <c r="A5180" s="2" t="s">
        <v>10839</v>
      </c>
      <c r="B5180" s="2" t="s">
        <v>10840</v>
      </c>
      <c r="C5180" s="2" t="s">
        <v>16</v>
      </c>
      <c r="D5180" s="2" t="s">
        <v>17</v>
      </c>
      <c r="E5180" s="5">
        <v>-31733</v>
      </c>
      <c r="F5180" s="3" t="s">
        <v>3036</v>
      </c>
      <c r="G5180" s="3" t="s">
        <v>95</v>
      </c>
      <c r="H5180" s="2" t="s">
        <v>29</v>
      </c>
      <c r="I5180" s="2" t="s">
        <v>10841</v>
      </c>
      <c r="J5180" s="3" t="str">
        <f>HYPERLINK("https://www.boe.es/gazeta/dias/1813/02/11/pdfs/GRE-1813-18.pdf#page=6","Abrir facsímil")</f>
        <v>Abrir facsímil</v>
      </c>
      <c r="K5180" s="3" t="s">
        <v>31</v>
      </c>
    </row>
    <row r="5181" spans="1:11" ht="42" customHeight="1">
      <c r="A5181" s="2" t="s">
        <v>10842</v>
      </c>
      <c r="B5181" s="2" t="s">
        <v>10843</v>
      </c>
      <c r="C5181" s="2" t="s">
        <v>25</v>
      </c>
      <c r="D5181" s="2" t="s">
        <v>26</v>
      </c>
      <c r="E5181" s="5">
        <v>-31745</v>
      </c>
      <c r="F5181" s="3" t="s">
        <v>445</v>
      </c>
      <c r="G5181" s="3" t="s">
        <v>475</v>
      </c>
      <c r="H5181" s="2" t="s">
        <v>29</v>
      </c>
      <c r="I5181" s="2" t="s">
        <v>10844</v>
      </c>
      <c r="J5181" s="3" t="str">
        <f>HYPERLINK("https://www.boe.es/gazeta/dias/1813/01/30/pdfs/GRE-1813-13.pdf#page=7","Abrir facsímil")</f>
        <v>Abrir facsímil</v>
      </c>
      <c r="K5181" s="3" t="s">
        <v>31</v>
      </c>
    </row>
    <row r="5182" spans="1:11" ht="42" customHeight="1">
      <c r="A5182" s="2" t="s">
        <v>10845</v>
      </c>
      <c r="B5182" s="2" t="s">
        <v>10846</v>
      </c>
      <c r="C5182" s="2" t="s">
        <v>16</v>
      </c>
      <c r="D5182" s="2" t="s">
        <v>17</v>
      </c>
      <c r="E5182" s="5">
        <v>-31635</v>
      </c>
      <c r="F5182" s="3" t="s">
        <v>2173</v>
      </c>
      <c r="G5182" s="3" t="s">
        <v>4007</v>
      </c>
      <c r="H5182" s="2" t="s">
        <v>29</v>
      </c>
      <c r="I5182" s="2" t="s">
        <v>10847</v>
      </c>
      <c r="J5182" s="3" t="str">
        <f>HYPERLINK("https://www.boe.es/gazeta/dias/1813/05/20/pdfs/GRE-1813-62.pdf#page=2","Abrir facsímil")</f>
        <v>Abrir facsímil</v>
      </c>
      <c r="K5182" s="3" t="s">
        <v>31</v>
      </c>
    </row>
    <row r="5183" spans="1:11" ht="42" customHeight="1">
      <c r="A5183" s="2" t="s">
        <v>10848</v>
      </c>
      <c r="B5183" s="2" t="s">
        <v>10849</v>
      </c>
      <c r="C5183" s="2" t="s">
        <v>16</v>
      </c>
      <c r="D5183" s="2" t="s">
        <v>17</v>
      </c>
      <c r="E5183" s="5">
        <v>-31770</v>
      </c>
      <c r="F5183" s="3" t="s">
        <v>1738</v>
      </c>
      <c r="G5183" s="3" t="s">
        <v>95</v>
      </c>
      <c r="H5183" s="2" t="s">
        <v>29</v>
      </c>
      <c r="I5183" s="2" t="s">
        <v>10850</v>
      </c>
      <c r="J5183" s="3" t="str">
        <f>HYPERLINK("https://www.boe.es/gazeta/dias/1813/01/05/pdfs/GRE-1813-2.pdf#page=6","Abrir facsímil")</f>
        <v>Abrir facsímil</v>
      </c>
      <c r="K5183" s="3" t="s">
        <v>31</v>
      </c>
    </row>
    <row r="5184" spans="1:11" ht="42" customHeight="1">
      <c r="A5184" s="2" t="s">
        <v>10848</v>
      </c>
      <c r="B5184" s="2" t="s">
        <v>10849</v>
      </c>
      <c r="C5184" s="2" t="s">
        <v>187</v>
      </c>
      <c r="D5184" s="2" t="s">
        <v>26</v>
      </c>
      <c r="E5184" s="5">
        <v>-31752</v>
      </c>
      <c r="F5184" s="3" t="s">
        <v>182</v>
      </c>
      <c r="G5184" s="3" t="s">
        <v>183</v>
      </c>
      <c r="H5184" s="2" t="s">
        <v>29</v>
      </c>
      <c r="I5184" s="2" t="s">
        <v>10851</v>
      </c>
      <c r="J5184" s="3" t="str">
        <f>HYPERLINK("https://www.boe.es/gazeta/dias/1813/01/23/pdfs/GRE-1813-10.pdf#page=8","Abrir facsímil")</f>
        <v>Abrir facsímil</v>
      </c>
      <c r="K5184" s="3" t="s">
        <v>31</v>
      </c>
    </row>
    <row r="5185" spans="1:11" ht="42" customHeight="1">
      <c r="A5185" s="2" t="s">
        <v>10848</v>
      </c>
      <c r="B5185" s="2" t="s">
        <v>10849</v>
      </c>
      <c r="C5185" s="2" t="s">
        <v>16</v>
      </c>
      <c r="D5185" s="2" t="s">
        <v>17</v>
      </c>
      <c r="E5185" s="5">
        <v>-31733</v>
      </c>
      <c r="F5185" s="3" t="s">
        <v>3036</v>
      </c>
      <c r="G5185" s="3" t="s">
        <v>3198</v>
      </c>
      <c r="H5185" s="2" t="s">
        <v>29</v>
      </c>
      <c r="I5185" s="2" t="s">
        <v>10852</v>
      </c>
      <c r="J5185" s="3" t="str">
        <f>HYPERLINK("https://www.boe.es/gazeta/dias/1813/02/11/pdfs/GRE-1813-18.pdf#page=7","Abrir facsímil")</f>
        <v>Abrir facsímil</v>
      </c>
      <c r="K5185" s="3" t="s">
        <v>31</v>
      </c>
    </row>
    <row r="5186" spans="1:11" ht="42" customHeight="1">
      <c r="A5186" s="2" t="s">
        <v>10848</v>
      </c>
      <c r="B5186" s="2" t="s">
        <v>10849</v>
      </c>
      <c r="C5186" s="2" t="s">
        <v>16</v>
      </c>
      <c r="D5186" s="2" t="s">
        <v>17</v>
      </c>
      <c r="E5186" s="5">
        <v>-31711</v>
      </c>
      <c r="F5186" s="3" t="s">
        <v>385</v>
      </c>
      <c r="G5186" s="3" t="s">
        <v>95</v>
      </c>
      <c r="H5186" s="2" t="s">
        <v>29</v>
      </c>
      <c r="I5186" s="2" t="s">
        <v>10853</v>
      </c>
      <c r="J5186" s="3" t="str">
        <f>HYPERLINK("https://www.boe.es/gazeta/dias/1813/03/05/pdfs/GRE-1813-99.pdf#page=6","Abrir facsímil")</f>
        <v>Abrir facsímil</v>
      </c>
      <c r="K5186" s="3" t="s">
        <v>31</v>
      </c>
    </row>
    <row r="5187" spans="1:11" ht="42" customHeight="1">
      <c r="A5187" s="2" t="s">
        <v>10848</v>
      </c>
      <c r="B5187" s="2" t="s">
        <v>10849</v>
      </c>
      <c r="C5187" s="2" t="s">
        <v>16</v>
      </c>
      <c r="D5187" s="2" t="s">
        <v>97</v>
      </c>
      <c r="E5187" s="5">
        <v>-31670</v>
      </c>
      <c r="F5187" s="3" t="s">
        <v>98</v>
      </c>
      <c r="G5187" s="3" t="s">
        <v>4841</v>
      </c>
      <c r="H5187" s="2" t="s">
        <v>29</v>
      </c>
      <c r="I5187" s="2" t="s">
        <v>10854</v>
      </c>
      <c r="J5187" s="3" t="str">
        <f>HYPERLINK("https://www.boe.es/gazeta/dias/1813/04/15/pdfs/GRE-1813-47E.pdf#page=5","Abrir facsímil")</f>
        <v>Abrir facsímil</v>
      </c>
      <c r="K5187" s="3" t="s">
        <v>31</v>
      </c>
    </row>
    <row r="5188" spans="1:11" ht="42" customHeight="1">
      <c r="A5188" s="2" t="s">
        <v>10848</v>
      </c>
      <c r="B5188" s="2" t="s">
        <v>10849</v>
      </c>
      <c r="C5188" s="2" t="s">
        <v>16</v>
      </c>
      <c r="D5188" s="2" t="s">
        <v>97</v>
      </c>
      <c r="E5188" s="5">
        <v>-31670</v>
      </c>
      <c r="F5188" s="3" t="s">
        <v>98</v>
      </c>
      <c r="G5188" s="3" t="s">
        <v>65</v>
      </c>
      <c r="H5188" s="2" t="s">
        <v>29</v>
      </c>
      <c r="I5188" s="2" t="s">
        <v>10855</v>
      </c>
      <c r="J5188" s="3" t="str">
        <f>HYPERLINK("https://www.boe.es/gazeta/dias/1813/04/15/pdfs/GRE-1813-47E.pdf#page=1","Abrir facsímil")</f>
        <v>Abrir facsímil</v>
      </c>
      <c r="K5188" s="3" t="s">
        <v>31</v>
      </c>
    </row>
    <row r="5189" spans="1:11" ht="42" customHeight="1">
      <c r="A5189" s="2" t="s">
        <v>10848</v>
      </c>
      <c r="B5189" s="2" t="s">
        <v>10849</v>
      </c>
      <c r="C5189" s="2" t="s">
        <v>16</v>
      </c>
      <c r="D5189" s="2" t="s">
        <v>17</v>
      </c>
      <c r="E5189" s="5">
        <v>-31640</v>
      </c>
      <c r="F5189" s="3" t="s">
        <v>2392</v>
      </c>
      <c r="G5189" s="3" t="s">
        <v>10856</v>
      </c>
      <c r="H5189" s="2" t="s">
        <v>29</v>
      </c>
      <c r="I5189" s="2" t="s">
        <v>10857</v>
      </c>
      <c r="J5189" s="3" t="str">
        <f>HYPERLINK("https://www.boe.es/gazeta/dias/1813/05/15/pdfs/GRE-1813-60.pdf#page=3","Abrir facsímil")</f>
        <v>Abrir facsímil</v>
      </c>
      <c r="K5189" s="3" t="s">
        <v>31</v>
      </c>
    </row>
    <row r="5190" spans="1:11" ht="42" customHeight="1">
      <c r="A5190" s="2" t="s">
        <v>10848</v>
      </c>
      <c r="B5190" s="2" t="s">
        <v>10849</v>
      </c>
      <c r="C5190" s="2" t="s">
        <v>16</v>
      </c>
      <c r="D5190" s="2" t="s">
        <v>17</v>
      </c>
      <c r="E5190" s="5">
        <v>-31640</v>
      </c>
      <c r="F5190" s="3" t="s">
        <v>2392</v>
      </c>
      <c r="G5190" s="3" t="s">
        <v>3612</v>
      </c>
      <c r="H5190" s="2" t="s">
        <v>29</v>
      </c>
      <c r="I5190" s="2" t="s">
        <v>10858</v>
      </c>
      <c r="J5190" s="3" t="str">
        <f>HYPERLINK("https://www.boe.es/gazeta/dias/1813/05/15/pdfs/GRE-1813-60.pdf#page=6","Abrir facsímil")</f>
        <v>Abrir facsímil</v>
      </c>
      <c r="K5190" s="3" t="s">
        <v>31</v>
      </c>
    </row>
    <row r="5191" spans="1:11" ht="42" customHeight="1">
      <c r="A5191" s="2" t="s">
        <v>10848</v>
      </c>
      <c r="B5191" s="2" t="s">
        <v>10849</v>
      </c>
      <c r="C5191" s="2" t="s">
        <v>16</v>
      </c>
      <c r="D5191" s="2" t="s">
        <v>17</v>
      </c>
      <c r="E5191" s="5">
        <v>-31613</v>
      </c>
      <c r="F5191" s="3" t="s">
        <v>1629</v>
      </c>
      <c r="G5191" s="3" t="s">
        <v>28</v>
      </c>
      <c r="H5191" s="2" t="s">
        <v>29</v>
      </c>
      <c r="I5191" s="2" t="s">
        <v>10859</v>
      </c>
      <c r="J5191" s="3" t="str">
        <f>HYPERLINK("https://www.boe.es/gazeta/dias/1813/06/11/pdfs/GMR-1813-4.pdf#page=8","Abrir facsímil")</f>
        <v>Abrir facsímil</v>
      </c>
      <c r="K5191" s="3" t="s">
        <v>31</v>
      </c>
    </row>
    <row r="5192" spans="1:11" ht="42" customHeight="1">
      <c r="A5192" s="2" t="s">
        <v>10848</v>
      </c>
      <c r="B5192" s="2" t="s">
        <v>10849</v>
      </c>
      <c r="C5192" s="2" t="s">
        <v>16</v>
      </c>
      <c r="D5192" s="2" t="s">
        <v>17</v>
      </c>
      <c r="E5192" s="5">
        <v>-31602</v>
      </c>
      <c r="F5192" s="3" t="s">
        <v>4545</v>
      </c>
      <c r="G5192" s="3" t="s">
        <v>82</v>
      </c>
      <c r="H5192" s="2" t="s">
        <v>29</v>
      </c>
      <c r="I5192" s="2" t="s">
        <v>10860</v>
      </c>
      <c r="J5192" s="3" t="str">
        <f>HYPERLINK("https://www.boe.es/gazeta/dias/1813/06/22/pdfs/GRE-1813-77.pdf#page=5","Abrir facsímil")</f>
        <v>Abrir facsímil</v>
      </c>
      <c r="K5192" s="3" t="s">
        <v>31</v>
      </c>
    </row>
    <row r="5193" spans="1:11" ht="42" customHeight="1">
      <c r="A5193" s="2" t="s">
        <v>10848</v>
      </c>
      <c r="B5193" s="2" t="s">
        <v>10849</v>
      </c>
      <c r="C5193" s="2" t="s">
        <v>16</v>
      </c>
      <c r="D5193" s="2" t="s">
        <v>17</v>
      </c>
      <c r="E5193" s="5">
        <v>-31595</v>
      </c>
      <c r="F5193" s="3" t="s">
        <v>70</v>
      </c>
      <c r="G5193" s="3" t="s">
        <v>207</v>
      </c>
      <c r="H5193" s="2" t="s">
        <v>29</v>
      </c>
      <c r="I5193" s="2" t="s">
        <v>10861</v>
      </c>
      <c r="J5193" s="3" t="str">
        <f>HYPERLINK("https://www.boe.es/gazeta/dias/1813/06/29/pdfs/GMR-1813-13.pdf#page=10","Abrir facsímil")</f>
        <v>Abrir facsímil</v>
      </c>
      <c r="K5193" s="3" t="s">
        <v>31</v>
      </c>
    </row>
    <row r="5194" spans="1:11" ht="42" customHeight="1">
      <c r="A5194" s="2" t="s">
        <v>10848</v>
      </c>
      <c r="B5194" s="2" t="s">
        <v>10849</v>
      </c>
      <c r="C5194" s="2" t="s">
        <v>16</v>
      </c>
      <c r="D5194" s="2" t="s">
        <v>17</v>
      </c>
      <c r="E5194" s="5">
        <v>-31588</v>
      </c>
      <c r="F5194" s="3" t="s">
        <v>2402</v>
      </c>
      <c r="G5194" s="3" t="s">
        <v>3551</v>
      </c>
      <c r="H5194" s="2" t="s">
        <v>29</v>
      </c>
      <c r="I5194" s="2" t="s">
        <v>10862</v>
      </c>
      <c r="J5194" s="3" t="str">
        <f>HYPERLINK("https://www.boe.es/gazeta/dias/1813/07/06/pdfs/GRE-1813-84.pdf#page=4","Abrir facsímil")</f>
        <v>Abrir facsímil</v>
      </c>
      <c r="K5194" s="3" t="s">
        <v>31</v>
      </c>
    </row>
    <row r="5195" spans="1:11" ht="42" customHeight="1">
      <c r="A5195" s="2" t="s">
        <v>10848</v>
      </c>
      <c r="B5195" s="2" t="s">
        <v>10849</v>
      </c>
      <c r="C5195" s="2" t="s">
        <v>16</v>
      </c>
      <c r="D5195" s="2" t="s">
        <v>17</v>
      </c>
      <c r="E5195" s="5">
        <v>-31588</v>
      </c>
      <c r="F5195" s="3" t="s">
        <v>2402</v>
      </c>
      <c r="G5195" s="3" t="s">
        <v>3624</v>
      </c>
      <c r="H5195" s="2" t="s">
        <v>29</v>
      </c>
      <c r="I5195" s="2" t="s">
        <v>10863</v>
      </c>
      <c r="J5195" s="3" t="str">
        <f>HYPERLINK("https://www.boe.es/gazeta/dias/1813/07/06/pdfs/GRE-1813-84.pdf#page=5","Abrir facsímil")</f>
        <v>Abrir facsímil</v>
      </c>
      <c r="K5195" s="3" t="s">
        <v>31</v>
      </c>
    </row>
    <row r="5196" spans="1:11" ht="42" customHeight="1">
      <c r="A5196" s="2" t="s">
        <v>10848</v>
      </c>
      <c r="B5196" s="2" t="s">
        <v>10849</v>
      </c>
      <c r="C5196" s="2" t="s">
        <v>16</v>
      </c>
      <c r="D5196" s="2" t="s">
        <v>17</v>
      </c>
      <c r="E5196" s="5">
        <v>-31586</v>
      </c>
      <c r="F5196" s="3" t="s">
        <v>2807</v>
      </c>
      <c r="G5196" s="3" t="s">
        <v>95</v>
      </c>
      <c r="H5196" s="2" t="s">
        <v>29</v>
      </c>
      <c r="I5196" s="2" t="s">
        <v>10864</v>
      </c>
      <c r="J5196" s="3" t="str">
        <f>HYPERLINK("https://www.boe.es/gazeta/dias/1813/07/08/pdfs/GRE-1813-85.pdf#page=6","Abrir facsímil")</f>
        <v>Abrir facsímil</v>
      </c>
      <c r="K5196" s="3" t="s">
        <v>31</v>
      </c>
    </row>
    <row r="5197" spans="1:11" ht="42" customHeight="1">
      <c r="A5197" s="2" t="s">
        <v>10848</v>
      </c>
      <c r="B5197" s="2" t="s">
        <v>10849</v>
      </c>
      <c r="C5197" s="2" t="s">
        <v>16</v>
      </c>
      <c r="D5197" s="2" t="s">
        <v>17</v>
      </c>
      <c r="E5197" s="5">
        <v>-31586</v>
      </c>
      <c r="F5197" s="3" t="s">
        <v>2807</v>
      </c>
      <c r="G5197" s="3" t="s">
        <v>87</v>
      </c>
      <c r="H5197" s="2" t="s">
        <v>29</v>
      </c>
      <c r="I5197" s="2" t="s">
        <v>10865</v>
      </c>
      <c r="J5197" s="3" t="str">
        <f>HYPERLINK("https://www.boe.es/gazeta/dias/1813/07/08/pdfs/GRE-1813-85.pdf#page=7","Abrir facsímil")</f>
        <v>Abrir facsímil</v>
      </c>
      <c r="K5197" s="3" t="s">
        <v>31</v>
      </c>
    </row>
    <row r="5198" spans="1:11" ht="42" customHeight="1">
      <c r="A5198" s="2" t="s">
        <v>10848</v>
      </c>
      <c r="B5198" s="2" t="s">
        <v>10849</v>
      </c>
      <c r="C5198" s="2" t="s">
        <v>16</v>
      </c>
      <c r="D5198" s="2" t="s">
        <v>17</v>
      </c>
      <c r="E5198" s="5">
        <v>-31584</v>
      </c>
      <c r="F5198" s="3" t="s">
        <v>114</v>
      </c>
      <c r="G5198" s="3" t="s">
        <v>82</v>
      </c>
      <c r="H5198" s="2" t="s">
        <v>29</v>
      </c>
      <c r="I5198" s="2" t="s">
        <v>10866</v>
      </c>
      <c r="J5198" s="3" t="str">
        <f>HYPERLINK("https://www.boe.es/gazeta/dias/1813/07/10/pdfs/GRE-1813-86.pdf#page=5","Abrir facsímil")</f>
        <v>Abrir facsímil</v>
      </c>
      <c r="K5198" s="3" t="s">
        <v>31</v>
      </c>
    </row>
    <row r="5199" spans="1:11" ht="42" customHeight="1">
      <c r="A5199" s="2" t="s">
        <v>10848</v>
      </c>
      <c r="B5199" s="2" t="s">
        <v>10849</v>
      </c>
      <c r="C5199" s="2" t="s">
        <v>16</v>
      </c>
      <c r="D5199" s="2" t="s">
        <v>17</v>
      </c>
      <c r="E5199" s="5">
        <v>-31584</v>
      </c>
      <c r="F5199" s="3" t="s">
        <v>114</v>
      </c>
      <c r="G5199" s="3" t="s">
        <v>28</v>
      </c>
      <c r="H5199" s="2" t="s">
        <v>29</v>
      </c>
      <c r="I5199" s="2" t="s">
        <v>10867</v>
      </c>
      <c r="J5199" s="3" t="str">
        <f>HYPERLINK("https://www.boe.es/gazeta/dias/1813/07/10/pdfs/GRE-1813-86.pdf#page=8","Abrir facsímil")</f>
        <v>Abrir facsímil</v>
      </c>
      <c r="K5199" s="3" t="s">
        <v>31</v>
      </c>
    </row>
    <row r="5200" spans="1:11" ht="42" customHeight="1">
      <c r="A5200" s="2" t="s">
        <v>10848</v>
      </c>
      <c r="B5200" s="2" t="s">
        <v>10849</v>
      </c>
      <c r="C5200" s="2" t="s">
        <v>16</v>
      </c>
      <c r="D5200" s="2" t="s">
        <v>17</v>
      </c>
      <c r="E5200" s="5">
        <v>-31567</v>
      </c>
      <c r="F5200" s="3" t="s">
        <v>820</v>
      </c>
      <c r="G5200" s="3" t="s">
        <v>747</v>
      </c>
      <c r="H5200" s="2" t="s">
        <v>29</v>
      </c>
      <c r="I5200" s="2" t="s">
        <v>10868</v>
      </c>
      <c r="J5200" s="3" t="str">
        <f>HYPERLINK("https://www.boe.es/gazeta/dias/1813/07/27/pdfs/GMR-1813-21.pdf#page=10","Abrir facsímil")</f>
        <v>Abrir facsímil</v>
      </c>
      <c r="K5200" s="3" t="s">
        <v>31</v>
      </c>
    </row>
    <row r="5201" spans="1:11" ht="42" customHeight="1">
      <c r="A5201" s="2" t="s">
        <v>10848</v>
      </c>
      <c r="B5201" s="2" t="s">
        <v>10849</v>
      </c>
      <c r="C5201" s="2" t="s">
        <v>16</v>
      </c>
      <c r="D5201" s="2" t="s">
        <v>17</v>
      </c>
      <c r="E5201" s="5">
        <v>-31558</v>
      </c>
      <c r="F5201" s="3" t="s">
        <v>385</v>
      </c>
      <c r="G5201" s="3" t="s">
        <v>95</v>
      </c>
      <c r="H5201" s="2" t="s">
        <v>29</v>
      </c>
      <c r="I5201" s="2" t="s">
        <v>10853</v>
      </c>
      <c r="J5201" s="3" t="str">
        <f>HYPERLINK("https://www.boe.es/gazeta/dias/1813/08/05/pdfs/GRE-1813-99.pdf#page=6","Abrir facsímil")</f>
        <v>Abrir facsímil</v>
      </c>
      <c r="K5201" s="3" t="s">
        <v>31</v>
      </c>
    </row>
    <row r="5202" spans="1:11" ht="42" customHeight="1">
      <c r="A5202" s="2" t="s">
        <v>10848</v>
      </c>
      <c r="B5202" s="2" t="s">
        <v>10849</v>
      </c>
      <c r="C5202" s="2" t="s">
        <v>16</v>
      </c>
      <c r="D5202" s="2" t="s">
        <v>17</v>
      </c>
      <c r="E5202" s="5">
        <v>-31556</v>
      </c>
      <c r="F5202" s="3" t="s">
        <v>118</v>
      </c>
      <c r="G5202" s="3" t="s">
        <v>82</v>
      </c>
      <c r="H5202" s="2" t="s">
        <v>29</v>
      </c>
      <c r="I5202" s="2" t="s">
        <v>10869</v>
      </c>
      <c r="J5202" s="3" t="str">
        <f>HYPERLINK("https://www.boe.es/gazeta/dias/1813/08/07/pdfs/GMR-1813-25.pdf#page=5","Abrir facsímil")</f>
        <v>Abrir facsímil</v>
      </c>
      <c r="K5202" s="3" t="s">
        <v>31</v>
      </c>
    </row>
    <row r="5203" spans="1:11" ht="42" customHeight="1">
      <c r="A5203" s="2" t="s">
        <v>10848</v>
      </c>
      <c r="B5203" s="2" t="s">
        <v>10849</v>
      </c>
      <c r="C5203" s="2" t="s">
        <v>16</v>
      </c>
      <c r="D5203" s="2" t="s">
        <v>17</v>
      </c>
      <c r="E5203" s="5">
        <v>-31544</v>
      </c>
      <c r="F5203" s="3" t="s">
        <v>44</v>
      </c>
      <c r="G5203" s="3" t="s">
        <v>95</v>
      </c>
      <c r="H5203" s="2" t="s">
        <v>29</v>
      </c>
      <c r="I5203" s="2" t="s">
        <v>10870</v>
      </c>
      <c r="J5203" s="3" t="str">
        <f>HYPERLINK("https://www.boe.es/gazeta/dias/1813/08/19/pdfs/GMR-1813-30.pdf#page=6","Abrir facsímil")</f>
        <v>Abrir facsímil</v>
      </c>
      <c r="K5203" s="3" t="s">
        <v>31</v>
      </c>
    </row>
    <row r="5204" spans="1:11" ht="42" customHeight="1">
      <c r="A5204" s="2" t="s">
        <v>10848</v>
      </c>
      <c r="B5204" s="2" t="s">
        <v>10849</v>
      </c>
      <c r="C5204" s="2" t="s">
        <v>16</v>
      </c>
      <c r="D5204" s="2" t="s">
        <v>17</v>
      </c>
      <c r="E5204" s="5">
        <v>-31542</v>
      </c>
      <c r="F5204" s="3" t="s">
        <v>337</v>
      </c>
      <c r="G5204" s="3" t="s">
        <v>28</v>
      </c>
      <c r="H5204" s="2" t="s">
        <v>29</v>
      </c>
      <c r="I5204" s="2" t="s">
        <v>10871</v>
      </c>
      <c r="J5204" s="3" t="str">
        <f>HYPERLINK("https://www.boe.es/gazeta/dias/1813/08/21/pdfs/GRE-1813-107.pdf#page=8","Abrir facsímil")</f>
        <v>Abrir facsímil</v>
      </c>
      <c r="K5204" s="3" t="s">
        <v>31</v>
      </c>
    </row>
    <row r="5205" spans="1:11" ht="42" customHeight="1">
      <c r="A5205" s="2" t="s">
        <v>10848</v>
      </c>
      <c r="B5205" s="2" t="s">
        <v>10849</v>
      </c>
      <c r="C5205" s="2" t="s">
        <v>16</v>
      </c>
      <c r="D5205" s="2" t="s">
        <v>17</v>
      </c>
      <c r="E5205" s="5">
        <v>-31539</v>
      </c>
      <c r="F5205" s="3" t="s">
        <v>1316</v>
      </c>
      <c r="G5205" s="3" t="s">
        <v>1123</v>
      </c>
      <c r="H5205" s="2" t="s">
        <v>29</v>
      </c>
      <c r="I5205" s="2" t="s">
        <v>10872</v>
      </c>
      <c r="J5205" s="3" t="str">
        <f>HYPERLINK("https://www.boe.es/gazeta/dias/1813/08/24/pdfs/GMR-1813-32.pdf#page=6","Abrir facsímil")</f>
        <v>Abrir facsímil</v>
      </c>
      <c r="K5205" s="3" t="s">
        <v>31</v>
      </c>
    </row>
    <row r="5206" spans="1:11" ht="42" customHeight="1">
      <c r="A5206" s="2" t="s">
        <v>10873</v>
      </c>
      <c r="B5206" s="2" t="s">
        <v>10874</v>
      </c>
      <c r="C5206" s="2" t="s">
        <v>16</v>
      </c>
      <c r="D5206" s="2" t="s">
        <v>17</v>
      </c>
      <c r="E5206" s="5">
        <v>-31539</v>
      </c>
      <c r="F5206" s="3" t="s">
        <v>1220</v>
      </c>
      <c r="G5206" s="3" t="s">
        <v>58</v>
      </c>
      <c r="H5206" s="2" t="s">
        <v>29</v>
      </c>
      <c r="I5206" s="2" t="s">
        <v>10875</v>
      </c>
      <c r="J5206" s="3" t="str">
        <f>HYPERLINK("https://www.boe.es/gazeta/dias/1813/08/24/pdfs/GRE-1813-108.pdf#page=2","Abrir facsímil")</f>
        <v>Abrir facsímil</v>
      </c>
      <c r="K5206" s="3" t="s">
        <v>31</v>
      </c>
    </row>
    <row r="5207" spans="1:11" ht="42" customHeight="1">
      <c r="A5207" s="2" t="s">
        <v>10848</v>
      </c>
      <c r="B5207" s="2" t="s">
        <v>10849</v>
      </c>
      <c r="C5207" s="2" t="s">
        <v>25</v>
      </c>
      <c r="D5207" s="2" t="s">
        <v>26</v>
      </c>
      <c r="E5207" s="5">
        <v>-31537</v>
      </c>
      <c r="F5207" s="3" t="s">
        <v>5241</v>
      </c>
      <c r="G5207" s="3" t="s">
        <v>54</v>
      </c>
      <c r="H5207" s="2" t="s">
        <v>29</v>
      </c>
      <c r="I5207" s="2" t="s">
        <v>10876</v>
      </c>
      <c r="J5207" s="3" t="str">
        <f>HYPERLINK("https://www.boe.es/gazeta/dias/1813/08/26/pdfs/GRE-1813-109.pdf#page=3","Abrir facsímil")</f>
        <v>Abrir facsímil</v>
      </c>
      <c r="K5207" s="3" t="s">
        <v>31</v>
      </c>
    </row>
    <row r="5208" spans="1:11" ht="42" customHeight="1">
      <c r="A5208" s="2" t="s">
        <v>10848</v>
      </c>
      <c r="B5208" s="2" t="s">
        <v>10849</v>
      </c>
      <c r="C5208" s="2" t="s">
        <v>16</v>
      </c>
      <c r="D5208" s="2" t="s">
        <v>17</v>
      </c>
      <c r="E5208" s="5">
        <v>-31535</v>
      </c>
      <c r="F5208" s="3" t="s">
        <v>366</v>
      </c>
      <c r="G5208" s="3" t="s">
        <v>87</v>
      </c>
      <c r="H5208" s="2" t="s">
        <v>29</v>
      </c>
      <c r="I5208" s="2" t="s">
        <v>10877</v>
      </c>
      <c r="J5208" s="3" t="str">
        <f>HYPERLINK("https://www.boe.es/gazeta/dias/1813/08/28/pdfs/GRE-1813-110.pdf#page=7","Abrir facsímil")</f>
        <v>Abrir facsímil</v>
      </c>
      <c r="K5208" s="3" t="s">
        <v>31</v>
      </c>
    </row>
    <row r="5209" spans="1:11" ht="42" customHeight="1">
      <c r="A5209" s="2" t="s">
        <v>10848</v>
      </c>
      <c r="B5209" s="2" t="s">
        <v>10849</v>
      </c>
      <c r="C5209" s="2" t="s">
        <v>16</v>
      </c>
      <c r="D5209" s="2" t="s">
        <v>17</v>
      </c>
      <c r="E5209" s="5">
        <v>-31530</v>
      </c>
      <c r="F5209" s="3" t="s">
        <v>133</v>
      </c>
      <c r="G5209" s="3" t="s">
        <v>28</v>
      </c>
      <c r="H5209" s="2" t="s">
        <v>29</v>
      </c>
      <c r="I5209" s="2" t="s">
        <v>10878</v>
      </c>
      <c r="J5209" s="3" t="str">
        <f>HYPERLINK("https://www.boe.es/gazeta/dias/1813/09/02/pdfs/GMR-1813-36.pdf#page=8","Abrir facsímil")</f>
        <v>Abrir facsímil</v>
      </c>
      <c r="K5209" s="3" t="s">
        <v>31</v>
      </c>
    </row>
    <row r="5210" spans="1:11" ht="42" customHeight="1">
      <c r="A5210" s="2" t="s">
        <v>10848</v>
      </c>
      <c r="B5210" s="2" t="s">
        <v>10849</v>
      </c>
      <c r="C5210" s="2" t="s">
        <v>16</v>
      </c>
      <c r="D5210" s="2" t="s">
        <v>17</v>
      </c>
      <c r="E5210" s="5">
        <v>-31493</v>
      </c>
      <c r="F5210" s="3" t="s">
        <v>1996</v>
      </c>
      <c r="G5210" s="3" t="s">
        <v>19</v>
      </c>
      <c r="H5210" s="2" t="s">
        <v>29</v>
      </c>
      <c r="I5210" s="2" t="s">
        <v>10879</v>
      </c>
      <c r="J5210" s="3" t="str">
        <f>HYPERLINK("https://www.boe.es/gazeta/dias/1813/10/09/pdfs/GRE-1813-132.pdf#page=4","Abrir facsímil")</f>
        <v>Abrir facsímil</v>
      </c>
      <c r="K5210" s="3" t="s">
        <v>31</v>
      </c>
    </row>
    <row r="5211" spans="1:11" ht="42" customHeight="1">
      <c r="A5211" s="2" t="s">
        <v>10848</v>
      </c>
      <c r="B5211" s="2" t="s">
        <v>10849</v>
      </c>
      <c r="C5211" s="2" t="s">
        <v>16</v>
      </c>
      <c r="D5211" s="2" t="s">
        <v>17</v>
      </c>
      <c r="E5211" s="5">
        <v>-31467</v>
      </c>
      <c r="F5211" s="3" t="s">
        <v>120</v>
      </c>
      <c r="G5211" s="3" t="s">
        <v>58</v>
      </c>
      <c r="H5211" s="2" t="s">
        <v>29</v>
      </c>
      <c r="I5211" s="2" t="s">
        <v>10880</v>
      </c>
      <c r="J5211" s="3" t="str">
        <f>HYPERLINK("https://www.boe.es/gazeta/dias/1813/11/04/pdfs/GMR-1813-68.pdf#page=2","Abrir facsímil")</f>
        <v>Abrir facsímil</v>
      </c>
      <c r="K5211" s="3" t="s">
        <v>31</v>
      </c>
    </row>
    <row r="5212" spans="1:11" ht="42" customHeight="1">
      <c r="A5212" s="2" t="s">
        <v>10848</v>
      </c>
      <c r="B5212" s="2" t="s">
        <v>10849</v>
      </c>
      <c r="C5212" s="2" t="s">
        <v>16</v>
      </c>
      <c r="D5212" s="2" t="s">
        <v>17</v>
      </c>
      <c r="E5212" s="5">
        <v>-31432</v>
      </c>
      <c r="F5212" s="3" t="s">
        <v>702</v>
      </c>
      <c r="G5212" s="3" t="s">
        <v>54</v>
      </c>
      <c r="H5212" s="2" t="s">
        <v>29</v>
      </c>
      <c r="I5212" s="2" t="s">
        <v>10881</v>
      </c>
      <c r="J5212" s="3" t="str">
        <f>HYPERLINK("https://www.boe.es/gazeta/dias/1813/12/09/pdfs/GMR-1813-85.pdf#page=3","Abrir facsímil")</f>
        <v>Abrir facsímil</v>
      </c>
      <c r="K5212" s="3" t="s">
        <v>31</v>
      </c>
    </row>
    <row r="5213" spans="1:11" ht="42" customHeight="1">
      <c r="A5213" s="2" t="s">
        <v>10848</v>
      </c>
      <c r="B5213" s="2" t="s">
        <v>10849</v>
      </c>
      <c r="C5213" s="2" t="s">
        <v>16</v>
      </c>
      <c r="D5213" s="2" t="s">
        <v>17</v>
      </c>
      <c r="E5213" s="5">
        <v>-31430</v>
      </c>
      <c r="F5213" s="3" t="s">
        <v>1161</v>
      </c>
      <c r="G5213" s="3" t="s">
        <v>9579</v>
      </c>
      <c r="H5213" s="2" t="s">
        <v>29</v>
      </c>
      <c r="I5213" s="2" t="s">
        <v>10882</v>
      </c>
      <c r="J5213" s="3" t="str">
        <f>HYPERLINK("https://www.boe.es/gazeta/dias/1813/12/11/pdfs/GMR-1813-86.pdf#page=5","Abrir facsímil")</f>
        <v>Abrir facsímil</v>
      </c>
      <c r="K5213" s="3" t="s">
        <v>31</v>
      </c>
    </row>
    <row r="5214" spans="1:11" ht="42" customHeight="1">
      <c r="A5214" s="2" t="s">
        <v>10848</v>
      </c>
      <c r="B5214" s="2" t="s">
        <v>10849</v>
      </c>
      <c r="C5214" s="2" t="s">
        <v>16</v>
      </c>
      <c r="D5214" s="2" t="s">
        <v>17</v>
      </c>
      <c r="E5214" s="5">
        <v>-31425</v>
      </c>
      <c r="F5214" s="3" t="s">
        <v>1669</v>
      </c>
      <c r="G5214" s="3" t="s">
        <v>1670</v>
      </c>
      <c r="H5214" s="2" t="s">
        <v>29</v>
      </c>
      <c r="I5214" s="2" t="s">
        <v>10883</v>
      </c>
      <c r="J5214" s="3" t="str">
        <f>HYPERLINK("https://www.boe.es/gazeta/dias/1813/12/16/pdfs/GRE-1813-165.pdf#page=7","Abrir facsímil")</f>
        <v>Abrir facsímil</v>
      </c>
      <c r="K5214" s="3" t="s">
        <v>31</v>
      </c>
    </row>
    <row r="5215" spans="1:11" ht="42" customHeight="1">
      <c r="A5215" s="2" t="s">
        <v>10848</v>
      </c>
      <c r="B5215" s="2" t="s">
        <v>10849</v>
      </c>
      <c r="C5215" s="2" t="s">
        <v>16</v>
      </c>
      <c r="D5215" s="2" t="s">
        <v>17</v>
      </c>
      <c r="E5215" s="5">
        <v>-31420</v>
      </c>
      <c r="F5215" s="3" t="s">
        <v>145</v>
      </c>
      <c r="G5215" s="3" t="s">
        <v>5339</v>
      </c>
      <c r="H5215" s="2" t="s">
        <v>29</v>
      </c>
      <c r="I5215" s="2" t="s">
        <v>10884</v>
      </c>
      <c r="J5215" s="3" t="str">
        <f>HYPERLINK("https://www.boe.es/gazeta/dias/1813/12/21/pdfs/GMR-1813-90.pdf#page=12","Abrir facsímil")</f>
        <v>Abrir facsímil</v>
      </c>
      <c r="K5215" s="3" t="s">
        <v>31</v>
      </c>
    </row>
    <row r="5216" spans="1:11" ht="42" customHeight="1">
      <c r="A5216" s="2" t="s">
        <v>10885</v>
      </c>
      <c r="B5216" s="2" t="s">
        <v>10886</v>
      </c>
      <c r="C5216" s="2" t="s">
        <v>16</v>
      </c>
      <c r="D5216" s="2" t="s">
        <v>17</v>
      </c>
      <c r="E5216" s="5">
        <v>-31640</v>
      </c>
      <c r="F5216" s="3" t="s">
        <v>2392</v>
      </c>
      <c r="G5216" s="3" t="s">
        <v>3589</v>
      </c>
      <c r="H5216" s="2" t="s">
        <v>20</v>
      </c>
      <c r="I5216" s="2" t="s">
        <v>10887</v>
      </c>
      <c r="J5216" s="3" t="str">
        <f>HYPERLINK("https://www.boe.es/gazeta/dias/1813/05/15/pdfs/GRE-1813-60.pdf#page=4","Abrir facsímil")</f>
        <v>Abrir facsímil</v>
      </c>
      <c r="K5216" s="3" t="s">
        <v>22</v>
      </c>
    </row>
    <row r="5217" spans="1:11" ht="42" customHeight="1">
      <c r="A5217" s="2" t="s">
        <v>10888</v>
      </c>
      <c r="B5217" s="2" t="s">
        <v>10889</v>
      </c>
      <c r="C5217" s="2" t="s">
        <v>16</v>
      </c>
      <c r="D5217" s="2" t="s">
        <v>17</v>
      </c>
      <c r="E5217" s="5">
        <v>-31591</v>
      </c>
      <c r="F5217" s="3" t="s">
        <v>2123</v>
      </c>
      <c r="G5217" s="3" t="s">
        <v>19</v>
      </c>
      <c r="H5217" s="2" t="s">
        <v>29</v>
      </c>
      <c r="I5217" s="2" t="s">
        <v>10890</v>
      </c>
      <c r="J5217" s="3" t="str">
        <f>HYPERLINK("https://www.boe.es/gazeta/dias/1813/07/03/pdfs/GRE-1813-83.pdf#page=4","Abrir facsímil")</f>
        <v>Abrir facsímil</v>
      </c>
      <c r="K5217" s="3" t="s">
        <v>31</v>
      </c>
    </row>
    <row r="5218" spans="1:11" ht="42" customHeight="1">
      <c r="A5218" s="2" t="s">
        <v>10891</v>
      </c>
      <c r="B5218" s="2" t="s">
        <v>10892</v>
      </c>
      <c r="C5218" s="2" t="s">
        <v>16</v>
      </c>
      <c r="D5218" s="2" t="s">
        <v>17</v>
      </c>
      <c r="E5218" s="5">
        <v>-31770</v>
      </c>
      <c r="F5218" s="3" t="s">
        <v>188</v>
      </c>
      <c r="G5218" s="3" t="s">
        <v>95</v>
      </c>
      <c r="H5218" s="2" t="s">
        <v>29</v>
      </c>
      <c r="I5218" s="2" t="s">
        <v>10893</v>
      </c>
      <c r="J5218" s="3" t="str">
        <f>HYPERLINK("https://www.boe.es/gazeta/dias/1813/01/05/pdfs/GRE-1813-3.pdf#page=6","Abrir facsímil")</f>
        <v>Abrir facsímil</v>
      </c>
      <c r="K5218" s="3" t="s">
        <v>31</v>
      </c>
    </row>
    <row r="5219" spans="1:11" ht="42" customHeight="1">
      <c r="A5219" s="2" t="s">
        <v>10891</v>
      </c>
      <c r="B5219" s="2" t="s">
        <v>10892</v>
      </c>
      <c r="C5219" s="2" t="s">
        <v>16</v>
      </c>
      <c r="D5219" s="2" t="s">
        <v>17</v>
      </c>
      <c r="E5219" s="5">
        <v>-31768</v>
      </c>
      <c r="F5219" s="3" t="s">
        <v>188</v>
      </c>
      <c r="G5219" s="3" t="s">
        <v>95</v>
      </c>
      <c r="H5219" s="2" t="s">
        <v>29</v>
      </c>
      <c r="I5219" s="2" t="s">
        <v>10893</v>
      </c>
      <c r="J5219" s="3" t="str">
        <f>HYPERLINK("https://www.boe.es/gazeta/dias/1813/01/07/pdfs/GRE-1813-3.pdf#page=6","Abrir facsímil")</f>
        <v>Abrir facsímil</v>
      </c>
      <c r="K5219" s="3" t="s">
        <v>31</v>
      </c>
    </row>
    <row r="5220" spans="1:11" ht="42" customHeight="1">
      <c r="A5220" s="2" t="s">
        <v>10894</v>
      </c>
      <c r="B5220" s="2" t="s">
        <v>10895</v>
      </c>
      <c r="C5220" s="2" t="s">
        <v>16</v>
      </c>
      <c r="D5220" s="2" t="s">
        <v>17</v>
      </c>
      <c r="E5220" s="5">
        <v>-31637</v>
      </c>
      <c r="F5220" s="3" t="s">
        <v>234</v>
      </c>
      <c r="G5220" s="3" t="s">
        <v>95</v>
      </c>
      <c r="H5220" s="2" t="s">
        <v>29</v>
      </c>
      <c r="I5220" s="2" t="s">
        <v>10896</v>
      </c>
      <c r="J5220" s="3" t="str">
        <f>HYPERLINK("https://www.boe.es/gazeta/dias/1813/05/18/pdfs/GRE-1813-61.pdf#page=6","Abrir facsímil")</f>
        <v>Abrir facsímil</v>
      </c>
      <c r="K5220" s="3" t="s">
        <v>31</v>
      </c>
    </row>
    <row r="5221" spans="1:11" ht="42" customHeight="1">
      <c r="A5221" s="2" t="s">
        <v>10897</v>
      </c>
      <c r="B5221" s="2" t="s">
        <v>10898</v>
      </c>
      <c r="C5221" s="2" t="s">
        <v>16</v>
      </c>
      <c r="D5221" s="2" t="s">
        <v>17</v>
      </c>
      <c r="E5221" s="5">
        <v>-31600</v>
      </c>
      <c r="F5221" s="3" t="s">
        <v>2121</v>
      </c>
      <c r="G5221" s="3" t="s">
        <v>54</v>
      </c>
      <c r="H5221" s="2" t="s">
        <v>29</v>
      </c>
      <c r="I5221" s="2" t="s">
        <v>10899</v>
      </c>
      <c r="J5221" s="3" t="str">
        <f>HYPERLINK("https://www.boe.es/gazeta/dias/1813/06/24/pdfs/GRE-1813-78.pdf#page=3","Abrir facsímil")</f>
        <v>Abrir facsímil</v>
      </c>
      <c r="K5221" s="3" t="s">
        <v>31</v>
      </c>
    </row>
    <row r="5222" spans="1:11" ht="42" customHeight="1">
      <c r="A5222" s="2" t="s">
        <v>10900</v>
      </c>
      <c r="B5222" s="2" t="s">
        <v>10901</v>
      </c>
      <c r="C5222" s="2" t="s">
        <v>435</v>
      </c>
      <c r="D5222" s="2" t="s">
        <v>26</v>
      </c>
      <c r="E5222" s="5">
        <v>-31556</v>
      </c>
      <c r="F5222" s="3" t="s">
        <v>118</v>
      </c>
      <c r="G5222" s="3" t="s">
        <v>28</v>
      </c>
      <c r="H5222" s="2" t="s">
        <v>20</v>
      </c>
      <c r="I5222" s="2" t="s">
        <v>10902</v>
      </c>
      <c r="J5222" s="3" t="str">
        <f>HYPERLINK("https://www.boe.es/gazeta/dias/1813/08/07/pdfs/GMR-1813-25.pdf#page=8","Abrir facsímil")</f>
        <v>Abrir facsímil</v>
      </c>
      <c r="K5222" s="3" t="s">
        <v>22</v>
      </c>
    </row>
    <row r="5223" spans="1:11" ht="42" customHeight="1">
      <c r="A5223" s="2" t="s">
        <v>10903</v>
      </c>
      <c r="B5223" s="2" t="s">
        <v>10904</v>
      </c>
      <c r="C5223" s="2" t="s">
        <v>16</v>
      </c>
      <c r="D5223" s="2" t="s">
        <v>17</v>
      </c>
      <c r="E5223" s="5">
        <v>-31465</v>
      </c>
      <c r="F5223" s="3" t="s">
        <v>2930</v>
      </c>
      <c r="G5223" s="3" t="s">
        <v>28</v>
      </c>
      <c r="H5223" s="2" t="s">
        <v>20</v>
      </c>
      <c r="I5223" s="2" t="s">
        <v>10905</v>
      </c>
      <c r="J5223" s="3" t="str">
        <f>HYPERLINK("https://www.boe.es/gazeta/dias/1813/11/06/pdfs/GRE-1813-145.pdf#page=8","Abrir facsímil")</f>
        <v>Abrir facsímil</v>
      </c>
      <c r="K5223" s="3" t="s">
        <v>22</v>
      </c>
    </row>
    <row r="5224" spans="1:11" ht="42" customHeight="1">
      <c r="A5224" s="2" t="s">
        <v>10906</v>
      </c>
      <c r="B5224" s="2" t="s">
        <v>10907</v>
      </c>
      <c r="C5224" s="2" t="s">
        <v>16</v>
      </c>
      <c r="D5224" s="2" t="s">
        <v>17</v>
      </c>
      <c r="E5224" s="5">
        <v>-31728</v>
      </c>
      <c r="F5224" s="3" t="s">
        <v>1434</v>
      </c>
      <c r="G5224" s="3" t="s">
        <v>87</v>
      </c>
      <c r="H5224" s="2" t="s">
        <v>29</v>
      </c>
      <c r="I5224" s="2" t="s">
        <v>10908</v>
      </c>
      <c r="J5224" s="3" t="str">
        <f>HYPERLINK("https://www.boe.es/gazeta/dias/1813/02/16/pdfs/GRE-1813-20.pdf#page=7","Abrir facsímil")</f>
        <v>Abrir facsímil</v>
      </c>
      <c r="K5224" s="3" t="s">
        <v>31</v>
      </c>
    </row>
    <row r="5225" spans="1:11" ht="42" customHeight="1">
      <c r="A5225" s="2" t="s">
        <v>10909</v>
      </c>
      <c r="B5225" s="2" t="s">
        <v>10910</v>
      </c>
      <c r="C5225" s="2" t="s">
        <v>34</v>
      </c>
      <c r="D5225" s="2" t="s">
        <v>35</v>
      </c>
      <c r="E5225" s="5">
        <v>-31658</v>
      </c>
      <c r="F5225" s="3" t="s">
        <v>1113</v>
      </c>
      <c r="G5225" s="3" t="s">
        <v>1091</v>
      </c>
      <c r="H5225" s="2" t="s">
        <v>20</v>
      </c>
      <c r="I5225" s="2" t="s">
        <v>10911</v>
      </c>
      <c r="J5225" s="3" t="str">
        <f>HYPERLINK("https://www.boe.es/gazeta/dias/1813/04/27/pdfs/GRE-1813-52.pdf#page=7","Abrir facsímil")</f>
        <v>Abrir facsímil</v>
      </c>
      <c r="K5225" s="3" t="s">
        <v>22</v>
      </c>
    </row>
    <row r="5226" spans="1:11" ht="42" customHeight="1">
      <c r="A5226" s="2" t="s">
        <v>10912</v>
      </c>
      <c r="B5226" s="2" t="s">
        <v>10913</v>
      </c>
      <c r="C5226" s="2" t="s">
        <v>16</v>
      </c>
      <c r="D5226" s="2" t="s">
        <v>17</v>
      </c>
      <c r="E5226" s="5">
        <v>-31514</v>
      </c>
      <c r="F5226" s="3" t="s">
        <v>2099</v>
      </c>
      <c r="G5226" s="3" t="s">
        <v>19</v>
      </c>
      <c r="H5226" s="2" t="s">
        <v>20</v>
      </c>
      <c r="I5226" s="2" t="s">
        <v>10914</v>
      </c>
      <c r="J5226" s="3" t="str">
        <f>HYPERLINK("https://www.boe.es/gazeta/dias/1813/09/18/pdfs/GMR-1813-45.pdf#page=4","Abrir facsímil")</f>
        <v>Abrir facsímil</v>
      </c>
      <c r="K5226" s="3" t="s">
        <v>22</v>
      </c>
    </row>
    <row r="5227" spans="1:11" ht="42" customHeight="1">
      <c r="A5227" s="2" t="s">
        <v>10915</v>
      </c>
      <c r="B5227" s="2" t="s">
        <v>10916</v>
      </c>
      <c r="C5227" s="2" t="s">
        <v>16</v>
      </c>
      <c r="D5227" s="2" t="s">
        <v>17</v>
      </c>
      <c r="E5227" s="5">
        <v>-31521</v>
      </c>
      <c r="F5227" s="3" t="s">
        <v>1282</v>
      </c>
      <c r="G5227" s="3" t="s">
        <v>95</v>
      </c>
      <c r="H5227" s="2" t="s">
        <v>20</v>
      </c>
      <c r="I5227" s="2" t="s">
        <v>10917</v>
      </c>
      <c r="J5227" s="3" t="str">
        <f>HYPERLINK("https://www.boe.es/gazeta/dias/1813/09/11/pdfs/GMR-1813-41.pdf#page=6","Abrir facsímil")</f>
        <v>Abrir facsímil</v>
      </c>
      <c r="K5227" s="3" t="s">
        <v>22</v>
      </c>
    </row>
    <row r="5228" spans="1:11" ht="42" customHeight="1">
      <c r="A5228" s="2" t="s">
        <v>10918</v>
      </c>
      <c r="B5228" s="2" t="s">
        <v>10918</v>
      </c>
      <c r="C5228" s="2" t="s">
        <v>16</v>
      </c>
      <c r="D5228" s="2" t="s">
        <v>17</v>
      </c>
      <c r="E5228" s="5">
        <v>-31514</v>
      </c>
      <c r="F5228" s="3" t="s">
        <v>1095</v>
      </c>
      <c r="G5228" s="3" t="s">
        <v>82</v>
      </c>
      <c r="H5228" s="2" t="s">
        <v>20</v>
      </c>
      <c r="I5228" s="2" t="s">
        <v>10919</v>
      </c>
      <c r="J5228" s="3" t="str">
        <f>HYPERLINK("https://www.boe.es/gazeta/dias/1813/09/18/pdfs/GRE-1813-121.pdf#page=5","Abrir facsímil")</f>
        <v>Abrir facsímil</v>
      </c>
      <c r="K5228" s="3" t="s">
        <v>22</v>
      </c>
    </row>
    <row r="5229" spans="1:11" ht="42" customHeight="1">
      <c r="A5229" s="2" t="s">
        <v>10920</v>
      </c>
      <c r="B5229" s="2" t="s">
        <v>10921</v>
      </c>
      <c r="C5229" s="2" t="s">
        <v>16</v>
      </c>
      <c r="D5229" s="2" t="s">
        <v>97</v>
      </c>
      <c r="E5229" s="5">
        <v>-31519</v>
      </c>
      <c r="F5229" s="3" t="s">
        <v>312</v>
      </c>
      <c r="G5229" s="3" t="s">
        <v>95</v>
      </c>
      <c r="H5229" s="2" t="s">
        <v>20</v>
      </c>
      <c r="I5229" s="2" t="s">
        <v>10922</v>
      </c>
      <c r="J5229" s="3" t="str">
        <f>HYPERLINK("https://www.boe.es/gazeta/dias/1813/09/13/pdfs/GRE-1813-118E.pdf#page=6","Abrir facsímil")</f>
        <v>Abrir facsímil</v>
      </c>
      <c r="K5229" s="3" t="s">
        <v>22</v>
      </c>
    </row>
    <row r="5230" spans="1:11" ht="42" customHeight="1">
      <c r="A5230" s="2" t="s">
        <v>10923</v>
      </c>
      <c r="B5230" s="2" t="s">
        <v>10924</v>
      </c>
      <c r="C5230" s="2" t="s">
        <v>25</v>
      </c>
      <c r="D5230" s="2" t="s">
        <v>26</v>
      </c>
      <c r="E5230" s="5">
        <v>-31745</v>
      </c>
      <c r="F5230" s="3" t="s">
        <v>445</v>
      </c>
      <c r="G5230" s="3" t="s">
        <v>28</v>
      </c>
      <c r="H5230" s="2" t="s">
        <v>20</v>
      </c>
      <c r="I5230" s="2" t="s">
        <v>10925</v>
      </c>
      <c r="J5230" s="3" t="str">
        <f>HYPERLINK("https://www.boe.es/gazeta/dias/1813/01/30/pdfs/GRE-1813-13.pdf#page=8","Abrir facsímil")</f>
        <v>Abrir facsímil</v>
      </c>
      <c r="K5230" s="3" t="s">
        <v>22</v>
      </c>
    </row>
    <row r="5231" spans="1:11" ht="42" customHeight="1">
      <c r="A5231" s="2" t="s">
        <v>10926</v>
      </c>
      <c r="B5231" s="2" t="s">
        <v>10927</v>
      </c>
      <c r="C5231" s="2" t="s">
        <v>25</v>
      </c>
      <c r="D5231" s="2" t="s">
        <v>26</v>
      </c>
      <c r="E5231" s="5">
        <v>-31675</v>
      </c>
      <c r="F5231" s="3" t="s">
        <v>27</v>
      </c>
      <c r="G5231" s="3" t="s">
        <v>28</v>
      </c>
      <c r="H5231" s="2" t="s">
        <v>20</v>
      </c>
      <c r="I5231" s="2" t="s">
        <v>10928</v>
      </c>
      <c r="J5231" s="3" t="str">
        <f>HYPERLINK("https://www.boe.es/gazeta/dias/1813/04/10/pdfs/GRE-1813-44.pdf#page=8","Abrir facsímil")</f>
        <v>Abrir facsímil</v>
      </c>
      <c r="K5231" s="3" t="s">
        <v>22</v>
      </c>
    </row>
    <row r="5232" spans="1:11" ht="42" customHeight="1">
      <c r="A5232" s="2" t="s">
        <v>10929</v>
      </c>
      <c r="B5232" s="2" t="s">
        <v>10930</v>
      </c>
      <c r="C5232" s="2" t="s">
        <v>16</v>
      </c>
      <c r="D5232" s="2" t="s">
        <v>17</v>
      </c>
      <c r="E5232" s="5">
        <v>-31581</v>
      </c>
      <c r="F5232" s="3" t="s">
        <v>1321</v>
      </c>
      <c r="G5232" s="3" t="s">
        <v>313</v>
      </c>
      <c r="H5232" s="2" t="s">
        <v>29</v>
      </c>
      <c r="I5232" s="2" t="s">
        <v>10931</v>
      </c>
      <c r="J5232" s="3" t="str">
        <f>HYPERLINK("https://www.boe.es/gazeta/dias/1813/07/13/pdfs/GMR-1813-17.pdf#page=9","Abrir facsímil")</f>
        <v>Abrir facsímil</v>
      </c>
      <c r="K5232" s="3" t="s">
        <v>31</v>
      </c>
    </row>
    <row r="5233" spans="1:11" ht="42" customHeight="1">
      <c r="A5233" s="2" t="s">
        <v>10932</v>
      </c>
      <c r="B5233" s="2" t="s">
        <v>10933</v>
      </c>
      <c r="C5233" s="2" t="s">
        <v>435</v>
      </c>
      <c r="D5233" s="2" t="s">
        <v>26</v>
      </c>
      <c r="E5233" s="5">
        <v>-31637</v>
      </c>
      <c r="F5233" s="3" t="s">
        <v>855</v>
      </c>
      <c r="G5233" s="3" t="s">
        <v>19</v>
      </c>
      <c r="H5233" s="2" t="s">
        <v>20</v>
      </c>
      <c r="I5233" s="2" t="s">
        <v>10934</v>
      </c>
      <c r="J5233" s="3" t="str">
        <f>HYPERLINK("https://www.boe.es/gazeta/dias/1813/05/18/pdfs/GMD-1813-138.pdf#page=4","Abrir facsímil")</f>
        <v>Abrir facsímil</v>
      </c>
      <c r="K5233" s="3" t="s">
        <v>22</v>
      </c>
    </row>
    <row r="5234" spans="1:11" ht="42" customHeight="1">
      <c r="A5234" s="2" t="s">
        <v>10935</v>
      </c>
      <c r="B5234" s="2" t="s">
        <v>10935</v>
      </c>
      <c r="C5234" s="2" t="s">
        <v>16</v>
      </c>
      <c r="D5234" s="2" t="s">
        <v>97</v>
      </c>
      <c r="E5234" s="5">
        <v>-31519</v>
      </c>
      <c r="F5234" s="3" t="s">
        <v>312</v>
      </c>
      <c r="G5234" s="3" t="s">
        <v>82</v>
      </c>
      <c r="H5234" s="2" t="s">
        <v>20</v>
      </c>
      <c r="I5234" s="2" t="s">
        <v>10936</v>
      </c>
      <c r="J5234" s="3" t="str">
        <f>HYPERLINK("https://www.boe.es/gazeta/dias/1813/09/13/pdfs/GRE-1813-118E.pdf#page=5","Abrir facsímil")</f>
        <v>Abrir facsímil</v>
      </c>
      <c r="K5234" s="3" t="s">
        <v>22</v>
      </c>
    </row>
    <row r="5235" spans="1:11" ht="42" customHeight="1">
      <c r="A5235" s="2" t="s">
        <v>10937</v>
      </c>
      <c r="B5235" s="2" t="s">
        <v>10937</v>
      </c>
      <c r="C5235" s="2" t="s">
        <v>16</v>
      </c>
      <c r="D5235" s="2" t="s">
        <v>17</v>
      </c>
      <c r="E5235" s="5">
        <v>-31511</v>
      </c>
      <c r="F5235" s="3" t="s">
        <v>935</v>
      </c>
      <c r="G5235" s="3" t="s">
        <v>178</v>
      </c>
      <c r="H5235" s="2" t="s">
        <v>20</v>
      </c>
      <c r="I5235" s="2" t="s">
        <v>10938</v>
      </c>
      <c r="J5235" s="3" t="str">
        <f>HYPERLINK("https://www.boe.es/gazeta/dias/1813/09/21/pdfs/GMR-1813-46.pdf#page=11","Abrir facsímil")</f>
        <v>Abrir facsímil</v>
      </c>
      <c r="K5235" s="3" t="s">
        <v>22</v>
      </c>
    </row>
    <row r="5236" spans="1:11" ht="42" customHeight="1">
      <c r="A5236" s="2" t="s">
        <v>10939</v>
      </c>
      <c r="B5236" s="2" t="s">
        <v>10939</v>
      </c>
      <c r="C5236" s="2" t="s">
        <v>16</v>
      </c>
      <c r="D5236" s="2" t="s">
        <v>17</v>
      </c>
      <c r="E5236" s="5">
        <v>-31766</v>
      </c>
      <c r="F5236" s="3" t="s">
        <v>1356</v>
      </c>
      <c r="G5236" s="3" t="s">
        <v>4703</v>
      </c>
      <c r="H5236" s="2" t="s">
        <v>20</v>
      </c>
      <c r="I5236" s="2" t="s">
        <v>10940</v>
      </c>
      <c r="J5236" s="3" t="str">
        <f>HYPERLINK("https://www.boe.es/gazeta/dias/1813/01/09/pdfs/GRE-1813-4.pdf#page=5","Abrir facsímil")</f>
        <v>Abrir facsímil</v>
      </c>
      <c r="K5236" s="3" t="s">
        <v>22</v>
      </c>
    </row>
    <row r="5237" spans="1:11" ht="42" customHeight="1">
      <c r="A5237" s="2" t="s">
        <v>10941</v>
      </c>
      <c r="B5237" s="2" t="s">
        <v>10941</v>
      </c>
      <c r="C5237" s="2" t="s">
        <v>16</v>
      </c>
      <c r="D5237" s="2" t="s">
        <v>17</v>
      </c>
      <c r="E5237" s="5">
        <v>-31586</v>
      </c>
      <c r="F5237" s="3" t="s">
        <v>2807</v>
      </c>
      <c r="G5237" s="3" t="s">
        <v>87</v>
      </c>
      <c r="H5237" s="2" t="s">
        <v>20</v>
      </c>
      <c r="I5237" s="2" t="s">
        <v>10942</v>
      </c>
      <c r="J5237" s="3" t="str">
        <f>HYPERLINK("https://www.boe.es/gazeta/dias/1813/07/08/pdfs/GRE-1813-85.pdf#page=7","Abrir facsímil")</f>
        <v>Abrir facsímil</v>
      </c>
      <c r="K5237" s="3" t="s">
        <v>22</v>
      </c>
    </row>
    <row r="5238" spans="1:11" ht="42" customHeight="1">
      <c r="A5238" s="2" t="s">
        <v>10943</v>
      </c>
      <c r="B5238" s="2" t="s">
        <v>10943</v>
      </c>
      <c r="C5238" s="2" t="s">
        <v>16</v>
      </c>
      <c r="D5238" s="2" t="s">
        <v>97</v>
      </c>
      <c r="E5238" s="5">
        <v>-31576</v>
      </c>
      <c r="F5238" s="3" t="s">
        <v>1981</v>
      </c>
      <c r="G5238" s="3" t="s">
        <v>54</v>
      </c>
      <c r="H5238" s="2" t="s">
        <v>20</v>
      </c>
      <c r="I5238" s="2" t="s">
        <v>10944</v>
      </c>
      <c r="J5238" s="3" t="str">
        <f>HYPERLINK("https://www.boe.es/gazeta/dias/1813/07/18/pdfs/GRE-1813-91E.pdf#page=3","Abrir facsímil")</f>
        <v>Abrir facsímil</v>
      </c>
      <c r="K5238" s="3" t="s">
        <v>22</v>
      </c>
    </row>
    <row r="5239" spans="1:11" ht="42" customHeight="1">
      <c r="A5239" s="2" t="s">
        <v>10943</v>
      </c>
      <c r="B5239" s="2" t="s">
        <v>10943</v>
      </c>
      <c r="C5239" s="2" t="s">
        <v>16</v>
      </c>
      <c r="D5239" s="2" t="s">
        <v>17</v>
      </c>
      <c r="E5239" s="5">
        <v>-31564</v>
      </c>
      <c r="F5239" s="3" t="s">
        <v>206</v>
      </c>
      <c r="G5239" s="3" t="s">
        <v>207</v>
      </c>
      <c r="H5239" s="2" t="s">
        <v>20</v>
      </c>
      <c r="I5239" s="2" t="s">
        <v>10945</v>
      </c>
      <c r="J5239" s="3" t="str">
        <f>HYPERLINK("https://www.boe.es/gazeta/dias/1813/07/30/pdfs/GMR-1813-22.pdf#page=10","Abrir facsímil")</f>
        <v>Abrir facsímil</v>
      </c>
      <c r="K5239" s="3" t="s">
        <v>22</v>
      </c>
    </row>
    <row r="5240" spans="1:11" ht="42" customHeight="1">
      <c r="A5240" s="2" t="s">
        <v>10946</v>
      </c>
      <c r="B5240" s="2" t="s">
        <v>10947</v>
      </c>
      <c r="C5240" s="2" t="s">
        <v>16</v>
      </c>
      <c r="D5240" s="2" t="s">
        <v>17</v>
      </c>
      <c r="E5240" s="5">
        <v>-31656</v>
      </c>
      <c r="F5240" s="3" t="s">
        <v>576</v>
      </c>
      <c r="G5240" s="3" t="s">
        <v>19</v>
      </c>
      <c r="H5240" s="2" t="s">
        <v>20</v>
      </c>
      <c r="I5240" s="2" t="s">
        <v>10948</v>
      </c>
      <c r="J5240" s="3" t="str">
        <f>HYPERLINK("https://www.boe.es/gazeta/dias/1813/04/29/pdfs/GRE-1813-53.pdf#page=4","Abrir facsímil")</f>
        <v>Abrir facsímil</v>
      </c>
      <c r="K5240" s="3" t="s">
        <v>22</v>
      </c>
    </row>
    <row r="5241" spans="1:11" ht="42" customHeight="1">
      <c r="A5241" s="2" t="s">
        <v>10949</v>
      </c>
      <c r="B5241" s="2" t="s">
        <v>10950</v>
      </c>
      <c r="C5241" s="2" t="s">
        <v>34</v>
      </c>
      <c r="D5241" s="2" t="s">
        <v>35</v>
      </c>
      <c r="E5241" s="5">
        <v>-31558</v>
      </c>
      <c r="F5241" s="3" t="s">
        <v>1288</v>
      </c>
      <c r="G5241" s="3" t="s">
        <v>28</v>
      </c>
      <c r="H5241" s="2" t="s">
        <v>20</v>
      </c>
      <c r="I5241" s="2" t="s">
        <v>10951</v>
      </c>
      <c r="J5241" s="3" t="str">
        <f>HYPERLINK("https://www.boe.es/gazeta/dias/1813/08/05/pdfs/GMR-1813-24.pdf#page=8","Abrir facsímil")</f>
        <v>Abrir facsímil</v>
      </c>
      <c r="K5241" s="3" t="s">
        <v>22</v>
      </c>
    </row>
    <row r="5242" spans="1:11" ht="42" customHeight="1">
      <c r="A5242" s="2" t="s">
        <v>10952</v>
      </c>
      <c r="B5242" s="2" t="s">
        <v>10953</v>
      </c>
      <c r="C5242" s="2" t="s">
        <v>34</v>
      </c>
      <c r="D5242" s="2" t="s">
        <v>35</v>
      </c>
      <c r="E5242" s="5">
        <v>-31709</v>
      </c>
      <c r="F5242" s="3" t="s">
        <v>36</v>
      </c>
      <c r="G5242" s="3" t="s">
        <v>19</v>
      </c>
      <c r="H5242" s="2" t="s">
        <v>20</v>
      </c>
      <c r="I5242" s="2" t="s">
        <v>10954</v>
      </c>
      <c r="J5242" s="3" t="str">
        <f>HYPERLINK("https://www.boe.es/gazeta/dias/1813/03/07/pdfs/GMD-1813-66.pdf#page=4","Abrir facsímil")</f>
        <v>Abrir facsímil</v>
      </c>
      <c r="K5242" s="3" t="s">
        <v>22</v>
      </c>
    </row>
    <row r="5243" spans="1:11" ht="42" customHeight="1">
      <c r="A5243" s="2" t="s">
        <v>10955</v>
      </c>
      <c r="B5243" s="2" t="s">
        <v>10956</v>
      </c>
      <c r="C5243" s="2" t="s">
        <v>25</v>
      </c>
      <c r="D5243" s="2" t="s">
        <v>26</v>
      </c>
      <c r="E5243" s="5">
        <v>-31677</v>
      </c>
      <c r="F5243" s="3" t="s">
        <v>76</v>
      </c>
      <c r="G5243" s="3" t="s">
        <v>28</v>
      </c>
      <c r="H5243" s="2" t="s">
        <v>20</v>
      </c>
      <c r="I5243" s="2" t="s">
        <v>10957</v>
      </c>
      <c r="J5243" s="3" t="str">
        <f>HYPERLINK("https://www.boe.es/gazeta/dias/1813/04/08/pdfs/GRE-1813-43.pdf#page=8","Abrir facsímil")</f>
        <v>Abrir facsímil</v>
      </c>
      <c r="K5243" s="3" t="s">
        <v>22</v>
      </c>
    </row>
    <row r="5244" spans="1:11" ht="42" customHeight="1">
      <c r="A5244" s="2" t="s">
        <v>10958</v>
      </c>
      <c r="B5244" s="2" t="s">
        <v>10958</v>
      </c>
      <c r="C5244" s="2" t="s">
        <v>16</v>
      </c>
      <c r="D5244" s="2" t="s">
        <v>17</v>
      </c>
      <c r="E5244" s="5">
        <v>-31679</v>
      </c>
      <c r="F5244" s="3" t="s">
        <v>571</v>
      </c>
      <c r="G5244" s="3" t="s">
        <v>2884</v>
      </c>
      <c r="H5244" s="2" t="s">
        <v>20</v>
      </c>
      <c r="I5244" s="2" t="s">
        <v>10959</v>
      </c>
      <c r="J5244" s="3" t="str">
        <f>HYPERLINK("https://www.boe.es/gazeta/dias/1813/04/06/pdfs/GRE-1813-42.pdf#page=7","Abrir facsímil")</f>
        <v>Abrir facsímil</v>
      </c>
      <c r="K5244" s="3" t="s">
        <v>22</v>
      </c>
    </row>
    <row r="5245" spans="1:11" ht="42" customHeight="1">
      <c r="A5245" s="2" t="s">
        <v>10958</v>
      </c>
      <c r="B5245" s="2" t="s">
        <v>10958</v>
      </c>
      <c r="C5245" s="2" t="s">
        <v>16</v>
      </c>
      <c r="D5245" s="2" t="s">
        <v>17</v>
      </c>
      <c r="E5245" s="5">
        <v>-31658</v>
      </c>
      <c r="F5245" s="3" t="s">
        <v>1113</v>
      </c>
      <c r="G5245" s="3" t="s">
        <v>1926</v>
      </c>
      <c r="H5245" s="2" t="s">
        <v>20</v>
      </c>
      <c r="I5245" s="2" t="s">
        <v>10960</v>
      </c>
      <c r="J5245" s="3" t="str">
        <f>HYPERLINK("https://www.boe.es/gazeta/dias/1813/04/27/pdfs/GRE-1813-52.pdf#page=5","Abrir facsímil")</f>
        <v>Abrir facsímil</v>
      </c>
      <c r="K5245" s="3" t="s">
        <v>22</v>
      </c>
    </row>
    <row r="5246" spans="1:11" ht="42" customHeight="1">
      <c r="A5246" s="2" t="s">
        <v>10961</v>
      </c>
      <c r="B5246" s="2" t="s">
        <v>10962</v>
      </c>
      <c r="C5246" s="2" t="s">
        <v>16</v>
      </c>
      <c r="D5246" s="2" t="s">
        <v>17</v>
      </c>
      <c r="E5246" s="5">
        <v>-31411</v>
      </c>
      <c r="F5246" s="3" t="s">
        <v>3702</v>
      </c>
      <c r="G5246" s="3" t="s">
        <v>95</v>
      </c>
      <c r="H5246" s="2" t="s">
        <v>20</v>
      </c>
      <c r="I5246" s="2" t="s">
        <v>10963</v>
      </c>
      <c r="J5246" s="3" t="str">
        <f>HYPERLINK("https://www.boe.es/gazeta/dias/1813/12/30/pdfs/GRE-1813-171.pdf#page=6","Abrir facsímil")</f>
        <v>Abrir facsímil</v>
      </c>
      <c r="K5246" s="3" t="s">
        <v>22</v>
      </c>
    </row>
    <row r="5247" spans="1:11" ht="42" customHeight="1">
      <c r="A5247" s="2" t="s">
        <v>10964</v>
      </c>
      <c r="B5247" s="2" t="s">
        <v>10964</v>
      </c>
      <c r="C5247" s="2" t="s">
        <v>16</v>
      </c>
      <c r="D5247" s="2" t="s">
        <v>17</v>
      </c>
      <c r="E5247" s="5">
        <v>-31504</v>
      </c>
      <c r="F5247" s="3" t="s">
        <v>1361</v>
      </c>
      <c r="G5247" s="3" t="s">
        <v>19</v>
      </c>
      <c r="H5247" s="2" t="s">
        <v>20</v>
      </c>
      <c r="I5247" s="2" t="s">
        <v>10965</v>
      </c>
      <c r="J5247" s="3" t="str">
        <f>HYPERLINK("https://www.boe.es/gazeta/dias/1813/09/28/pdfs/GMR-1813-50.pdf#page=4","Abrir facsímil")</f>
        <v>Abrir facsímil</v>
      </c>
      <c r="K5247" s="3" t="s">
        <v>22</v>
      </c>
    </row>
    <row r="5248" spans="1:11" ht="42" customHeight="1">
      <c r="A5248" s="2" t="s">
        <v>10966</v>
      </c>
      <c r="B5248" s="2" t="s">
        <v>10967</v>
      </c>
      <c r="C5248" s="2" t="s">
        <v>109</v>
      </c>
      <c r="D5248" s="2" t="s">
        <v>26</v>
      </c>
      <c r="E5248" s="5">
        <v>-31637</v>
      </c>
      <c r="F5248" s="3" t="s">
        <v>234</v>
      </c>
      <c r="G5248" s="3" t="s">
        <v>1788</v>
      </c>
      <c r="H5248" s="2" t="s">
        <v>20</v>
      </c>
      <c r="I5248" s="2" t="s">
        <v>10968</v>
      </c>
      <c r="J5248" s="3" t="str">
        <f>HYPERLINK("https://www.boe.es/gazeta/dias/1813/05/18/pdfs/GRE-1813-61.pdf#page=8","Abrir facsímil")</f>
        <v>Abrir facsímil</v>
      </c>
      <c r="K5248" s="3" t="s">
        <v>22</v>
      </c>
    </row>
    <row r="5249" spans="1:11" ht="42" customHeight="1">
      <c r="A5249" s="2" t="s">
        <v>10969</v>
      </c>
      <c r="B5249" s="2" t="s">
        <v>10969</v>
      </c>
      <c r="C5249" s="2" t="s">
        <v>16</v>
      </c>
      <c r="D5249" s="2" t="s">
        <v>97</v>
      </c>
      <c r="E5249" s="5">
        <v>-31499</v>
      </c>
      <c r="F5249" s="3" t="s">
        <v>220</v>
      </c>
      <c r="G5249" s="3" t="s">
        <v>207</v>
      </c>
      <c r="H5249" s="2" t="s">
        <v>20</v>
      </c>
      <c r="I5249" s="2" t="s">
        <v>10970</v>
      </c>
      <c r="J5249" s="3" t="str">
        <f>HYPERLINK("https://www.boe.es/gazeta/dias/1813/10/03/pdfs/GMR-1813-53E.pdf#page=10","Abrir facsímil")</f>
        <v>Abrir facsímil</v>
      </c>
      <c r="K5249" s="3" t="s">
        <v>22</v>
      </c>
    </row>
    <row r="5250" spans="1:11" ht="42" customHeight="1">
      <c r="A5250" s="2" t="s">
        <v>10971</v>
      </c>
      <c r="B5250" s="2" t="s">
        <v>10971</v>
      </c>
      <c r="C5250" s="2" t="s">
        <v>25</v>
      </c>
      <c r="D5250" s="2" t="s">
        <v>26</v>
      </c>
      <c r="E5250" s="5">
        <v>-31671</v>
      </c>
      <c r="F5250" s="3" t="s">
        <v>8567</v>
      </c>
      <c r="G5250" s="3" t="s">
        <v>65</v>
      </c>
      <c r="H5250" s="2" t="s">
        <v>20</v>
      </c>
      <c r="I5250" s="2" t="s">
        <v>10972</v>
      </c>
      <c r="J5250" s="3" t="str">
        <f>HYPERLINK("https://www.boe.es/gazeta/dias/1813/04/14/pdfs/GMD-1813-104.pdf#page=1","Abrir facsímil")</f>
        <v>Abrir facsímil</v>
      </c>
      <c r="K5250" s="3" t="s">
        <v>22</v>
      </c>
    </row>
    <row r="5251" spans="1:11" ht="42" customHeight="1">
      <c r="A5251" s="2" t="s">
        <v>10973</v>
      </c>
      <c r="B5251" s="2" t="s">
        <v>10974</v>
      </c>
      <c r="C5251" s="2" t="s">
        <v>25</v>
      </c>
      <c r="D5251" s="2" t="s">
        <v>26</v>
      </c>
      <c r="E5251" s="5">
        <v>-31752</v>
      </c>
      <c r="F5251" s="3" t="s">
        <v>7642</v>
      </c>
      <c r="G5251" s="3" t="s">
        <v>54</v>
      </c>
      <c r="H5251" s="2" t="s">
        <v>20</v>
      </c>
      <c r="I5251" s="2" t="s">
        <v>10975</v>
      </c>
      <c r="J5251" s="3" t="str">
        <f>HYPERLINK("https://www.boe.es/gazeta/dias/1813/01/23/pdfs/GMD-1813-23.pdf#page=3","Abrir facsímil")</f>
        <v>Abrir facsímil</v>
      </c>
      <c r="K5251" s="3" t="s">
        <v>22</v>
      </c>
    </row>
    <row r="5252" spans="1:11" ht="42" customHeight="1">
      <c r="A5252" s="2" t="s">
        <v>10976</v>
      </c>
      <c r="B5252" s="2" t="s">
        <v>10976</v>
      </c>
      <c r="C5252" s="2" t="s">
        <v>16</v>
      </c>
      <c r="D5252" s="2" t="s">
        <v>17</v>
      </c>
      <c r="E5252" s="5">
        <v>-31458</v>
      </c>
      <c r="F5252" s="3" t="s">
        <v>1171</v>
      </c>
      <c r="G5252" s="3" t="s">
        <v>54</v>
      </c>
      <c r="H5252" s="2" t="s">
        <v>20</v>
      </c>
      <c r="I5252" s="2" t="s">
        <v>10977</v>
      </c>
      <c r="J5252" s="3" t="str">
        <f>HYPERLINK("https://www.boe.es/gazeta/dias/1813/11/13/pdfs/GRE-1813-149.pdf#page=3","Abrir facsímil")</f>
        <v>Abrir facsímil</v>
      </c>
      <c r="K5252" s="3" t="s">
        <v>22</v>
      </c>
    </row>
    <row r="5253" spans="1:11" ht="42" customHeight="1">
      <c r="A5253" s="2" t="s">
        <v>10978</v>
      </c>
      <c r="B5253" s="2" t="s">
        <v>10978</v>
      </c>
      <c r="C5253" s="2" t="s">
        <v>16</v>
      </c>
      <c r="D5253" s="2" t="s">
        <v>17</v>
      </c>
      <c r="E5253" s="5">
        <v>-31578</v>
      </c>
      <c r="F5253" s="3" t="s">
        <v>974</v>
      </c>
      <c r="G5253" s="3" t="s">
        <v>65</v>
      </c>
      <c r="H5253" s="2" t="s">
        <v>20</v>
      </c>
      <c r="I5253" s="2" t="s">
        <v>10979</v>
      </c>
      <c r="J5253" s="3" t="str">
        <f>HYPERLINK("https://www.boe.es/gazeta/dias/1813/07/16/pdfs/GMR-1813-18.pdf#page=1","Abrir facsímil")</f>
        <v>Abrir facsímil</v>
      </c>
      <c r="K5253" s="3" t="s">
        <v>22</v>
      </c>
    </row>
    <row r="5254" spans="1:11" ht="42" customHeight="1">
      <c r="A5254" s="2" t="s">
        <v>10980</v>
      </c>
      <c r="B5254" s="2" t="s">
        <v>10981</v>
      </c>
      <c r="C5254" s="2" t="s">
        <v>16</v>
      </c>
      <c r="D5254" s="2" t="s">
        <v>17</v>
      </c>
      <c r="E5254" s="5">
        <v>-31642</v>
      </c>
      <c r="F5254" s="3" t="s">
        <v>582</v>
      </c>
      <c r="G5254" s="3" t="s">
        <v>65</v>
      </c>
      <c r="H5254" s="2" t="s">
        <v>20</v>
      </c>
      <c r="I5254" s="2" t="s">
        <v>10982</v>
      </c>
      <c r="J5254" s="3" t="str">
        <f>HYPERLINK("https://www.boe.es/gazeta/dias/1813/05/13/pdfs/GRE-1813-59.pdf#page=1","Abrir facsímil")</f>
        <v>Abrir facsímil</v>
      </c>
      <c r="K5254" s="3" t="s">
        <v>22</v>
      </c>
    </row>
    <row r="5255" spans="1:11" ht="42" customHeight="1">
      <c r="A5255" s="2" t="s">
        <v>10983</v>
      </c>
      <c r="B5255" s="2" t="s">
        <v>10983</v>
      </c>
      <c r="C5255" s="2" t="s">
        <v>16</v>
      </c>
      <c r="D5255" s="2" t="s">
        <v>17</v>
      </c>
      <c r="E5255" s="5">
        <v>-31723</v>
      </c>
      <c r="F5255" s="3" t="s">
        <v>273</v>
      </c>
      <c r="G5255" s="3" t="s">
        <v>54</v>
      </c>
      <c r="H5255" s="2" t="s">
        <v>20</v>
      </c>
      <c r="I5255" s="2" t="s">
        <v>10984</v>
      </c>
      <c r="J5255" s="3" t="str">
        <f>HYPERLINK("https://www.boe.es/gazeta/dias/1813/02/21/pdfs/GMD-1813-52.pdf#page=3","Abrir facsímil")</f>
        <v>Abrir facsímil</v>
      </c>
      <c r="K5255" s="3" t="s">
        <v>22</v>
      </c>
    </row>
    <row r="5256" spans="1:11" ht="42" customHeight="1">
      <c r="A5256" s="2" t="s">
        <v>10983</v>
      </c>
      <c r="B5256" s="2" t="s">
        <v>10983</v>
      </c>
      <c r="C5256" s="2" t="s">
        <v>25</v>
      </c>
      <c r="D5256" s="2" t="s">
        <v>26</v>
      </c>
      <c r="E5256" s="5">
        <v>-31678</v>
      </c>
      <c r="F5256" s="3" t="s">
        <v>8495</v>
      </c>
      <c r="G5256" s="3" t="s">
        <v>99</v>
      </c>
      <c r="H5256" s="2" t="s">
        <v>20</v>
      </c>
      <c r="I5256" s="2" t="s">
        <v>10985</v>
      </c>
      <c r="J5256" s="3" t="str">
        <f>HYPERLINK("https://www.boe.es/gazeta/dias/1813/04/07/pdfs/GMD-1813-97.pdf#page=2","Abrir facsímil")</f>
        <v>Abrir facsímil</v>
      </c>
      <c r="K5256" s="3" t="s">
        <v>22</v>
      </c>
    </row>
    <row r="5257" spans="1:11" ht="42" customHeight="1">
      <c r="A5257" s="2" t="s">
        <v>10986</v>
      </c>
      <c r="B5257" s="2" t="s">
        <v>10986</v>
      </c>
      <c r="C5257" s="2" t="s">
        <v>16</v>
      </c>
      <c r="D5257" s="2" t="s">
        <v>17</v>
      </c>
      <c r="E5257" s="5">
        <v>-31556</v>
      </c>
      <c r="F5257" s="3" t="s">
        <v>118</v>
      </c>
      <c r="G5257" s="3" t="s">
        <v>54</v>
      </c>
      <c r="H5257" s="2" t="s">
        <v>20</v>
      </c>
      <c r="I5257" s="2" t="s">
        <v>10987</v>
      </c>
      <c r="J5257" s="3" t="str">
        <f>HYPERLINK("https://www.boe.es/gazeta/dias/1813/08/07/pdfs/GMR-1813-25.pdf#page=3","Abrir facsímil")</f>
        <v>Abrir facsímil</v>
      </c>
      <c r="K5257" s="3" t="s">
        <v>22</v>
      </c>
    </row>
    <row r="5258" spans="1:11" ht="42" customHeight="1">
      <c r="A5258" s="2" t="s">
        <v>10988</v>
      </c>
      <c r="B5258" s="2" t="s">
        <v>10988</v>
      </c>
      <c r="C5258" s="2" t="s">
        <v>16</v>
      </c>
      <c r="D5258" s="2" t="s">
        <v>17</v>
      </c>
      <c r="E5258" s="5">
        <v>-31630</v>
      </c>
      <c r="F5258" s="3" t="s">
        <v>1324</v>
      </c>
      <c r="G5258" s="3" t="s">
        <v>10989</v>
      </c>
      <c r="H5258" s="2" t="s">
        <v>20</v>
      </c>
      <c r="I5258" s="2" t="s">
        <v>10990</v>
      </c>
      <c r="J5258" s="3" t="str">
        <f>HYPERLINK("https://www.boe.es/gazeta/dias/1813/05/25/pdfs/GRE-1813-64.pdf#page=6","Abrir facsímil")</f>
        <v>Abrir facsímil</v>
      </c>
      <c r="K5258" s="3" t="s">
        <v>22</v>
      </c>
    </row>
    <row r="5259" spans="1:11" ht="42" customHeight="1">
      <c r="A5259" s="2" t="s">
        <v>10991</v>
      </c>
      <c r="B5259" s="2" t="s">
        <v>10992</v>
      </c>
      <c r="C5259" s="2" t="s">
        <v>16</v>
      </c>
      <c r="D5259" s="2" t="s">
        <v>17</v>
      </c>
      <c r="E5259" s="5">
        <v>-31628</v>
      </c>
      <c r="F5259" s="3" t="s">
        <v>358</v>
      </c>
      <c r="G5259" s="3" t="s">
        <v>919</v>
      </c>
      <c r="H5259" s="2" t="s">
        <v>20</v>
      </c>
      <c r="I5259" s="2" t="s">
        <v>10993</v>
      </c>
      <c r="J5259" s="3" t="str">
        <f>HYPERLINK("https://www.boe.es/gazeta/dias/1813/05/27/pdfs/GRE-1813-65.pdf#page=5","Abrir facsímil")</f>
        <v>Abrir facsímil</v>
      </c>
      <c r="K5259" s="3" t="s">
        <v>22</v>
      </c>
    </row>
    <row r="5260" spans="1:11" ht="42" customHeight="1">
      <c r="A5260" s="2" t="s">
        <v>10994</v>
      </c>
      <c r="B5260" s="2" t="s">
        <v>10994</v>
      </c>
      <c r="C5260" s="2" t="s">
        <v>25</v>
      </c>
      <c r="D5260" s="2" t="s">
        <v>26</v>
      </c>
      <c r="E5260" s="5">
        <v>-31701</v>
      </c>
      <c r="F5260" s="3" t="s">
        <v>1561</v>
      </c>
      <c r="G5260" s="3" t="s">
        <v>8361</v>
      </c>
      <c r="H5260" s="2" t="s">
        <v>20</v>
      </c>
      <c r="I5260" s="2" t="s">
        <v>10995</v>
      </c>
      <c r="J5260" s="3" t="str">
        <f>HYPERLINK("https://www.boe.es/gazeta/dias/1813/03/15/pdfs/GMD-1813-74.pdf#page=4","Abrir facsímil")</f>
        <v>Abrir facsímil</v>
      </c>
      <c r="K5260" s="3" t="s">
        <v>22</v>
      </c>
    </row>
    <row r="5261" spans="1:11" ht="42" customHeight="1">
      <c r="A5261" s="2" t="s">
        <v>10994</v>
      </c>
      <c r="B5261" s="2" t="s">
        <v>10994</v>
      </c>
      <c r="C5261" s="2" t="s">
        <v>69</v>
      </c>
      <c r="D5261" s="2" t="s">
        <v>26</v>
      </c>
      <c r="E5261" s="5">
        <v>-31662</v>
      </c>
      <c r="F5261" s="3" t="s">
        <v>8038</v>
      </c>
      <c r="G5261" s="3" t="s">
        <v>58</v>
      </c>
      <c r="H5261" s="2" t="s">
        <v>20</v>
      </c>
      <c r="I5261" s="2" t="s">
        <v>10996</v>
      </c>
      <c r="J5261" s="3" t="str">
        <f>HYPERLINK("https://www.boe.es/gazeta/dias/1813/04/23/pdfs/GMD-1813-113.pdf#page=2","Abrir facsímil")</f>
        <v>Abrir facsímil</v>
      </c>
      <c r="K5261" s="3" t="s">
        <v>22</v>
      </c>
    </row>
    <row r="5262" spans="1:11" ht="42" customHeight="1">
      <c r="A5262" s="2" t="s">
        <v>10997</v>
      </c>
      <c r="B5262" s="2" t="s">
        <v>10998</v>
      </c>
      <c r="C5262" s="2" t="s">
        <v>34</v>
      </c>
      <c r="D5262" s="2" t="s">
        <v>35</v>
      </c>
      <c r="E5262" s="5">
        <v>-31709</v>
      </c>
      <c r="F5262" s="3" t="s">
        <v>36</v>
      </c>
      <c r="G5262" s="3" t="s">
        <v>19</v>
      </c>
      <c r="H5262" s="2" t="s">
        <v>20</v>
      </c>
      <c r="I5262" s="2" t="s">
        <v>10999</v>
      </c>
      <c r="J5262" s="3" t="str">
        <f>HYPERLINK("https://www.boe.es/gazeta/dias/1813/03/07/pdfs/GMD-1813-66.pdf#page=4","Abrir facsímil")</f>
        <v>Abrir facsímil</v>
      </c>
      <c r="K5262" s="3" t="s">
        <v>22</v>
      </c>
    </row>
    <row r="5263" spans="1:11" ht="42" customHeight="1">
      <c r="A5263" s="2" t="s">
        <v>11000</v>
      </c>
      <c r="B5263" s="2" t="s">
        <v>11001</v>
      </c>
      <c r="C5263" s="2" t="s">
        <v>16</v>
      </c>
      <c r="D5263" s="2" t="s">
        <v>17</v>
      </c>
      <c r="E5263" s="5">
        <v>-31770</v>
      </c>
      <c r="F5263" s="3" t="s">
        <v>1738</v>
      </c>
      <c r="G5263" s="3" t="s">
        <v>5882</v>
      </c>
      <c r="H5263" s="2" t="s">
        <v>20</v>
      </c>
      <c r="I5263" s="2" t="s">
        <v>11002</v>
      </c>
      <c r="J5263" s="3" t="str">
        <f>HYPERLINK("https://www.boe.es/gazeta/dias/1813/01/05/pdfs/GRE-1813-2.pdf#page=7","Abrir facsímil")</f>
        <v>Abrir facsímil</v>
      </c>
      <c r="K5263" s="3" t="s">
        <v>22</v>
      </c>
    </row>
    <row r="5264" spans="1:11" ht="42" customHeight="1">
      <c r="A5264" s="2" t="s">
        <v>11003</v>
      </c>
      <c r="B5264" s="2" t="s">
        <v>11004</v>
      </c>
      <c r="C5264" s="2" t="s">
        <v>25</v>
      </c>
      <c r="D5264" s="2" t="s">
        <v>26</v>
      </c>
      <c r="E5264" s="5">
        <v>-31745</v>
      </c>
      <c r="F5264" s="3" t="s">
        <v>445</v>
      </c>
      <c r="G5264" s="3" t="s">
        <v>28</v>
      </c>
      <c r="H5264" s="2" t="s">
        <v>20</v>
      </c>
      <c r="I5264" s="2" t="s">
        <v>11005</v>
      </c>
      <c r="J5264" s="3" t="str">
        <f>HYPERLINK("https://www.boe.es/gazeta/dias/1813/01/30/pdfs/GRE-1813-13.pdf#page=8","Abrir facsímil")</f>
        <v>Abrir facsímil</v>
      </c>
      <c r="K5264" s="3" t="s">
        <v>22</v>
      </c>
    </row>
    <row r="5265" spans="1:11" ht="42" customHeight="1">
      <c r="A5265" s="2" t="s">
        <v>11006</v>
      </c>
      <c r="B5265" s="2" t="s">
        <v>11007</v>
      </c>
      <c r="C5265" s="2" t="s">
        <v>34</v>
      </c>
      <c r="D5265" s="2" t="s">
        <v>35</v>
      </c>
      <c r="E5265" s="5">
        <v>-31514</v>
      </c>
      <c r="F5265" s="3" t="s">
        <v>2099</v>
      </c>
      <c r="G5265" s="3" t="s">
        <v>19</v>
      </c>
      <c r="H5265" s="2" t="s">
        <v>20</v>
      </c>
      <c r="I5265" s="2" t="s">
        <v>11008</v>
      </c>
      <c r="J5265" s="3" t="str">
        <f>HYPERLINK("https://www.boe.es/gazeta/dias/1813/09/18/pdfs/GMR-1813-45.pdf#page=4","Abrir facsímil")</f>
        <v>Abrir facsímil</v>
      </c>
      <c r="K5265" s="3" t="s">
        <v>22</v>
      </c>
    </row>
    <row r="5266" spans="1:11" ht="42" customHeight="1">
      <c r="A5266" s="2" t="s">
        <v>11009</v>
      </c>
      <c r="B5266" s="2" t="s">
        <v>11009</v>
      </c>
      <c r="C5266" s="2" t="s">
        <v>16</v>
      </c>
      <c r="D5266" s="2" t="s">
        <v>17</v>
      </c>
      <c r="E5266" s="5">
        <v>-31733</v>
      </c>
      <c r="F5266" s="3" t="s">
        <v>3036</v>
      </c>
      <c r="G5266" s="3" t="s">
        <v>65</v>
      </c>
      <c r="H5266" s="2" t="s">
        <v>20</v>
      </c>
      <c r="I5266" s="2" t="s">
        <v>11010</v>
      </c>
      <c r="J5266" s="3" t="str">
        <f>HYPERLINK("https://www.boe.es/gazeta/dias/1813/02/11/pdfs/GRE-1813-18.pdf#page=1","Abrir facsímil")</f>
        <v>Abrir facsímil</v>
      </c>
      <c r="K5266" s="3" t="s">
        <v>22</v>
      </c>
    </row>
    <row r="5267" spans="1:11" ht="42" customHeight="1">
      <c r="A5267" s="2" t="s">
        <v>11011</v>
      </c>
      <c r="B5267" s="2" t="s">
        <v>11011</v>
      </c>
      <c r="C5267" s="2" t="s">
        <v>16</v>
      </c>
      <c r="D5267" s="2" t="s">
        <v>17</v>
      </c>
      <c r="E5267" s="5">
        <v>-31705</v>
      </c>
      <c r="F5267" s="3" t="s">
        <v>4455</v>
      </c>
      <c r="G5267" s="3" t="s">
        <v>58</v>
      </c>
      <c r="H5267" s="2" t="s">
        <v>20</v>
      </c>
      <c r="I5267" s="2" t="s">
        <v>11012</v>
      </c>
      <c r="J5267" s="3" t="str">
        <f>HYPERLINK("https://www.boe.es/gazeta/dias/1813/03/11/pdfs/GMD-1813-70.pdf#page=2","Abrir facsímil")</f>
        <v>Abrir facsímil</v>
      </c>
      <c r="K5267" s="3" t="s">
        <v>22</v>
      </c>
    </row>
    <row r="5268" spans="1:11" ht="42" customHeight="1">
      <c r="A5268" s="2" t="s">
        <v>11011</v>
      </c>
      <c r="B5268" s="2" t="s">
        <v>11011</v>
      </c>
      <c r="C5268" s="2" t="s">
        <v>16</v>
      </c>
      <c r="D5268" s="2" t="s">
        <v>17</v>
      </c>
      <c r="E5268" s="5">
        <v>-31591</v>
      </c>
      <c r="F5268" s="3" t="s">
        <v>2123</v>
      </c>
      <c r="G5268" s="3" t="s">
        <v>58</v>
      </c>
      <c r="H5268" s="2" t="s">
        <v>20</v>
      </c>
      <c r="I5268" s="2" t="s">
        <v>11013</v>
      </c>
      <c r="J5268" s="3" t="str">
        <f>HYPERLINK("https://www.boe.es/gazeta/dias/1813/07/03/pdfs/GRE-1813-83.pdf#page=2","Abrir facsímil")</f>
        <v>Abrir facsímil</v>
      </c>
      <c r="K5268" s="3" t="s">
        <v>22</v>
      </c>
    </row>
    <row r="5269" spans="1:11" ht="42" customHeight="1">
      <c r="A5269" s="2" t="s">
        <v>11011</v>
      </c>
      <c r="B5269" s="2" t="s">
        <v>11011</v>
      </c>
      <c r="C5269" s="2" t="s">
        <v>16</v>
      </c>
      <c r="D5269" s="2" t="s">
        <v>17</v>
      </c>
      <c r="E5269" s="5">
        <v>-31502</v>
      </c>
      <c r="F5269" s="3" t="s">
        <v>1363</v>
      </c>
      <c r="G5269" s="3" t="s">
        <v>82</v>
      </c>
      <c r="H5269" s="2" t="s">
        <v>20</v>
      </c>
      <c r="I5269" s="2" t="s">
        <v>11014</v>
      </c>
      <c r="J5269" s="3" t="str">
        <f>HYPERLINK("https://www.boe.es/gazeta/dias/1813/09/30/pdfs/GRE-1813-128.pdf#page=5","Abrir facsímil")</f>
        <v>Abrir facsímil</v>
      </c>
      <c r="K5269" s="3" t="s">
        <v>22</v>
      </c>
    </row>
    <row r="5270" spans="1:11" ht="42" customHeight="1">
      <c r="A5270" s="2" t="s">
        <v>11011</v>
      </c>
      <c r="B5270" s="2" t="s">
        <v>11011</v>
      </c>
      <c r="C5270" s="2" t="s">
        <v>16</v>
      </c>
      <c r="D5270" s="2" t="s">
        <v>17</v>
      </c>
      <c r="E5270" s="5">
        <v>-31425</v>
      </c>
      <c r="F5270" s="3" t="s">
        <v>1955</v>
      </c>
      <c r="G5270" s="3" t="s">
        <v>19</v>
      </c>
      <c r="H5270" s="2" t="s">
        <v>20</v>
      </c>
      <c r="I5270" s="2" t="s">
        <v>11015</v>
      </c>
      <c r="J5270" s="3" t="str">
        <f>HYPERLINK("https://www.boe.es/gazeta/dias/1813/12/16/pdfs/GMR-1813-88.pdf#page=4","Abrir facsímil")</f>
        <v>Abrir facsímil</v>
      </c>
      <c r="K5270" s="3" t="s">
        <v>22</v>
      </c>
    </row>
    <row r="5271" spans="1:11" ht="42" customHeight="1">
      <c r="A5271" s="2" t="s">
        <v>11011</v>
      </c>
      <c r="B5271" s="2" t="s">
        <v>11011</v>
      </c>
      <c r="C5271" s="2" t="s">
        <v>16</v>
      </c>
      <c r="D5271" s="2" t="s">
        <v>17</v>
      </c>
      <c r="E5271" s="5">
        <v>-31413</v>
      </c>
      <c r="F5271" s="3" t="s">
        <v>149</v>
      </c>
      <c r="G5271" s="3" t="s">
        <v>58</v>
      </c>
      <c r="H5271" s="2" t="s">
        <v>20</v>
      </c>
      <c r="I5271" s="2" t="s">
        <v>11016</v>
      </c>
      <c r="J5271" s="3" t="str">
        <f>HYPERLINK("https://www.boe.es/gazeta/dias/1813/12/28/pdfs/GMR-1813-93.pdf#page=2","Abrir facsímil")</f>
        <v>Abrir facsímil</v>
      </c>
      <c r="K5271" s="3" t="s">
        <v>22</v>
      </c>
    </row>
    <row r="5272" spans="1:11" ht="42" customHeight="1">
      <c r="A5272" s="2" t="s">
        <v>11017</v>
      </c>
      <c r="B5272" s="2" t="s">
        <v>11018</v>
      </c>
      <c r="C5272" s="2" t="s">
        <v>16</v>
      </c>
      <c r="D5272" s="2" t="s">
        <v>17</v>
      </c>
      <c r="E5272" s="5">
        <v>-31642</v>
      </c>
      <c r="F5272" s="3" t="s">
        <v>582</v>
      </c>
      <c r="G5272" s="3" t="s">
        <v>65</v>
      </c>
      <c r="H5272" s="2" t="s">
        <v>20</v>
      </c>
      <c r="I5272" s="2" t="s">
        <v>11019</v>
      </c>
      <c r="J5272" s="3" t="str">
        <f>HYPERLINK("https://www.boe.es/gazeta/dias/1813/05/13/pdfs/GRE-1813-59.pdf#page=1","Abrir facsímil")</f>
        <v>Abrir facsímil</v>
      </c>
      <c r="K5272" s="3" t="s">
        <v>22</v>
      </c>
    </row>
    <row r="5273" spans="1:11" ht="42" customHeight="1">
      <c r="A5273" s="2" t="s">
        <v>11020</v>
      </c>
      <c r="B5273" s="2" t="s">
        <v>11021</v>
      </c>
      <c r="C5273" s="2" t="s">
        <v>16</v>
      </c>
      <c r="D5273" s="2" t="s">
        <v>17</v>
      </c>
      <c r="E5273" s="5">
        <v>-31637</v>
      </c>
      <c r="F5273" s="3" t="s">
        <v>855</v>
      </c>
      <c r="G5273" s="3" t="s">
        <v>65</v>
      </c>
      <c r="H5273" s="2" t="s">
        <v>20</v>
      </c>
      <c r="I5273" s="2" t="s">
        <v>11022</v>
      </c>
      <c r="J5273" s="3" t="str">
        <f>HYPERLINK("https://www.boe.es/gazeta/dias/1813/05/18/pdfs/GMD-1813-138.pdf#page=1","Abrir facsímil")</f>
        <v>Abrir facsímil</v>
      </c>
      <c r="K5273" s="3" t="s">
        <v>22</v>
      </c>
    </row>
    <row r="5274" spans="1:11" ht="42" customHeight="1">
      <c r="A5274" s="2" t="s">
        <v>11023</v>
      </c>
      <c r="B5274" s="2" t="s">
        <v>11024</v>
      </c>
      <c r="C5274" s="2" t="s">
        <v>25</v>
      </c>
      <c r="D5274" s="2" t="s">
        <v>26</v>
      </c>
      <c r="E5274" s="5">
        <v>-31677</v>
      </c>
      <c r="F5274" s="3" t="s">
        <v>76</v>
      </c>
      <c r="G5274" s="3" t="s">
        <v>28</v>
      </c>
      <c r="H5274" s="2" t="s">
        <v>20</v>
      </c>
      <c r="I5274" s="2" t="s">
        <v>11025</v>
      </c>
      <c r="J5274" s="3" t="str">
        <f>HYPERLINK("https://www.boe.es/gazeta/dias/1813/04/08/pdfs/GRE-1813-43.pdf#page=8","Abrir facsímil")</f>
        <v>Abrir facsímil</v>
      </c>
      <c r="K5274" s="3" t="s">
        <v>22</v>
      </c>
    </row>
    <row r="5275" spans="1:11" ht="42" customHeight="1">
      <c r="A5275" s="2" t="s">
        <v>11026</v>
      </c>
      <c r="B5275" s="2" t="s">
        <v>11027</v>
      </c>
      <c r="C5275" s="2" t="s">
        <v>16</v>
      </c>
      <c r="D5275" s="2" t="s">
        <v>17</v>
      </c>
      <c r="E5275" s="5">
        <v>-31476</v>
      </c>
      <c r="F5275" s="3" t="s">
        <v>158</v>
      </c>
      <c r="G5275" s="3" t="s">
        <v>95</v>
      </c>
      <c r="H5275" s="2" t="s">
        <v>20</v>
      </c>
      <c r="I5275" s="2" t="s">
        <v>11028</v>
      </c>
      <c r="J5275" s="3" t="str">
        <f>HYPERLINK("https://www.boe.es/gazeta/dias/1813/10/26/pdfs/GMR-1813-64.pdf#page=6","Abrir facsímil")</f>
        <v>Abrir facsímil</v>
      </c>
      <c r="K5275" s="3" t="s">
        <v>22</v>
      </c>
    </row>
    <row r="5276" spans="1:11" ht="42" customHeight="1">
      <c r="A5276" s="2" t="s">
        <v>11029</v>
      </c>
      <c r="B5276" s="2" t="s">
        <v>11030</v>
      </c>
      <c r="C5276" s="2" t="s">
        <v>34</v>
      </c>
      <c r="D5276" s="2" t="s">
        <v>35</v>
      </c>
      <c r="E5276" s="5">
        <v>-31709</v>
      </c>
      <c r="F5276" s="3" t="s">
        <v>36</v>
      </c>
      <c r="G5276" s="3" t="s">
        <v>303</v>
      </c>
      <c r="H5276" s="2" t="s">
        <v>20</v>
      </c>
      <c r="I5276" s="2" t="s">
        <v>11031</v>
      </c>
      <c r="J5276" s="3" t="str">
        <f>HYPERLINK("https://www.boe.es/gazeta/dias/1813/03/07/pdfs/GMD-1813-66.pdf#page=3","Abrir facsímil")</f>
        <v>Abrir facsímil</v>
      </c>
      <c r="K5276" s="3" t="s">
        <v>22</v>
      </c>
    </row>
    <row r="5277" spans="1:11" ht="42" customHeight="1">
      <c r="A5277" s="2" t="s">
        <v>11032</v>
      </c>
      <c r="B5277" s="2" t="s">
        <v>11032</v>
      </c>
      <c r="C5277" s="2" t="s">
        <v>16</v>
      </c>
      <c r="D5277" s="2" t="s">
        <v>17</v>
      </c>
      <c r="E5277" s="5">
        <v>-31544</v>
      </c>
      <c r="F5277" s="3" t="s">
        <v>200</v>
      </c>
      <c r="G5277" s="3" t="s">
        <v>54</v>
      </c>
      <c r="H5277" s="2" t="s">
        <v>20</v>
      </c>
      <c r="I5277" s="2" t="s">
        <v>11033</v>
      </c>
      <c r="J5277" s="3" t="str">
        <f>HYPERLINK("https://www.boe.es/gazeta/dias/1813/08/19/pdfs/GRE-1813-106.pdf#page=3","Abrir facsímil")</f>
        <v>Abrir facsímil</v>
      </c>
      <c r="K5277" s="3" t="s">
        <v>22</v>
      </c>
    </row>
    <row r="5278" spans="1:11" ht="42" customHeight="1">
      <c r="A5278" s="2" t="s">
        <v>11034</v>
      </c>
      <c r="B5278" s="2" t="s">
        <v>11034</v>
      </c>
      <c r="C5278" s="2" t="s">
        <v>34</v>
      </c>
      <c r="D5278" s="2" t="s">
        <v>35</v>
      </c>
      <c r="E5278" s="5">
        <v>-31444</v>
      </c>
      <c r="F5278" s="3" t="s">
        <v>389</v>
      </c>
      <c r="G5278" s="3" t="s">
        <v>65</v>
      </c>
      <c r="H5278" s="2" t="s">
        <v>20</v>
      </c>
      <c r="I5278" s="2" t="s">
        <v>11035</v>
      </c>
      <c r="J5278" s="3" t="str">
        <f>HYPERLINK("https://www.boe.es/gazeta/dias/1813/11/27/pdfs/GMR-1813-80.pdf#page=1","Abrir facsímil")</f>
        <v>Abrir facsímil</v>
      </c>
      <c r="K5278" s="3" t="s">
        <v>22</v>
      </c>
    </row>
    <row r="5279" spans="1:11" ht="42" customHeight="1">
      <c r="A5279" s="2" t="s">
        <v>11036</v>
      </c>
      <c r="B5279" s="2" t="s">
        <v>11036</v>
      </c>
      <c r="C5279" s="2" t="s">
        <v>16</v>
      </c>
      <c r="D5279" s="2" t="s">
        <v>17</v>
      </c>
      <c r="E5279" s="5">
        <v>-31727</v>
      </c>
      <c r="F5279" s="3" t="s">
        <v>3767</v>
      </c>
      <c r="G5279" s="3" t="s">
        <v>19</v>
      </c>
      <c r="H5279" s="2" t="s">
        <v>20</v>
      </c>
      <c r="I5279" s="2" t="s">
        <v>11037</v>
      </c>
      <c r="J5279" s="3" t="str">
        <f>HYPERLINK("https://www.boe.es/gazeta/dias/1813/02/17/pdfs/GMD-1813-48.pdf#page=4","Abrir facsímil")</f>
        <v>Abrir facsímil</v>
      </c>
      <c r="K5279" s="3" t="s">
        <v>22</v>
      </c>
    </row>
    <row r="5280" spans="1:11" ht="42" customHeight="1">
      <c r="A5280" s="2" t="s">
        <v>11038</v>
      </c>
      <c r="B5280" s="2" t="s">
        <v>11039</v>
      </c>
      <c r="C5280" s="2" t="s">
        <v>16</v>
      </c>
      <c r="D5280" s="2" t="s">
        <v>17</v>
      </c>
      <c r="E5280" s="5">
        <v>-31493</v>
      </c>
      <c r="F5280" s="3" t="s">
        <v>1996</v>
      </c>
      <c r="G5280" s="3" t="s">
        <v>87</v>
      </c>
      <c r="H5280" s="2" t="s">
        <v>20</v>
      </c>
      <c r="I5280" s="2" t="s">
        <v>11040</v>
      </c>
      <c r="J5280" s="3" t="str">
        <f>HYPERLINK("https://www.boe.es/gazeta/dias/1813/10/09/pdfs/GRE-1813-132.pdf#page=7","Abrir facsímil")</f>
        <v>Abrir facsímil</v>
      </c>
      <c r="K5280" s="3" t="s">
        <v>22</v>
      </c>
    </row>
    <row r="5281" spans="1:11" ht="42" customHeight="1">
      <c r="A5281" s="2" t="s">
        <v>11041</v>
      </c>
      <c r="B5281" s="2" t="s">
        <v>11042</v>
      </c>
      <c r="C5281" s="2" t="s">
        <v>16</v>
      </c>
      <c r="D5281" s="2" t="s">
        <v>17</v>
      </c>
      <c r="E5281" s="5">
        <v>-31502</v>
      </c>
      <c r="F5281" s="3" t="s">
        <v>257</v>
      </c>
      <c r="G5281" s="3" t="s">
        <v>207</v>
      </c>
      <c r="H5281" s="2" t="s">
        <v>20</v>
      </c>
      <c r="I5281" s="2" t="s">
        <v>11043</v>
      </c>
      <c r="J5281" s="3" t="str">
        <f>HYPERLINK("https://www.boe.es/gazeta/dias/1813/09/30/pdfs/GMR-1813-51.pdf#page=10","Abrir facsímil")</f>
        <v>Abrir facsímil</v>
      </c>
      <c r="K5281" s="3" t="s">
        <v>22</v>
      </c>
    </row>
    <row r="5282" spans="1:11" ht="42" customHeight="1">
      <c r="A5282" s="2" t="s">
        <v>11044</v>
      </c>
      <c r="B5282" s="2" t="s">
        <v>11045</v>
      </c>
      <c r="C5282" s="2" t="s">
        <v>25</v>
      </c>
      <c r="D5282" s="2" t="s">
        <v>26</v>
      </c>
      <c r="E5282" s="5">
        <v>-31626</v>
      </c>
      <c r="F5282" s="3" t="s">
        <v>64</v>
      </c>
      <c r="G5282" s="3" t="s">
        <v>95</v>
      </c>
      <c r="H5282" s="2" t="s">
        <v>20</v>
      </c>
      <c r="I5282" s="2" t="s">
        <v>11046</v>
      </c>
      <c r="J5282" s="3" t="str">
        <f>HYPERLINK("https://www.boe.es/gazeta/dias/1813/05/29/pdfs/GRE-1813-66.pdf#page=6","Abrir facsímil")</f>
        <v>Abrir facsímil</v>
      </c>
      <c r="K5282" s="3" t="s">
        <v>22</v>
      </c>
    </row>
    <row r="5283" spans="1:11" ht="42" customHeight="1">
      <c r="A5283" s="2" t="s">
        <v>11047</v>
      </c>
      <c r="B5283" s="2" t="s">
        <v>11047</v>
      </c>
      <c r="C5283" s="2" t="s">
        <v>16</v>
      </c>
      <c r="D5283" s="2" t="s">
        <v>17</v>
      </c>
      <c r="E5283" s="5">
        <v>-31679</v>
      </c>
      <c r="F5283" s="3" t="s">
        <v>571</v>
      </c>
      <c r="G5283" s="3" t="s">
        <v>3172</v>
      </c>
      <c r="H5283" s="2" t="s">
        <v>20</v>
      </c>
      <c r="I5283" s="2" t="s">
        <v>11048</v>
      </c>
      <c r="J5283" s="3" t="str">
        <f>HYPERLINK("https://www.boe.es/gazeta/dias/1813/04/06/pdfs/GRE-1813-42.pdf#page=8","Abrir facsímil")</f>
        <v>Abrir facsímil</v>
      </c>
      <c r="K5283" s="3" t="s">
        <v>22</v>
      </c>
    </row>
    <row r="5284" spans="1:11" ht="42" customHeight="1">
      <c r="A5284" s="2" t="s">
        <v>11049</v>
      </c>
      <c r="B5284" s="2" t="s">
        <v>11050</v>
      </c>
      <c r="C5284" s="2" t="s">
        <v>16</v>
      </c>
      <c r="D5284" s="2" t="s">
        <v>17</v>
      </c>
      <c r="E5284" s="5">
        <v>-31432</v>
      </c>
      <c r="F5284" s="3" t="s">
        <v>803</v>
      </c>
      <c r="G5284" s="3" t="s">
        <v>95</v>
      </c>
      <c r="H5284" s="2" t="s">
        <v>20</v>
      </c>
      <c r="I5284" s="2" t="s">
        <v>11051</v>
      </c>
      <c r="J5284" s="3" t="str">
        <f>HYPERLINK("https://www.boe.es/gazeta/dias/1813/12/09/pdfs/GRE-1813-162.pdf#page=6","Abrir facsímil")</f>
        <v>Abrir facsímil</v>
      </c>
      <c r="K5284" s="3" t="s">
        <v>22</v>
      </c>
    </row>
    <row r="5285" spans="1:11" ht="42" customHeight="1">
      <c r="A5285" s="2" t="s">
        <v>11052</v>
      </c>
      <c r="B5285" s="2" t="s">
        <v>11053</v>
      </c>
      <c r="C5285" s="2" t="s">
        <v>25</v>
      </c>
      <c r="D5285" s="2" t="s">
        <v>26</v>
      </c>
      <c r="E5285" s="5">
        <v>-31745</v>
      </c>
      <c r="F5285" s="3" t="s">
        <v>445</v>
      </c>
      <c r="G5285" s="3" t="s">
        <v>28</v>
      </c>
      <c r="H5285" s="2" t="s">
        <v>20</v>
      </c>
      <c r="I5285" s="2" t="s">
        <v>11054</v>
      </c>
      <c r="J5285" s="3" t="str">
        <f>HYPERLINK("https://www.boe.es/gazeta/dias/1813/01/30/pdfs/GRE-1813-13.pdf#page=8","Abrir facsímil")</f>
        <v>Abrir facsímil</v>
      </c>
      <c r="K5285" s="3" t="s">
        <v>22</v>
      </c>
    </row>
    <row r="5286" spans="1:11" ht="42" customHeight="1">
      <c r="A5286" s="2" t="s">
        <v>11055</v>
      </c>
      <c r="B5286" s="2" t="s">
        <v>11056</v>
      </c>
      <c r="C5286" s="2" t="s">
        <v>109</v>
      </c>
      <c r="D5286" s="2" t="s">
        <v>26</v>
      </c>
      <c r="E5286" s="5">
        <v>-31544</v>
      </c>
      <c r="F5286" s="3" t="s">
        <v>44</v>
      </c>
      <c r="G5286" s="3" t="s">
        <v>49</v>
      </c>
      <c r="H5286" s="2" t="s">
        <v>29</v>
      </c>
      <c r="I5286" s="2" t="s">
        <v>11057</v>
      </c>
      <c r="J5286" s="3" t="str">
        <f>HYPERLINK("https://www.boe.es/gazeta/dias/1813/08/19/pdfs/GMR-1813-30.pdf#page=5","Abrir facsímil")</f>
        <v>Abrir facsímil</v>
      </c>
      <c r="K5286" s="3" t="s">
        <v>31</v>
      </c>
    </row>
    <row r="5287" spans="1:11" ht="42" customHeight="1">
      <c r="A5287" s="2" t="s">
        <v>11058</v>
      </c>
      <c r="B5287" s="2" t="s">
        <v>11059</v>
      </c>
      <c r="C5287" s="2" t="s">
        <v>25</v>
      </c>
      <c r="D5287" s="2" t="s">
        <v>26</v>
      </c>
      <c r="E5287" s="5">
        <v>-31637</v>
      </c>
      <c r="F5287" s="3" t="s">
        <v>234</v>
      </c>
      <c r="G5287" s="3" t="s">
        <v>1788</v>
      </c>
      <c r="H5287" s="2" t="s">
        <v>20</v>
      </c>
      <c r="I5287" s="2" t="s">
        <v>11060</v>
      </c>
      <c r="J5287" s="3" t="str">
        <f>HYPERLINK("https://www.boe.es/gazeta/dias/1813/05/18/pdfs/GRE-1813-61.pdf#page=8","Abrir facsímil")</f>
        <v>Abrir facsímil</v>
      </c>
      <c r="K5287" s="3" t="s">
        <v>22</v>
      </c>
    </row>
    <row r="5288" spans="1:11" ht="42" customHeight="1">
      <c r="A5288" s="2" t="s">
        <v>11061</v>
      </c>
      <c r="B5288" s="2" t="s">
        <v>11062</v>
      </c>
      <c r="C5288" s="2" t="s">
        <v>16</v>
      </c>
      <c r="D5288" s="2" t="s">
        <v>17</v>
      </c>
      <c r="E5288" s="5">
        <v>-31542</v>
      </c>
      <c r="F5288" s="3" t="s">
        <v>337</v>
      </c>
      <c r="G5288" s="3" t="s">
        <v>54</v>
      </c>
      <c r="H5288" s="2" t="s">
        <v>20</v>
      </c>
      <c r="I5288" s="2" t="s">
        <v>11063</v>
      </c>
      <c r="J5288" s="3" t="str">
        <f>HYPERLINK("https://www.boe.es/gazeta/dias/1813/08/21/pdfs/GRE-1813-107.pdf#page=3","Abrir facsímil")</f>
        <v>Abrir facsímil</v>
      </c>
      <c r="K5288" s="3" t="s">
        <v>22</v>
      </c>
    </row>
    <row r="5289" spans="1:11" ht="42" customHeight="1">
      <c r="A5289" s="2" t="s">
        <v>11064</v>
      </c>
      <c r="B5289" s="2" t="s">
        <v>11064</v>
      </c>
      <c r="C5289" s="2" t="s">
        <v>16</v>
      </c>
      <c r="D5289" s="2" t="s">
        <v>17</v>
      </c>
      <c r="E5289" s="5">
        <v>-31675</v>
      </c>
      <c r="F5289" s="3" t="s">
        <v>2552</v>
      </c>
      <c r="G5289" s="3" t="s">
        <v>779</v>
      </c>
      <c r="H5289" s="2" t="s">
        <v>20</v>
      </c>
      <c r="I5289" s="2" t="s">
        <v>11065</v>
      </c>
      <c r="J5289" s="3" t="str">
        <f>HYPERLINK("https://www.boe.es/gazeta/dias/1813/04/10/pdfs/GMD-1813-100.pdf#page=3","Abrir facsímil")</f>
        <v>Abrir facsímil</v>
      </c>
      <c r="K5289" s="3" t="s">
        <v>22</v>
      </c>
    </row>
    <row r="5290" spans="1:11" ht="42" customHeight="1">
      <c r="A5290" s="2" t="s">
        <v>11066</v>
      </c>
      <c r="B5290" s="2" t="s">
        <v>11067</v>
      </c>
      <c r="C5290" s="2" t="s">
        <v>25</v>
      </c>
      <c r="D5290" s="2" t="s">
        <v>26</v>
      </c>
      <c r="E5290" s="5">
        <v>-31539</v>
      </c>
      <c r="F5290" s="3" t="s">
        <v>1220</v>
      </c>
      <c r="G5290" s="3" t="s">
        <v>87</v>
      </c>
      <c r="H5290" s="2" t="s">
        <v>20</v>
      </c>
      <c r="I5290" s="2" t="s">
        <v>11068</v>
      </c>
      <c r="J5290" s="3" t="str">
        <f>HYPERLINK("https://www.boe.es/gazeta/dias/1813/08/24/pdfs/GRE-1813-108.pdf#page=7","Abrir facsímil")</f>
        <v>Abrir facsímil</v>
      </c>
      <c r="K5290" s="3" t="s">
        <v>22</v>
      </c>
    </row>
    <row r="5291" spans="1:11" ht="42" customHeight="1">
      <c r="A5291" s="2" t="s">
        <v>11069</v>
      </c>
      <c r="B5291" s="2" t="s">
        <v>11070</v>
      </c>
      <c r="C5291" s="2" t="s">
        <v>25</v>
      </c>
      <c r="D5291" s="2" t="s">
        <v>26</v>
      </c>
      <c r="E5291" s="5">
        <v>-31539</v>
      </c>
      <c r="F5291" s="3" t="s">
        <v>1220</v>
      </c>
      <c r="G5291" s="3" t="s">
        <v>87</v>
      </c>
      <c r="H5291" s="2" t="s">
        <v>20</v>
      </c>
      <c r="I5291" s="2" t="s">
        <v>11071</v>
      </c>
      <c r="J5291" s="3" t="str">
        <f>HYPERLINK("https://www.boe.es/gazeta/dias/1813/08/24/pdfs/GRE-1813-108.pdf#page=7","Abrir facsímil")</f>
        <v>Abrir facsímil</v>
      </c>
      <c r="K5291" s="3" t="s">
        <v>22</v>
      </c>
    </row>
    <row r="5292" spans="1:11" ht="42" customHeight="1">
      <c r="A5292" s="2" t="s">
        <v>11072</v>
      </c>
      <c r="B5292" s="2" t="s">
        <v>11073</v>
      </c>
      <c r="C5292" s="2" t="s">
        <v>16</v>
      </c>
      <c r="D5292" s="2" t="s">
        <v>17</v>
      </c>
      <c r="E5292" s="5">
        <v>-31628</v>
      </c>
      <c r="F5292" s="3" t="s">
        <v>358</v>
      </c>
      <c r="G5292" s="3" t="s">
        <v>87</v>
      </c>
      <c r="H5292" s="2" t="s">
        <v>20</v>
      </c>
      <c r="I5292" s="2" t="s">
        <v>11074</v>
      </c>
      <c r="J5292" s="3" t="str">
        <f>HYPERLINK("https://www.boe.es/gazeta/dias/1813/05/27/pdfs/GRE-1813-65.pdf#page=7","Abrir facsímil")</f>
        <v>Abrir facsímil</v>
      </c>
      <c r="K5292" s="3" t="s">
        <v>22</v>
      </c>
    </row>
    <row r="5293" spans="1:11" ht="42" customHeight="1">
      <c r="A5293" s="2" t="s">
        <v>11075</v>
      </c>
      <c r="B5293" s="2" t="s">
        <v>11076</v>
      </c>
      <c r="C5293" s="2" t="s">
        <v>16</v>
      </c>
      <c r="D5293" s="2" t="s">
        <v>17</v>
      </c>
      <c r="E5293" s="5">
        <v>-31668</v>
      </c>
      <c r="F5293" s="3" t="s">
        <v>574</v>
      </c>
      <c r="G5293" s="3" t="s">
        <v>82</v>
      </c>
      <c r="H5293" s="2" t="s">
        <v>20</v>
      </c>
      <c r="I5293" s="2" t="s">
        <v>11077</v>
      </c>
      <c r="J5293" s="3" t="str">
        <f>HYPERLINK("https://www.boe.es/gazeta/dias/1813/04/17/pdfs/GRE-1813-48.pdf#page=5","Abrir facsímil")</f>
        <v>Abrir facsímil</v>
      </c>
      <c r="K5293" s="3" t="s">
        <v>22</v>
      </c>
    </row>
    <row r="5294" spans="1:11" ht="42" customHeight="1">
      <c r="A5294" s="2" t="s">
        <v>11078</v>
      </c>
      <c r="B5294" s="2" t="s">
        <v>11078</v>
      </c>
      <c r="C5294" s="2" t="s">
        <v>16</v>
      </c>
      <c r="D5294" s="2" t="s">
        <v>17</v>
      </c>
      <c r="E5294" s="5">
        <v>-31602</v>
      </c>
      <c r="F5294" s="3" t="s">
        <v>2117</v>
      </c>
      <c r="G5294" s="3" t="s">
        <v>3006</v>
      </c>
      <c r="H5294" s="2" t="s">
        <v>20</v>
      </c>
      <c r="I5294" s="2" t="s">
        <v>11079</v>
      </c>
      <c r="J5294" s="3" t="str">
        <f>HYPERLINK("https://www.boe.es/gazeta/dias/1813/06/22/pdfs/GMR-1813-9.pdf#page=15","Abrir facsímil")</f>
        <v>Abrir facsímil</v>
      </c>
      <c r="K5294" s="3" t="s">
        <v>22</v>
      </c>
    </row>
    <row r="5295" spans="1:11" ht="42" customHeight="1">
      <c r="A5295" s="2" t="s">
        <v>11080</v>
      </c>
      <c r="B5295" s="2" t="s">
        <v>11080</v>
      </c>
      <c r="C5295" s="2" t="s">
        <v>16</v>
      </c>
      <c r="D5295" s="2" t="s">
        <v>17</v>
      </c>
      <c r="E5295" s="5">
        <v>-31659</v>
      </c>
      <c r="F5295" s="3" t="s">
        <v>3041</v>
      </c>
      <c r="G5295" s="3" t="s">
        <v>65</v>
      </c>
      <c r="H5295" s="2" t="s">
        <v>20</v>
      </c>
      <c r="I5295" s="2" t="s">
        <v>11081</v>
      </c>
      <c r="J5295" s="3" t="str">
        <f>HYPERLINK("https://www.boe.es/gazeta/dias/1813/04/26/pdfs/GMD-1813-116.pdf#page=1","Abrir facsímil")</f>
        <v>Abrir facsímil</v>
      </c>
      <c r="K5295" s="3" t="s">
        <v>22</v>
      </c>
    </row>
    <row r="5296" spans="1:11" ht="42" customHeight="1">
      <c r="A5296" s="2" t="s">
        <v>11080</v>
      </c>
      <c r="B5296" s="2" t="s">
        <v>11080</v>
      </c>
      <c r="C5296" s="2" t="s">
        <v>16</v>
      </c>
      <c r="D5296" s="2" t="s">
        <v>17</v>
      </c>
      <c r="E5296" s="5">
        <v>-31637</v>
      </c>
      <c r="F5296" s="3" t="s">
        <v>855</v>
      </c>
      <c r="G5296" s="3" t="s">
        <v>58</v>
      </c>
      <c r="H5296" s="2" t="s">
        <v>20</v>
      </c>
      <c r="I5296" s="2" t="s">
        <v>11082</v>
      </c>
      <c r="J5296" s="3" t="str">
        <f>HYPERLINK("https://www.boe.es/gazeta/dias/1813/05/18/pdfs/GMD-1813-138.pdf#page=2","Abrir facsímil")</f>
        <v>Abrir facsímil</v>
      </c>
      <c r="K5296" s="3" t="s">
        <v>22</v>
      </c>
    </row>
    <row r="5297" spans="1:11" ht="42" customHeight="1">
      <c r="A5297" s="2" t="s">
        <v>11083</v>
      </c>
      <c r="B5297" s="2" t="s">
        <v>11084</v>
      </c>
      <c r="C5297" s="2" t="s">
        <v>16</v>
      </c>
      <c r="D5297" s="2" t="s">
        <v>17</v>
      </c>
      <c r="E5297" s="5">
        <v>-31635</v>
      </c>
      <c r="F5297" s="3" t="s">
        <v>2173</v>
      </c>
      <c r="G5297" s="3" t="s">
        <v>82</v>
      </c>
      <c r="H5297" s="2" t="s">
        <v>20</v>
      </c>
      <c r="I5297" s="2" t="s">
        <v>11085</v>
      </c>
      <c r="J5297" s="3" t="str">
        <f>HYPERLINK("https://www.boe.es/gazeta/dias/1813/05/20/pdfs/GRE-1813-62.pdf#page=5","Abrir facsímil")</f>
        <v>Abrir facsímil</v>
      </c>
      <c r="K5297" s="3" t="s">
        <v>22</v>
      </c>
    </row>
    <row r="5298" spans="1:11" ht="42" customHeight="1">
      <c r="A5298" s="2" t="s">
        <v>11086</v>
      </c>
      <c r="B5298" s="2" t="s">
        <v>11087</v>
      </c>
      <c r="C5298" s="2" t="s">
        <v>34</v>
      </c>
      <c r="D5298" s="2" t="s">
        <v>35</v>
      </c>
      <c r="E5298" s="5">
        <v>-31709</v>
      </c>
      <c r="F5298" s="3" t="s">
        <v>36</v>
      </c>
      <c r="G5298" s="3" t="s">
        <v>19</v>
      </c>
      <c r="H5298" s="2" t="s">
        <v>20</v>
      </c>
      <c r="I5298" s="2" t="s">
        <v>11088</v>
      </c>
      <c r="J5298" s="3" t="str">
        <f>HYPERLINK("https://www.boe.es/gazeta/dias/1813/03/07/pdfs/GMD-1813-66.pdf#page=4","Abrir facsímil")</f>
        <v>Abrir facsímil</v>
      </c>
      <c r="K5298" s="3" t="s">
        <v>22</v>
      </c>
    </row>
    <row r="5299" spans="1:11" ht="42" customHeight="1">
      <c r="A5299" s="2" t="s">
        <v>11089</v>
      </c>
      <c r="B5299" s="2" t="s">
        <v>11089</v>
      </c>
      <c r="C5299" s="2" t="s">
        <v>109</v>
      </c>
      <c r="D5299" s="2" t="s">
        <v>26</v>
      </c>
      <c r="E5299" s="5">
        <v>-31659</v>
      </c>
      <c r="F5299" s="3" t="s">
        <v>3041</v>
      </c>
      <c r="G5299" s="3" t="s">
        <v>54</v>
      </c>
      <c r="H5299" s="2" t="s">
        <v>20</v>
      </c>
      <c r="I5299" s="2" t="s">
        <v>11090</v>
      </c>
      <c r="J5299" s="3" t="str">
        <f>HYPERLINK("https://www.boe.es/gazeta/dias/1813/04/26/pdfs/GMD-1813-116.pdf#page=3","Abrir facsímil")</f>
        <v>Abrir facsímil</v>
      </c>
      <c r="K5299" s="3" t="s">
        <v>22</v>
      </c>
    </row>
    <row r="5300" spans="1:11" ht="42" customHeight="1">
      <c r="A5300" s="2" t="s">
        <v>11091</v>
      </c>
      <c r="B5300" s="2" t="s">
        <v>11092</v>
      </c>
      <c r="C5300" s="2" t="s">
        <v>25</v>
      </c>
      <c r="D5300" s="2" t="s">
        <v>26</v>
      </c>
      <c r="E5300" s="5">
        <v>-31416</v>
      </c>
      <c r="F5300" s="3" t="s">
        <v>278</v>
      </c>
      <c r="G5300" s="3" t="s">
        <v>207</v>
      </c>
      <c r="H5300" s="2" t="s">
        <v>20</v>
      </c>
      <c r="I5300" s="2" t="s">
        <v>11093</v>
      </c>
      <c r="J5300" s="3" t="str">
        <f>HYPERLINK("https://www.boe.es/gazeta/dias/1813/12/25/pdfs/GMR-1813-92.pdf#page=10","Abrir facsímil")</f>
        <v>Abrir facsímil</v>
      </c>
      <c r="K5300" s="3" t="s">
        <v>22</v>
      </c>
    </row>
    <row r="5301" spans="1:11" ht="42" customHeight="1">
      <c r="A5301" s="2" t="s">
        <v>11094</v>
      </c>
      <c r="B5301" s="2" t="s">
        <v>11095</v>
      </c>
      <c r="C5301" s="2" t="s">
        <v>187</v>
      </c>
      <c r="D5301" s="2" t="s">
        <v>26</v>
      </c>
      <c r="E5301" s="5">
        <v>-31551</v>
      </c>
      <c r="F5301" s="3" t="s">
        <v>954</v>
      </c>
      <c r="G5301" s="3" t="s">
        <v>28</v>
      </c>
      <c r="H5301" s="2" t="s">
        <v>20</v>
      </c>
      <c r="I5301" s="2" t="s">
        <v>11096</v>
      </c>
      <c r="J5301" s="3" t="str">
        <f>HYPERLINK("https://www.boe.es/gazeta/dias/1813/08/12/pdfs/GMR-1813-27.pdf#page=8","Abrir facsímil")</f>
        <v>Abrir facsímil</v>
      </c>
      <c r="K5301" s="3" t="s">
        <v>22</v>
      </c>
    </row>
    <row r="5302" spans="1:11" ht="42" customHeight="1">
      <c r="A5302" s="2" t="s">
        <v>11097</v>
      </c>
      <c r="B5302" s="2" t="s">
        <v>11098</v>
      </c>
      <c r="C5302" s="2" t="s">
        <v>16</v>
      </c>
      <c r="D5302" s="2" t="s">
        <v>17</v>
      </c>
      <c r="E5302" s="5">
        <v>-31656</v>
      </c>
      <c r="F5302" s="3" t="s">
        <v>576</v>
      </c>
      <c r="G5302" s="3" t="s">
        <v>5390</v>
      </c>
      <c r="H5302" s="2" t="s">
        <v>20</v>
      </c>
      <c r="I5302" s="2" t="s">
        <v>11099</v>
      </c>
      <c r="J5302" s="3" t="str">
        <f>HYPERLINK("https://www.boe.es/gazeta/dias/1813/04/29/pdfs/GRE-1813-53.pdf#page=7","Abrir facsímil")</f>
        <v>Abrir facsímil</v>
      </c>
      <c r="K5302" s="3" t="s">
        <v>22</v>
      </c>
    </row>
    <row r="5303" spans="1:11" ht="42" customHeight="1">
      <c r="A5303" s="2" t="s">
        <v>11100</v>
      </c>
      <c r="B5303" s="2" t="s">
        <v>11101</v>
      </c>
      <c r="C5303" s="2" t="s">
        <v>16</v>
      </c>
      <c r="D5303" s="2" t="s">
        <v>17</v>
      </c>
      <c r="E5303" s="5">
        <v>-31567</v>
      </c>
      <c r="F5303" s="3" t="s">
        <v>820</v>
      </c>
      <c r="G5303" s="3" t="s">
        <v>313</v>
      </c>
      <c r="H5303" s="2" t="s">
        <v>20</v>
      </c>
      <c r="I5303" s="2" t="s">
        <v>11102</v>
      </c>
      <c r="J5303" s="3" t="str">
        <f>HYPERLINK("https://www.boe.es/gazeta/dias/1813/07/27/pdfs/GMR-1813-21.pdf#page=9","Abrir facsímil")</f>
        <v>Abrir facsímil</v>
      </c>
      <c r="K5303" s="3" t="s">
        <v>22</v>
      </c>
    </row>
    <row r="5304" spans="1:11" ht="42" customHeight="1">
      <c r="A5304" s="2" t="s">
        <v>11103</v>
      </c>
      <c r="B5304" s="2" t="s">
        <v>11104</v>
      </c>
      <c r="C5304" s="2" t="s">
        <v>34</v>
      </c>
      <c r="D5304" s="2" t="s">
        <v>35</v>
      </c>
      <c r="E5304" s="5">
        <v>-31567</v>
      </c>
      <c r="F5304" s="3" t="s">
        <v>820</v>
      </c>
      <c r="G5304" s="3" t="s">
        <v>258</v>
      </c>
      <c r="H5304" s="2" t="s">
        <v>20</v>
      </c>
      <c r="I5304" s="2" t="s">
        <v>11105</v>
      </c>
      <c r="J5304" s="3" t="str">
        <f>HYPERLINK("https://www.boe.es/gazeta/dias/1813/07/27/pdfs/GMR-1813-21.pdf#page=12","Abrir facsímil")</f>
        <v>Abrir facsímil</v>
      </c>
      <c r="K5304" s="3" t="s">
        <v>22</v>
      </c>
    </row>
    <row r="5305" spans="1:11" ht="42" customHeight="1">
      <c r="A5305" s="2" t="s">
        <v>11106</v>
      </c>
      <c r="B5305" s="2" t="s">
        <v>11107</v>
      </c>
      <c r="C5305" s="2" t="s">
        <v>69</v>
      </c>
      <c r="D5305" s="2" t="s">
        <v>26</v>
      </c>
      <c r="E5305" s="5">
        <v>-31564</v>
      </c>
      <c r="F5305" s="3" t="s">
        <v>206</v>
      </c>
      <c r="G5305" s="3" t="s">
        <v>207</v>
      </c>
      <c r="H5305" s="2" t="s">
        <v>20</v>
      </c>
      <c r="I5305" s="2" t="s">
        <v>11108</v>
      </c>
      <c r="J5305" s="3" t="str">
        <f>HYPERLINK("https://www.boe.es/gazeta/dias/1813/07/30/pdfs/GMR-1813-22.pdf#page=10","Abrir facsímil")</f>
        <v>Abrir facsímil</v>
      </c>
      <c r="K5305" s="3" t="s">
        <v>22</v>
      </c>
    </row>
    <row r="5306" spans="1:11" ht="42" customHeight="1">
      <c r="A5306" s="2" t="s">
        <v>11109</v>
      </c>
      <c r="B5306" s="2" t="s">
        <v>11110</v>
      </c>
      <c r="C5306" s="2" t="s">
        <v>25</v>
      </c>
      <c r="D5306" s="2" t="s">
        <v>26</v>
      </c>
      <c r="E5306" s="5">
        <v>-31675</v>
      </c>
      <c r="F5306" s="3" t="s">
        <v>27</v>
      </c>
      <c r="G5306" s="3" t="s">
        <v>648</v>
      </c>
      <c r="H5306" s="2" t="s">
        <v>20</v>
      </c>
      <c r="I5306" s="2" t="s">
        <v>11111</v>
      </c>
      <c r="J5306" s="3" t="str">
        <f>HYPERLINK("https://www.boe.es/gazeta/dias/1813/04/10/pdfs/GRE-1813-44.pdf#page=7","Abrir facsímil")</f>
        <v>Abrir facsímil</v>
      </c>
      <c r="K5306" s="3" t="s">
        <v>22</v>
      </c>
    </row>
    <row r="5307" spans="1:11" ht="42" customHeight="1">
      <c r="A5307" s="2" t="s">
        <v>11112</v>
      </c>
      <c r="B5307" s="2" t="s">
        <v>11113</v>
      </c>
      <c r="C5307" s="2" t="s">
        <v>25</v>
      </c>
      <c r="D5307" s="2" t="s">
        <v>26</v>
      </c>
      <c r="E5307" s="5">
        <v>-31567</v>
      </c>
      <c r="F5307" s="3" t="s">
        <v>820</v>
      </c>
      <c r="G5307" s="3" t="s">
        <v>821</v>
      </c>
      <c r="H5307" s="2" t="s">
        <v>29</v>
      </c>
      <c r="I5307" s="2" t="s">
        <v>11114</v>
      </c>
      <c r="J5307" s="3" t="str">
        <f>HYPERLINK("https://www.boe.es/gazeta/dias/1813/07/27/pdfs/GMR-1813-21.pdf#page=13","Abrir facsímil")</f>
        <v>Abrir facsímil</v>
      </c>
      <c r="K5307" s="3" t="s">
        <v>31</v>
      </c>
    </row>
    <row r="5308" spans="1:11" ht="42" customHeight="1">
      <c r="A5308" s="2" t="s">
        <v>11115</v>
      </c>
      <c r="B5308" s="2" t="s">
        <v>11116</v>
      </c>
      <c r="C5308" s="2" t="s">
        <v>435</v>
      </c>
      <c r="D5308" s="2" t="s">
        <v>97</v>
      </c>
      <c r="E5308" s="5">
        <v>-31716</v>
      </c>
      <c r="F5308" s="3" t="s">
        <v>6756</v>
      </c>
      <c r="G5308" s="3" t="s">
        <v>5250</v>
      </c>
      <c r="H5308" s="2" t="s">
        <v>20</v>
      </c>
      <c r="I5308" s="2" t="s">
        <v>11117</v>
      </c>
      <c r="J5308" s="3" t="str">
        <f>HYPERLINK("https://www.boe.es/gazeta/dias/1813/02/28/pdfs/GRE-1813-26E.pdf#page=2","Abrir facsímil")</f>
        <v>Abrir facsímil</v>
      </c>
      <c r="K5308" s="3" t="s">
        <v>22</v>
      </c>
    </row>
    <row r="5309" spans="1:11" ht="42" customHeight="1">
      <c r="A5309" s="2" t="s">
        <v>11118</v>
      </c>
      <c r="B5309" s="2" t="s">
        <v>11119</v>
      </c>
      <c r="C5309" s="2" t="s">
        <v>16</v>
      </c>
      <c r="D5309" s="2" t="s">
        <v>17</v>
      </c>
      <c r="E5309" s="5">
        <v>-31539</v>
      </c>
      <c r="F5309" s="3" t="s">
        <v>1220</v>
      </c>
      <c r="G5309" s="3" t="s">
        <v>95</v>
      </c>
      <c r="H5309" s="2" t="s">
        <v>20</v>
      </c>
      <c r="I5309" s="2" t="s">
        <v>11120</v>
      </c>
      <c r="J5309" s="3" t="str">
        <f>HYPERLINK("https://www.boe.es/gazeta/dias/1813/08/24/pdfs/GRE-1813-108.pdf#page=6","Abrir facsímil")</f>
        <v>Abrir facsímil</v>
      </c>
      <c r="K5309" s="3" t="s">
        <v>22</v>
      </c>
    </row>
    <row r="5310" spans="1:11" ht="42" customHeight="1">
      <c r="A5310" s="2" t="s">
        <v>11121</v>
      </c>
      <c r="B5310" s="2" t="s">
        <v>11122</v>
      </c>
      <c r="C5310" s="2" t="s">
        <v>16</v>
      </c>
      <c r="D5310" s="2" t="s">
        <v>17</v>
      </c>
      <c r="E5310" s="5">
        <v>-31595</v>
      </c>
      <c r="F5310" s="3" t="s">
        <v>1319</v>
      </c>
      <c r="G5310" s="3" t="s">
        <v>28</v>
      </c>
      <c r="H5310" s="2" t="s">
        <v>20</v>
      </c>
      <c r="I5310" s="2" t="s">
        <v>11123</v>
      </c>
      <c r="J5310" s="3" t="str">
        <f>HYPERLINK("https://www.boe.es/gazeta/dias/1813/06/29/pdfs/GRE-1813-80.pdf#page=8","Abrir facsímil")</f>
        <v>Abrir facsímil</v>
      </c>
      <c r="K5310" s="3" t="s">
        <v>22</v>
      </c>
    </row>
    <row r="5311" spans="1:11" ht="42" customHeight="1">
      <c r="A5311" s="2" t="s">
        <v>11124</v>
      </c>
      <c r="B5311" s="2" t="s">
        <v>11125</v>
      </c>
      <c r="C5311" s="2" t="s">
        <v>16</v>
      </c>
      <c r="D5311" s="2" t="s">
        <v>17</v>
      </c>
      <c r="E5311" s="5">
        <v>-31539</v>
      </c>
      <c r="F5311" s="3" t="s">
        <v>1220</v>
      </c>
      <c r="G5311" s="3" t="s">
        <v>19</v>
      </c>
      <c r="H5311" s="2" t="s">
        <v>20</v>
      </c>
      <c r="I5311" s="2" t="s">
        <v>11126</v>
      </c>
      <c r="J5311" s="3" t="str">
        <f>HYPERLINK("https://www.boe.es/gazeta/dias/1813/08/24/pdfs/GRE-1813-108.pdf#page=4","Abrir facsímil")</f>
        <v>Abrir facsímil</v>
      </c>
      <c r="K5311" s="3" t="s">
        <v>22</v>
      </c>
    </row>
    <row r="5312" spans="1:11" ht="42" customHeight="1">
      <c r="A5312" s="2" t="s">
        <v>11127</v>
      </c>
      <c r="B5312" s="2" t="s">
        <v>11128</v>
      </c>
      <c r="C5312" s="2" t="s">
        <v>16</v>
      </c>
      <c r="D5312" s="2" t="s">
        <v>17</v>
      </c>
      <c r="E5312" s="5">
        <v>-31689</v>
      </c>
      <c r="F5312" s="3" t="s">
        <v>1347</v>
      </c>
      <c r="G5312" s="3" t="s">
        <v>54</v>
      </c>
      <c r="H5312" s="2" t="s">
        <v>20</v>
      </c>
      <c r="I5312" s="2" t="s">
        <v>11129</v>
      </c>
      <c r="J5312" s="3" t="str">
        <f>HYPERLINK("https://www.boe.es/gazeta/dias/1813/03/27/pdfs/GMD-1813-86.pdf#page=3","Abrir facsímil")</f>
        <v>Abrir facsímil</v>
      </c>
      <c r="K5312" s="3" t="s">
        <v>22</v>
      </c>
    </row>
    <row r="5313" spans="1:11" ht="42" customHeight="1">
      <c r="A5313" s="2" t="s">
        <v>11130</v>
      </c>
      <c r="B5313" s="2" t="s">
        <v>11131</v>
      </c>
      <c r="C5313" s="2" t="s">
        <v>16</v>
      </c>
      <c r="D5313" s="2" t="s">
        <v>17</v>
      </c>
      <c r="E5313" s="5">
        <v>-31635</v>
      </c>
      <c r="F5313" s="3" t="s">
        <v>2173</v>
      </c>
      <c r="G5313" s="3" t="s">
        <v>11132</v>
      </c>
      <c r="H5313" s="2" t="s">
        <v>20</v>
      </c>
      <c r="I5313" s="2" t="s">
        <v>11133</v>
      </c>
      <c r="J5313" s="3" t="str">
        <f>HYPERLINK("https://www.boe.es/gazeta/dias/1813/05/20/pdfs/GRE-1813-62.pdf#page=8","Abrir facsímil")</f>
        <v>Abrir facsímil</v>
      </c>
      <c r="K5313" s="3" t="s">
        <v>22</v>
      </c>
    </row>
    <row r="5314" spans="1:11" ht="42" customHeight="1">
      <c r="A5314" s="2" t="s">
        <v>11134</v>
      </c>
      <c r="B5314" s="2" t="s">
        <v>11135</v>
      </c>
      <c r="C5314" s="2" t="s">
        <v>34</v>
      </c>
      <c r="D5314" s="2" t="s">
        <v>35</v>
      </c>
      <c r="E5314" s="5">
        <v>-31671</v>
      </c>
      <c r="F5314" s="3" t="s">
        <v>8567</v>
      </c>
      <c r="G5314" s="3" t="s">
        <v>54</v>
      </c>
      <c r="H5314" s="2" t="s">
        <v>20</v>
      </c>
      <c r="I5314" s="2" t="s">
        <v>11136</v>
      </c>
      <c r="J5314" s="3" t="str">
        <f>HYPERLINK("https://www.boe.es/gazeta/dias/1813/04/14/pdfs/GMD-1813-104.pdf#page=3","Abrir facsímil")</f>
        <v>Abrir facsímil</v>
      </c>
      <c r="K5314" s="3" t="s">
        <v>22</v>
      </c>
    </row>
    <row r="5315" spans="1:11" ht="42" customHeight="1">
      <c r="A5315" s="2" t="s">
        <v>11137</v>
      </c>
      <c r="B5315" s="2" t="s">
        <v>11137</v>
      </c>
      <c r="C5315" s="2" t="s">
        <v>16</v>
      </c>
      <c r="D5315" s="2" t="s">
        <v>17</v>
      </c>
      <c r="E5315" s="5">
        <v>-31645</v>
      </c>
      <c r="F5315" s="3" t="s">
        <v>4666</v>
      </c>
      <c r="G5315" s="3" t="s">
        <v>65</v>
      </c>
      <c r="H5315" s="2" t="s">
        <v>20</v>
      </c>
      <c r="I5315" s="2" t="s">
        <v>11138</v>
      </c>
      <c r="J5315" s="3" t="str">
        <f>HYPERLINK("https://www.boe.es/gazeta/dias/1813/05/10/pdfs/GMD-1813-130.pdf#page=1","Abrir facsímil")</f>
        <v>Abrir facsímil</v>
      </c>
      <c r="K5315" s="3" t="s">
        <v>22</v>
      </c>
    </row>
    <row r="5316" spans="1:11" ht="42" customHeight="1">
      <c r="A5316" s="2" t="s">
        <v>11139</v>
      </c>
      <c r="B5316" s="2" t="s">
        <v>11139</v>
      </c>
      <c r="C5316" s="2" t="s">
        <v>16</v>
      </c>
      <c r="D5316" s="2" t="s">
        <v>17</v>
      </c>
      <c r="E5316" s="5">
        <v>-31670</v>
      </c>
      <c r="F5316" s="3" t="s">
        <v>92</v>
      </c>
      <c r="G5316" s="3" t="s">
        <v>1243</v>
      </c>
      <c r="H5316" s="2" t="s">
        <v>20</v>
      </c>
      <c r="I5316" s="2" t="s">
        <v>11140</v>
      </c>
      <c r="J5316" s="3" t="str">
        <f>HYPERLINK("https://www.boe.es/gazeta/dias/1813/04/15/pdfs/GRE-1813-46.pdf#page=8","Abrir facsímil")</f>
        <v>Abrir facsímil</v>
      </c>
      <c r="K5316" s="3" t="s">
        <v>22</v>
      </c>
    </row>
    <row r="5317" spans="1:11" ht="42" customHeight="1">
      <c r="A5317" s="2" t="s">
        <v>11141</v>
      </c>
      <c r="B5317" s="2" t="s">
        <v>11142</v>
      </c>
      <c r="C5317" s="2" t="s">
        <v>16</v>
      </c>
      <c r="D5317" s="2" t="s">
        <v>17</v>
      </c>
      <c r="E5317" s="5">
        <v>-31709</v>
      </c>
      <c r="F5317" s="3" t="s">
        <v>36</v>
      </c>
      <c r="G5317" s="3" t="s">
        <v>19</v>
      </c>
      <c r="H5317" s="2" t="s">
        <v>20</v>
      </c>
      <c r="I5317" s="2" t="s">
        <v>11143</v>
      </c>
      <c r="J5317" s="3" t="str">
        <f>HYPERLINK("https://www.boe.es/gazeta/dias/1813/03/07/pdfs/GMD-1813-66.pdf#page=4","Abrir facsímil")</f>
        <v>Abrir facsímil</v>
      </c>
      <c r="K5317" s="3" t="s">
        <v>22</v>
      </c>
    </row>
    <row r="5318" spans="1:11" ht="42" customHeight="1">
      <c r="A5318" s="2" t="s">
        <v>11144</v>
      </c>
      <c r="B5318" s="2" t="s">
        <v>11144</v>
      </c>
      <c r="C5318" s="2" t="s">
        <v>16</v>
      </c>
      <c r="D5318" s="2" t="s">
        <v>17</v>
      </c>
      <c r="E5318" s="5">
        <v>-31453</v>
      </c>
      <c r="F5318" s="3" t="s">
        <v>887</v>
      </c>
      <c r="G5318" s="3" t="s">
        <v>2210</v>
      </c>
      <c r="H5318" s="2" t="s">
        <v>20</v>
      </c>
      <c r="I5318" s="2" t="s">
        <v>11145</v>
      </c>
      <c r="J5318" s="3" t="str">
        <f>HYPERLINK("https://www.boe.es/gazeta/dias/1813/11/18/pdfs/GMR-1813-76.pdf#page=9","Abrir facsímil")</f>
        <v>Abrir facsímil</v>
      </c>
      <c r="K5318" s="3" t="s">
        <v>22</v>
      </c>
    </row>
    <row r="5319" spans="1:11" ht="42" customHeight="1">
      <c r="A5319" s="2" t="s">
        <v>11146</v>
      </c>
      <c r="B5319" s="2" t="s">
        <v>11147</v>
      </c>
      <c r="C5319" s="2" t="s">
        <v>25</v>
      </c>
      <c r="D5319" s="2" t="s">
        <v>26</v>
      </c>
      <c r="E5319" s="5">
        <v>-31752</v>
      </c>
      <c r="F5319" s="3" t="s">
        <v>182</v>
      </c>
      <c r="G5319" s="3" t="s">
        <v>183</v>
      </c>
      <c r="H5319" s="2" t="s">
        <v>20</v>
      </c>
      <c r="I5319" s="2" t="s">
        <v>11148</v>
      </c>
      <c r="J5319" s="3" t="str">
        <f>HYPERLINK("https://www.boe.es/gazeta/dias/1813/01/23/pdfs/GRE-1813-10.pdf#page=8","Abrir facsímil")</f>
        <v>Abrir facsímil</v>
      </c>
      <c r="K5319" s="3" t="s">
        <v>22</v>
      </c>
    </row>
    <row r="5320" spans="1:11" ht="42" customHeight="1">
      <c r="A5320" s="2" t="s">
        <v>11149</v>
      </c>
      <c r="B5320" s="2" t="s">
        <v>11149</v>
      </c>
      <c r="C5320" s="2" t="s">
        <v>16</v>
      </c>
      <c r="D5320" s="2" t="s">
        <v>17</v>
      </c>
      <c r="E5320" s="5">
        <v>-31637</v>
      </c>
      <c r="F5320" s="3" t="s">
        <v>855</v>
      </c>
      <c r="G5320" s="3" t="s">
        <v>65</v>
      </c>
      <c r="H5320" s="2" t="s">
        <v>20</v>
      </c>
      <c r="I5320" s="2" t="s">
        <v>11150</v>
      </c>
      <c r="J5320" s="3" t="str">
        <f>HYPERLINK("https://www.boe.es/gazeta/dias/1813/05/18/pdfs/GMD-1813-138.pdf#page=1","Abrir facsímil")</f>
        <v>Abrir facsímil</v>
      </c>
      <c r="K5320" s="3" t="s">
        <v>22</v>
      </c>
    </row>
    <row r="5321" spans="1:11" ht="42" customHeight="1">
      <c r="A5321" s="2" t="s">
        <v>11151</v>
      </c>
      <c r="B5321" s="2" t="s">
        <v>11151</v>
      </c>
      <c r="C5321" s="2" t="s">
        <v>16</v>
      </c>
      <c r="D5321" s="2" t="s">
        <v>97</v>
      </c>
      <c r="E5321" s="5">
        <v>-31479</v>
      </c>
      <c r="F5321" s="3" t="s">
        <v>290</v>
      </c>
      <c r="G5321" s="3" t="s">
        <v>19</v>
      </c>
      <c r="H5321" s="2" t="s">
        <v>20</v>
      </c>
      <c r="I5321" s="2" t="s">
        <v>11152</v>
      </c>
      <c r="J5321" s="3" t="str">
        <f>HYPERLINK("https://www.boe.es/gazeta/dias/1813/10/23/pdfs/GRE-1813-139E.pdf#page=4","Abrir facsímil")</f>
        <v>Abrir facsímil</v>
      </c>
      <c r="K5321" s="3" t="s">
        <v>22</v>
      </c>
    </row>
    <row r="5322" spans="1:11" ht="42" customHeight="1">
      <c r="A5322" s="2" t="s">
        <v>11151</v>
      </c>
      <c r="B5322" s="2" t="s">
        <v>11151</v>
      </c>
      <c r="C5322" s="2" t="s">
        <v>16</v>
      </c>
      <c r="D5322" s="2" t="s">
        <v>17</v>
      </c>
      <c r="E5322" s="5">
        <v>-31467</v>
      </c>
      <c r="F5322" s="3" t="s">
        <v>120</v>
      </c>
      <c r="G5322" s="3" t="s">
        <v>87</v>
      </c>
      <c r="H5322" s="2" t="s">
        <v>20</v>
      </c>
      <c r="I5322" s="2" t="s">
        <v>11153</v>
      </c>
      <c r="J5322" s="3" t="str">
        <f>HYPERLINK("https://www.boe.es/gazeta/dias/1813/11/04/pdfs/GMR-1813-68.pdf#page=7","Abrir facsímil")</f>
        <v>Abrir facsímil</v>
      </c>
      <c r="K5322" s="3" t="s">
        <v>22</v>
      </c>
    </row>
    <row r="5323" spans="1:11" ht="42" customHeight="1">
      <c r="A5323" s="2" t="s">
        <v>11154</v>
      </c>
      <c r="B5323" s="2" t="s">
        <v>11155</v>
      </c>
      <c r="C5323" s="2" t="s">
        <v>16</v>
      </c>
      <c r="D5323" s="2" t="s">
        <v>17</v>
      </c>
      <c r="E5323" s="5">
        <v>-31635</v>
      </c>
      <c r="F5323" s="3" t="s">
        <v>2173</v>
      </c>
      <c r="G5323" s="3" t="s">
        <v>11156</v>
      </c>
      <c r="H5323" s="2" t="s">
        <v>20</v>
      </c>
      <c r="I5323" s="2" t="s">
        <v>11157</v>
      </c>
      <c r="J5323" s="3" t="str">
        <f>HYPERLINK("https://www.boe.es/gazeta/dias/1813/05/20/pdfs/GRE-1813-62.pdf#page=6","Abrir facsímil")</f>
        <v>Abrir facsímil</v>
      </c>
      <c r="K5323" s="3" t="s">
        <v>22</v>
      </c>
    </row>
    <row r="5324" spans="1:11" ht="42" customHeight="1">
      <c r="A5324" s="2" t="s">
        <v>11158</v>
      </c>
      <c r="B5324" s="2" t="s">
        <v>11159</v>
      </c>
      <c r="C5324" s="2" t="s">
        <v>16</v>
      </c>
      <c r="D5324" s="2" t="s">
        <v>97</v>
      </c>
      <c r="E5324" s="5">
        <v>-31479</v>
      </c>
      <c r="F5324" s="3" t="s">
        <v>290</v>
      </c>
      <c r="G5324" s="3" t="s">
        <v>87</v>
      </c>
      <c r="H5324" s="2" t="s">
        <v>20</v>
      </c>
      <c r="I5324" s="2" t="s">
        <v>11160</v>
      </c>
      <c r="J5324" s="3" t="str">
        <f>HYPERLINK("https://www.boe.es/gazeta/dias/1813/10/23/pdfs/GRE-1813-139E.pdf#page=7","Abrir facsímil")</f>
        <v>Abrir facsímil</v>
      </c>
      <c r="K5324" s="3" t="s">
        <v>22</v>
      </c>
    </row>
    <row r="5325" spans="1:11" ht="42" customHeight="1">
      <c r="A5325" s="2" t="s">
        <v>11161</v>
      </c>
      <c r="B5325" s="2" t="s">
        <v>11162</v>
      </c>
      <c r="C5325" s="2" t="s">
        <v>16</v>
      </c>
      <c r="D5325" s="2" t="s">
        <v>17</v>
      </c>
      <c r="E5325" s="5">
        <v>-31465</v>
      </c>
      <c r="F5325" s="3" t="s">
        <v>407</v>
      </c>
      <c r="G5325" s="3" t="s">
        <v>3112</v>
      </c>
      <c r="H5325" s="2" t="s">
        <v>20</v>
      </c>
      <c r="I5325" s="2" t="s">
        <v>11163</v>
      </c>
      <c r="J5325" s="3" t="str">
        <f>HYPERLINK("https://www.boe.es/gazeta/dias/1813/11/06/pdfs/GMR-1813-70.pdf#page=6","Abrir facsímil")</f>
        <v>Abrir facsímil</v>
      </c>
      <c r="K5325" s="3" t="s">
        <v>22</v>
      </c>
    </row>
    <row r="5326" spans="1:11" ht="42" customHeight="1">
      <c r="A5326" s="2" t="s">
        <v>11164</v>
      </c>
      <c r="B5326" s="2" t="s">
        <v>11165</v>
      </c>
      <c r="C5326" s="2" t="s">
        <v>16</v>
      </c>
      <c r="D5326" s="2" t="s">
        <v>17</v>
      </c>
      <c r="E5326" s="5">
        <v>-31719</v>
      </c>
      <c r="F5326" s="3" t="s">
        <v>251</v>
      </c>
      <c r="G5326" s="3" t="s">
        <v>19</v>
      </c>
      <c r="H5326" s="2" t="s">
        <v>20</v>
      </c>
      <c r="I5326" s="2" t="s">
        <v>11166</v>
      </c>
      <c r="J5326" s="3" t="str">
        <f>HYPERLINK("https://www.boe.es/gazeta/dias/1813/02/25/pdfs/GMD-1813-56.pdf#page=4","Abrir facsímil")</f>
        <v>Abrir facsímil</v>
      </c>
      <c r="K5326" s="3" t="s">
        <v>22</v>
      </c>
    </row>
    <row r="5327" spans="1:11" ht="42" customHeight="1">
      <c r="A5327" s="2" t="s">
        <v>11167</v>
      </c>
      <c r="B5327" s="2" t="s">
        <v>11167</v>
      </c>
      <c r="C5327" s="2" t="s">
        <v>16</v>
      </c>
      <c r="D5327" s="2" t="s">
        <v>17</v>
      </c>
      <c r="E5327" s="5">
        <v>-31483</v>
      </c>
      <c r="F5327" s="3" t="s">
        <v>1292</v>
      </c>
      <c r="G5327" s="3" t="s">
        <v>87</v>
      </c>
      <c r="H5327" s="2" t="s">
        <v>20</v>
      </c>
      <c r="I5327" s="2" t="s">
        <v>11168</v>
      </c>
      <c r="J5327" s="3" t="str">
        <f>HYPERLINK("https://www.boe.es/gazeta/dias/1813/10/19/pdfs/GMR-1813-61.pdf#page=7","Abrir facsímil")</f>
        <v>Abrir facsímil</v>
      </c>
      <c r="K5327" s="3" t="s">
        <v>22</v>
      </c>
    </row>
    <row r="5328" spans="1:11" ht="42" customHeight="1">
      <c r="A5328" s="2" t="s">
        <v>11167</v>
      </c>
      <c r="B5328" s="2" t="s">
        <v>11167</v>
      </c>
      <c r="C5328" s="2" t="s">
        <v>16</v>
      </c>
      <c r="D5328" s="2" t="s">
        <v>17</v>
      </c>
      <c r="E5328" s="5">
        <v>-31481</v>
      </c>
      <c r="F5328" s="3" t="s">
        <v>380</v>
      </c>
      <c r="G5328" s="3" t="s">
        <v>794</v>
      </c>
      <c r="H5328" s="2" t="s">
        <v>20</v>
      </c>
      <c r="I5328" s="2" t="s">
        <v>11169</v>
      </c>
      <c r="J5328" s="3" t="str">
        <f>HYPERLINK("https://www.boe.es/gazeta/dias/1813/10/21/pdfs/GRE-1813-137.pdf#page=7","Abrir facsímil")</f>
        <v>Abrir facsímil</v>
      </c>
      <c r="K5328" s="3" t="s">
        <v>22</v>
      </c>
    </row>
    <row r="5329" spans="1:11" ht="42" customHeight="1">
      <c r="A5329" s="2" t="s">
        <v>11170</v>
      </c>
      <c r="B5329" s="2" t="s">
        <v>11170</v>
      </c>
      <c r="C5329" s="2" t="s">
        <v>16</v>
      </c>
      <c r="D5329" s="2" t="s">
        <v>17</v>
      </c>
      <c r="E5329" s="5">
        <v>-31474</v>
      </c>
      <c r="F5329" s="3" t="s">
        <v>130</v>
      </c>
      <c r="G5329" s="3" t="s">
        <v>19</v>
      </c>
      <c r="H5329" s="2" t="s">
        <v>20</v>
      </c>
      <c r="I5329" s="2" t="s">
        <v>11171</v>
      </c>
      <c r="J5329" s="3" t="str">
        <f>HYPERLINK("https://www.boe.es/gazeta/dias/1813/10/28/pdfs/GRE-1813-141.pdf#page=4","Abrir facsímil")</f>
        <v>Abrir facsímil</v>
      </c>
      <c r="K5329" s="3" t="s">
        <v>22</v>
      </c>
    </row>
    <row r="5330" spans="1:11" ht="42" customHeight="1">
      <c r="A5330" s="2" t="s">
        <v>11172</v>
      </c>
      <c r="B5330" s="2" t="s">
        <v>11173</v>
      </c>
      <c r="C5330" s="2" t="s">
        <v>16</v>
      </c>
      <c r="D5330" s="2" t="s">
        <v>17</v>
      </c>
      <c r="E5330" s="5">
        <v>-31418</v>
      </c>
      <c r="F5330" s="3" t="s">
        <v>147</v>
      </c>
      <c r="G5330" s="3" t="s">
        <v>82</v>
      </c>
      <c r="H5330" s="2" t="s">
        <v>20</v>
      </c>
      <c r="I5330" s="2" t="s">
        <v>11174</v>
      </c>
      <c r="J5330" s="3" t="str">
        <f>HYPERLINK("https://www.boe.es/gazeta/dias/1813/12/23/pdfs/GRE-1813-168.pdf#page=5","Abrir facsímil")</f>
        <v>Abrir facsímil</v>
      </c>
      <c r="K5330" s="3" t="s">
        <v>22</v>
      </c>
    </row>
    <row r="5331" spans="1:11" ht="42" customHeight="1">
      <c r="A5331" s="2" t="s">
        <v>11175</v>
      </c>
      <c r="B5331" s="2" t="s">
        <v>11175</v>
      </c>
      <c r="C5331" s="2" t="s">
        <v>16</v>
      </c>
      <c r="D5331" s="2" t="s">
        <v>17</v>
      </c>
      <c r="E5331" s="5">
        <v>-31579</v>
      </c>
      <c r="F5331" s="3" t="s">
        <v>609</v>
      </c>
      <c r="G5331" s="3" t="s">
        <v>19</v>
      </c>
      <c r="H5331" s="2" t="s">
        <v>20</v>
      </c>
      <c r="I5331" s="2" t="s">
        <v>11176</v>
      </c>
      <c r="J5331" s="3" t="str">
        <f>HYPERLINK("https://www.boe.es/gazeta/dias/1813/07/15/pdfs/GRE-1813-89.pdf#page=4","Abrir facsímil")</f>
        <v>Abrir facsímil</v>
      </c>
      <c r="K5331" s="3" t="s">
        <v>22</v>
      </c>
    </row>
    <row r="5332" spans="1:11" ht="42" customHeight="1">
      <c r="A5332" s="2" t="s">
        <v>11177</v>
      </c>
      <c r="B5332" s="2" t="s">
        <v>11178</v>
      </c>
      <c r="C5332" s="2" t="s">
        <v>25</v>
      </c>
      <c r="D5332" s="2" t="s">
        <v>26</v>
      </c>
      <c r="E5332" s="5">
        <v>-31752</v>
      </c>
      <c r="F5332" s="3" t="s">
        <v>182</v>
      </c>
      <c r="G5332" s="3" t="s">
        <v>183</v>
      </c>
      <c r="H5332" s="2" t="s">
        <v>20</v>
      </c>
      <c r="I5332" s="2" t="s">
        <v>11179</v>
      </c>
      <c r="J5332" s="3" t="str">
        <f>HYPERLINK("https://www.boe.es/gazeta/dias/1813/01/23/pdfs/GRE-1813-10.pdf#page=8","Abrir facsímil")</f>
        <v>Abrir facsímil</v>
      </c>
      <c r="K5332" s="3" t="s">
        <v>22</v>
      </c>
    </row>
    <row r="5333" spans="1:11" ht="42" customHeight="1">
      <c r="A5333" s="2" t="s">
        <v>11177</v>
      </c>
      <c r="B5333" s="2" t="s">
        <v>11178</v>
      </c>
      <c r="C5333" s="2" t="s">
        <v>16</v>
      </c>
      <c r="D5333" s="2" t="s">
        <v>17</v>
      </c>
      <c r="E5333" s="5">
        <v>-31579</v>
      </c>
      <c r="F5333" s="3" t="s">
        <v>609</v>
      </c>
      <c r="G5333" s="3" t="s">
        <v>19</v>
      </c>
      <c r="H5333" s="2" t="s">
        <v>20</v>
      </c>
      <c r="I5333" s="2" t="s">
        <v>11180</v>
      </c>
      <c r="J5333" s="3" t="str">
        <f>HYPERLINK("https://www.boe.es/gazeta/dias/1813/07/15/pdfs/GRE-1813-89.pdf#page=4","Abrir facsímil")</f>
        <v>Abrir facsímil</v>
      </c>
      <c r="K5333" s="3" t="s">
        <v>22</v>
      </c>
    </row>
    <row r="5334" spans="1:11" ht="42" customHeight="1">
      <c r="A5334" s="2" t="s">
        <v>11181</v>
      </c>
      <c r="B5334" s="2" t="s">
        <v>11182</v>
      </c>
      <c r="C5334" s="2" t="s">
        <v>25</v>
      </c>
      <c r="D5334" s="2" t="s">
        <v>26</v>
      </c>
      <c r="E5334" s="5">
        <v>-31544</v>
      </c>
      <c r="F5334" s="3" t="s">
        <v>44</v>
      </c>
      <c r="G5334" s="3" t="s">
        <v>49</v>
      </c>
      <c r="H5334" s="2" t="s">
        <v>20</v>
      </c>
      <c r="I5334" s="2" t="s">
        <v>11183</v>
      </c>
      <c r="J5334" s="3" t="str">
        <f>HYPERLINK("https://www.boe.es/gazeta/dias/1813/08/19/pdfs/GMR-1813-30.pdf#page=5","Abrir facsímil")</f>
        <v>Abrir facsímil</v>
      </c>
      <c r="K5334" s="3" t="s">
        <v>22</v>
      </c>
    </row>
    <row r="5335" spans="1:11" ht="42" customHeight="1">
      <c r="A5335" s="2" t="s">
        <v>11184</v>
      </c>
      <c r="B5335" s="2" t="s">
        <v>11185</v>
      </c>
      <c r="C5335" s="2" t="s">
        <v>25</v>
      </c>
      <c r="D5335" s="2" t="s">
        <v>26</v>
      </c>
      <c r="E5335" s="5">
        <v>-31546</v>
      </c>
      <c r="F5335" s="3" t="s">
        <v>2057</v>
      </c>
      <c r="G5335" s="3" t="s">
        <v>95</v>
      </c>
      <c r="H5335" s="2" t="s">
        <v>20</v>
      </c>
      <c r="I5335" s="2" t="s">
        <v>11186</v>
      </c>
      <c r="J5335" s="3" t="str">
        <f>HYPERLINK("https://www.boe.es/gazeta/dias/1813/08/17/pdfs/GRE-1813-105.pdf#page=6","Abrir facsímil")</f>
        <v>Abrir facsímil</v>
      </c>
      <c r="K5335" s="3" t="s">
        <v>22</v>
      </c>
    </row>
    <row r="5336" spans="1:11" ht="42" customHeight="1">
      <c r="A5336" s="2" t="s">
        <v>11187</v>
      </c>
      <c r="B5336" s="2" t="s">
        <v>11188</v>
      </c>
      <c r="C5336" s="2" t="s">
        <v>16</v>
      </c>
      <c r="D5336" s="2" t="s">
        <v>17</v>
      </c>
      <c r="E5336" s="5">
        <v>-31532</v>
      </c>
      <c r="F5336" s="3" t="s">
        <v>215</v>
      </c>
      <c r="G5336" s="3" t="s">
        <v>95</v>
      </c>
      <c r="H5336" s="2" t="s">
        <v>20</v>
      </c>
      <c r="I5336" s="2" t="s">
        <v>11189</v>
      </c>
      <c r="J5336" s="3" t="str">
        <f>HYPERLINK("https://www.boe.es/gazeta/dias/1813/08/31/pdfs/GRE-1813-111.pdf#page=6","Abrir facsímil")</f>
        <v>Abrir facsímil</v>
      </c>
      <c r="K5336" s="3" t="s">
        <v>22</v>
      </c>
    </row>
    <row r="5337" spans="1:11" ht="42" customHeight="1">
      <c r="A5337" s="2" t="s">
        <v>11190</v>
      </c>
      <c r="B5337" s="2" t="s">
        <v>11191</v>
      </c>
      <c r="C5337" s="2" t="s">
        <v>16</v>
      </c>
      <c r="D5337" s="2" t="s">
        <v>17</v>
      </c>
      <c r="E5337" s="5">
        <v>-31532</v>
      </c>
      <c r="F5337" s="3" t="s">
        <v>215</v>
      </c>
      <c r="G5337" s="3" t="s">
        <v>95</v>
      </c>
      <c r="H5337" s="2" t="s">
        <v>20</v>
      </c>
      <c r="I5337" s="2" t="s">
        <v>11192</v>
      </c>
      <c r="J5337" s="3" t="str">
        <f>HYPERLINK("https://www.boe.es/gazeta/dias/1813/08/31/pdfs/GRE-1813-111.pdf#page=6","Abrir facsímil")</f>
        <v>Abrir facsímil</v>
      </c>
      <c r="K5337" s="3" t="s">
        <v>22</v>
      </c>
    </row>
    <row r="5338" spans="1:11" ht="42" customHeight="1">
      <c r="A5338" s="2" t="s">
        <v>11193</v>
      </c>
      <c r="B5338" s="2" t="s">
        <v>11194</v>
      </c>
      <c r="C5338" s="2" t="s">
        <v>16</v>
      </c>
      <c r="D5338" s="2" t="s">
        <v>17</v>
      </c>
      <c r="E5338" s="5">
        <v>-31567</v>
      </c>
      <c r="F5338" s="3" t="s">
        <v>1471</v>
      </c>
      <c r="G5338" s="3" t="s">
        <v>95</v>
      </c>
      <c r="H5338" s="2" t="s">
        <v>20</v>
      </c>
      <c r="I5338" s="2" t="s">
        <v>11195</v>
      </c>
      <c r="J5338" s="3" t="str">
        <f>HYPERLINK("https://www.boe.es/gazeta/dias/1813/07/27/pdfs/GRE-1813-95.pdf#page=6","Abrir facsímil")</f>
        <v>Abrir facsímil</v>
      </c>
      <c r="K5338" s="3" t="s">
        <v>22</v>
      </c>
    </row>
    <row r="5339" spans="1:11" ht="42" customHeight="1">
      <c r="A5339" s="2" t="s">
        <v>11193</v>
      </c>
      <c r="B5339" s="2" t="s">
        <v>11194</v>
      </c>
      <c r="C5339" s="2" t="s">
        <v>16</v>
      </c>
      <c r="D5339" s="2" t="s">
        <v>17</v>
      </c>
      <c r="E5339" s="5">
        <v>-31553</v>
      </c>
      <c r="F5339" s="3" t="s">
        <v>1853</v>
      </c>
      <c r="G5339" s="3" t="s">
        <v>95</v>
      </c>
      <c r="H5339" s="2" t="s">
        <v>20</v>
      </c>
      <c r="I5339" s="2" t="s">
        <v>11196</v>
      </c>
      <c r="J5339" s="3" t="str">
        <f>HYPERLINK("https://www.boe.es/gazeta/dias/1813/08/10/pdfs/GMR-1813-26.pdf#page=6","Abrir facsímil")</f>
        <v>Abrir facsímil</v>
      </c>
      <c r="K5339" s="3" t="s">
        <v>22</v>
      </c>
    </row>
    <row r="5340" spans="1:11" ht="42" customHeight="1">
      <c r="A5340" s="2" t="s">
        <v>11197</v>
      </c>
      <c r="B5340" s="2" t="s">
        <v>11198</v>
      </c>
      <c r="C5340" s="2" t="s">
        <v>435</v>
      </c>
      <c r="D5340" s="2" t="s">
        <v>26</v>
      </c>
      <c r="E5340" s="5">
        <v>-31560</v>
      </c>
      <c r="F5340" s="3" t="s">
        <v>590</v>
      </c>
      <c r="G5340" s="3" t="s">
        <v>87</v>
      </c>
      <c r="H5340" s="2" t="s">
        <v>20</v>
      </c>
      <c r="I5340" s="2" t="s">
        <v>11199</v>
      </c>
      <c r="J5340" s="3" t="str">
        <f>HYPERLINK("https://www.boe.es/gazeta/dias/1813/08/03/pdfs/GRE-1813-98.pdf#page=7","Abrir facsímil")</f>
        <v>Abrir facsímil</v>
      </c>
      <c r="K5340" s="3" t="s">
        <v>22</v>
      </c>
    </row>
    <row r="5341" spans="1:11" ht="42" customHeight="1">
      <c r="A5341" s="2" t="s">
        <v>11200</v>
      </c>
      <c r="B5341" s="2" t="s">
        <v>11200</v>
      </c>
      <c r="C5341" s="2" t="s">
        <v>16</v>
      </c>
      <c r="D5341" s="2" t="s">
        <v>17</v>
      </c>
      <c r="E5341" s="5">
        <v>-31626</v>
      </c>
      <c r="F5341" s="3" t="s">
        <v>64</v>
      </c>
      <c r="G5341" s="3" t="s">
        <v>54</v>
      </c>
      <c r="H5341" s="2" t="s">
        <v>20</v>
      </c>
      <c r="I5341" s="2" t="s">
        <v>11201</v>
      </c>
      <c r="J5341" s="3" t="str">
        <f>HYPERLINK("https://www.boe.es/gazeta/dias/1813/05/29/pdfs/GRE-1813-66.pdf#page=3","Abrir facsímil")</f>
        <v>Abrir facsímil</v>
      </c>
      <c r="K5341" s="3" t="s">
        <v>22</v>
      </c>
    </row>
    <row r="5342" spans="1:11" ht="42" customHeight="1">
      <c r="A5342" s="2" t="s">
        <v>11202</v>
      </c>
      <c r="B5342" s="2" t="s">
        <v>11203</v>
      </c>
      <c r="C5342" s="2" t="s">
        <v>16</v>
      </c>
      <c r="D5342" s="2" t="s">
        <v>17</v>
      </c>
      <c r="E5342" s="5">
        <v>-31626</v>
      </c>
      <c r="F5342" s="3" t="s">
        <v>64</v>
      </c>
      <c r="G5342" s="3" t="s">
        <v>54</v>
      </c>
      <c r="H5342" s="2" t="s">
        <v>20</v>
      </c>
      <c r="I5342" s="2" t="s">
        <v>11204</v>
      </c>
      <c r="J5342" s="3" t="str">
        <f>HYPERLINK("https://www.boe.es/gazeta/dias/1813/05/29/pdfs/GRE-1813-66.pdf#page=3","Abrir facsímil")</f>
        <v>Abrir facsímil</v>
      </c>
      <c r="K5342" s="3" t="s">
        <v>22</v>
      </c>
    </row>
    <row r="5343" spans="1:11" ht="42" customHeight="1">
      <c r="A5343" s="2" t="s">
        <v>11205</v>
      </c>
      <c r="B5343" s="2" t="s">
        <v>11205</v>
      </c>
      <c r="C5343" s="2" t="s">
        <v>16</v>
      </c>
      <c r="D5343" s="2" t="s">
        <v>17</v>
      </c>
      <c r="E5343" s="5">
        <v>-31705</v>
      </c>
      <c r="F5343" s="3" t="s">
        <v>243</v>
      </c>
      <c r="G5343" s="3" t="s">
        <v>58</v>
      </c>
      <c r="H5343" s="2" t="s">
        <v>20</v>
      </c>
      <c r="I5343" s="2" t="s">
        <v>11206</v>
      </c>
      <c r="J5343" s="3" t="str">
        <f>HYPERLINK("https://www.boe.es/gazeta/dias/1813/03/11/pdfs/GRE-1813-31.pdf#page=2","Abrir facsímil")</f>
        <v>Abrir facsímil</v>
      </c>
      <c r="K5343" s="3" t="s">
        <v>22</v>
      </c>
    </row>
    <row r="5344" spans="1:11" ht="42" customHeight="1">
      <c r="A5344" s="2" t="s">
        <v>11205</v>
      </c>
      <c r="B5344" s="2" t="s">
        <v>11205</v>
      </c>
      <c r="C5344" s="2" t="s">
        <v>16</v>
      </c>
      <c r="D5344" s="2" t="s">
        <v>17</v>
      </c>
      <c r="E5344" s="5">
        <v>-31659</v>
      </c>
      <c r="F5344" s="3" t="s">
        <v>3041</v>
      </c>
      <c r="G5344" s="3" t="s">
        <v>1304</v>
      </c>
      <c r="H5344" s="2" t="s">
        <v>20</v>
      </c>
      <c r="I5344" s="2" t="s">
        <v>11207</v>
      </c>
      <c r="J5344" s="3" t="str">
        <f>HYPERLINK("https://www.boe.es/gazeta/dias/1813/04/26/pdfs/GMD-1813-116.pdf#page=2","Abrir facsímil")</f>
        <v>Abrir facsímil</v>
      </c>
      <c r="K5344" s="3" t="s">
        <v>22</v>
      </c>
    </row>
    <row r="5345" spans="1:11" ht="42" customHeight="1">
      <c r="A5345" s="2" t="s">
        <v>11205</v>
      </c>
      <c r="B5345" s="2" t="s">
        <v>11205</v>
      </c>
      <c r="C5345" s="2" t="s">
        <v>16</v>
      </c>
      <c r="D5345" s="2" t="s">
        <v>17</v>
      </c>
      <c r="E5345" s="5">
        <v>-31658</v>
      </c>
      <c r="F5345" s="3" t="s">
        <v>1113</v>
      </c>
      <c r="G5345" s="3" t="s">
        <v>1926</v>
      </c>
      <c r="H5345" s="2" t="s">
        <v>20</v>
      </c>
      <c r="I5345" s="2" t="s">
        <v>11208</v>
      </c>
      <c r="J5345" s="3" t="str">
        <f>HYPERLINK("https://www.boe.es/gazeta/dias/1813/04/27/pdfs/GRE-1813-52.pdf#page=5","Abrir facsímil")</f>
        <v>Abrir facsímil</v>
      </c>
      <c r="K5345" s="3" t="s">
        <v>22</v>
      </c>
    </row>
    <row r="5346" spans="1:11" ht="42" customHeight="1">
      <c r="A5346" s="2" t="s">
        <v>11205</v>
      </c>
      <c r="B5346" s="2" t="s">
        <v>11205</v>
      </c>
      <c r="C5346" s="2" t="s">
        <v>16</v>
      </c>
      <c r="D5346" s="2" t="s">
        <v>17</v>
      </c>
      <c r="E5346" s="5">
        <v>-31658</v>
      </c>
      <c r="F5346" s="3" t="s">
        <v>1113</v>
      </c>
      <c r="G5346" s="3" t="s">
        <v>19</v>
      </c>
      <c r="H5346" s="2" t="s">
        <v>20</v>
      </c>
      <c r="I5346" s="2" t="s">
        <v>11209</v>
      </c>
      <c r="J5346" s="3" t="str">
        <f>HYPERLINK("https://www.boe.es/gazeta/dias/1813/04/27/pdfs/GRE-1813-52.pdf#page=4","Abrir facsímil")</f>
        <v>Abrir facsímil</v>
      </c>
      <c r="K5346" s="3" t="s">
        <v>22</v>
      </c>
    </row>
    <row r="5347" spans="1:11" ht="42" customHeight="1">
      <c r="A5347" s="2" t="s">
        <v>11205</v>
      </c>
      <c r="B5347" s="2" t="s">
        <v>11205</v>
      </c>
      <c r="C5347" s="2" t="s">
        <v>16</v>
      </c>
      <c r="D5347" s="2" t="s">
        <v>17</v>
      </c>
      <c r="E5347" s="5">
        <v>-31654</v>
      </c>
      <c r="F5347" s="3" t="s">
        <v>1519</v>
      </c>
      <c r="G5347" s="3" t="s">
        <v>5100</v>
      </c>
      <c r="H5347" s="2" t="s">
        <v>20</v>
      </c>
      <c r="I5347" s="2" t="s">
        <v>11210</v>
      </c>
      <c r="J5347" s="3" t="str">
        <f>HYPERLINK("https://www.boe.es/gazeta/dias/1813/05/01/pdfs/GRE-1813-54.pdf#page=4","Abrir facsímil")</f>
        <v>Abrir facsímil</v>
      </c>
      <c r="K5347" s="3" t="s">
        <v>22</v>
      </c>
    </row>
    <row r="5348" spans="1:11" ht="42" customHeight="1">
      <c r="A5348" s="2" t="s">
        <v>11205</v>
      </c>
      <c r="B5348" s="2" t="s">
        <v>11205</v>
      </c>
      <c r="C5348" s="2" t="s">
        <v>16</v>
      </c>
      <c r="D5348" s="2" t="s">
        <v>17</v>
      </c>
      <c r="E5348" s="5">
        <v>-31654</v>
      </c>
      <c r="F5348" s="3" t="s">
        <v>1519</v>
      </c>
      <c r="G5348" s="3" t="s">
        <v>1520</v>
      </c>
      <c r="H5348" s="2" t="s">
        <v>20</v>
      </c>
      <c r="I5348" s="2" t="s">
        <v>11211</v>
      </c>
      <c r="J5348" s="3" t="str">
        <f>HYPERLINK("https://www.boe.es/gazeta/dias/1813/05/01/pdfs/GRE-1813-54.pdf#page=5","Abrir facsímil")</f>
        <v>Abrir facsímil</v>
      </c>
      <c r="K5348" s="3" t="s">
        <v>22</v>
      </c>
    </row>
    <row r="5349" spans="1:11" ht="42" customHeight="1">
      <c r="A5349" s="2" t="s">
        <v>11205</v>
      </c>
      <c r="B5349" s="2" t="s">
        <v>11205</v>
      </c>
      <c r="C5349" s="2" t="s">
        <v>16</v>
      </c>
      <c r="D5349" s="2" t="s">
        <v>17</v>
      </c>
      <c r="E5349" s="5">
        <v>-31653</v>
      </c>
      <c r="F5349" s="3" t="s">
        <v>3121</v>
      </c>
      <c r="G5349" s="3" t="s">
        <v>3122</v>
      </c>
      <c r="H5349" s="2" t="s">
        <v>20</v>
      </c>
      <c r="I5349" s="2" t="s">
        <v>11212</v>
      </c>
      <c r="J5349" s="3" t="str">
        <f>HYPERLINK("https://www.boe.es/gazeta/dias/1813/05/02/pdfs/GMD-1813-122.pdf#page=2","Abrir facsímil")</f>
        <v>Abrir facsímil</v>
      </c>
      <c r="K5349" s="3" t="s">
        <v>22</v>
      </c>
    </row>
    <row r="5350" spans="1:11" ht="42" customHeight="1">
      <c r="A5350" s="2" t="s">
        <v>11205</v>
      </c>
      <c r="B5350" s="2" t="s">
        <v>11205</v>
      </c>
      <c r="C5350" s="2" t="s">
        <v>16</v>
      </c>
      <c r="D5350" s="2" t="s">
        <v>17</v>
      </c>
      <c r="E5350" s="5">
        <v>-31647</v>
      </c>
      <c r="F5350" s="3" t="s">
        <v>5110</v>
      </c>
      <c r="G5350" s="3" t="s">
        <v>54</v>
      </c>
      <c r="H5350" s="2" t="s">
        <v>20</v>
      </c>
      <c r="I5350" s="2" t="s">
        <v>11213</v>
      </c>
      <c r="J5350" s="3" t="str">
        <f>HYPERLINK("https://www.boe.es/gazeta/dias/1813/05/08/pdfs/GMD-1813-128.pdf#page=3","Abrir facsímil")</f>
        <v>Abrir facsímil</v>
      </c>
      <c r="K5350" s="3" t="s">
        <v>22</v>
      </c>
    </row>
    <row r="5351" spans="1:11" ht="42" customHeight="1">
      <c r="A5351" s="2" t="s">
        <v>11205</v>
      </c>
      <c r="B5351" s="2" t="s">
        <v>11205</v>
      </c>
      <c r="C5351" s="2" t="s">
        <v>16</v>
      </c>
      <c r="D5351" s="2" t="s">
        <v>17</v>
      </c>
      <c r="E5351" s="5">
        <v>-31637</v>
      </c>
      <c r="F5351" s="3" t="s">
        <v>855</v>
      </c>
      <c r="G5351" s="3" t="s">
        <v>58</v>
      </c>
      <c r="H5351" s="2" t="s">
        <v>20</v>
      </c>
      <c r="I5351" s="2" t="s">
        <v>11214</v>
      </c>
      <c r="J5351" s="3" t="str">
        <f>HYPERLINK("https://www.boe.es/gazeta/dias/1813/05/18/pdfs/GMD-1813-138.pdf#page=2","Abrir facsímil")</f>
        <v>Abrir facsímil</v>
      </c>
      <c r="K5351" s="3" t="s">
        <v>22</v>
      </c>
    </row>
    <row r="5352" spans="1:11" ht="42" customHeight="1">
      <c r="A5352" s="2" t="s">
        <v>11215</v>
      </c>
      <c r="B5352" s="2" t="s">
        <v>11215</v>
      </c>
      <c r="C5352" s="2" t="s">
        <v>16</v>
      </c>
      <c r="D5352" s="2" t="s">
        <v>17</v>
      </c>
      <c r="E5352" s="5">
        <v>-31479</v>
      </c>
      <c r="F5352" s="3" t="s">
        <v>322</v>
      </c>
      <c r="G5352" s="3" t="s">
        <v>58</v>
      </c>
      <c r="H5352" s="2" t="s">
        <v>20</v>
      </c>
      <c r="I5352" s="2" t="s">
        <v>11216</v>
      </c>
      <c r="J5352" s="3" t="str">
        <f>HYPERLINK("https://www.boe.es/gazeta/dias/1813/10/23/pdfs/GMR-1813-63.pdf#page=2","Abrir facsímil")</f>
        <v>Abrir facsímil</v>
      </c>
      <c r="K5352" s="3" t="s">
        <v>22</v>
      </c>
    </row>
    <row r="5353" spans="1:11" ht="42" customHeight="1">
      <c r="A5353" s="2" t="s">
        <v>11217</v>
      </c>
      <c r="B5353" s="2" t="s">
        <v>11217</v>
      </c>
      <c r="C5353" s="2" t="s">
        <v>16</v>
      </c>
      <c r="D5353" s="2" t="s">
        <v>17</v>
      </c>
      <c r="E5353" s="5">
        <v>-31773</v>
      </c>
      <c r="F5353" s="3" t="s">
        <v>3667</v>
      </c>
      <c r="G5353" s="3" t="s">
        <v>58</v>
      </c>
      <c r="H5353" s="2" t="s">
        <v>20</v>
      </c>
      <c r="I5353" s="2" t="s">
        <v>11218</v>
      </c>
      <c r="J5353" s="3" t="str">
        <f>HYPERLINK("https://www.boe.es/gazeta/dias/1813/01/02/pdfs/GRE-1813-1.pdf#page=2","Abrir facsímil")</f>
        <v>Abrir facsímil</v>
      </c>
      <c r="K5353" s="3" t="s">
        <v>22</v>
      </c>
    </row>
    <row r="5354" spans="1:11" ht="42" customHeight="1">
      <c r="A5354" s="2" t="s">
        <v>11217</v>
      </c>
      <c r="B5354" s="2" t="s">
        <v>11217</v>
      </c>
      <c r="C5354" s="2" t="s">
        <v>16</v>
      </c>
      <c r="D5354" s="2" t="s">
        <v>17</v>
      </c>
      <c r="E5354" s="5">
        <v>-31770</v>
      </c>
      <c r="F5354" s="3" t="s">
        <v>1738</v>
      </c>
      <c r="G5354" s="3" t="s">
        <v>11219</v>
      </c>
      <c r="H5354" s="2" t="s">
        <v>20</v>
      </c>
      <c r="I5354" s="2" t="s">
        <v>11220</v>
      </c>
      <c r="J5354" s="3" t="str">
        <f>HYPERLINK("https://www.boe.es/gazeta/dias/1813/01/05/pdfs/GRE-1813-2.pdf#page=5","Abrir facsímil")</f>
        <v>Abrir facsímil</v>
      </c>
      <c r="K5354" s="3" t="s">
        <v>22</v>
      </c>
    </row>
    <row r="5355" spans="1:11" ht="42" customHeight="1">
      <c r="A5355" s="2" t="s">
        <v>11221</v>
      </c>
      <c r="B5355" s="2" t="s">
        <v>11222</v>
      </c>
      <c r="C5355" s="2" t="s">
        <v>187</v>
      </c>
      <c r="D5355" s="2" t="s">
        <v>26</v>
      </c>
      <c r="E5355" s="5">
        <v>-31537</v>
      </c>
      <c r="F5355" s="3" t="s">
        <v>138</v>
      </c>
      <c r="G5355" s="3" t="s">
        <v>95</v>
      </c>
      <c r="H5355" s="2" t="s">
        <v>20</v>
      </c>
      <c r="I5355" s="2" t="s">
        <v>11223</v>
      </c>
      <c r="J5355" s="3" t="str">
        <f>HYPERLINK("https://www.boe.es/gazeta/dias/1813/08/26/pdfs/GMR-1813-33.pdf#page=6","Abrir facsímil")</f>
        <v>Abrir facsímil</v>
      </c>
      <c r="K5355" s="3" t="s">
        <v>22</v>
      </c>
    </row>
    <row r="5356" spans="1:11" ht="42" customHeight="1">
      <c r="A5356" s="2" t="s">
        <v>11224</v>
      </c>
      <c r="B5356" s="2" t="s">
        <v>11224</v>
      </c>
      <c r="C5356" s="2" t="s">
        <v>16</v>
      </c>
      <c r="D5356" s="2" t="s">
        <v>17</v>
      </c>
      <c r="E5356" s="5">
        <v>-31707</v>
      </c>
      <c r="F5356" s="3" t="s">
        <v>1557</v>
      </c>
      <c r="G5356" s="3" t="s">
        <v>1558</v>
      </c>
      <c r="H5356" s="2" t="s">
        <v>20</v>
      </c>
      <c r="I5356" s="2" t="s">
        <v>11225</v>
      </c>
      <c r="J5356" s="3" t="str">
        <f>HYPERLINK("https://www.boe.es/gazeta/dias/1813/03/09/pdfs/GRE-1813-30.pdf#page=8","Abrir facsímil")</f>
        <v>Abrir facsímil</v>
      </c>
      <c r="K5356" s="3" t="s">
        <v>22</v>
      </c>
    </row>
    <row r="5357" spans="1:11" ht="42" customHeight="1">
      <c r="A5357" s="2" t="s">
        <v>11226</v>
      </c>
      <c r="B5357" s="2" t="s">
        <v>11227</v>
      </c>
      <c r="C5357" s="2" t="s">
        <v>16</v>
      </c>
      <c r="D5357" s="2" t="s">
        <v>17</v>
      </c>
      <c r="E5357" s="5">
        <v>-31425</v>
      </c>
      <c r="F5357" s="3" t="s">
        <v>1955</v>
      </c>
      <c r="G5357" s="3" t="s">
        <v>28</v>
      </c>
      <c r="H5357" s="2" t="s">
        <v>20</v>
      </c>
      <c r="I5357" s="2" t="s">
        <v>11228</v>
      </c>
      <c r="J5357" s="3" t="str">
        <f>HYPERLINK("https://www.boe.es/gazeta/dias/1813/12/16/pdfs/GMR-1813-88.pdf#page=8","Abrir facsímil")</f>
        <v>Abrir facsímil</v>
      </c>
      <c r="K5357" s="3" t="s">
        <v>22</v>
      </c>
    </row>
    <row r="5358" spans="1:11" ht="42" customHeight="1">
      <c r="A5358" s="2" t="s">
        <v>11226</v>
      </c>
      <c r="B5358" s="2" t="s">
        <v>11227</v>
      </c>
      <c r="C5358" s="2" t="s">
        <v>16</v>
      </c>
      <c r="D5358" s="2" t="s">
        <v>17</v>
      </c>
      <c r="E5358" s="5">
        <v>-31425</v>
      </c>
      <c r="F5358" s="3" t="s">
        <v>1955</v>
      </c>
      <c r="G5358" s="3" t="s">
        <v>313</v>
      </c>
      <c r="H5358" s="2" t="s">
        <v>20</v>
      </c>
      <c r="I5358" s="2" t="s">
        <v>11229</v>
      </c>
      <c r="J5358" s="3" t="str">
        <f>HYPERLINK("https://www.boe.es/gazeta/dias/1813/12/16/pdfs/GMR-1813-88.pdf#page=9","Abrir facsímil")</f>
        <v>Abrir facsímil</v>
      </c>
      <c r="K5358" s="3" t="s">
        <v>22</v>
      </c>
    </row>
    <row r="5359" spans="1:11" ht="42" customHeight="1">
      <c r="A5359" s="2" t="s">
        <v>11226</v>
      </c>
      <c r="B5359" s="2" t="s">
        <v>11227</v>
      </c>
      <c r="C5359" s="2" t="s">
        <v>16</v>
      </c>
      <c r="D5359" s="2" t="s">
        <v>17</v>
      </c>
      <c r="E5359" s="5">
        <v>-31418</v>
      </c>
      <c r="F5359" s="3" t="s">
        <v>147</v>
      </c>
      <c r="G5359" s="3" t="s">
        <v>82</v>
      </c>
      <c r="H5359" s="2" t="s">
        <v>20</v>
      </c>
      <c r="I5359" s="2" t="s">
        <v>11230</v>
      </c>
      <c r="J5359" s="3" t="str">
        <f>HYPERLINK("https://www.boe.es/gazeta/dias/1813/12/23/pdfs/GRE-1813-168.pdf#page=5","Abrir facsímil")</f>
        <v>Abrir facsímil</v>
      </c>
      <c r="K5359" s="3" t="s">
        <v>22</v>
      </c>
    </row>
    <row r="5360" spans="1:11" ht="42" customHeight="1">
      <c r="A5360" s="2" t="s">
        <v>11231</v>
      </c>
      <c r="B5360" s="2" t="s">
        <v>11231</v>
      </c>
      <c r="C5360" s="2" t="s">
        <v>16</v>
      </c>
      <c r="D5360" s="2" t="s">
        <v>17</v>
      </c>
      <c r="E5360" s="5">
        <v>-31476</v>
      </c>
      <c r="F5360" s="3" t="s">
        <v>229</v>
      </c>
      <c r="G5360" s="3" t="s">
        <v>54</v>
      </c>
      <c r="H5360" s="2" t="s">
        <v>20</v>
      </c>
      <c r="I5360" s="2" t="s">
        <v>11232</v>
      </c>
      <c r="J5360" s="3" t="str">
        <f>HYPERLINK("https://www.boe.es/gazeta/dias/1813/10/26/pdfs/GRE-1813-140.pdf#page=3","Abrir facsímil")</f>
        <v>Abrir facsímil</v>
      </c>
      <c r="K5360" s="3" t="s">
        <v>22</v>
      </c>
    </row>
    <row r="5361" spans="1:11" ht="42" customHeight="1">
      <c r="A5361" s="2" t="s">
        <v>11233</v>
      </c>
      <c r="B5361" s="2" t="s">
        <v>11233</v>
      </c>
      <c r="C5361" s="2" t="s">
        <v>16</v>
      </c>
      <c r="D5361" s="2" t="s">
        <v>17</v>
      </c>
      <c r="E5361" s="5">
        <v>-31502</v>
      </c>
      <c r="F5361" s="3" t="s">
        <v>1363</v>
      </c>
      <c r="G5361" s="3" t="s">
        <v>82</v>
      </c>
      <c r="H5361" s="2" t="s">
        <v>20</v>
      </c>
      <c r="I5361" s="2" t="s">
        <v>11234</v>
      </c>
      <c r="J5361" s="3" t="str">
        <f>HYPERLINK("https://www.boe.es/gazeta/dias/1813/09/30/pdfs/GRE-1813-128.pdf#page=5","Abrir facsímil")</f>
        <v>Abrir facsímil</v>
      </c>
      <c r="K5361" s="3" t="s">
        <v>22</v>
      </c>
    </row>
    <row r="5362" spans="1:11" ht="42" customHeight="1">
      <c r="A5362" s="2" t="s">
        <v>11235</v>
      </c>
      <c r="B5362" s="2" t="s">
        <v>11235</v>
      </c>
      <c r="C5362" s="2" t="s">
        <v>16</v>
      </c>
      <c r="D5362" s="2" t="s">
        <v>17</v>
      </c>
      <c r="E5362" s="5">
        <v>-31537</v>
      </c>
      <c r="F5362" s="3" t="s">
        <v>138</v>
      </c>
      <c r="G5362" s="3" t="s">
        <v>54</v>
      </c>
      <c r="H5362" s="2" t="s">
        <v>20</v>
      </c>
      <c r="I5362" s="2" t="s">
        <v>11236</v>
      </c>
      <c r="J5362" s="3" t="str">
        <f>HYPERLINK("https://www.boe.es/gazeta/dias/1813/08/26/pdfs/GMR-1813-33.pdf#page=3","Abrir facsímil")</f>
        <v>Abrir facsímil</v>
      </c>
      <c r="K5362" s="3" t="s">
        <v>22</v>
      </c>
    </row>
    <row r="5363" spans="1:11" ht="42" customHeight="1">
      <c r="A5363" s="2" t="s">
        <v>11235</v>
      </c>
      <c r="B5363" s="2" t="s">
        <v>11235</v>
      </c>
      <c r="C5363" s="2" t="s">
        <v>16</v>
      </c>
      <c r="D5363" s="2" t="s">
        <v>17</v>
      </c>
      <c r="E5363" s="5">
        <v>-31532</v>
      </c>
      <c r="F5363" s="3" t="s">
        <v>1728</v>
      </c>
      <c r="G5363" s="3" t="s">
        <v>82</v>
      </c>
      <c r="H5363" s="2" t="s">
        <v>20</v>
      </c>
      <c r="I5363" s="2" t="s">
        <v>11237</v>
      </c>
      <c r="J5363" s="3" t="str">
        <f>HYPERLINK("https://www.boe.es/gazeta/dias/1813/08/31/pdfs/GMR-1813-35.pdf#page=5","Abrir facsímil")</f>
        <v>Abrir facsímil</v>
      </c>
      <c r="K5363" s="3" t="s">
        <v>22</v>
      </c>
    </row>
    <row r="5364" spans="1:11" ht="42" customHeight="1">
      <c r="A5364" s="2" t="s">
        <v>11235</v>
      </c>
      <c r="B5364" s="2" t="s">
        <v>11235</v>
      </c>
      <c r="C5364" s="2" t="s">
        <v>16</v>
      </c>
      <c r="D5364" s="2" t="s">
        <v>17</v>
      </c>
      <c r="E5364" s="5">
        <v>-31528</v>
      </c>
      <c r="F5364" s="3" t="s">
        <v>141</v>
      </c>
      <c r="G5364" s="3" t="s">
        <v>54</v>
      </c>
      <c r="H5364" s="2" t="s">
        <v>20</v>
      </c>
      <c r="I5364" s="2" t="s">
        <v>11238</v>
      </c>
      <c r="J5364" s="3" t="str">
        <f>HYPERLINK("https://www.boe.es/gazeta/dias/1813/09/04/pdfs/GMR-1813-37.pdf#page=3","Abrir facsímil")</f>
        <v>Abrir facsímil</v>
      </c>
      <c r="K5364" s="3" t="s">
        <v>22</v>
      </c>
    </row>
    <row r="5365" spans="1:11" ht="42" customHeight="1">
      <c r="A5365" s="2" t="s">
        <v>11235</v>
      </c>
      <c r="B5365" s="2" t="s">
        <v>11235</v>
      </c>
      <c r="C5365" s="2" t="s">
        <v>16</v>
      </c>
      <c r="D5365" s="2" t="s">
        <v>17</v>
      </c>
      <c r="E5365" s="5">
        <v>-31525</v>
      </c>
      <c r="F5365" s="3" t="s">
        <v>135</v>
      </c>
      <c r="G5365" s="3" t="s">
        <v>58</v>
      </c>
      <c r="H5365" s="2" t="s">
        <v>20</v>
      </c>
      <c r="I5365" s="2" t="s">
        <v>11239</v>
      </c>
      <c r="J5365" s="3" t="str">
        <f>HYPERLINK("https://www.boe.es/gazeta/dias/1813/09/07/pdfs/GMR-1813-38.pdf#page=2","Abrir facsímil")</f>
        <v>Abrir facsímil</v>
      </c>
      <c r="K5365" s="3" t="s">
        <v>22</v>
      </c>
    </row>
    <row r="5366" spans="1:11" ht="42" customHeight="1">
      <c r="A5366" s="2" t="s">
        <v>11235</v>
      </c>
      <c r="B5366" s="2" t="s">
        <v>11235</v>
      </c>
      <c r="C5366" s="2" t="s">
        <v>16</v>
      </c>
      <c r="D5366" s="2" t="s">
        <v>17</v>
      </c>
      <c r="E5366" s="5">
        <v>-31523</v>
      </c>
      <c r="F5366" s="3" t="s">
        <v>2140</v>
      </c>
      <c r="G5366" s="3" t="s">
        <v>2141</v>
      </c>
      <c r="H5366" s="2" t="s">
        <v>20</v>
      </c>
      <c r="I5366" s="2" t="s">
        <v>11240</v>
      </c>
      <c r="J5366" s="3" t="str">
        <f>HYPERLINK("https://www.boe.es/gazeta/dias/1813/09/09/pdfs/GMR-1813-40.pdf#page=3","Abrir facsímil")</f>
        <v>Abrir facsímil</v>
      </c>
      <c r="K5366" s="3" t="s">
        <v>22</v>
      </c>
    </row>
    <row r="5367" spans="1:11" ht="42" customHeight="1">
      <c r="A5367" s="2" t="s">
        <v>11235</v>
      </c>
      <c r="B5367" s="2" t="s">
        <v>11235</v>
      </c>
      <c r="C5367" s="2" t="s">
        <v>16</v>
      </c>
      <c r="D5367" s="2" t="s">
        <v>17</v>
      </c>
      <c r="E5367" s="5">
        <v>-31523</v>
      </c>
      <c r="F5367" s="3" t="s">
        <v>2140</v>
      </c>
      <c r="G5367" s="3" t="s">
        <v>58</v>
      </c>
      <c r="H5367" s="2" t="s">
        <v>20</v>
      </c>
      <c r="I5367" s="2" t="s">
        <v>11241</v>
      </c>
      <c r="J5367" s="3" t="str">
        <f>HYPERLINK("https://www.boe.es/gazeta/dias/1813/09/09/pdfs/GMR-1813-40.pdf#page=2","Abrir facsímil")</f>
        <v>Abrir facsímil</v>
      </c>
      <c r="K5367" s="3" t="s">
        <v>22</v>
      </c>
    </row>
    <row r="5368" spans="1:11" ht="42" customHeight="1">
      <c r="A5368" s="2" t="s">
        <v>11235</v>
      </c>
      <c r="B5368" s="2" t="s">
        <v>11235</v>
      </c>
      <c r="C5368" s="2" t="s">
        <v>16</v>
      </c>
      <c r="D5368" s="2" t="s">
        <v>17</v>
      </c>
      <c r="E5368" s="5">
        <v>-31521</v>
      </c>
      <c r="F5368" s="3" t="s">
        <v>1256</v>
      </c>
      <c r="G5368" s="3" t="s">
        <v>54</v>
      </c>
      <c r="H5368" s="2" t="s">
        <v>20</v>
      </c>
      <c r="I5368" s="2" t="s">
        <v>11242</v>
      </c>
      <c r="J5368" s="3" t="str">
        <f>HYPERLINK("https://www.boe.es/gazeta/dias/1813/09/11/pdfs/GRE-1813-116.pdf#page=3","Abrir facsímil")</f>
        <v>Abrir facsímil</v>
      </c>
      <c r="K5368" s="3" t="s">
        <v>22</v>
      </c>
    </row>
    <row r="5369" spans="1:11" ht="42" customHeight="1">
      <c r="A5369" s="2" t="s">
        <v>11235</v>
      </c>
      <c r="B5369" s="2" t="s">
        <v>11235</v>
      </c>
      <c r="C5369" s="2" t="s">
        <v>16</v>
      </c>
      <c r="D5369" s="2" t="s">
        <v>17</v>
      </c>
      <c r="E5369" s="5">
        <v>-31518</v>
      </c>
      <c r="F5369" s="3" t="s">
        <v>1090</v>
      </c>
      <c r="G5369" s="3" t="s">
        <v>95</v>
      </c>
      <c r="H5369" s="2" t="s">
        <v>20</v>
      </c>
      <c r="I5369" s="2" t="s">
        <v>11243</v>
      </c>
      <c r="J5369" s="3" t="str">
        <f>HYPERLINK("https://www.boe.es/gazeta/dias/1813/09/14/pdfs/GMR-1813-42.pdf#page=6","Abrir facsímil")</f>
        <v>Abrir facsímil</v>
      </c>
      <c r="K5369" s="3" t="s">
        <v>22</v>
      </c>
    </row>
    <row r="5370" spans="1:11" ht="42" customHeight="1">
      <c r="A5370" s="2" t="s">
        <v>11235</v>
      </c>
      <c r="B5370" s="2" t="s">
        <v>11235</v>
      </c>
      <c r="C5370" s="2" t="s">
        <v>16</v>
      </c>
      <c r="D5370" s="2" t="s">
        <v>17</v>
      </c>
      <c r="E5370" s="5">
        <v>-31514</v>
      </c>
      <c r="F5370" s="3" t="s">
        <v>2099</v>
      </c>
      <c r="G5370" s="3" t="s">
        <v>2146</v>
      </c>
      <c r="H5370" s="2" t="s">
        <v>20</v>
      </c>
      <c r="I5370" s="2" t="s">
        <v>11244</v>
      </c>
      <c r="J5370" s="3" t="str">
        <f>HYPERLINK("https://www.boe.es/gazeta/dias/1813/09/18/pdfs/GMR-1813-45.pdf#page=5","Abrir facsímil")</f>
        <v>Abrir facsímil</v>
      </c>
      <c r="K5370" s="3" t="s">
        <v>22</v>
      </c>
    </row>
    <row r="5371" spans="1:11" ht="42" customHeight="1">
      <c r="A5371" s="2" t="s">
        <v>11235</v>
      </c>
      <c r="B5371" s="2" t="s">
        <v>11235</v>
      </c>
      <c r="C5371" s="2" t="s">
        <v>16</v>
      </c>
      <c r="D5371" s="2" t="s">
        <v>17</v>
      </c>
      <c r="E5371" s="5">
        <v>-31514</v>
      </c>
      <c r="F5371" s="3" t="s">
        <v>1095</v>
      </c>
      <c r="G5371" s="3" t="s">
        <v>19</v>
      </c>
      <c r="H5371" s="2" t="s">
        <v>20</v>
      </c>
      <c r="I5371" s="2" t="s">
        <v>11245</v>
      </c>
      <c r="J5371" s="3" t="str">
        <f>HYPERLINK("https://www.boe.es/gazeta/dias/1813/09/18/pdfs/GRE-1813-121.pdf#page=4","Abrir facsímil")</f>
        <v>Abrir facsímil</v>
      </c>
      <c r="K5371" s="3" t="s">
        <v>22</v>
      </c>
    </row>
    <row r="5372" spans="1:11" ht="42" customHeight="1">
      <c r="A5372" s="2" t="s">
        <v>11235</v>
      </c>
      <c r="B5372" s="2" t="s">
        <v>11235</v>
      </c>
      <c r="C5372" s="2" t="s">
        <v>16</v>
      </c>
      <c r="D5372" s="2" t="s">
        <v>17</v>
      </c>
      <c r="E5372" s="5">
        <v>-31509</v>
      </c>
      <c r="F5372" s="3" t="s">
        <v>202</v>
      </c>
      <c r="G5372" s="3" t="s">
        <v>95</v>
      </c>
      <c r="H5372" s="2" t="s">
        <v>20</v>
      </c>
      <c r="I5372" s="2" t="s">
        <v>11246</v>
      </c>
      <c r="J5372" s="3" t="str">
        <f>HYPERLINK("https://www.boe.es/gazeta/dias/1813/09/23/pdfs/GMR-1813-47.pdf#page=6","Abrir facsímil")</f>
        <v>Abrir facsímil</v>
      </c>
      <c r="K5372" s="3" t="s">
        <v>22</v>
      </c>
    </row>
    <row r="5373" spans="1:11" ht="42" customHeight="1">
      <c r="A5373" s="2" t="s">
        <v>11235</v>
      </c>
      <c r="B5373" s="2" t="s">
        <v>11235</v>
      </c>
      <c r="C5373" s="2" t="s">
        <v>16</v>
      </c>
      <c r="D5373" s="2" t="s">
        <v>17</v>
      </c>
      <c r="E5373" s="5">
        <v>-31509</v>
      </c>
      <c r="F5373" s="3" t="s">
        <v>2007</v>
      </c>
      <c r="G5373" s="3" t="s">
        <v>82</v>
      </c>
      <c r="H5373" s="2" t="s">
        <v>20</v>
      </c>
      <c r="I5373" s="2" t="s">
        <v>11247</v>
      </c>
      <c r="J5373" s="3" t="str">
        <f>HYPERLINK("https://www.boe.es/gazeta/dias/1813/09/23/pdfs/GRE-1813-125.pdf#page=5","Abrir facsímil")</f>
        <v>Abrir facsímil</v>
      </c>
      <c r="K5373" s="3" t="s">
        <v>22</v>
      </c>
    </row>
    <row r="5374" spans="1:11" ht="42" customHeight="1">
      <c r="A5374" s="2" t="s">
        <v>11235</v>
      </c>
      <c r="B5374" s="2" t="s">
        <v>11235</v>
      </c>
      <c r="C5374" s="2" t="s">
        <v>16</v>
      </c>
      <c r="D5374" s="2" t="s">
        <v>17</v>
      </c>
      <c r="E5374" s="5">
        <v>-31504</v>
      </c>
      <c r="F5374" s="3" t="s">
        <v>1361</v>
      </c>
      <c r="G5374" s="3" t="s">
        <v>19</v>
      </c>
      <c r="H5374" s="2" t="s">
        <v>20</v>
      </c>
      <c r="I5374" s="2" t="s">
        <v>11248</v>
      </c>
      <c r="J5374" s="3" t="str">
        <f>HYPERLINK("https://www.boe.es/gazeta/dias/1813/09/28/pdfs/GMR-1813-50.pdf#page=4","Abrir facsímil")</f>
        <v>Abrir facsímil</v>
      </c>
      <c r="K5374" s="3" t="s">
        <v>22</v>
      </c>
    </row>
    <row r="5375" spans="1:11" ht="42" customHeight="1">
      <c r="A5375" s="2" t="s">
        <v>11235</v>
      </c>
      <c r="B5375" s="2" t="s">
        <v>11235</v>
      </c>
      <c r="C5375" s="2" t="s">
        <v>16</v>
      </c>
      <c r="D5375" s="2" t="s">
        <v>17</v>
      </c>
      <c r="E5375" s="5">
        <v>-31500</v>
      </c>
      <c r="F5375" s="3" t="s">
        <v>938</v>
      </c>
      <c r="G5375" s="3" t="s">
        <v>54</v>
      </c>
      <c r="H5375" s="2" t="s">
        <v>20</v>
      </c>
      <c r="I5375" s="2" t="s">
        <v>11249</v>
      </c>
      <c r="J5375" s="3" t="str">
        <f>HYPERLINK("https://www.boe.es/gazeta/dias/1813/10/02/pdfs/GMR-1813-52.pdf#page=3","Abrir facsímil")</f>
        <v>Abrir facsímil</v>
      </c>
      <c r="K5375" s="3" t="s">
        <v>22</v>
      </c>
    </row>
    <row r="5376" spans="1:11" ht="42" customHeight="1">
      <c r="A5376" s="2" t="s">
        <v>11235</v>
      </c>
      <c r="B5376" s="2" t="s">
        <v>11235</v>
      </c>
      <c r="C5376" s="2" t="s">
        <v>16</v>
      </c>
      <c r="D5376" s="2" t="s">
        <v>17</v>
      </c>
      <c r="E5376" s="5">
        <v>-31500</v>
      </c>
      <c r="F5376" s="3" t="s">
        <v>938</v>
      </c>
      <c r="G5376" s="3" t="s">
        <v>19</v>
      </c>
      <c r="H5376" s="2" t="s">
        <v>20</v>
      </c>
      <c r="I5376" s="2" t="s">
        <v>11250</v>
      </c>
      <c r="J5376" s="3" t="str">
        <f>HYPERLINK("https://www.boe.es/gazeta/dias/1813/10/02/pdfs/GMR-1813-52.pdf#page=4","Abrir facsímil")</f>
        <v>Abrir facsímil</v>
      </c>
      <c r="K5376" s="3" t="s">
        <v>22</v>
      </c>
    </row>
    <row r="5377" spans="1:11" ht="42" customHeight="1">
      <c r="A5377" s="2" t="s">
        <v>11235</v>
      </c>
      <c r="B5377" s="2" t="s">
        <v>11235</v>
      </c>
      <c r="C5377" s="2" t="s">
        <v>16</v>
      </c>
      <c r="D5377" s="2" t="s">
        <v>97</v>
      </c>
      <c r="E5377" s="5">
        <v>-31499</v>
      </c>
      <c r="F5377" s="3" t="s">
        <v>220</v>
      </c>
      <c r="G5377" s="3" t="s">
        <v>258</v>
      </c>
      <c r="H5377" s="2" t="s">
        <v>20</v>
      </c>
      <c r="I5377" s="2" t="s">
        <v>11251</v>
      </c>
      <c r="J5377" s="3" t="str">
        <f>HYPERLINK("https://www.boe.es/gazeta/dias/1813/10/03/pdfs/GMR-1813-53E.pdf#page=12","Abrir facsímil")</f>
        <v>Abrir facsímil</v>
      </c>
      <c r="K5377" s="3" t="s">
        <v>22</v>
      </c>
    </row>
    <row r="5378" spans="1:11" ht="42" customHeight="1">
      <c r="A5378" s="2" t="s">
        <v>11235</v>
      </c>
      <c r="B5378" s="2" t="s">
        <v>11235</v>
      </c>
      <c r="C5378" s="2" t="s">
        <v>16</v>
      </c>
      <c r="D5378" s="2" t="s">
        <v>17</v>
      </c>
      <c r="E5378" s="5">
        <v>-31497</v>
      </c>
      <c r="F5378" s="3" t="s">
        <v>1457</v>
      </c>
      <c r="G5378" s="3" t="s">
        <v>65</v>
      </c>
      <c r="H5378" s="2" t="s">
        <v>20</v>
      </c>
      <c r="I5378" s="2" t="s">
        <v>11252</v>
      </c>
      <c r="J5378" s="3" t="str">
        <f>HYPERLINK("https://www.boe.es/gazeta/dias/1813/10/05/pdfs/GMR-1813-54.pdf#page=1","Abrir facsímil")</f>
        <v>Abrir facsímil</v>
      </c>
      <c r="K5378" s="3" t="s">
        <v>22</v>
      </c>
    </row>
    <row r="5379" spans="1:11" ht="42" customHeight="1">
      <c r="A5379" s="2" t="s">
        <v>11235</v>
      </c>
      <c r="B5379" s="2" t="s">
        <v>11235</v>
      </c>
      <c r="C5379" s="2" t="s">
        <v>16</v>
      </c>
      <c r="D5379" s="2" t="s">
        <v>17</v>
      </c>
      <c r="E5379" s="5">
        <v>-31497</v>
      </c>
      <c r="F5379" s="3" t="s">
        <v>1457</v>
      </c>
      <c r="G5379" s="3" t="s">
        <v>58</v>
      </c>
      <c r="H5379" s="2" t="s">
        <v>20</v>
      </c>
      <c r="I5379" s="2" t="s">
        <v>11253</v>
      </c>
      <c r="J5379" s="3" t="str">
        <f>HYPERLINK("https://www.boe.es/gazeta/dias/1813/10/05/pdfs/GMR-1813-54.pdf#page=2","Abrir facsímil")</f>
        <v>Abrir facsímil</v>
      </c>
      <c r="K5379" s="3" t="s">
        <v>22</v>
      </c>
    </row>
    <row r="5380" spans="1:11" ht="42" customHeight="1">
      <c r="A5380" s="2" t="s">
        <v>11235</v>
      </c>
      <c r="B5380" s="2" t="s">
        <v>11235</v>
      </c>
      <c r="C5380" s="2" t="s">
        <v>16</v>
      </c>
      <c r="D5380" s="2" t="s">
        <v>17</v>
      </c>
      <c r="E5380" s="5">
        <v>-31497</v>
      </c>
      <c r="F5380" s="3" t="s">
        <v>223</v>
      </c>
      <c r="G5380" s="3" t="s">
        <v>58</v>
      </c>
      <c r="H5380" s="2" t="s">
        <v>20</v>
      </c>
      <c r="I5380" s="2" t="s">
        <v>11254</v>
      </c>
      <c r="J5380" s="3" t="str">
        <f>HYPERLINK("https://www.boe.es/gazeta/dias/1813/10/05/pdfs/GRE-1813-130.pdf#page=2","Abrir facsímil")</f>
        <v>Abrir facsímil</v>
      </c>
      <c r="K5380" s="3" t="s">
        <v>22</v>
      </c>
    </row>
    <row r="5381" spans="1:11" ht="42" customHeight="1">
      <c r="A5381" s="2" t="s">
        <v>11235</v>
      </c>
      <c r="B5381" s="2" t="s">
        <v>11235</v>
      </c>
      <c r="C5381" s="2" t="s">
        <v>16</v>
      </c>
      <c r="D5381" s="2" t="s">
        <v>17</v>
      </c>
      <c r="E5381" s="5">
        <v>-31495</v>
      </c>
      <c r="F5381" s="3" t="s">
        <v>194</v>
      </c>
      <c r="G5381" s="3" t="s">
        <v>58</v>
      </c>
      <c r="H5381" s="2" t="s">
        <v>20</v>
      </c>
      <c r="I5381" s="2" t="s">
        <v>11255</v>
      </c>
      <c r="J5381" s="3" t="str">
        <f>HYPERLINK("https://www.boe.es/gazeta/dias/1813/10/07/pdfs/GMR-1813-55.pdf#page=2","Abrir facsímil")</f>
        <v>Abrir facsímil</v>
      </c>
      <c r="K5381" s="3" t="s">
        <v>22</v>
      </c>
    </row>
    <row r="5382" spans="1:11" ht="42" customHeight="1">
      <c r="A5382" s="2" t="s">
        <v>11235</v>
      </c>
      <c r="B5382" s="2" t="s">
        <v>11235</v>
      </c>
      <c r="C5382" s="2" t="s">
        <v>16</v>
      </c>
      <c r="D5382" s="2" t="s">
        <v>17</v>
      </c>
      <c r="E5382" s="5">
        <v>-31493</v>
      </c>
      <c r="F5382" s="3" t="s">
        <v>1097</v>
      </c>
      <c r="G5382" s="3" t="s">
        <v>11256</v>
      </c>
      <c r="H5382" s="2" t="s">
        <v>20</v>
      </c>
      <c r="I5382" s="2" t="s">
        <v>11257</v>
      </c>
      <c r="J5382" s="3" t="str">
        <f>HYPERLINK("https://www.boe.es/gazeta/dias/1813/10/09/pdfs/GMR-1813-56.pdf#page=6","Abrir facsímil")</f>
        <v>Abrir facsímil</v>
      </c>
      <c r="K5382" s="3" t="s">
        <v>22</v>
      </c>
    </row>
    <row r="5383" spans="1:11" ht="42" customHeight="1">
      <c r="A5383" s="2" t="s">
        <v>11235</v>
      </c>
      <c r="B5383" s="2" t="s">
        <v>11235</v>
      </c>
      <c r="C5383" s="2" t="s">
        <v>16</v>
      </c>
      <c r="D5383" s="2" t="s">
        <v>17</v>
      </c>
      <c r="E5383" s="5">
        <v>-31488</v>
      </c>
      <c r="F5383" s="3" t="s">
        <v>2370</v>
      </c>
      <c r="G5383" s="3" t="s">
        <v>95</v>
      </c>
      <c r="H5383" s="2" t="s">
        <v>20</v>
      </c>
      <c r="I5383" s="2" t="s">
        <v>11258</v>
      </c>
      <c r="J5383" s="3" t="str">
        <f>HYPERLINK("https://www.boe.es/gazeta/dias/1813/10/14/pdfs/GMR-1813-59.pdf#page=6","Abrir facsímil")</f>
        <v>Abrir facsímil</v>
      </c>
      <c r="K5383" s="3" t="s">
        <v>22</v>
      </c>
    </row>
    <row r="5384" spans="1:11" ht="42" customHeight="1">
      <c r="A5384" s="2" t="s">
        <v>11235</v>
      </c>
      <c r="B5384" s="2" t="s">
        <v>11235</v>
      </c>
      <c r="C5384" s="2" t="s">
        <v>16</v>
      </c>
      <c r="D5384" s="2" t="s">
        <v>17</v>
      </c>
      <c r="E5384" s="5">
        <v>-31486</v>
      </c>
      <c r="F5384" s="3" t="s">
        <v>597</v>
      </c>
      <c r="G5384" s="3" t="s">
        <v>87</v>
      </c>
      <c r="H5384" s="2" t="s">
        <v>20</v>
      </c>
      <c r="I5384" s="2" t="s">
        <v>11259</v>
      </c>
      <c r="J5384" s="3" t="str">
        <f>HYPERLINK("https://www.boe.es/gazeta/dias/1813/10/16/pdfs/GRE-1813-135.pdf#page=7","Abrir facsímil")</f>
        <v>Abrir facsímil</v>
      </c>
      <c r="K5384" s="3" t="s">
        <v>22</v>
      </c>
    </row>
    <row r="5385" spans="1:11" ht="42" customHeight="1">
      <c r="A5385" s="2" t="s">
        <v>11235</v>
      </c>
      <c r="B5385" s="2" t="s">
        <v>11235</v>
      </c>
      <c r="C5385" s="2" t="s">
        <v>16</v>
      </c>
      <c r="D5385" s="2" t="s">
        <v>17</v>
      </c>
      <c r="E5385" s="5">
        <v>-31483</v>
      </c>
      <c r="F5385" s="3" t="s">
        <v>1292</v>
      </c>
      <c r="G5385" s="3" t="s">
        <v>82</v>
      </c>
      <c r="H5385" s="2" t="s">
        <v>20</v>
      </c>
      <c r="I5385" s="2" t="s">
        <v>11260</v>
      </c>
      <c r="J5385" s="3" t="str">
        <f>HYPERLINK("https://www.boe.es/gazeta/dias/1813/10/19/pdfs/GMR-1813-61.pdf#page=5","Abrir facsímil")</f>
        <v>Abrir facsímil</v>
      </c>
      <c r="K5385" s="3" t="s">
        <v>22</v>
      </c>
    </row>
    <row r="5386" spans="1:11" ht="42" customHeight="1">
      <c r="A5386" s="2" t="s">
        <v>11235</v>
      </c>
      <c r="B5386" s="2" t="s">
        <v>11235</v>
      </c>
      <c r="C5386" s="2" t="s">
        <v>16</v>
      </c>
      <c r="D5386" s="2" t="s">
        <v>17</v>
      </c>
      <c r="E5386" s="5">
        <v>-31481</v>
      </c>
      <c r="F5386" s="3" t="s">
        <v>380</v>
      </c>
      <c r="G5386" s="3" t="s">
        <v>82</v>
      </c>
      <c r="H5386" s="2" t="s">
        <v>20</v>
      </c>
      <c r="I5386" s="2" t="s">
        <v>11261</v>
      </c>
      <c r="J5386" s="3" t="str">
        <f>HYPERLINK("https://www.boe.es/gazeta/dias/1813/10/21/pdfs/GRE-1813-137.pdf#page=5","Abrir facsímil")</f>
        <v>Abrir facsímil</v>
      </c>
      <c r="K5386" s="3" t="s">
        <v>22</v>
      </c>
    </row>
    <row r="5387" spans="1:11" ht="42" customHeight="1">
      <c r="A5387" s="2" t="s">
        <v>11235</v>
      </c>
      <c r="B5387" s="2" t="s">
        <v>11235</v>
      </c>
      <c r="C5387" s="2" t="s">
        <v>16</v>
      </c>
      <c r="D5387" s="2" t="s">
        <v>17</v>
      </c>
      <c r="E5387" s="5">
        <v>-31479</v>
      </c>
      <c r="F5387" s="3" t="s">
        <v>2383</v>
      </c>
      <c r="G5387" s="3" t="s">
        <v>54</v>
      </c>
      <c r="H5387" s="2" t="s">
        <v>20</v>
      </c>
      <c r="I5387" s="2" t="s">
        <v>11262</v>
      </c>
      <c r="J5387" s="3" t="str">
        <f>HYPERLINK("https://www.boe.es/gazeta/dias/1813/10/23/pdfs/GRE-1813-138.pdf#page=3","Abrir facsímil")</f>
        <v>Abrir facsímil</v>
      </c>
      <c r="K5387" s="3" t="s">
        <v>22</v>
      </c>
    </row>
    <row r="5388" spans="1:11" ht="42" customHeight="1">
      <c r="A5388" s="2" t="s">
        <v>11235</v>
      </c>
      <c r="B5388" s="2" t="s">
        <v>11235</v>
      </c>
      <c r="C5388" s="2" t="s">
        <v>16</v>
      </c>
      <c r="D5388" s="2" t="s">
        <v>17</v>
      </c>
      <c r="E5388" s="5">
        <v>-31469</v>
      </c>
      <c r="F5388" s="3" t="s">
        <v>1311</v>
      </c>
      <c r="G5388" s="3" t="s">
        <v>11263</v>
      </c>
      <c r="H5388" s="2" t="s">
        <v>20</v>
      </c>
      <c r="I5388" s="2" t="s">
        <v>11264</v>
      </c>
      <c r="J5388" s="3" t="str">
        <f>HYPERLINK("https://www.boe.es/gazeta/dias/1813/11/02/pdfs/GMR-1813-67.pdf#page=2","Abrir facsímil")</f>
        <v>Abrir facsímil</v>
      </c>
      <c r="K5388" s="3" t="s">
        <v>22</v>
      </c>
    </row>
    <row r="5389" spans="1:11" ht="42" customHeight="1">
      <c r="A5389" s="2" t="s">
        <v>11235</v>
      </c>
      <c r="B5389" s="2" t="s">
        <v>11235</v>
      </c>
      <c r="C5389" s="2" t="s">
        <v>16</v>
      </c>
      <c r="D5389" s="2" t="s">
        <v>17</v>
      </c>
      <c r="E5389" s="5">
        <v>-31469</v>
      </c>
      <c r="F5389" s="3" t="s">
        <v>1311</v>
      </c>
      <c r="G5389" s="3" t="s">
        <v>9182</v>
      </c>
      <c r="H5389" s="2" t="s">
        <v>20</v>
      </c>
      <c r="I5389" s="2" t="s">
        <v>11265</v>
      </c>
      <c r="J5389" s="3" t="str">
        <f>HYPERLINK("https://www.boe.es/gazeta/dias/1813/11/02/pdfs/GMR-1813-67.pdf#page=3","Abrir facsímil")</f>
        <v>Abrir facsímil</v>
      </c>
      <c r="K5389" s="3" t="s">
        <v>22</v>
      </c>
    </row>
    <row r="5390" spans="1:11" ht="42" customHeight="1">
      <c r="A5390" s="2" t="s">
        <v>11235</v>
      </c>
      <c r="B5390" s="2" t="s">
        <v>11235</v>
      </c>
      <c r="C5390" s="2" t="s">
        <v>16</v>
      </c>
      <c r="D5390" s="2" t="s">
        <v>17</v>
      </c>
      <c r="E5390" s="5">
        <v>-31462</v>
      </c>
      <c r="F5390" s="3" t="s">
        <v>542</v>
      </c>
      <c r="G5390" s="3" t="s">
        <v>87</v>
      </c>
      <c r="H5390" s="2" t="s">
        <v>20</v>
      </c>
      <c r="I5390" s="2" t="s">
        <v>11266</v>
      </c>
      <c r="J5390" s="3" t="str">
        <f>HYPERLINK("https://www.boe.es/gazeta/dias/1813/11/09/pdfs/GRE-1813-146.pdf#page=7","Abrir facsímil")</f>
        <v>Abrir facsímil</v>
      </c>
      <c r="K5390" s="3" t="s">
        <v>22</v>
      </c>
    </row>
    <row r="5391" spans="1:11" ht="42" customHeight="1">
      <c r="A5391" s="2" t="s">
        <v>11235</v>
      </c>
      <c r="B5391" s="2" t="s">
        <v>11235</v>
      </c>
      <c r="C5391" s="2" t="s">
        <v>16</v>
      </c>
      <c r="D5391" s="2" t="s">
        <v>17</v>
      </c>
      <c r="E5391" s="5">
        <v>-31458</v>
      </c>
      <c r="F5391" s="3" t="s">
        <v>2315</v>
      </c>
      <c r="G5391" s="3" t="s">
        <v>65</v>
      </c>
      <c r="H5391" s="2" t="s">
        <v>20</v>
      </c>
      <c r="I5391" s="2" t="s">
        <v>11267</v>
      </c>
      <c r="J5391" s="3" t="str">
        <f>HYPERLINK("https://www.boe.es/gazeta/dias/1813/11/13/pdfs/GMR-1813-73.pdf#page=1","Abrir facsímil")</f>
        <v>Abrir facsímil</v>
      </c>
      <c r="K5391" s="3" t="s">
        <v>22</v>
      </c>
    </row>
    <row r="5392" spans="1:11" ht="42" customHeight="1">
      <c r="A5392" s="2" t="s">
        <v>11235</v>
      </c>
      <c r="B5392" s="2" t="s">
        <v>11235</v>
      </c>
      <c r="C5392" s="2" t="s">
        <v>16</v>
      </c>
      <c r="D5392" s="2" t="s">
        <v>17</v>
      </c>
      <c r="E5392" s="5">
        <v>-31458</v>
      </c>
      <c r="F5392" s="3" t="s">
        <v>2315</v>
      </c>
      <c r="G5392" s="3" t="s">
        <v>82</v>
      </c>
      <c r="H5392" s="2" t="s">
        <v>20</v>
      </c>
      <c r="I5392" s="2" t="s">
        <v>11268</v>
      </c>
      <c r="J5392" s="3" t="str">
        <f>HYPERLINK("https://www.boe.es/gazeta/dias/1813/11/13/pdfs/GMR-1813-73.pdf#page=5","Abrir facsímil")</f>
        <v>Abrir facsímil</v>
      </c>
      <c r="K5392" s="3" t="s">
        <v>22</v>
      </c>
    </row>
    <row r="5393" spans="1:11" ht="42" customHeight="1">
      <c r="A5393" s="2" t="s">
        <v>11235</v>
      </c>
      <c r="B5393" s="2" t="s">
        <v>11235</v>
      </c>
      <c r="C5393" s="2" t="s">
        <v>16</v>
      </c>
      <c r="D5393" s="2" t="s">
        <v>17</v>
      </c>
      <c r="E5393" s="5">
        <v>-31455</v>
      </c>
      <c r="F5393" s="3" t="s">
        <v>693</v>
      </c>
      <c r="G5393" s="3" t="s">
        <v>87</v>
      </c>
      <c r="H5393" s="2" t="s">
        <v>20</v>
      </c>
      <c r="I5393" s="2" t="s">
        <v>11269</v>
      </c>
      <c r="J5393" s="3" t="str">
        <f>HYPERLINK("https://www.boe.es/gazeta/dias/1813/11/16/pdfs/GRE-1813-150.pdf#page=7","Abrir facsímil")</f>
        <v>Abrir facsímil</v>
      </c>
      <c r="K5393" s="3" t="s">
        <v>22</v>
      </c>
    </row>
    <row r="5394" spans="1:11" ht="42" customHeight="1">
      <c r="A5394" s="2" t="s">
        <v>11270</v>
      </c>
      <c r="B5394" s="2" t="s">
        <v>11270</v>
      </c>
      <c r="C5394" s="2" t="s">
        <v>16</v>
      </c>
      <c r="D5394" s="2" t="s">
        <v>97</v>
      </c>
      <c r="E5394" s="5">
        <v>-31479</v>
      </c>
      <c r="F5394" s="3" t="s">
        <v>290</v>
      </c>
      <c r="G5394" s="3" t="s">
        <v>207</v>
      </c>
      <c r="H5394" s="2" t="s">
        <v>20</v>
      </c>
      <c r="I5394" s="2" t="s">
        <v>11271</v>
      </c>
      <c r="J5394" s="3" t="str">
        <f>HYPERLINK("https://www.boe.es/gazeta/dias/1813/10/23/pdfs/GRE-1813-139E.pdf#page=10","Abrir facsímil")</f>
        <v>Abrir facsímil</v>
      </c>
      <c r="K5394" s="3" t="s">
        <v>22</v>
      </c>
    </row>
    <row r="5395" spans="1:11" ht="42" customHeight="1">
      <c r="A5395" s="2" t="s">
        <v>11270</v>
      </c>
      <c r="B5395" s="2" t="s">
        <v>11270</v>
      </c>
      <c r="C5395" s="2" t="s">
        <v>16</v>
      </c>
      <c r="D5395" s="2" t="s">
        <v>17</v>
      </c>
      <c r="E5395" s="5">
        <v>-31462</v>
      </c>
      <c r="F5395" s="3" t="s">
        <v>1028</v>
      </c>
      <c r="G5395" s="3" t="s">
        <v>258</v>
      </c>
      <c r="H5395" s="2" t="s">
        <v>20</v>
      </c>
      <c r="I5395" s="2" t="s">
        <v>11272</v>
      </c>
      <c r="J5395" s="3" t="str">
        <f>HYPERLINK("https://www.boe.es/gazeta/dias/1813/11/09/pdfs/GMR-1813-71.pdf#page=12","Abrir facsímil")</f>
        <v>Abrir facsímil</v>
      </c>
      <c r="K5395" s="3" t="s">
        <v>22</v>
      </c>
    </row>
    <row r="5396" spans="1:11" ht="42" customHeight="1">
      <c r="A5396" s="2" t="s">
        <v>11273</v>
      </c>
      <c r="B5396" s="2" t="s">
        <v>11274</v>
      </c>
      <c r="C5396" s="2" t="s">
        <v>16</v>
      </c>
      <c r="D5396" s="2" t="s">
        <v>17</v>
      </c>
      <c r="E5396" s="5">
        <v>-31525</v>
      </c>
      <c r="F5396" s="3" t="s">
        <v>1131</v>
      </c>
      <c r="G5396" s="3" t="s">
        <v>1406</v>
      </c>
      <c r="H5396" s="2" t="s">
        <v>20</v>
      </c>
      <c r="I5396" s="2" t="s">
        <v>11275</v>
      </c>
      <c r="J5396" s="3" t="str">
        <f>HYPERLINK("https://www.boe.es/gazeta/dias/1813/09/07/pdfs/GRE-1813-114.pdf#page=5","Abrir facsímil")</f>
        <v>Abrir facsímil</v>
      </c>
      <c r="K5396" s="3" t="s">
        <v>22</v>
      </c>
    </row>
    <row r="5397" spans="1:11" ht="42" customHeight="1">
      <c r="A5397" s="2" t="s">
        <v>11273</v>
      </c>
      <c r="B5397" s="2" t="s">
        <v>11274</v>
      </c>
      <c r="C5397" s="2" t="s">
        <v>16</v>
      </c>
      <c r="D5397" s="2" t="s">
        <v>17</v>
      </c>
      <c r="E5397" s="5">
        <v>-31525</v>
      </c>
      <c r="F5397" s="3" t="s">
        <v>1131</v>
      </c>
      <c r="G5397" s="3" t="s">
        <v>19</v>
      </c>
      <c r="H5397" s="2" t="s">
        <v>20</v>
      </c>
      <c r="I5397" s="2" t="s">
        <v>11276</v>
      </c>
      <c r="J5397" s="3" t="str">
        <f>HYPERLINK("https://www.boe.es/gazeta/dias/1813/09/07/pdfs/GRE-1813-114.pdf#page=4","Abrir facsímil")</f>
        <v>Abrir facsímil</v>
      </c>
      <c r="K5397" s="3" t="s">
        <v>22</v>
      </c>
    </row>
    <row r="5398" spans="1:11" ht="42" customHeight="1">
      <c r="A5398" s="2" t="s">
        <v>11273</v>
      </c>
      <c r="B5398" s="2" t="s">
        <v>11274</v>
      </c>
      <c r="C5398" s="2" t="s">
        <v>16</v>
      </c>
      <c r="D5398" s="2" t="s">
        <v>97</v>
      </c>
      <c r="E5398" s="5">
        <v>-31479</v>
      </c>
      <c r="F5398" s="3" t="s">
        <v>290</v>
      </c>
      <c r="G5398" s="3" t="s">
        <v>313</v>
      </c>
      <c r="H5398" s="2" t="s">
        <v>20</v>
      </c>
      <c r="I5398" s="2" t="s">
        <v>11277</v>
      </c>
      <c r="J5398" s="3" t="str">
        <f>HYPERLINK("https://www.boe.es/gazeta/dias/1813/10/23/pdfs/GRE-1813-139E.pdf#page=9","Abrir facsímil")</f>
        <v>Abrir facsímil</v>
      </c>
      <c r="K5398" s="3" t="s">
        <v>22</v>
      </c>
    </row>
    <row r="5399" spans="1:11" ht="42" customHeight="1">
      <c r="A5399" s="2" t="s">
        <v>11278</v>
      </c>
      <c r="B5399" s="2" t="s">
        <v>11279</v>
      </c>
      <c r="C5399" s="2" t="s">
        <v>16</v>
      </c>
      <c r="D5399" s="2" t="s">
        <v>17</v>
      </c>
      <c r="E5399" s="5">
        <v>-31462</v>
      </c>
      <c r="F5399" s="3" t="s">
        <v>1028</v>
      </c>
      <c r="G5399" s="3" t="s">
        <v>178</v>
      </c>
      <c r="H5399" s="2" t="s">
        <v>20</v>
      </c>
      <c r="I5399" s="2" t="s">
        <v>11280</v>
      </c>
      <c r="J5399" s="3" t="str">
        <f>HYPERLINK("https://www.boe.es/gazeta/dias/1813/11/09/pdfs/GMR-1813-71.pdf#page=11","Abrir facsímil")</f>
        <v>Abrir facsímil</v>
      </c>
      <c r="K5399" s="3" t="s">
        <v>22</v>
      </c>
    </row>
    <row r="5400" spans="1:11" ht="42" customHeight="1">
      <c r="A5400" s="2" t="s">
        <v>11281</v>
      </c>
      <c r="B5400" s="2" t="s">
        <v>11282</v>
      </c>
      <c r="C5400" s="2" t="s">
        <v>187</v>
      </c>
      <c r="D5400" s="2" t="s">
        <v>26</v>
      </c>
      <c r="E5400" s="5">
        <v>-31719</v>
      </c>
      <c r="F5400" s="3" t="s">
        <v>251</v>
      </c>
      <c r="G5400" s="3" t="s">
        <v>19</v>
      </c>
      <c r="H5400" s="2" t="s">
        <v>20</v>
      </c>
      <c r="I5400" s="2" t="s">
        <v>11283</v>
      </c>
      <c r="J5400" s="3" t="str">
        <f>HYPERLINK("https://www.boe.es/gazeta/dias/1813/02/25/pdfs/GMD-1813-56.pdf#page=4","Abrir facsímil")</f>
        <v>Abrir facsímil</v>
      </c>
      <c r="K5400" s="3" t="s">
        <v>22</v>
      </c>
    </row>
    <row r="5401" spans="1:11" ht="42" customHeight="1">
      <c r="A5401" s="2" t="s">
        <v>11284</v>
      </c>
      <c r="B5401" s="2" t="s">
        <v>11284</v>
      </c>
      <c r="C5401" s="2" t="s">
        <v>435</v>
      </c>
      <c r="D5401" s="2" t="s">
        <v>26</v>
      </c>
      <c r="E5401" s="5">
        <v>-31642</v>
      </c>
      <c r="F5401" s="3" t="s">
        <v>2091</v>
      </c>
      <c r="G5401" s="3" t="s">
        <v>19</v>
      </c>
      <c r="H5401" s="2" t="s">
        <v>20</v>
      </c>
      <c r="I5401" s="2" t="s">
        <v>11285</v>
      </c>
      <c r="J5401" s="3" t="str">
        <f>HYPERLINK("https://www.boe.es/gazeta/dias/1813/05/13/pdfs/GMD-1813-133.pdf#page=4","Abrir facsímil")</f>
        <v>Abrir facsímil</v>
      </c>
      <c r="K5401" s="3" t="s">
        <v>22</v>
      </c>
    </row>
    <row r="5402" spans="1:11" ht="42" customHeight="1">
      <c r="A5402" s="2" t="s">
        <v>11284</v>
      </c>
      <c r="B5402" s="2" t="s">
        <v>11284</v>
      </c>
      <c r="C5402" s="2" t="s">
        <v>16</v>
      </c>
      <c r="D5402" s="2" t="s">
        <v>17</v>
      </c>
      <c r="E5402" s="5">
        <v>-31542</v>
      </c>
      <c r="F5402" s="3" t="s">
        <v>337</v>
      </c>
      <c r="G5402" s="3" t="s">
        <v>19</v>
      </c>
      <c r="H5402" s="2" t="s">
        <v>20</v>
      </c>
      <c r="I5402" s="2" t="s">
        <v>11286</v>
      </c>
      <c r="J5402" s="3" t="str">
        <f>HYPERLINK("https://www.boe.es/gazeta/dias/1813/08/21/pdfs/GRE-1813-107.pdf#page=4","Abrir facsímil")</f>
        <v>Abrir facsímil</v>
      </c>
      <c r="K5402" s="3" t="s">
        <v>22</v>
      </c>
    </row>
    <row r="5403" spans="1:11" ht="42" customHeight="1">
      <c r="A5403" s="2" t="s">
        <v>11287</v>
      </c>
      <c r="B5403" s="2" t="s">
        <v>11288</v>
      </c>
      <c r="C5403" s="2" t="s">
        <v>16</v>
      </c>
      <c r="D5403" s="2" t="s">
        <v>97</v>
      </c>
      <c r="E5403" s="5">
        <v>-31519</v>
      </c>
      <c r="F5403" s="3" t="s">
        <v>312</v>
      </c>
      <c r="G5403" s="3" t="s">
        <v>28</v>
      </c>
      <c r="H5403" s="2" t="s">
        <v>20</v>
      </c>
      <c r="I5403" s="2" t="s">
        <v>11289</v>
      </c>
      <c r="J5403" s="3" t="str">
        <f>HYPERLINK("https://www.boe.es/gazeta/dias/1813/09/13/pdfs/GRE-1813-118E.pdf#page=8","Abrir facsímil")</f>
        <v>Abrir facsímil</v>
      </c>
      <c r="K5403" s="3" t="s">
        <v>22</v>
      </c>
    </row>
    <row r="5404" spans="1:11" ht="42" customHeight="1">
      <c r="A5404" s="2" t="s">
        <v>11287</v>
      </c>
      <c r="B5404" s="2" t="s">
        <v>11288</v>
      </c>
      <c r="C5404" s="2" t="s">
        <v>16</v>
      </c>
      <c r="D5404" s="2" t="s">
        <v>17</v>
      </c>
      <c r="E5404" s="5">
        <v>-31507</v>
      </c>
      <c r="F5404" s="3" t="s">
        <v>61</v>
      </c>
      <c r="G5404" s="3" t="s">
        <v>28</v>
      </c>
      <c r="H5404" s="2" t="s">
        <v>20</v>
      </c>
      <c r="I5404" s="2" t="s">
        <v>11290</v>
      </c>
      <c r="J5404" s="3" t="str">
        <f>HYPERLINK("https://www.boe.es/gazeta/dias/1813/09/25/pdfs/GMR-1813-48.pdf#page=8","Abrir facsímil")</f>
        <v>Abrir facsímil</v>
      </c>
      <c r="K5404" s="3" t="s">
        <v>22</v>
      </c>
    </row>
    <row r="5405" spans="1:11" ht="42" customHeight="1">
      <c r="A5405" s="2" t="s">
        <v>11291</v>
      </c>
      <c r="B5405" s="2" t="s">
        <v>11292</v>
      </c>
      <c r="C5405" s="2" t="s">
        <v>16</v>
      </c>
      <c r="D5405" s="2" t="s">
        <v>17</v>
      </c>
      <c r="E5405" s="5">
        <v>-31738</v>
      </c>
      <c r="F5405" s="3" t="s">
        <v>556</v>
      </c>
      <c r="G5405" s="3" t="s">
        <v>28</v>
      </c>
      <c r="H5405" s="2" t="s">
        <v>29</v>
      </c>
      <c r="I5405" s="2" t="s">
        <v>11293</v>
      </c>
      <c r="J5405" s="3" t="str">
        <f>HYPERLINK("https://www.boe.es/gazeta/dias/1813/02/06/pdfs/GRE-1813-16.pdf#page=8","Abrir facsímil")</f>
        <v>Abrir facsímil</v>
      </c>
      <c r="K5405" s="3" t="s">
        <v>31</v>
      </c>
    </row>
    <row r="5406" spans="1:11" ht="42" customHeight="1">
      <c r="A5406" s="2" t="s">
        <v>11294</v>
      </c>
      <c r="B5406" s="2" t="s">
        <v>11295</v>
      </c>
      <c r="C5406" s="2" t="s">
        <v>16</v>
      </c>
      <c r="D5406" s="2" t="s">
        <v>17</v>
      </c>
      <c r="E5406" s="5">
        <v>-31682</v>
      </c>
      <c r="F5406" s="3" t="s">
        <v>5159</v>
      </c>
      <c r="G5406" s="3" t="s">
        <v>9545</v>
      </c>
      <c r="H5406" s="2" t="s">
        <v>20</v>
      </c>
      <c r="I5406" s="2" t="s">
        <v>11296</v>
      </c>
      <c r="J5406" s="3" t="str">
        <f>HYPERLINK("https://www.boe.es/gazeta/dias/1813/04/03/pdfs/GRE-1813-41.pdf#page=6","Abrir facsímil")</f>
        <v>Abrir facsímil</v>
      </c>
      <c r="K5406" s="3" t="s">
        <v>22</v>
      </c>
    </row>
    <row r="5407" spans="1:11" ht="42" customHeight="1">
      <c r="A5407" s="2" t="s">
        <v>11297</v>
      </c>
      <c r="B5407" s="2" t="s">
        <v>11298</v>
      </c>
      <c r="C5407" s="2" t="s">
        <v>34</v>
      </c>
      <c r="D5407" s="2" t="s">
        <v>35</v>
      </c>
      <c r="E5407" s="5">
        <v>-31584</v>
      </c>
      <c r="F5407" s="3" t="s">
        <v>114</v>
      </c>
      <c r="G5407" s="3" t="s">
        <v>28</v>
      </c>
      <c r="H5407" s="2" t="s">
        <v>20</v>
      </c>
      <c r="I5407" s="2" t="s">
        <v>11299</v>
      </c>
      <c r="J5407" s="3" t="str">
        <f>HYPERLINK("https://www.boe.es/gazeta/dias/1813/07/10/pdfs/GRE-1813-86.pdf#page=8","Abrir facsímil")</f>
        <v>Abrir facsímil</v>
      </c>
      <c r="K5407" s="3" t="s">
        <v>22</v>
      </c>
    </row>
    <row r="5408" spans="1:11" ht="42" customHeight="1">
      <c r="A5408" s="2" t="s">
        <v>11297</v>
      </c>
      <c r="B5408" s="2" t="s">
        <v>11298</v>
      </c>
      <c r="C5408" s="2" t="s">
        <v>25</v>
      </c>
      <c r="D5408" s="2" t="s">
        <v>26</v>
      </c>
      <c r="E5408" s="5">
        <v>-31574</v>
      </c>
      <c r="F5408" s="3" t="s">
        <v>1343</v>
      </c>
      <c r="G5408" s="3" t="s">
        <v>82</v>
      </c>
      <c r="H5408" s="2" t="s">
        <v>20</v>
      </c>
      <c r="I5408" s="2" t="s">
        <v>11300</v>
      </c>
      <c r="J5408" s="3" t="str">
        <f>HYPERLINK("https://www.boe.es/gazeta/dias/1813/07/20/pdfs/GMR-1813-19.pdf#page=5","Abrir facsímil")</f>
        <v>Abrir facsímil</v>
      </c>
      <c r="K5408" s="3" t="s">
        <v>22</v>
      </c>
    </row>
    <row r="5409" spans="1:11" ht="42" customHeight="1">
      <c r="A5409" s="2" t="s">
        <v>11301</v>
      </c>
      <c r="B5409" s="2" t="s">
        <v>11302</v>
      </c>
      <c r="C5409" s="2" t="s">
        <v>16</v>
      </c>
      <c r="D5409" s="2" t="s">
        <v>17</v>
      </c>
      <c r="E5409" s="5">
        <v>-31502</v>
      </c>
      <c r="F5409" s="3" t="s">
        <v>257</v>
      </c>
      <c r="G5409" s="3" t="s">
        <v>58</v>
      </c>
      <c r="H5409" s="2" t="s">
        <v>20</v>
      </c>
      <c r="I5409" s="2" t="s">
        <v>11303</v>
      </c>
      <c r="J5409" s="3" t="str">
        <f>HYPERLINK("https://www.boe.es/gazeta/dias/1813/09/30/pdfs/GMR-1813-51.pdf#page=2","Abrir facsímil")</f>
        <v>Abrir facsímil</v>
      </c>
      <c r="K5409" s="3" t="s">
        <v>22</v>
      </c>
    </row>
    <row r="5410" spans="1:11" ht="42" customHeight="1">
      <c r="A5410" s="2" t="s">
        <v>11304</v>
      </c>
      <c r="B5410" s="2" t="s">
        <v>11305</v>
      </c>
      <c r="C5410" s="2" t="s">
        <v>187</v>
      </c>
      <c r="D5410" s="2" t="s">
        <v>26</v>
      </c>
      <c r="E5410" s="5">
        <v>-31675</v>
      </c>
      <c r="F5410" s="3" t="s">
        <v>27</v>
      </c>
      <c r="G5410" s="3" t="s">
        <v>28</v>
      </c>
      <c r="H5410" s="2" t="s">
        <v>20</v>
      </c>
      <c r="I5410" s="2" t="s">
        <v>11306</v>
      </c>
      <c r="J5410" s="3" t="str">
        <f>HYPERLINK("https://www.boe.es/gazeta/dias/1813/04/10/pdfs/GRE-1813-44.pdf#page=8","Abrir facsímil")</f>
        <v>Abrir facsímil</v>
      </c>
      <c r="K5410" s="3" t="s">
        <v>22</v>
      </c>
    </row>
    <row r="5411" spans="1:11" ht="42" customHeight="1">
      <c r="A5411" s="2" t="s">
        <v>11307</v>
      </c>
      <c r="B5411" s="2" t="s">
        <v>11307</v>
      </c>
      <c r="C5411" s="2" t="s">
        <v>16</v>
      </c>
      <c r="D5411" s="2" t="s">
        <v>17</v>
      </c>
      <c r="E5411" s="5">
        <v>-31455</v>
      </c>
      <c r="F5411" s="3" t="s">
        <v>693</v>
      </c>
      <c r="G5411" s="3" t="s">
        <v>87</v>
      </c>
      <c r="H5411" s="2" t="s">
        <v>20</v>
      </c>
      <c r="I5411" s="2" t="s">
        <v>11308</v>
      </c>
      <c r="J5411" s="3" t="str">
        <f>HYPERLINK("https://www.boe.es/gazeta/dias/1813/11/16/pdfs/GRE-1813-150.pdf#page=7","Abrir facsímil")</f>
        <v>Abrir facsímil</v>
      </c>
      <c r="K5411" s="3" t="s">
        <v>22</v>
      </c>
    </row>
    <row r="5412" spans="1:11" ht="42" customHeight="1">
      <c r="A5412" s="2" t="s">
        <v>11307</v>
      </c>
      <c r="B5412" s="2" t="s">
        <v>11307</v>
      </c>
      <c r="C5412" s="2" t="s">
        <v>16</v>
      </c>
      <c r="D5412" s="2" t="s">
        <v>17</v>
      </c>
      <c r="E5412" s="5">
        <v>-31437</v>
      </c>
      <c r="F5412" s="3" t="s">
        <v>217</v>
      </c>
      <c r="G5412" s="3" t="s">
        <v>539</v>
      </c>
      <c r="H5412" s="2" t="s">
        <v>20</v>
      </c>
      <c r="I5412" s="2" t="s">
        <v>11309</v>
      </c>
      <c r="J5412" s="3" t="str">
        <f>HYPERLINK("https://www.boe.es/gazeta/dias/1813/12/04/pdfs/GRE-1813-160.pdf#page=4","Abrir facsímil")</f>
        <v>Abrir facsímil</v>
      </c>
      <c r="K5412" s="3" t="s">
        <v>22</v>
      </c>
    </row>
    <row r="5413" spans="1:11" ht="42" customHeight="1">
      <c r="A5413" s="2" t="s">
        <v>11310</v>
      </c>
      <c r="B5413" s="2" t="s">
        <v>11310</v>
      </c>
      <c r="C5413" s="2" t="s">
        <v>16</v>
      </c>
      <c r="D5413" s="2" t="s">
        <v>17</v>
      </c>
      <c r="E5413" s="5">
        <v>-31553</v>
      </c>
      <c r="F5413" s="3" t="s">
        <v>1853</v>
      </c>
      <c r="G5413" s="3" t="s">
        <v>19</v>
      </c>
      <c r="H5413" s="2" t="s">
        <v>20</v>
      </c>
      <c r="I5413" s="2" t="s">
        <v>11311</v>
      </c>
      <c r="J5413" s="3" t="str">
        <f>HYPERLINK("https://www.boe.es/gazeta/dias/1813/08/10/pdfs/GMR-1813-26.pdf#page=4","Abrir facsímil")</f>
        <v>Abrir facsímil</v>
      </c>
      <c r="K5413" s="3" t="s">
        <v>22</v>
      </c>
    </row>
    <row r="5414" spans="1:11" ht="42" customHeight="1">
      <c r="A5414" s="2" t="s">
        <v>11312</v>
      </c>
      <c r="B5414" s="2" t="s">
        <v>11312</v>
      </c>
      <c r="C5414" s="2" t="s">
        <v>16</v>
      </c>
      <c r="D5414" s="2" t="s">
        <v>17</v>
      </c>
      <c r="E5414" s="5">
        <v>-31432</v>
      </c>
      <c r="F5414" s="3" t="s">
        <v>702</v>
      </c>
      <c r="G5414" s="3" t="s">
        <v>54</v>
      </c>
      <c r="H5414" s="2" t="s">
        <v>20</v>
      </c>
      <c r="I5414" s="2" t="s">
        <v>11313</v>
      </c>
      <c r="J5414" s="3" t="str">
        <f>HYPERLINK("https://www.boe.es/gazeta/dias/1813/12/09/pdfs/GMR-1813-85.pdf#page=3","Abrir facsímil")</f>
        <v>Abrir facsímil</v>
      </c>
      <c r="K5414" s="3" t="s">
        <v>22</v>
      </c>
    </row>
    <row r="5415" spans="1:11" ht="42" customHeight="1">
      <c r="A5415" s="2" t="s">
        <v>11314</v>
      </c>
      <c r="B5415" s="2" t="s">
        <v>11314</v>
      </c>
      <c r="C5415" s="2" t="s">
        <v>16</v>
      </c>
      <c r="D5415" s="2" t="s">
        <v>17</v>
      </c>
      <c r="E5415" s="5">
        <v>-31626</v>
      </c>
      <c r="F5415" s="3" t="s">
        <v>64</v>
      </c>
      <c r="G5415" s="3" t="s">
        <v>8082</v>
      </c>
      <c r="H5415" s="2" t="s">
        <v>20</v>
      </c>
      <c r="I5415" s="2" t="s">
        <v>11315</v>
      </c>
      <c r="J5415" s="3" t="str">
        <f>HYPERLINK("https://www.boe.es/gazeta/dias/1813/05/29/pdfs/GRE-1813-66.pdf#page=8","Abrir facsímil")</f>
        <v>Abrir facsímil</v>
      </c>
      <c r="K5415" s="3" t="s">
        <v>22</v>
      </c>
    </row>
    <row r="5416" spans="1:11" ht="42" customHeight="1">
      <c r="A5416" s="2" t="s">
        <v>11314</v>
      </c>
      <c r="B5416" s="2" t="s">
        <v>11314</v>
      </c>
      <c r="C5416" s="2" t="s">
        <v>16</v>
      </c>
      <c r="D5416" s="2" t="s">
        <v>17</v>
      </c>
      <c r="E5416" s="5">
        <v>-31598</v>
      </c>
      <c r="F5416" s="3" t="s">
        <v>286</v>
      </c>
      <c r="G5416" s="3" t="s">
        <v>87</v>
      </c>
      <c r="H5416" s="2" t="s">
        <v>20</v>
      </c>
      <c r="I5416" s="2" t="s">
        <v>11316</v>
      </c>
      <c r="J5416" s="3" t="str">
        <f>HYPERLINK("https://www.boe.es/gazeta/dias/1813/06/26/pdfs/GRE-1813-79.pdf#page=7","Abrir facsímil")</f>
        <v>Abrir facsímil</v>
      </c>
      <c r="K5416" s="3" t="s">
        <v>22</v>
      </c>
    </row>
    <row r="5417" spans="1:11" ht="42" customHeight="1">
      <c r="A5417" s="2" t="s">
        <v>11314</v>
      </c>
      <c r="B5417" s="2" t="s">
        <v>11314</v>
      </c>
      <c r="C5417" s="2" t="s">
        <v>16</v>
      </c>
      <c r="D5417" s="2" t="s">
        <v>17</v>
      </c>
      <c r="E5417" s="5">
        <v>-31592</v>
      </c>
      <c r="F5417" s="3" t="s">
        <v>175</v>
      </c>
      <c r="G5417" s="3" t="s">
        <v>65</v>
      </c>
      <c r="H5417" s="2" t="s">
        <v>20</v>
      </c>
      <c r="I5417" s="2" t="s">
        <v>11317</v>
      </c>
      <c r="J5417" s="3" t="str">
        <f>HYPERLINK("https://www.boe.es/gazeta/dias/1813/07/02/pdfs/GRE-1813-82.pdf#page=1","Abrir facsímil")</f>
        <v>Abrir facsímil</v>
      </c>
      <c r="K5417" s="3" t="s">
        <v>22</v>
      </c>
    </row>
    <row r="5418" spans="1:11" ht="42" customHeight="1">
      <c r="A5418" s="2" t="s">
        <v>11314</v>
      </c>
      <c r="B5418" s="2" t="s">
        <v>11314</v>
      </c>
      <c r="C5418" s="2" t="s">
        <v>16</v>
      </c>
      <c r="D5418" s="2" t="s">
        <v>17</v>
      </c>
      <c r="E5418" s="5">
        <v>-31592</v>
      </c>
      <c r="F5418" s="3" t="s">
        <v>175</v>
      </c>
      <c r="G5418" s="3" t="s">
        <v>58</v>
      </c>
      <c r="H5418" s="2" t="s">
        <v>20</v>
      </c>
      <c r="I5418" s="2" t="s">
        <v>11318</v>
      </c>
      <c r="J5418" s="3" t="str">
        <f>HYPERLINK("https://www.boe.es/gazeta/dias/1813/07/02/pdfs/GRE-1813-82.pdf#page=2","Abrir facsímil")</f>
        <v>Abrir facsímil</v>
      </c>
      <c r="K5418" s="3" t="s">
        <v>22</v>
      </c>
    </row>
    <row r="5419" spans="1:11" ht="42" customHeight="1">
      <c r="A5419" s="2" t="s">
        <v>11314</v>
      </c>
      <c r="B5419" s="2" t="s">
        <v>11314</v>
      </c>
      <c r="C5419" s="2" t="s">
        <v>16</v>
      </c>
      <c r="D5419" s="2" t="s">
        <v>17</v>
      </c>
      <c r="E5419" s="5">
        <v>-31592</v>
      </c>
      <c r="F5419" s="3" t="s">
        <v>175</v>
      </c>
      <c r="G5419" s="3" t="s">
        <v>95</v>
      </c>
      <c r="H5419" s="2" t="s">
        <v>20</v>
      </c>
      <c r="I5419" s="2" t="s">
        <v>11319</v>
      </c>
      <c r="J5419" s="3" t="str">
        <f>HYPERLINK("https://www.boe.es/gazeta/dias/1813/07/02/pdfs/GRE-1813-82.pdf#page=6","Abrir facsímil")</f>
        <v>Abrir facsímil</v>
      </c>
      <c r="K5419" s="3" t="s">
        <v>22</v>
      </c>
    </row>
    <row r="5420" spans="1:11" ht="42" customHeight="1">
      <c r="A5420" s="2" t="s">
        <v>11314</v>
      </c>
      <c r="B5420" s="2" t="s">
        <v>11314</v>
      </c>
      <c r="C5420" s="2" t="s">
        <v>16</v>
      </c>
      <c r="D5420" s="2" t="s">
        <v>17</v>
      </c>
      <c r="E5420" s="5">
        <v>-31588</v>
      </c>
      <c r="F5420" s="3" t="s">
        <v>1535</v>
      </c>
      <c r="G5420" s="3" t="s">
        <v>313</v>
      </c>
      <c r="H5420" s="2" t="s">
        <v>20</v>
      </c>
      <c r="I5420" s="2" t="s">
        <v>11320</v>
      </c>
      <c r="J5420" s="3" t="str">
        <f>HYPERLINK("https://www.boe.es/gazeta/dias/1813/07/06/pdfs/GMR-1813-15.pdf#page=9","Abrir facsímil")</f>
        <v>Abrir facsímil</v>
      </c>
      <c r="K5420" s="3" t="s">
        <v>22</v>
      </c>
    </row>
    <row r="5421" spans="1:11" ht="42" customHeight="1">
      <c r="A5421" s="2" t="s">
        <v>11314</v>
      </c>
      <c r="B5421" s="2" t="s">
        <v>11314</v>
      </c>
      <c r="C5421" s="2" t="s">
        <v>16</v>
      </c>
      <c r="D5421" s="2" t="s">
        <v>17</v>
      </c>
      <c r="E5421" s="5">
        <v>-31585</v>
      </c>
      <c r="F5421" s="3" t="s">
        <v>177</v>
      </c>
      <c r="G5421" s="3" t="s">
        <v>207</v>
      </c>
      <c r="H5421" s="2" t="s">
        <v>20</v>
      </c>
      <c r="I5421" s="2" t="s">
        <v>11321</v>
      </c>
      <c r="J5421" s="3" t="str">
        <f>HYPERLINK("https://www.boe.es/gazeta/dias/1813/07/09/pdfs/GMR-1813-16.pdf#page=10","Abrir facsímil")</f>
        <v>Abrir facsímil</v>
      </c>
      <c r="K5421" s="3" t="s">
        <v>22</v>
      </c>
    </row>
    <row r="5422" spans="1:11" ht="42" customHeight="1">
      <c r="A5422" s="2" t="s">
        <v>11314</v>
      </c>
      <c r="B5422" s="2" t="s">
        <v>11314</v>
      </c>
      <c r="C5422" s="2" t="s">
        <v>16</v>
      </c>
      <c r="D5422" s="2" t="s">
        <v>17</v>
      </c>
      <c r="E5422" s="5">
        <v>-31585</v>
      </c>
      <c r="F5422" s="3" t="s">
        <v>177</v>
      </c>
      <c r="G5422" s="3" t="s">
        <v>178</v>
      </c>
      <c r="H5422" s="2" t="s">
        <v>20</v>
      </c>
      <c r="I5422" s="2" t="s">
        <v>11322</v>
      </c>
      <c r="J5422" s="3" t="str">
        <f>HYPERLINK("https://www.boe.es/gazeta/dias/1813/07/09/pdfs/GMR-1813-16.pdf#page=11","Abrir facsímil")</f>
        <v>Abrir facsímil</v>
      </c>
      <c r="K5422" s="3" t="s">
        <v>22</v>
      </c>
    </row>
    <row r="5423" spans="1:11" ht="42" customHeight="1">
      <c r="A5423" s="2" t="s">
        <v>11314</v>
      </c>
      <c r="B5423" s="2" t="s">
        <v>11314</v>
      </c>
      <c r="C5423" s="2" t="s">
        <v>16</v>
      </c>
      <c r="D5423" s="2" t="s">
        <v>17</v>
      </c>
      <c r="E5423" s="5">
        <v>-31585</v>
      </c>
      <c r="F5423" s="3" t="s">
        <v>177</v>
      </c>
      <c r="G5423" s="3" t="s">
        <v>87</v>
      </c>
      <c r="H5423" s="2" t="s">
        <v>20</v>
      </c>
      <c r="I5423" s="2" t="s">
        <v>11323</v>
      </c>
      <c r="J5423" s="3" t="str">
        <f>HYPERLINK("https://www.boe.es/gazeta/dias/1813/07/09/pdfs/GMR-1813-16.pdf#page=7","Abrir facsímil")</f>
        <v>Abrir facsímil</v>
      </c>
      <c r="K5423" s="3" t="s">
        <v>22</v>
      </c>
    </row>
    <row r="5424" spans="1:11" ht="42" customHeight="1">
      <c r="A5424" s="2" t="s">
        <v>11314</v>
      </c>
      <c r="B5424" s="2" t="s">
        <v>11314</v>
      </c>
      <c r="C5424" s="2" t="s">
        <v>16</v>
      </c>
      <c r="D5424" s="2" t="s">
        <v>17</v>
      </c>
      <c r="E5424" s="5">
        <v>-31570</v>
      </c>
      <c r="F5424" s="3" t="s">
        <v>1803</v>
      </c>
      <c r="G5424" s="3" t="s">
        <v>87</v>
      </c>
      <c r="H5424" s="2" t="s">
        <v>20</v>
      </c>
      <c r="I5424" s="2" t="s">
        <v>11324</v>
      </c>
      <c r="J5424" s="3" t="str">
        <f>HYPERLINK("https://www.boe.es/gazeta/dias/1813/07/24/pdfs/GRE-1813-94.pdf#page=7","Abrir facsímil")</f>
        <v>Abrir facsímil</v>
      </c>
      <c r="K5424" s="3" t="s">
        <v>22</v>
      </c>
    </row>
    <row r="5425" spans="1:11" ht="42" customHeight="1">
      <c r="A5425" s="2" t="s">
        <v>11314</v>
      </c>
      <c r="B5425" s="2" t="s">
        <v>11314</v>
      </c>
      <c r="C5425" s="2" t="s">
        <v>16</v>
      </c>
      <c r="D5425" s="2" t="s">
        <v>17</v>
      </c>
      <c r="E5425" s="5">
        <v>-31560</v>
      </c>
      <c r="F5425" s="3" t="s">
        <v>1233</v>
      </c>
      <c r="G5425" s="3" t="s">
        <v>95</v>
      </c>
      <c r="H5425" s="2" t="s">
        <v>20</v>
      </c>
      <c r="I5425" s="2" t="s">
        <v>11325</v>
      </c>
      <c r="J5425" s="3" t="str">
        <f>HYPERLINK("https://www.boe.es/gazeta/dias/1813/08/03/pdfs/GMR-1813-23.pdf#page=6","Abrir facsímil")</f>
        <v>Abrir facsímil</v>
      </c>
      <c r="K5425" s="3" t="s">
        <v>22</v>
      </c>
    </row>
    <row r="5426" spans="1:11" ht="42" customHeight="1">
      <c r="A5426" s="2" t="s">
        <v>11314</v>
      </c>
      <c r="B5426" s="2" t="s">
        <v>11314</v>
      </c>
      <c r="C5426" s="2" t="s">
        <v>16</v>
      </c>
      <c r="D5426" s="2" t="s">
        <v>17</v>
      </c>
      <c r="E5426" s="5">
        <v>-31553</v>
      </c>
      <c r="F5426" s="3" t="s">
        <v>1853</v>
      </c>
      <c r="G5426" s="3" t="s">
        <v>82</v>
      </c>
      <c r="H5426" s="2" t="s">
        <v>20</v>
      </c>
      <c r="I5426" s="2" t="s">
        <v>11326</v>
      </c>
      <c r="J5426" s="3" t="str">
        <f>HYPERLINK("https://www.boe.es/gazeta/dias/1813/08/10/pdfs/GMR-1813-26.pdf#page=5","Abrir facsímil")</f>
        <v>Abrir facsímil</v>
      </c>
      <c r="K5426" s="3" t="s">
        <v>22</v>
      </c>
    </row>
    <row r="5427" spans="1:11" ht="42" customHeight="1">
      <c r="A5427" s="2" t="s">
        <v>11314</v>
      </c>
      <c r="B5427" s="2" t="s">
        <v>11314</v>
      </c>
      <c r="C5427" s="2" t="s">
        <v>16</v>
      </c>
      <c r="D5427" s="2" t="s">
        <v>17</v>
      </c>
      <c r="E5427" s="5">
        <v>-31549</v>
      </c>
      <c r="F5427" s="3" t="s">
        <v>332</v>
      </c>
      <c r="G5427" s="3" t="s">
        <v>28</v>
      </c>
      <c r="H5427" s="2" t="s">
        <v>20</v>
      </c>
      <c r="I5427" s="2" t="s">
        <v>11327</v>
      </c>
      <c r="J5427" s="3" t="str">
        <f>HYPERLINK("https://www.boe.es/gazeta/dias/1813/08/14/pdfs/GMR-1813-28.pdf#page=8","Abrir facsímil")</f>
        <v>Abrir facsímil</v>
      </c>
      <c r="K5427" s="3" t="s">
        <v>22</v>
      </c>
    </row>
    <row r="5428" spans="1:11" ht="42" customHeight="1">
      <c r="A5428" s="2" t="s">
        <v>11314</v>
      </c>
      <c r="B5428" s="2" t="s">
        <v>11314</v>
      </c>
      <c r="C5428" s="2" t="s">
        <v>16</v>
      </c>
      <c r="D5428" s="2" t="s">
        <v>97</v>
      </c>
      <c r="E5428" s="5">
        <v>-31548</v>
      </c>
      <c r="F5428" s="3" t="s">
        <v>1680</v>
      </c>
      <c r="G5428" s="3" t="s">
        <v>65</v>
      </c>
      <c r="H5428" s="2" t="s">
        <v>20</v>
      </c>
      <c r="I5428" s="2" t="s">
        <v>11328</v>
      </c>
      <c r="J5428" s="3" t="str">
        <f>HYPERLINK("https://www.boe.es/gazeta/dias/1813/08/15/pdfs/GRE-1813-104E.pdf#page=1","Abrir facsímil")</f>
        <v>Abrir facsímil</v>
      </c>
      <c r="K5428" s="3" t="s">
        <v>22</v>
      </c>
    </row>
    <row r="5429" spans="1:11" ht="42" customHeight="1">
      <c r="A5429" s="2" t="s">
        <v>11314</v>
      </c>
      <c r="B5429" s="2" t="s">
        <v>11314</v>
      </c>
      <c r="C5429" s="2" t="s">
        <v>16</v>
      </c>
      <c r="D5429" s="2" t="s">
        <v>97</v>
      </c>
      <c r="E5429" s="5">
        <v>-31548</v>
      </c>
      <c r="F5429" s="3" t="s">
        <v>1680</v>
      </c>
      <c r="G5429" s="3" t="s">
        <v>54</v>
      </c>
      <c r="H5429" s="2" t="s">
        <v>20</v>
      </c>
      <c r="I5429" s="2" t="s">
        <v>11329</v>
      </c>
      <c r="J5429" s="3" t="str">
        <f>HYPERLINK("https://www.boe.es/gazeta/dias/1813/08/15/pdfs/GRE-1813-104E.pdf#page=3","Abrir facsímil")</f>
        <v>Abrir facsímil</v>
      </c>
      <c r="K5429" s="3" t="s">
        <v>22</v>
      </c>
    </row>
    <row r="5430" spans="1:11" ht="42" customHeight="1">
      <c r="A5430" s="2" t="s">
        <v>11314</v>
      </c>
      <c r="B5430" s="2" t="s">
        <v>11314</v>
      </c>
      <c r="C5430" s="2" t="s">
        <v>16</v>
      </c>
      <c r="D5430" s="2" t="s">
        <v>17</v>
      </c>
      <c r="E5430" s="5">
        <v>-31537</v>
      </c>
      <c r="F5430" s="3" t="s">
        <v>138</v>
      </c>
      <c r="G5430" s="3" t="s">
        <v>87</v>
      </c>
      <c r="H5430" s="2" t="s">
        <v>20</v>
      </c>
      <c r="I5430" s="2" t="s">
        <v>11330</v>
      </c>
      <c r="J5430" s="3" t="str">
        <f>HYPERLINK("https://www.boe.es/gazeta/dias/1813/08/26/pdfs/GMR-1813-33.pdf#page=7","Abrir facsímil")</f>
        <v>Abrir facsímil</v>
      </c>
      <c r="K5430" s="3" t="s">
        <v>22</v>
      </c>
    </row>
    <row r="5431" spans="1:11" ht="42" customHeight="1">
      <c r="A5431" s="2" t="s">
        <v>11314</v>
      </c>
      <c r="B5431" s="2" t="s">
        <v>11314</v>
      </c>
      <c r="C5431" s="2" t="s">
        <v>16</v>
      </c>
      <c r="D5431" s="2" t="s">
        <v>17</v>
      </c>
      <c r="E5431" s="5">
        <v>-31537</v>
      </c>
      <c r="F5431" s="3" t="s">
        <v>138</v>
      </c>
      <c r="G5431" s="3" t="s">
        <v>313</v>
      </c>
      <c r="H5431" s="2" t="s">
        <v>20</v>
      </c>
      <c r="I5431" s="2" t="s">
        <v>11331</v>
      </c>
      <c r="J5431" s="3" t="str">
        <f>HYPERLINK("https://www.boe.es/gazeta/dias/1813/08/26/pdfs/GMR-1813-33.pdf#page=9","Abrir facsímil")</f>
        <v>Abrir facsímil</v>
      </c>
      <c r="K5431" s="3" t="s">
        <v>22</v>
      </c>
    </row>
    <row r="5432" spans="1:11" ht="42" customHeight="1">
      <c r="A5432" s="2" t="s">
        <v>11314</v>
      </c>
      <c r="B5432" s="2" t="s">
        <v>11314</v>
      </c>
      <c r="C5432" s="2" t="s">
        <v>16</v>
      </c>
      <c r="D5432" s="2" t="s">
        <v>17</v>
      </c>
      <c r="E5432" s="5">
        <v>-31451</v>
      </c>
      <c r="F5432" s="3" t="s">
        <v>2325</v>
      </c>
      <c r="G5432" s="3" t="s">
        <v>28</v>
      </c>
      <c r="H5432" s="2" t="s">
        <v>20</v>
      </c>
      <c r="I5432" s="2" t="s">
        <v>11332</v>
      </c>
      <c r="J5432" s="3" t="str">
        <f>HYPERLINK("https://www.boe.es/gazeta/dias/1813/11/20/pdfs/GMR-1813-77.pdf#page=8","Abrir facsímil")</f>
        <v>Abrir facsímil</v>
      </c>
      <c r="K5432" s="3" t="s">
        <v>22</v>
      </c>
    </row>
    <row r="5433" spans="1:11" ht="42" customHeight="1">
      <c r="A5433" s="2" t="s">
        <v>11314</v>
      </c>
      <c r="B5433" s="2" t="s">
        <v>11314</v>
      </c>
      <c r="C5433" s="2" t="s">
        <v>16</v>
      </c>
      <c r="D5433" s="2" t="s">
        <v>17</v>
      </c>
      <c r="E5433" s="5">
        <v>-31446</v>
      </c>
      <c r="F5433" s="3" t="s">
        <v>103</v>
      </c>
      <c r="G5433" s="3" t="s">
        <v>95</v>
      </c>
      <c r="H5433" s="2" t="s">
        <v>20</v>
      </c>
      <c r="I5433" s="2" t="s">
        <v>11333</v>
      </c>
      <c r="J5433" s="3" t="str">
        <f>HYPERLINK("https://www.boe.es/gazeta/dias/1813/11/25/pdfs/GMR-1813-79.pdf#page=6","Abrir facsímil")</f>
        <v>Abrir facsímil</v>
      </c>
      <c r="K5433" s="3" t="s">
        <v>22</v>
      </c>
    </row>
    <row r="5434" spans="1:11" ht="42" customHeight="1">
      <c r="A5434" s="2" t="s">
        <v>11314</v>
      </c>
      <c r="B5434" s="2" t="s">
        <v>11314</v>
      </c>
      <c r="C5434" s="2" t="s">
        <v>16</v>
      </c>
      <c r="D5434" s="2" t="s">
        <v>17</v>
      </c>
      <c r="E5434" s="5">
        <v>-31446</v>
      </c>
      <c r="F5434" s="3" t="s">
        <v>103</v>
      </c>
      <c r="G5434" s="3" t="s">
        <v>87</v>
      </c>
      <c r="H5434" s="2" t="s">
        <v>20</v>
      </c>
      <c r="I5434" s="2" t="s">
        <v>11334</v>
      </c>
      <c r="J5434" s="3" t="str">
        <f>HYPERLINK("https://www.boe.es/gazeta/dias/1813/11/25/pdfs/GMR-1813-79.pdf#page=7","Abrir facsímil")</f>
        <v>Abrir facsímil</v>
      </c>
      <c r="K5434" s="3" t="s">
        <v>22</v>
      </c>
    </row>
    <row r="5435" spans="1:11" ht="42" customHeight="1">
      <c r="A5435" s="2" t="s">
        <v>11314</v>
      </c>
      <c r="B5435" s="2" t="s">
        <v>11314</v>
      </c>
      <c r="C5435" s="2" t="s">
        <v>16</v>
      </c>
      <c r="D5435" s="2" t="s">
        <v>17</v>
      </c>
      <c r="E5435" s="5">
        <v>-31432</v>
      </c>
      <c r="F5435" s="3" t="s">
        <v>702</v>
      </c>
      <c r="G5435" s="3" t="s">
        <v>19</v>
      </c>
      <c r="H5435" s="2" t="s">
        <v>20</v>
      </c>
      <c r="I5435" s="2" t="s">
        <v>11335</v>
      </c>
      <c r="J5435" s="3" t="str">
        <f>HYPERLINK("https://www.boe.es/gazeta/dias/1813/12/09/pdfs/GMR-1813-85.pdf#page=4","Abrir facsímil")</f>
        <v>Abrir facsímil</v>
      </c>
      <c r="K5435" s="3" t="s">
        <v>22</v>
      </c>
    </row>
    <row r="5436" spans="1:11" ht="42" customHeight="1">
      <c r="A5436" s="2" t="s">
        <v>11314</v>
      </c>
      <c r="B5436" s="2" t="s">
        <v>11314</v>
      </c>
      <c r="C5436" s="2" t="s">
        <v>16</v>
      </c>
      <c r="D5436" s="2" t="s">
        <v>17</v>
      </c>
      <c r="E5436" s="5">
        <v>-31425</v>
      </c>
      <c r="F5436" s="3" t="s">
        <v>1669</v>
      </c>
      <c r="G5436" s="3" t="s">
        <v>1670</v>
      </c>
      <c r="H5436" s="2" t="s">
        <v>20</v>
      </c>
      <c r="I5436" s="2" t="s">
        <v>11336</v>
      </c>
      <c r="J5436" s="3" t="str">
        <f>HYPERLINK("https://www.boe.es/gazeta/dias/1813/12/16/pdfs/GRE-1813-165.pdf#page=7","Abrir facsímil")</f>
        <v>Abrir facsímil</v>
      </c>
      <c r="K5436" s="3" t="s">
        <v>22</v>
      </c>
    </row>
    <row r="5437" spans="1:11" ht="42" customHeight="1">
      <c r="A5437" s="2" t="s">
        <v>11314</v>
      </c>
      <c r="B5437" s="2" t="s">
        <v>11314</v>
      </c>
      <c r="C5437" s="2" t="s">
        <v>16</v>
      </c>
      <c r="D5437" s="2" t="s">
        <v>17</v>
      </c>
      <c r="E5437" s="5">
        <v>-31423</v>
      </c>
      <c r="F5437" s="3" t="s">
        <v>2465</v>
      </c>
      <c r="G5437" s="3" t="s">
        <v>19</v>
      </c>
      <c r="H5437" s="2" t="s">
        <v>20</v>
      </c>
      <c r="I5437" s="2" t="s">
        <v>11337</v>
      </c>
      <c r="J5437" s="3" t="str">
        <f>HYPERLINK("https://www.boe.es/gazeta/dias/1813/12/18/pdfs/GMR-1813-89.pdf#page=4","Abrir facsímil")</f>
        <v>Abrir facsímil</v>
      </c>
      <c r="K5437" s="3" t="s">
        <v>22</v>
      </c>
    </row>
    <row r="5438" spans="1:11" ht="42" customHeight="1">
      <c r="A5438" s="2" t="s">
        <v>11314</v>
      </c>
      <c r="B5438" s="2" t="s">
        <v>11314</v>
      </c>
      <c r="C5438" s="2" t="s">
        <v>16</v>
      </c>
      <c r="D5438" s="2" t="s">
        <v>17</v>
      </c>
      <c r="E5438" s="5">
        <v>-31416</v>
      </c>
      <c r="F5438" s="3" t="s">
        <v>110</v>
      </c>
      <c r="G5438" s="3" t="s">
        <v>28</v>
      </c>
      <c r="H5438" s="2" t="s">
        <v>20</v>
      </c>
      <c r="I5438" s="2" t="s">
        <v>11338</v>
      </c>
      <c r="J5438" s="3" t="str">
        <f>HYPERLINK("https://www.boe.es/gazeta/dias/1813/12/25/pdfs/GRE-1813-169.pdf#page=8","Abrir facsímil")</f>
        <v>Abrir facsímil</v>
      </c>
      <c r="K5438" s="3" t="s">
        <v>22</v>
      </c>
    </row>
    <row r="5439" spans="1:11" ht="42" customHeight="1">
      <c r="A5439" s="2" t="s">
        <v>11314</v>
      </c>
      <c r="B5439" s="2" t="s">
        <v>11314</v>
      </c>
      <c r="C5439" s="2" t="s">
        <v>16</v>
      </c>
      <c r="D5439" s="2" t="s">
        <v>17</v>
      </c>
      <c r="E5439" s="5">
        <v>-31411</v>
      </c>
      <c r="F5439" s="3" t="s">
        <v>2306</v>
      </c>
      <c r="G5439" s="3" t="s">
        <v>87</v>
      </c>
      <c r="H5439" s="2" t="s">
        <v>20</v>
      </c>
      <c r="I5439" s="2" t="s">
        <v>11339</v>
      </c>
      <c r="J5439" s="3" t="str">
        <f>HYPERLINK("https://www.boe.es/gazeta/dias/1813/12/30/pdfs/GMR-1813-94.pdf#page=7","Abrir facsímil")</f>
        <v>Abrir facsímil</v>
      </c>
      <c r="K5439" s="3" t="s">
        <v>22</v>
      </c>
    </row>
    <row r="5440" spans="1:11" ht="42" customHeight="1">
      <c r="A5440" s="2" t="s">
        <v>11340</v>
      </c>
      <c r="B5440" s="2" t="s">
        <v>11341</v>
      </c>
      <c r="C5440" s="2" t="s">
        <v>25</v>
      </c>
      <c r="D5440" s="2" t="s">
        <v>26</v>
      </c>
      <c r="E5440" s="5">
        <v>-31752</v>
      </c>
      <c r="F5440" s="3" t="s">
        <v>182</v>
      </c>
      <c r="G5440" s="3" t="s">
        <v>183</v>
      </c>
      <c r="H5440" s="2" t="s">
        <v>20</v>
      </c>
      <c r="I5440" s="2" t="s">
        <v>11342</v>
      </c>
      <c r="J5440" s="3" t="str">
        <f>HYPERLINK("https://www.boe.es/gazeta/dias/1813/01/23/pdfs/GRE-1813-10.pdf#page=8","Abrir facsímil")</f>
        <v>Abrir facsímil</v>
      </c>
      <c r="K5440" s="3" t="s">
        <v>22</v>
      </c>
    </row>
    <row r="5441" spans="1:11" ht="42" customHeight="1">
      <c r="A5441" s="2" t="s">
        <v>11343</v>
      </c>
      <c r="B5441" s="2" t="s">
        <v>11344</v>
      </c>
      <c r="C5441" s="2" t="s">
        <v>16</v>
      </c>
      <c r="D5441" s="2" t="s">
        <v>17</v>
      </c>
      <c r="E5441" s="5">
        <v>-31605</v>
      </c>
      <c r="F5441" s="3" t="s">
        <v>884</v>
      </c>
      <c r="G5441" s="3" t="s">
        <v>87</v>
      </c>
      <c r="H5441" s="2" t="s">
        <v>29</v>
      </c>
      <c r="I5441" s="2" t="s">
        <v>11345</v>
      </c>
      <c r="J5441" s="3" t="str">
        <f>HYPERLINK("https://www.boe.es/gazeta/dias/1813/06/19/pdfs/GRE-1813-76.pdf#page=7","Abrir facsímil")</f>
        <v>Abrir facsímil</v>
      </c>
      <c r="K5441" s="3" t="s">
        <v>31</v>
      </c>
    </row>
    <row r="5442" spans="1:11" ht="42" customHeight="1">
      <c r="A5442" s="2" t="s">
        <v>11346</v>
      </c>
      <c r="B5442" s="2" t="s">
        <v>11347</v>
      </c>
      <c r="C5442" s="2" t="s">
        <v>16</v>
      </c>
      <c r="D5442" s="2" t="s">
        <v>17</v>
      </c>
      <c r="E5442" s="5">
        <v>-31416</v>
      </c>
      <c r="F5442" s="3" t="s">
        <v>110</v>
      </c>
      <c r="G5442" s="3" t="s">
        <v>87</v>
      </c>
      <c r="H5442" s="2" t="s">
        <v>20</v>
      </c>
      <c r="I5442" s="2" t="s">
        <v>11348</v>
      </c>
      <c r="J5442" s="3" t="str">
        <f>HYPERLINK("https://www.boe.es/gazeta/dias/1813/12/25/pdfs/GRE-1813-169.pdf#page=7","Abrir facsímil")</f>
        <v>Abrir facsímil</v>
      </c>
      <c r="K5442" s="3" t="s">
        <v>22</v>
      </c>
    </row>
    <row r="5443" spans="1:11" ht="42" customHeight="1">
      <c r="A5443" s="2" t="s">
        <v>11349</v>
      </c>
      <c r="B5443" s="2" t="s">
        <v>11350</v>
      </c>
      <c r="C5443" s="2" t="s">
        <v>25</v>
      </c>
      <c r="D5443" s="2" t="s">
        <v>26</v>
      </c>
      <c r="E5443" s="5">
        <v>-31563</v>
      </c>
      <c r="F5443" s="3" t="s">
        <v>1267</v>
      </c>
      <c r="G5443" s="3" t="s">
        <v>82</v>
      </c>
      <c r="H5443" s="2" t="s">
        <v>20</v>
      </c>
      <c r="I5443" s="2" t="s">
        <v>11351</v>
      </c>
      <c r="J5443" s="3" t="str">
        <f>HYPERLINK("https://www.boe.es/gazeta/dias/1813/07/31/pdfs/GRE-1813-97.pdf#page=5","Abrir facsímil")</f>
        <v>Abrir facsímil</v>
      </c>
      <c r="K5443" s="3" t="s">
        <v>22</v>
      </c>
    </row>
    <row r="5444" spans="1:11" ht="42" customHeight="1">
      <c r="A5444" s="2" t="s">
        <v>11352</v>
      </c>
      <c r="B5444" s="2" t="s">
        <v>11353</v>
      </c>
      <c r="C5444" s="2" t="s">
        <v>16</v>
      </c>
      <c r="D5444" s="2" t="s">
        <v>17</v>
      </c>
      <c r="E5444" s="5">
        <v>-31738</v>
      </c>
      <c r="F5444" s="3" t="s">
        <v>556</v>
      </c>
      <c r="G5444" s="3" t="s">
        <v>28</v>
      </c>
      <c r="H5444" s="2" t="s">
        <v>20</v>
      </c>
      <c r="I5444" s="2" t="s">
        <v>11354</v>
      </c>
      <c r="J5444" s="3" t="str">
        <f>HYPERLINK("https://www.boe.es/gazeta/dias/1813/02/06/pdfs/GRE-1813-16.pdf#page=8","Abrir facsímil")</f>
        <v>Abrir facsímil</v>
      </c>
      <c r="K5444" s="3" t="s">
        <v>22</v>
      </c>
    </row>
    <row r="5445" spans="1:11" ht="42" customHeight="1">
      <c r="A5445" s="2" t="s">
        <v>11355</v>
      </c>
      <c r="B5445" s="2" t="s">
        <v>11355</v>
      </c>
      <c r="C5445" s="2" t="s">
        <v>16</v>
      </c>
      <c r="D5445" s="2" t="s">
        <v>17</v>
      </c>
      <c r="E5445" s="5">
        <v>-31711</v>
      </c>
      <c r="F5445" s="3" t="s">
        <v>90</v>
      </c>
      <c r="G5445" s="3" t="s">
        <v>65</v>
      </c>
      <c r="H5445" s="2" t="s">
        <v>20</v>
      </c>
      <c r="I5445" s="2" t="s">
        <v>11356</v>
      </c>
      <c r="J5445" s="3" t="str">
        <f>HYPERLINK("https://www.boe.es/gazeta/dias/1813/03/05/pdfs/GMD-1813-64.pdf#page=1","Abrir facsímil")</f>
        <v>Abrir facsímil</v>
      </c>
      <c r="K5445" s="3" t="s">
        <v>22</v>
      </c>
    </row>
    <row r="5446" spans="1:11" ht="42" customHeight="1">
      <c r="A5446" s="2" t="s">
        <v>11355</v>
      </c>
      <c r="B5446" s="2" t="s">
        <v>11355</v>
      </c>
      <c r="C5446" s="2" t="s">
        <v>16</v>
      </c>
      <c r="D5446" s="2" t="s">
        <v>17</v>
      </c>
      <c r="E5446" s="5">
        <v>-31683</v>
      </c>
      <c r="F5446" s="3" t="s">
        <v>1213</v>
      </c>
      <c r="G5446" s="3" t="s">
        <v>65</v>
      </c>
      <c r="H5446" s="2" t="s">
        <v>20</v>
      </c>
      <c r="I5446" s="2" t="s">
        <v>11357</v>
      </c>
      <c r="J5446" s="3" t="str">
        <f>HYPERLINK("https://www.boe.es/gazeta/dias/1813/04/02/pdfs/GMD-1813-92.pdf#page=1","Abrir facsímil")</f>
        <v>Abrir facsímil</v>
      </c>
      <c r="K5446" s="3" t="s">
        <v>22</v>
      </c>
    </row>
    <row r="5447" spans="1:11" ht="42" customHeight="1">
      <c r="A5447" s="2" t="s">
        <v>11358</v>
      </c>
      <c r="B5447" s="2" t="s">
        <v>11358</v>
      </c>
      <c r="C5447" s="2" t="s">
        <v>16</v>
      </c>
      <c r="D5447" s="2" t="s">
        <v>17</v>
      </c>
      <c r="E5447" s="5">
        <v>-31434</v>
      </c>
      <c r="F5447" s="3" t="s">
        <v>948</v>
      </c>
      <c r="G5447" s="3" t="s">
        <v>54</v>
      </c>
      <c r="H5447" s="2" t="s">
        <v>20</v>
      </c>
      <c r="I5447" s="2" t="s">
        <v>11359</v>
      </c>
      <c r="J5447" s="3" t="str">
        <f>HYPERLINK("https://www.boe.es/gazeta/dias/1813/12/07/pdfs/GMR-1813-84.pdf#page=3","Abrir facsímil")</f>
        <v>Abrir facsímil</v>
      </c>
      <c r="K5447" s="3" t="s">
        <v>22</v>
      </c>
    </row>
    <row r="5448" spans="1:11" ht="42" customHeight="1">
      <c r="A5448" s="2" t="s">
        <v>11360</v>
      </c>
      <c r="B5448" s="2" t="s">
        <v>11360</v>
      </c>
      <c r="C5448" s="2" t="s">
        <v>16</v>
      </c>
      <c r="D5448" s="2" t="s">
        <v>17</v>
      </c>
      <c r="E5448" s="5">
        <v>-31444</v>
      </c>
      <c r="F5448" s="3" t="s">
        <v>2451</v>
      </c>
      <c r="G5448" s="3" t="s">
        <v>19</v>
      </c>
      <c r="H5448" s="2" t="s">
        <v>20</v>
      </c>
      <c r="I5448" s="2" t="s">
        <v>11361</v>
      </c>
      <c r="J5448" s="3" t="str">
        <f>HYPERLINK("https://www.boe.es/gazeta/dias/1813/11/27/pdfs/GRE-1813-157.pdf#page=4","Abrir facsímil")</f>
        <v>Abrir facsímil</v>
      </c>
      <c r="K5448" s="3" t="s">
        <v>22</v>
      </c>
    </row>
    <row r="5449" spans="1:11" ht="42" customHeight="1">
      <c r="A5449" s="2" t="s">
        <v>11362</v>
      </c>
      <c r="B5449" s="2" t="s">
        <v>11363</v>
      </c>
      <c r="C5449" s="2" t="s">
        <v>16</v>
      </c>
      <c r="D5449" s="2" t="s">
        <v>17</v>
      </c>
      <c r="E5449" s="5">
        <v>-31544</v>
      </c>
      <c r="F5449" s="3" t="s">
        <v>200</v>
      </c>
      <c r="G5449" s="3" t="s">
        <v>87</v>
      </c>
      <c r="H5449" s="2" t="s">
        <v>20</v>
      </c>
      <c r="I5449" s="2" t="s">
        <v>11364</v>
      </c>
      <c r="J5449" s="3" t="str">
        <f>HYPERLINK("https://www.boe.es/gazeta/dias/1813/08/19/pdfs/GRE-1813-106.pdf#page=7","Abrir facsímil")</f>
        <v>Abrir facsímil</v>
      </c>
      <c r="K5449" s="3" t="s">
        <v>22</v>
      </c>
    </row>
    <row r="5450" spans="1:11" ht="42" customHeight="1">
      <c r="A5450" s="2" t="s">
        <v>11365</v>
      </c>
      <c r="B5450" s="2" t="s">
        <v>11366</v>
      </c>
      <c r="C5450" s="2" t="s">
        <v>25</v>
      </c>
      <c r="D5450" s="2" t="s">
        <v>26</v>
      </c>
      <c r="E5450" s="5">
        <v>-31549</v>
      </c>
      <c r="F5450" s="3" t="s">
        <v>332</v>
      </c>
      <c r="G5450" s="3" t="s">
        <v>19</v>
      </c>
      <c r="H5450" s="2" t="s">
        <v>20</v>
      </c>
      <c r="I5450" s="2" t="s">
        <v>11367</v>
      </c>
      <c r="J5450" s="3" t="str">
        <f>HYPERLINK("https://www.boe.es/gazeta/dias/1813/08/14/pdfs/GMR-1813-28.pdf#page=4","Abrir facsímil")</f>
        <v>Abrir facsímil</v>
      </c>
      <c r="K5450" s="3" t="s">
        <v>22</v>
      </c>
    </row>
    <row r="5451" spans="1:11" ht="42" customHeight="1">
      <c r="A5451" s="2" t="s">
        <v>11368</v>
      </c>
      <c r="B5451" s="2" t="s">
        <v>11368</v>
      </c>
      <c r="C5451" s="2" t="s">
        <v>16</v>
      </c>
      <c r="D5451" s="2" t="s">
        <v>17</v>
      </c>
      <c r="E5451" s="5">
        <v>-31772</v>
      </c>
      <c r="F5451" s="3" t="s">
        <v>2361</v>
      </c>
      <c r="G5451" s="3" t="s">
        <v>58</v>
      </c>
      <c r="H5451" s="2" t="s">
        <v>20</v>
      </c>
      <c r="I5451" s="2" t="s">
        <v>11369</v>
      </c>
      <c r="J5451" s="3" t="str">
        <f>HYPERLINK("https://www.boe.es/gazeta/dias/1813/01/03/pdfs/GMD-1813-3.pdf#page=2","Abrir facsímil")</f>
        <v>Abrir facsímil</v>
      </c>
      <c r="K5451" s="3" t="s">
        <v>22</v>
      </c>
    </row>
    <row r="5452" spans="1:11" ht="42" customHeight="1">
      <c r="A5452" s="2" t="s">
        <v>11370</v>
      </c>
      <c r="B5452" s="2" t="s">
        <v>11371</v>
      </c>
      <c r="C5452" s="2" t="s">
        <v>34</v>
      </c>
      <c r="D5452" s="2" t="s">
        <v>35</v>
      </c>
      <c r="E5452" s="5">
        <v>-31416</v>
      </c>
      <c r="F5452" s="3" t="s">
        <v>278</v>
      </c>
      <c r="G5452" s="3" t="s">
        <v>207</v>
      </c>
      <c r="H5452" s="2" t="s">
        <v>20</v>
      </c>
      <c r="I5452" s="2" t="s">
        <v>11372</v>
      </c>
      <c r="J5452" s="3" t="str">
        <f>HYPERLINK("https://www.boe.es/gazeta/dias/1813/12/25/pdfs/GMR-1813-92.pdf#page=10","Abrir facsímil")</f>
        <v>Abrir facsímil</v>
      </c>
      <c r="K5452" s="3" t="s">
        <v>22</v>
      </c>
    </row>
    <row r="5453" spans="1:11" ht="42" customHeight="1">
      <c r="A5453" s="2" t="s">
        <v>11373</v>
      </c>
      <c r="B5453" s="2" t="s">
        <v>11373</v>
      </c>
      <c r="C5453" s="2" t="s">
        <v>16</v>
      </c>
      <c r="D5453" s="2" t="s">
        <v>17</v>
      </c>
      <c r="E5453" s="5">
        <v>-31528</v>
      </c>
      <c r="F5453" s="3" t="s">
        <v>141</v>
      </c>
      <c r="G5453" s="3" t="s">
        <v>58</v>
      </c>
      <c r="H5453" s="2" t="s">
        <v>20</v>
      </c>
      <c r="I5453" s="2" t="s">
        <v>11374</v>
      </c>
      <c r="J5453" s="3" t="str">
        <f>HYPERLINK("https://www.boe.es/gazeta/dias/1813/09/04/pdfs/GMR-1813-37.pdf#page=2","Abrir facsímil")</f>
        <v>Abrir facsímil</v>
      </c>
      <c r="K5453" s="3" t="s">
        <v>22</v>
      </c>
    </row>
    <row r="5454" spans="1:11" ht="42" customHeight="1">
      <c r="A5454" s="2" t="s">
        <v>11375</v>
      </c>
      <c r="B5454" s="2" t="s">
        <v>11376</v>
      </c>
      <c r="C5454" s="2" t="s">
        <v>16</v>
      </c>
      <c r="D5454" s="2" t="s">
        <v>17</v>
      </c>
      <c r="E5454" s="5">
        <v>-31623</v>
      </c>
      <c r="F5454" s="3" t="s">
        <v>267</v>
      </c>
      <c r="G5454" s="3" t="s">
        <v>676</v>
      </c>
      <c r="H5454" s="2" t="s">
        <v>20</v>
      </c>
      <c r="I5454" s="2" t="s">
        <v>11377</v>
      </c>
      <c r="J5454" s="3" t="str">
        <f>HYPERLINK("https://www.boe.es/gazeta/dias/1813/06/01/pdfs/GRE-1813-67.pdf#page=4","Abrir facsímil")</f>
        <v>Abrir facsímil</v>
      </c>
      <c r="K5454" s="3" t="s">
        <v>22</v>
      </c>
    </row>
    <row r="5455" spans="1:11" ht="42" customHeight="1">
      <c r="A5455" s="2" t="s">
        <v>11378</v>
      </c>
      <c r="B5455" s="2" t="s">
        <v>11379</v>
      </c>
      <c r="C5455" s="2" t="s">
        <v>16</v>
      </c>
      <c r="D5455" s="2" t="s">
        <v>17</v>
      </c>
      <c r="E5455" s="5">
        <v>-31647</v>
      </c>
      <c r="F5455" s="3" t="s">
        <v>5110</v>
      </c>
      <c r="G5455" s="3" t="s">
        <v>54</v>
      </c>
      <c r="H5455" s="2" t="s">
        <v>20</v>
      </c>
      <c r="I5455" s="2" t="s">
        <v>11380</v>
      </c>
      <c r="J5455" s="3" t="str">
        <f>HYPERLINK("https://www.boe.es/gazeta/dias/1813/05/08/pdfs/GMD-1813-128.pdf#page=3","Abrir facsímil")</f>
        <v>Abrir facsímil</v>
      </c>
      <c r="K5455" s="3" t="s">
        <v>22</v>
      </c>
    </row>
    <row r="5456" spans="1:11" ht="42" customHeight="1">
      <c r="A5456" s="2" t="s">
        <v>11381</v>
      </c>
      <c r="B5456" s="2" t="s">
        <v>11381</v>
      </c>
      <c r="C5456" s="2" t="s">
        <v>16</v>
      </c>
      <c r="D5456" s="2" t="s">
        <v>17</v>
      </c>
      <c r="E5456" s="5">
        <v>-31703</v>
      </c>
      <c r="F5456" s="3" t="s">
        <v>4331</v>
      </c>
      <c r="G5456" s="3" t="s">
        <v>4332</v>
      </c>
      <c r="H5456" s="2" t="s">
        <v>20</v>
      </c>
      <c r="I5456" s="2" t="s">
        <v>11382</v>
      </c>
      <c r="J5456" s="3" t="str">
        <f>HYPERLINK("https://www.boe.es/gazeta/dias/1813/03/13/pdfs/GRE-1813-32.pdf#page=4","Abrir facsímil")</f>
        <v>Abrir facsímil</v>
      </c>
      <c r="K5456" s="3" t="s">
        <v>22</v>
      </c>
    </row>
    <row r="5457" spans="1:11" ht="42" customHeight="1">
      <c r="A5457" s="2" t="s">
        <v>11383</v>
      </c>
      <c r="B5457" s="2" t="s">
        <v>11383</v>
      </c>
      <c r="C5457" s="2" t="s">
        <v>16</v>
      </c>
      <c r="D5457" s="2" t="s">
        <v>17</v>
      </c>
      <c r="E5457" s="5">
        <v>-31479</v>
      </c>
      <c r="F5457" s="3" t="s">
        <v>322</v>
      </c>
      <c r="G5457" s="3" t="s">
        <v>19</v>
      </c>
      <c r="H5457" s="2" t="s">
        <v>20</v>
      </c>
      <c r="I5457" s="2" t="s">
        <v>11384</v>
      </c>
      <c r="J5457" s="3" t="str">
        <f>HYPERLINK("https://www.boe.es/gazeta/dias/1813/10/23/pdfs/GMR-1813-63.pdf#page=4","Abrir facsímil")</f>
        <v>Abrir facsímil</v>
      </c>
      <c r="K5457" s="3" t="s">
        <v>22</v>
      </c>
    </row>
    <row r="5458" spans="1:11" ht="42" customHeight="1">
      <c r="A5458" s="2" t="s">
        <v>11385</v>
      </c>
      <c r="B5458" s="2" t="s">
        <v>11386</v>
      </c>
      <c r="C5458" s="2" t="s">
        <v>34</v>
      </c>
      <c r="D5458" s="2" t="s">
        <v>35</v>
      </c>
      <c r="E5458" s="5">
        <v>-31709</v>
      </c>
      <c r="F5458" s="3" t="s">
        <v>36</v>
      </c>
      <c r="G5458" s="3" t="s">
        <v>19</v>
      </c>
      <c r="H5458" s="2" t="s">
        <v>20</v>
      </c>
      <c r="I5458" s="2" t="s">
        <v>11387</v>
      </c>
      <c r="J5458" s="3" t="str">
        <f>HYPERLINK("https://www.boe.es/gazeta/dias/1813/03/07/pdfs/GMD-1813-66.pdf#page=4","Abrir facsímil")</f>
        <v>Abrir facsímil</v>
      </c>
      <c r="K5458" s="3" t="s">
        <v>22</v>
      </c>
    </row>
    <row r="5459" spans="1:11" ht="42" customHeight="1">
      <c r="A5459" s="2" t="s">
        <v>11388</v>
      </c>
      <c r="B5459" s="2" t="s">
        <v>11388</v>
      </c>
      <c r="C5459" s="2" t="s">
        <v>16</v>
      </c>
      <c r="D5459" s="2" t="s">
        <v>17</v>
      </c>
      <c r="E5459" s="5">
        <v>-31742</v>
      </c>
      <c r="F5459" s="3" t="s">
        <v>2051</v>
      </c>
      <c r="G5459" s="3" t="s">
        <v>19</v>
      </c>
      <c r="H5459" s="2" t="s">
        <v>20</v>
      </c>
      <c r="I5459" s="2" t="s">
        <v>11389</v>
      </c>
      <c r="J5459" s="3" t="str">
        <f>HYPERLINK("https://www.boe.es/gazeta/dias/1813/02/02/pdfs/GMD-1813-33.pdf#page=4","Abrir facsímil")</f>
        <v>Abrir facsímil</v>
      </c>
      <c r="K5459" s="3" t="s">
        <v>22</v>
      </c>
    </row>
    <row r="5460" spans="1:11" ht="42" customHeight="1">
      <c r="A5460" s="2" t="s">
        <v>11388</v>
      </c>
      <c r="B5460" s="2" t="s">
        <v>11388</v>
      </c>
      <c r="C5460" s="2" t="s">
        <v>16</v>
      </c>
      <c r="D5460" s="2" t="s">
        <v>17</v>
      </c>
      <c r="E5460" s="5">
        <v>-31740</v>
      </c>
      <c r="F5460" s="3" t="s">
        <v>5259</v>
      </c>
      <c r="G5460" s="3" t="s">
        <v>65</v>
      </c>
      <c r="H5460" s="2" t="s">
        <v>20</v>
      </c>
      <c r="I5460" s="2" t="s">
        <v>11390</v>
      </c>
      <c r="J5460" s="3" t="str">
        <f>HYPERLINK("https://www.boe.es/gazeta/dias/1813/02/04/pdfs/GMD-1813-35.pdf#page=1","Abrir facsímil")</f>
        <v>Abrir facsímil</v>
      </c>
      <c r="K5460" s="3" t="s">
        <v>22</v>
      </c>
    </row>
    <row r="5461" spans="1:11" ht="42" customHeight="1">
      <c r="A5461" s="2" t="s">
        <v>11388</v>
      </c>
      <c r="B5461" s="2" t="s">
        <v>11388</v>
      </c>
      <c r="C5461" s="2" t="s">
        <v>16</v>
      </c>
      <c r="D5461" s="2" t="s">
        <v>17</v>
      </c>
      <c r="E5461" s="5">
        <v>-31680</v>
      </c>
      <c r="F5461" s="3" t="s">
        <v>4851</v>
      </c>
      <c r="G5461" s="3" t="s">
        <v>65</v>
      </c>
      <c r="H5461" s="2" t="s">
        <v>20</v>
      </c>
      <c r="I5461" s="2" t="s">
        <v>11391</v>
      </c>
      <c r="J5461" s="3" t="str">
        <f>HYPERLINK("https://www.boe.es/gazeta/dias/1813/04/05/pdfs/GMD-1813-95.pdf#page=1","Abrir facsímil")</f>
        <v>Abrir facsímil</v>
      </c>
      <c r="K5461" s="3" t="s">
        <v>22</v>
      </c>
    </row>
    <row r="5462" spans="1:11" ht="42" customHeight="1">
      <c r="A5462" s="2" t="s">
        <v>11388</v>
      </c>
      <c r="B5462" s="2" t="s">
        <v>11388</v>
      </c>
      <c r="C5462" s="2" t="s">
        <v>187</v>
      </c>
      <c r="D5462" s="2" t="s">
        <v>26</v>
      </c>
      <c r="E5462" s="5">
        <v>-31671</v>
      </c>
      <c r="F5462" s="3" t="s">
        <v>8567</v>
      </c>
      <c r="G5462" s="3" t="s">
        <v>54</v>
      </c>
      <c r="H5462" s="2" t="s">
        <v>20</v>
      </c>
      <c r="I5462" s="2" t="s">
        <v>11392</v>
      </c>
      <c r="J5462" s="3" t="str">
        <f>HYPERLINK("https://www.boe.es/gazeta/dias/1813/04/14/pdfs/GMD-1813-104.pdf#page=3","Abrir facsímil")</f>
        <v>Abrir facsímil</v>
      </c>
      <c r="K5462" s="3" t="s">
        <v>22</v>
      </c>
    </row>
    <row r="5463" spans="1:11" ht="42" customHeight="1">
      <c r="A5463" s="2" t="s">
        <v>11388</v>
      </c>
      <c r="B5463" s="2" t="s">
        <v>11388</v>
      </c>
      <c r="C5463" s="2" t="s">
        <v>16</v>
      </c>
      <c r="D5463" s="2" t="s">
        <v>17</v>
      </c>
      <c r="E5463" s="5">
        <v>-31606</v>
      </c>
      <c r="F5463" s="3" t="s">
        <v>124</v>
      </c>
      <c r="G5463" s="3" t="s">
        <v>65</v>
      </c>
      <c r="H5463" s="2" t="s">
        <v>20</v>
      </c>
      <c r="I5463" s="2" t="s">
        <v>11393</v>
      </c>
      <c r="J5463" s="3" t="str">
        <f>HYPERLINK("https://www.boe.es/gazeta/dias/1813/06/18/pdfs/GMR-1813-7.pdf#page=1","Abrir facsímil")</f>
        <v>Abrir facsímil</v>
      </c>
      <c r="K5463" s="3" t="s">
        <v>22</v>
      </c>
    </row>
    <row r="5464" spans="1:11" ht="42" customHeight="1">
      <c r="A5464" s="2" t="s">
        <v>11388</v>
      </c>
      <c r="B5464" s="2" t="s">
        <v>11388</v>
      </c>
      <c r="C5464" s="2" t="s">
        <v>16</v>
      </c>
      <c r="D5464" s="2" t="s">
        <v>17</v>
      </c>
      <c r="E5464" s="5">
        <v>-31418</v>
      </c>
      <c r="F5464" s="3" t="s">
        <v>1529</v>
      </c>
      <c r="G5464" s="3" t="s">
        <v>19</v>
      </c>
      <c r="H5464" s="2" t="s">
        <v>20</v>
      </c>
      <c r="I5464" s="2" t="s">
        <v>11394</v>
      </c>
      <c r="J5464" s="3" t="str">
        <f>HYPERLINK("https://www.boe.es/gazeta/dias/1813/12/23/pdfs/GMR-1813-91.pdf#page=4","Abrir facsímil")</f>
        <v>Abrir facsímil</v>
      </c>
      <c r="K5464" s="3" t="s">
        <v>22</v>
      </c>
    </row>
    <row r="5465" spans="1:11" ht="42" customHeight="1">
      <c r="A5465" s="2" t="s">
        <v>11395</v>
      </c>
      <c r="B5465" s="2" t="s">
        <v>11396</v>
      </c>
      <c r="C5465" s="2" t="s">
        <v>25</v>
      </c>
      <c r="D5465" s="2" t="s">
        <v>26</v>
      </c>
      <c r="E5465" s="5">
        <v>-31662</v>
      </c>
      <c r="F5465" s="3" t="s">
        <v>8038</v>
      </c>
      <c r="G5465" s="3" t="s">
        <v>65</v>
      </c>
      <c r="H5465" s="2" t="s">
        <v>20</v>
      </c>
      <c r="I5465" s="2" t="s">
        <v>11397</v>
      </c>
      <c r="J5465" s="3" t="str">
        <f>HYPERLINK("https://www.boe.es/gazeta/dias/1813/04/23/pdfs/GMD-1813-113.pdf#page=1","Abrir facsímil")</f>
        <v>Abrir facsímil</v>
      </c>
      <c r="K5465" s="3" t="s">
        <v>22</v>
      </c>
    </row>
    <row r="5466" spans="1:11" ht="42" customHeight="1">
      <c r="A5466" s="2" t="s">
        <v>11398</v>
      </c>
      <c r="B5466" s="2" t="s">
        <v>11399</v>
      </c>
      <c r="C5466" s="2" t="s">
        <v>16</v>
      </c>
      <c r="D5466" s="2" t="s">
        <v>17</v>
      </c>
      <c r="E5466" s="5">
        <v>-31537</v>
      </c>
      <c r="F5466" s="3" t="s">
        <v>138</v>
      </c>
      <c r="G5466" s="3" t="s">
        <v>54</v>
      </c>
      <c r="H5466" s="2" t="s">
        <v>29</v>
      </c>
      <c r="I5466" s="2" t="s">
        <v>11400</v>
      </c>
      <c r="J5466" s="3" t="str">
        <f>HYPERLINK("https://www.boe.es/gazeta/dias/1813/08/26/pdfs/GMR-1813-33.pdf#page=3","Abrir facsímil")</f>
        <v>Abrir facsímil</v>
      </c>
      <c r="K5466" s="3" t="s">
        <v>31</v>
      </c>
    </row>
    <row r="5467" spans="1:11" ht="42" customHeight="1">
      <c r="A5467" s="2" t="s">
        <v>11401</v>
      </c>
      <c r="B5467" s="2" t="s">
        <v>11402</v>
      </c>
      <c r="C5467" s="2" t="s">
        <v>16</v>
      </c>
      <c r="D5467" s="2" t="s">
        <v>17</v>
      </c>
      <c r="E5467" s="5">
        <v>-31690</v>
      </c>
      <c r="F5467" s="3" t="s">
        <v>2575</v>
      </c>
      <c r="G5467" s="3" t="s">
        <v>58</v>
      </c>
      <c r="H5467" s="2" t="s">
        <v>29</v>
      </c>
      <c r="I5467" s="2" t="s">
        <v>11403</v>
      </c>
      <c r="J5467" s="3" t="str">
        <f>HYPERLINK("https://www.boe.es/gazeta/dias/1813/03/26/pdfs/GMD-1813-85.pdf#page=2","Abrir facsímil")</f>
        <v>Abrir facsímil</v>
      </c>
      <c r="K5467" s="3" t="s">
        <v>31</v>
      </c>
    </row>
    <row r="5468" spans="1:11" ht="42" customHeight="1">
      <c r="A5468" s="2" t="s">
        <v>11404</v>
      </c>
      <c r="B5468" s="2" t="s">
        <v>11405</v>
      </c>
      <c r="C5468" s="2" t="s">
        <v>25</v>
      </c>
      <c r="D5468" s="2" t="s">
        <v>26</v>
      </c>
      <c r="E5468" s="5">
        <v>-31660</v>
      </c>
      <c r="F5468" s="3" t="s">
        <v>1632</v>
      </c>
      <c r="G5468" s="3" t="s">
        <v>65</v>
      </c>
      <c r="H5468" s="2" t="s">
        <v>29</v>
      </c>
      <c r="I5468" s="2" t="s">
        <v>11406</v>
      </c>
      <c r="J5468" s="3" t="str">
        <f>HYPERLINK("https://www.boe.es/gazeta/dias/1813/04/25/pdfs/GMD-1813-115.pdf#page=1","Abrir facsímil")</f>
        <v>Abrir facsímil</v>
      </c>
      <c r="K5468" s="3" t="s">
        <v>31</v>
      </c>
    </row>
    <row r="5469" spans="1:11" ht="42" customHeight="1">
      <c r="A5469" s="2" t="s">
        <v>11407</v>
      </c>
      <c r="B5469" s="2" t="s">
        <v>11408</v>
      </c>
      <c r="C5469" s="2" t="s">
        <v>34</v>
      </c>
      <c r="D5469" s="2" t="s">
        <v>35</v>
      </c>
      <c r="E5469" s="5">
        <v>-31674</v>
      </c>
      <c r="F5469" s="3" t="s">
        <v>2773</v>
      </c>
      <c r="G5469" s="3" t="s">
        <v>58</v>
      </c>
      <c r="H5469" s="2" t="s">
        <v>20</v>
      </c>
      <c r="I5469" s="2" t="s">
        <v>11409</v>
      </c>
      <c r="J5469" s="3" t="str">
        <f>HYPERLINK("https://www.boe.es/gazeta/dias/1813/04/11/pdfs/GMD-1813-101.pdf#page=2","Abrir facsímil")</f>
        <v>Abrir facsímil</v>
      </c>
      <c r="K5469" s="3" t="s">
        <v>22</v>
      </c>
    </row>
    <row r="5470" spans="1:11" ht="42" customHeight="1">
      <c r="A5470" s="2" t="s">
        <v>11410</v>
      </c>
      <c r="B5470" s="2" t="s">
        <v>11411</v>
      </c>
      <c r="C5470" s="2" t="s">
        <v>34</v>
      </c>
      <c r="D5470" s="2" t="s">
        <v>35</v>
      </c>
      <c r="E5470" s="5">
        <v>-31425</v>
      </c>
      <c r="F5470" s="3" t="s">
        <v>1669</v>
      </c>
      <c r="G5470" s="3" t="s">
        <v>54</v>
      </c>
      <c r="H5470" s="2" t="s">
        <v>29</v>
      </c>
      <c r="I5470" s="2" t="s">
        <v>11412</v>
      </c>
      <c r="J5470" s="3" t="str">
        <f>HYPERLINK("https://www.boe.es/gazeta/dias/1813/12/16/pdfs/GRE-1813-165.pdf#page=3","Abrir facsímil")</f>
        <v>Abrir facsímil</v>
      </c>
      <c r="K5470" s="3" t="s">
        <v>31</v>
      </c>
    </row>
    <row r="5471" spans="1:11" ht="42" customHeight="1">
      <c r="A5471" s="2" t="s">
        <v>11413</v>
      </c>
      <c r="B5471" s="2" t="s">
        <v>11414</v>
      </c>
      <c r="C5471" s="2" t="s">
        <v>34</v>
      </c>
      <c r="D5471" s="2" t="s">
        <v>35</v>
      </c>
      <c r="E5471" s="5">
        <v>-31430</v>
      </c>
      <c r="F5471" s="3" t="s">
        <v>1161</v>
      </c>
      <c r="G5471" s="3" t="s">
        <v>9579</v>
      </c>
      <c r="H5471" s="2" t="s">
        <v>29</v>
      </c>
      <c r="I5471" s="2" t="s">
        <v>11415</v>
      </c>
      <c r="J5471" s="3" t="str">
        <f>HYPERLINK("https://www.boe.es/gazeta/dias/1813/12/11/pdfs/GMR-1813-86.pdf#page=5","Abrir facsímil")</f>
        <v>Abrir facsímil</v>
      </c>
      <c r="K5471" s="3" t="s">
        <v>31</v>
      </c>
    </row>
    <row r="5472" spans="1:11" ht="42" customHeight="1">
      <c r="A5472" s="2" t="s">
        <v>11416</v>
      </c>
      <c r="B5472" s="2" t="s">
        <v>11417</v>
      </c>
      <c r="C5472" s="2" t="s">
        <v>16</v>
      </c>
      <c r="D5472" s="2" t="s">
        <v>17</v>
      </c>
      <c r="E5472" s="5">
        <v>-31516</v>
      </c>
      <c r="F5472" s="3" t="s">
        <v>246</v>
      </c>
      <c r="G5472" s="3" t="s">
        <v>58</v>
      </c>
      <c r="H5472" s="2" t="s">
        <v>29</v>
      </c>
      <c r="I5472" s="2" t="s">
        <v>11418</v>
      </c>
      <c r="J5472" s="3" t="str">
        <f>HYPERLINK("https://www.boe.es/gazeta/dias/1813/09/16/pdfs/GMR-1813-43.pdf#page=2","Abrir facsímil")</f>
        <v>Abrir facsímil</v>
      </c>
      <c r="K5472" s="3" t="s">
        <v>31</v>
      </c>
    </row>
    <row r="5473" spans="1:11" ht="42" customHeight="1">
      <c r="A5473" s="2" t="s">
        <v>11419</v>
      </c>
      <c r="B5473" s="2" t="s">
        <v>11419</v>
      </c>
      <c r="C5473" s="2" t="s">
        <v>109</v>
      </c>
      <c r="D5473" s="2" t="s">
        <v>26</v>
      </c>
      <c r="E5473" s="5">
        <v>-31743</v>
      </c>
      <c r="F5473" s="3" t="s">
        <v>2711</v>
      </c>
      <c r="G5473" s="3" t="s">
        <v>54</v>
      </c>
      <c r="H5473" s="2" t="s">
        <v>20</v>
      </c>
      <c r="I5473" s="2" t="s">
        <v>11420</v>
      </c>
      <c r="J5473" s="3" t="str">
        <f>HYPERLINK("https://www.boe.es/gazeta/dias/1813/02/01/pdfs/GMD-1813-32.pdf#page=3","Abrir facsímil")</f>
        <v>Abrir facsímil</v>
      </c>
      <c r="K5473" s="3" t="s">
        <v>22</v>
      </c>
    </row>
    <row r="5474" spans="1:11" ht="42" customHeight="1">
      <c r="A5474" s="2" t="s">
        <v>11421</v>
      </c>
      <c r="B5474" s="2" t="s">
        <v>11421</v>
      </c>
      <c r="C5474" s="2" t="s">
        <v>16</v>
      </c>
      <c r="D5474" s="2" t="s">
        <v>17</v>
      </c>
      <c r="E5474" s="5">
        <v>-31630</v>
      </c>
      <c r="F5474" s="3" t="s">
        <v>1324</v>
      </c>
      <c r="G5474" s="3" t="s">
        <v>3155</v>
      </c>
      <c r="H5474" s="2" t="s">
        <v>20</v>
      </c>
      <c r="I5474" s="2" t="s">
        <v>11422</v>
      </c>
      <c r="J5474" s="3" t="str">
        <f>HYPERLINK("https://www.boe.es/gazeta/dias/1813/05/25/pdfs/GRE-1813-64.pdf#page=8","Abrir facsímil")</f>
        <v>Abrir facsímil</v>
      </c>
      <c r="K5474" s="3" t="s">
        <v>22</v>
      </c>
    </row>
    <row r="5475" spans="1:11" ht="42" customHeight="1">
      <c r="A5475" s="2" t="s">
        <v>11423</v>
      </c>
      <c r="B5475" s="2" t="s">
        <v>11424</v>
      </c>
      <c r="C5475" s="2" t="s">
        <v>25</v>
      </c>
      <c r="D5475" s="2" t="s">
        <v>26</v>
      </c>
      <c r="E5475" s="5">
        <v>-31745</v>
      </c>
      <c r="F5475" s="3" t="s">
        <v>445</v>
      </c>
      <c r="G5475" s="3" t="s">
        <v>28</v>
      </c>
      <c r="H5475" s="2" t="s">
        <v>20</v>
      </c>
      <c r="I5475" s="2" t="s">
        <v>11425</v>
      </c>
      <c r="J5475" s="3" t="str">
        <f>HYPERLINK("https://www.boe.es/gazeta/dias/1813/01/30/pdfs/GRE-1813-13.pdf#page=8","Abrir facsímil")</f>
        <v>Abrir facsímil</v>
      </c>
      <c r="K5475" s="3" t="s">
        <v>22</v>
      </c>
    </row>
    <row r="5476" spans="1:11" ht="42" customHeight="1">
      <c r="A5476" s="2" t="s">
        <v>11426</v>
      </c>
      <c r="B5476" s="2" t="s">
        <v>11427</v>
      </c>
      <c r="C5476" s="2" t="s">
        <v>34</v>
      </c>
      <c r="D5476" s="2" t="s">
        <v>35</v>
      </c>
      <c r="E5476" s="5">
        <v>-31518</v>
      </c>
      <c r="F5476" s="3" t="s">
        <v>155</v>
      </c>
      <c r="G5476" s="3" t="s">
        <v>82</v>
      </c>
      <c r="H5476" s="2" t="s">
        <v>20</v>
      </c>
      <c r="I5476" s="2" t="s">
        <v>11428</v>
      </c>
      <c r="J5476" s="3" t="str">
        <f>HYPERLINK("https://www.boe.es/gazeta/dias/1813/09/14/pdfs/GRE-1813-119.pdf#page=5","Abrir facsímil")</f>
        <v>Abrir facsímil</v>
      </c>
      <c r="K5476" s="3" t="s">
        <v>22</v>
      </c>
    </row>
    <row r="5477" spans="1:11" ht="42" customHeight="1">
      <c r="A5477" s="2" t="s">
        <v>11429</v>
      </c>
      <c r="B5477" s="2" t="s">
        <v>11429</v>
      </c>
      <c r="C5477" s="2" t="s">
        <v>16</v>
      </c>
      <c r="D5477" s="2" t="s">
        <v>17</v>
      </c>
      <c r="E5477" s="5">
        <v>-31474</v>
      </c>
      <c r="F5477" s="3" t="s">
        <v>130</v>
      </c>
      <c r="G5477" s="3" t="s">
        <v>54</v>
      </c>
      <c r="H5477" s="2" t="s">
        <v>20</v>
      </c>
      <c r="I5477" s="2" t="s">
        <v>11430</v>
      </c>
      <c r="J5477" s="3" t="str">
        <f>HYPERLINK("https://www.boe.es/gazeta/dias/1813/10/28/pdfs/GRE-1813-141.pdf#page=3","Abrir facsímil")</f>
        <v>Abrir facsímil</v>
      </c>
      <c r="K5477" s="3" t="s">
        <v>22</v>
      </c>
    </row>
    <row r="5478" spans="1:11" ht="42" customHeight="1">
      <c r="A5478" s="2" t="s">
        <v>11431</v>
      </c>
      <c r="B5478" s="2" t="s">
        <v>11432</v>
      </c>
      <c r="C5478" s="2" t="s">
        <v>34</v>
      </c>
      <c r="D5478" s="2" t="s">
        <v>35</v>
      </c>
      <c r="E5478" s="5">
        <v>-31637</v>
      </c>
      <c r="F5478" s="3" t="s">
        <v>855</v>
      </c>
      <c r="G5478" s="3" t="s">
        <v>19</v>
      </c>
      <c r="H5478" s="2" t="s">
        <v>20</v>
      </c>
      <c r="I5478" s="2" t="s">
        <v>11433</v>
      </c>
      <c r="J5478" s="3" t="str">
        <f>HYPERLINK("https://www.boe.es/gazeta/dias/1813/05/18/pdfs/GMD-1813-138.pdf#page=4","Abrir facsímil")</f>
        <v>Abrir facsímil</v>
      </c>
      <c r="K5478" s="3" t="s">
        <v>22</v>
      </c>
    </row>
    <row r="5479" spans="1:11" ht="42" customHeight="1">
      <c r="A5479" s="2" t="s">
        <v>11434</v>
      </c>
      <c r="B5479" s="2" t="s">
        <v>11434</v>
      </c>
      <c r="C5479" s="2" t="s">
        <v>16</v>
      </c>
      <c r="D5479" s="2" t="s">
        <v>17</v>
      </c>
      <c r="E5479" s="5">
        <v>-31759</v>
      </c>
      <c r="F5479" s="3" t="s">
        <v>419</v>
      </c>
      <c r="G5479" s="3" t="s">
        <v>3485</v>
      </c>
      <c r="H5479" s="2" t="s">
        <v>20</v>
      </c>
      <c r="I5479" s="2" t="s">
        <v>11435</v>
      </c>
      <c r="J5479" s="3" t="str">
        <f>HYPERLINK("https://www.boe.es/gazeta/dias/1813/01/16/pdfs/GRE-1813-7.pdf#page=6","Abrir facsímil")</f>
        <v>Abrir facsímil</v>
      </c>
      <c r="K5479" s="3" t="s">
        <v>22</v>
      </c>
    </row>
    <row r="5480" spans="1:11" ht="42" customHeight="1">
      <c r="A5480" s="2" t="s">
        <v>11436</v>
      </c>
      <c r="B5480" s="2" t="s">
        <v>11437</v>
      </c>
      <c r="C5480" s="2" t="s">
        <v>16</v>
      </c>
      <c r="D5480" s="2" t="s">
        <v>17</v>
      </c>
      <c r="E5480" s="5">
        <v>-31759</v>
      </c>
      <c r="F5480" s="3" t="s">
        <v>419</v>
      </c>
      <c r="G5480" s="3" t="s">
        <v>3485</v>
      </c>
      <c r="H5480" s="2" t="s">
        <v>20</v>
      </c>
      <c r="I5480" s="2" t="s">
        <v>11438</v>
      </c>
      <c r="J5480" s="3" t="str">
        <f>HYPERLINK("https://www.boe.es/gazeta/dias/1813/01/16/pdfs/GRE-1813-7.pdf#page=6","Abrir facsímil")</f>
        <v>Abrir facsímil</v>
      </c>
      <c r="K5480" s="3" t="s">
        <v>22</v>
      </c>
    </row>
    <row r="5481" spans="1:11" ht="42" customHeight="1">
      <c r="A5481" s="2" t="s">
        <v>11439</v>
      </c>
      <c r="B5481" s="2" t="s">
        <v>11439</v>
      </c>
      <c r="C5481" s="2" t="s">
        <v>16</v>
      </c>
      <c r="D5481" s="2" t="s">
        <v>17</v>
      </c>
      <c r="E5481" s="5">
        <v>-31598</v>
      </c>
      <c r="F5481" s="3" t="s">
        <v>286</v>
      </c>
      <c r="G5481" s="3" t="s">
        <v>19</v>
      </c>
      <c r="H5481" s="2" t="s">
        <v>20</v>
      </c>
      <c r="I5481" s="2" t="s">
        <v>11440</v>
      </c>
      <c r="J5481" s="3" t="str">
        <f>HYPERLINK("https://www.boe.es/gazeta/dias/1813/06/26/pdfs/GRE-1813-79.pdf#page=4","Abrir facsímil")</f>
        <v>Abrir facsímil</v>
      </c>
      <c r="K5481" s="3" t="s">
        <v>22</v>
      </c>
    </row>
    <row r="5482" spans="1:11" ht="42" customHeight="1">
      <c r="A5482" s="2" t="s">
        <v>11441</v>
      </c>
      <c r="B5482" s="2" t="s">
        <v>11441</v>
      </c>
      <c r="C5482" s="2" t="s">
        <v>34</v>
      </c>
      <c r="D5482" s="2" t="s">
        <v>35</v>
      </c>
      <c r="E5482" s="5">
        <v>-31648</v>
      </c>
      <c r="F5482" s="3" t="s">
        <v>3263</v>
      </c>
      <c r="G5482" s="3" t="s">
        <v>58</v>
      </c>
      <c r="H5482" s="2" t="s">
        <v>20</v>
      </c>
      <c r="I5482" s="2" t="s">
        <v>11442</v>
      </c>
      <c r="J5482" s="3" t="str">
        <f>HYPERLINK("https://www.boe.es/gazeta/dias/1813/05/07/pdfs/GMD-1813-127.pdf#page=2","Abrir facsímil")</f>
        <v>Abrir facsímil</v>
      </c>
      <c r="K5482" s="3" t="s">
        <v>22</v>
      </c>
    </row>
    <row r="5483" spans="1:11" ht="42" customHeight="1">
      <c r="A5483" s="2" t="s">
        <v>11443</v>
      </c>
      <c r="B5483" s="2" t="s">
        <v>11443</v>
      </c>
      <c r="C5483" s="2" t="s">
        <v>16</v>
      </c>
      <c r="D5483" s="2" t="s">
        <v>17</v>
      </c>
      <c r="E5483" s="5">
        <v>-31595</v>
      </c>
      <c r="F5483" s="3" t="s">
        <v>70</v>
      </c>
      <c r="G5483" s="3" t="s">
        <v>95</v>
      </c>
      <c r="H5483" s="2" t="s">
        <v>20</v>
      </c>
      <c r="I5483" s="2" t="s">
        <v>11444</v>
      </c>
      <c r="J5483" s="3" t="str">
        <f>HYPERLINK("https://www.boe.es/gazeta/dias/1813/06/29/pdfs/GMR-1813-13.pdf#page=6","Abrir facsímil")</f>
        <v>Abrir facsímil</v>
      </c>
      <c r="K5483" s="3" t="s">
        <v>22</v>
      </c>
    </row>
    <row r="5484" spans="1:11" ht="42" customHeight="1">
      <c r="A5484" s="2" t="s">
        <v>11445</v>
      </c>
      <c r="B5484" s="2" t="s">
        <v>11445</v>
      </c>
      <c r="C5484" s="2" t="s">
        <v>16</v>
      </c>
      <c r="D5484" s="2" t="s">
        <v>17</v>
      </c>
      <c r="E5484" s="5">
        <v>-31656</v>
      </c>
      <c r="F5484" s="3" t="s">
        <v>576</v>
      </c>
      <c r="G5484" s="3" t="s">
        <v>631</v>
      </c>
      <c r="H5484" s="2" t="s">
        <v>20</v>
      </c>
      <c r="I5484" s="2" t="s">
        <v>11446</v>
      </c>
      <c r="J5484" s="3" t="str">
        <f>HYPERLINK("https://www.boe.es/gazeta/dias/1813/04/29/pdfs/GRE-1813-53.pdf#page=5","Abrir facsímil")</f>
        <v>Abrir facsímil</v>
      </c>
      <c r="K5484" s="3" t="s">
        <v>22</v>
      </c>
    </row>
    <row r="5485" spans="1:11" ht="42" customHeight="1">
      <c r="A5485" s="2" t="s">
        <v>11447</v>
      </c>
      <c r="B5485" s="2" t="s">
        <v>11448</v>
      </c>
      <c r="C5485" s="2" t="s">
        <v>16</v>
      </c>
      <c r="D5485" s="2" t="s">
        <v>17</v>
      </c>
      <c r="E5485" s="5">
        <v>-31745</v>
      </c>
      <c r="F5485" s="3" t="s">
        <v>445</v>
      </c>
      <c r="G5485" s="3" t="s">
        <v>28</v>
      </c>
      <c r="H5485" s="2" t="s">
        <v>20</v>
      </c>
      <c r="I5485" s="2" t="s">
        <v>11449</v>
      </c>
      <c r="J5485" s="3" t="str">
        <f>HYPERLINK("https://www.boe.es/gazeta/dias/1813/01/30/pdfs/GRE-1813-13.pdf#page=8","Abrir facsímil")</f>
        <v>Abrir facsímil</v>
      </c>
      <c r="K5485" s="3" t="s">
        <v>22</v>
      </c>
    </row>
    <row r="5486" spans="1:11" ht="42" customHeight="1">
      <c r="A5486" s="2" t="s">
        <v>11450</v>
      </c>
      <c r="B5486" s="2" t="s">
        <v>11451</v>
      </c>
      <c r="C5486" s="2" t="s">
        <v>25</v>
      </c>
      <c r="D5486" s="2" t="s">
        <v>26</v>
      </c>
      <c r="E5486" s="5">
        <v>-31745</v>
      </c>
      <c r="F5486" s="3" t="s">
        <v>445</v>
      </c>
      <c r="G5486" s="3" t="s">
        <v>28</v>
      </c>
      <c r="H5486" s="2" t="s">
        <v>20</v>
      </c>
      <c r="I5486" s="2" t="s">
        <v>11452</v>
      </c>
      <c r="J5486" s="3" t="str">
        <f>HYPERLINK("https://www.boe.es/gazeta/dias/1813/01/30/pdfs/GRE-1813-13.pdf#page=8","Abrir facsímil")</f>
        <v>Abrir facsímil</v>
      </c>
      <c r="K5486" s="3" t="s">
        <v>22</v>
      </c>
    </row>
    <row r="5487" spans="1:11" ht="42" customHeight="1">
      <c r="A5487" s="2" t="s">
        <v>11453</v>
      </c>
      <c r="B5487" s="2" t="s">
        <v>11453</v>
      </c>
      <c r="C5487" s="2" t="s">
        <v>16</v>
      </c>
      <c r="D5487" s="2" t="s">
        <v>17</v>
      </c>
      <c r="E5487" s="5">
        <v>-31759</v>
      </c>
      <c r="F5487" s="3" t="s">
        <v>621</v>
      </c>
      <c r="G5487" s="3" t="s">
        <v>622</v>
      </c>
      <c r="H5487" s="2" t="s">
        <v>20</v>
      </c>
      <c r="I5487" s="2" t="s">
        <v>11454</v>
      </c>
      <c r="J5487" s="3" t="str">
        <f>HYPERLINK("https://www.boe.es/gazeta/dias/1813/01/16/pdfs/GMD-1813-16.pdf#page=3","Abrir facsímil")</f>
        <v>Abrir facsímil</v>
      </c>
      <c r="K5487" s="3" t="s">
        <v>22</v>
      </c>
    </row>
    <row r="5488" spans="1:11" ht="42" customHeight="1">
      <c r="A5488" s="2" t="s">
        <v>11455</v>
      </c>
      <c r="B5488" s="2" t="s">
        <v>11456</v>
      </c>
      <c r="C5488" s="2" t="s">
        <v>25</v>
      </c>
      <c r="D5488" s="2" t="s">
        <v>26</v>
      </c>
      <c r="E5488" s="5">
        <v>-31481</v>
      </c>
      <c r="F5488" s="3" t="s">
        <v>40</v>
      </c>
      <c r="G5488" s="3" t="s">
        <v>28</v>
      </c>
      <c r="H5488" s="2" t="s">
        <v>20</v>
      </c>
      <c r="I5488" s="2" t="s">
        <v>11457</v>
      </c>
      <c r="J5488" s="3" t="str">
        <f>HYPERLINK("https://www.boe.es/gazeta/dias/1813/10/21/pdfs/GMR-1813-62.pdf#page=8","Abrir facsímil")</f>
        <v>Abrir facsímil</v>
      </c>
      <c r="K5488" s="3" t="s">
        <v>22</v>
      </c>
    </row>
    <row r="5489" spans="1:11" ht="42" customHeight="1">
      <c r="A5489" s="2" t="s">
        <v>11458</v>
      </c>
      <c r="B5489" s="2" t="s">
        <v>11459</v>
      </c>
      <c r="C5489" s="2" t="s">
        <v>16</v>
      </c>
      <c r="D5489" s="2" t="s">
        <v>17</v>
      </c>
      <c r="E5489" s="5">
        <v>-31521</v>
      </c>
      <c r="F5489" s="3" t="s">
        <v>1282</v>
      </c>
      <c r="G5489" s="3" t="s">
        <v>87</v>
      </c>
      <c r="H5489" s="2" t="s">
        <v>20</v>
      </c>
      <c r="I5489" s="2" t="s">
        <v>11460</v>
      </c>
      <c r="J5489" s="3" t="str">
        <f>HYPERLINK("https://www.boe.es/gazeta/dias/1813/09/11/pdfs/GMR-1813-41.pdf#page=7","Abrir facsímil")</f>
        <v>Abrir facsímil</v>
      </c>
      <c r="K5489" s="3" t="s">
        <v>22</v>
      </c>
    </row>
    <row r="5490" spans="1:11" ht="42" customHeight="1">
      <c r="A5490" s="2" t="s">
        <v>11461</v>
      </c>
      <c r="B5490" s="2" t="s">
        <v>11462</v>
      </c>
      <c r="C5490" s="2" t="s">
        <v>16</v>
      </c>
      <c r="D5490" s="2" t="s">
        <v>17</v>
      </c>
      <c r="E5490" s="5">
        <v>-31602</v>
      </c>
      <c r="F5490" s="3" t="s">
        <v>2117</v>
      </c>
      <c r="G5490" s="3" t="s">
        <v>178</v>
      </c>
      <c r="H5490" s="2" t="s">
        <v>20</v>
      </c>
      <c r="I5490" s="2" t="s">
        <v>11463</v>
      </c>
      <c r="J5490" s="3" t="str">
        <f>HYPERLINK("https://www.boe.es/gazeta/dias/1813/06/22/pdfs/GMR-1813-9.pdf#page=11","Abrir facsímil")</f>
        <v>Abrir facsímil</v>
      </c>
      <c r="K5490" s="3" t="s">
        <v>22</v>
      </c>
    </row>
    <row r="5491" spans="1:11" ht="42" customHeight="1">
      <c r="A5491" s="2" t="s">
        <v>11464</v>
      </c>
      <c r="B5491" s="2" t="s">
        <v>11465</v>
      </c>
      <c r="C5491" s="2" t="s">
        <v>34</v>
      </c>
      <c r="D5491" s="2" t="s">
        <v>35</v>
      </c>
      <c r="E5491" s="5">
        <v>-31709</v>
      </c>
      <c r="F5491" s="3" t="s">
        <v>36</v>
      </c>
      <c r="G5491" s="3" t="s">
        <v>303</v>
      </c>
      <c r="H5491" s="2" t="s">
        <v>20</v>
      </c>
      <c r="I5491" s="2" t="s">
        <v>11466</v>
      </c>
      <c r="J5491" s="3" t="str">
        <f>HYPERLINK("https://www.boe.es/gazeta/dias/1813/03/07/pdfs/GMD-1813-66.pdf#page=3","Abrir facsímil")</f>
        <v>Abrir facsímil</v>
      </c>
      <c r="K5491" s="3" t="s">
        <v>22</v>
      </c>
    </row>
    <row r="5492" spans="1:11" ht="42" customHeight="1">
      <c r="A5492" s="2" t="s">
        <v>11467</v>
      </c>
      <c r="B5492" s="2" t="s">
        <v>11468</v>
      </c>
      <c r="C5492" s="2" t="s">
        <v>25</v>
      </c>
      <c r="D5492" s="2" t="s">
        <v>26</v>
      </c>
      <c r="E5492" s="5">
        <v>-31745</v>
      </c>
      <c r="F5492" s="3" t="s">
        <v>445</v>
      </c>
      <c r="G5492" s="3" t="s">
        <v>28</v>
      </c>
      <c r="H5492" s="2" t="s">
        <v>20</v>
      </c>
      <c r="I5492" s="2" t="s">
        <v>11469</v>
      </c>
      <c r="J5492" s="3" t="str">
        <f>HYPERLINK("https://www.boe.es/gazeta/dias/1813/01/30/pdfs/GRE-1813-13.pdf#page=8","Abrir facsímil")</f>
        <v>Abrir facsímil</v>
      </c>
      <c r="K5492" s="3" t="s">
        <v>22</v>
      </c>
    </row>
    <row r="5493" spans="1:11" ht="42" customHeight="1">
      <c r="A5493" s="2" t="s">
        <v>11470</v>
      </c>
      <c r="B5493" s="2" t="s">
        <v>11470</v>
      </c>
      <c r="C5493" s="2" t="s">
        <v>25</v>
      </c>
      <c r="D5493" s="2" t="s">
        <v>26</v>
      </c>
      <c r="E5493" s="5">
        <v>-31637</v>
      </c>
      <c r="F5493" s="3" t="s">
        <v>855</v>
      </c>
      <c r="G5493" s="3" t="s">
        <v>65</v>
      </c>
      <c r="H5493" s="2" t="s">
        <v>20</v>
      </c>
      <c r="I5493" s="2" t="s">
        <v>11471</v>
      </c>
      <c r="J5493" s="3" t="str">
        <f>HYPERLINK("https://www.boe.es/gazeta/dias/1813/05/18/pdfs/GMD-1813-138.pdf#page=1","Abrir facsímil")</f>
        <v>Abrir facsímil</v>
      </c>
      <c r="K5493" s="3" t="s">
        <v>22</v>
      </c>
    </row>
    <row r="5494" spans="1:11" ht="42" customHeight="1">
      <c r="A5494" s="2" t="s">
        <v>11472</v>
      </c>
      <c r="B5494" s="2" t="s">
        <v>11472</v>
      </c>
      <c r="C5494" s="2" t="s">
        <v>16</v>
      </c>
      <c r="D5494" s="2" t="s">
        <v>17</v>
      </c>
      <c r="E5494" s="5">
        <v>-31425</v>
      </c>
      <c r="F5494" s="3" t="s">
        <v>1955</v>
      </c>
      <c r="G5494" s="3" t="s">
        <v>82</v>
      </c>
      <c r="H5494" s="2" t="s">
        <v>20</v>
      </c>
      <c r="I5494" s="2" t="s">
        <v>11473</v>
      </c>
      <c r="J5494" s="3" t="str">
        <f>HYPERLINK("https://www.boe.es/gazeta/dias/1813/12/16/pdfs/GMR-1813-88.pdf#page=5","Abrir facsímil")</f>
        <v>Abrir facsímil</v>
      </c>
      <c r="K5494" s="3" t="s">
        <v>22</v>
      </c>
    </row>
    <row r="5495" spans="1:11" ht="42" customHeight="1">
      <c r="A5495" s="2" t="s">
        <v>11472</v>
      </c>
      <c r="B5495" s="2" t="s">
        <v>11472</v>
      </c>
      <c r="C5495" s="2" t="s">
        <v>16</v>
      </c>
      <c r="D5495" s="2" t="s">
        <v>17</v>
      </c>
      <c r="E5495" s="5">
        <v>-31411</v>
      </c>
      <c r="F5495" s="3" t="s">
        <v>3702</v>
      </c>
      <c r="G5495" s="3" t="s">
        <v>19</v>
      </c>
      <c r="H5495" s="2" t="s">
        <v>20</v>
      </c>
      <c r="I5495" s="2" t="s">
        <v>11474</v>
      </c>
      <c r="J5495" s="3" t="str">
        <f>HYPERLINK("https://www.boe.es/gazeta/dias/1813/12/30/pdfs/GRE-1813-171.pdf#page=4","Abrir facsímil")</f>
        <v>Abrir facsímil</v>
      </c>
      <c r="K5495" s="3" t="s">
        <v>22</v>
      </c>
    </row>
    <row r="5496" spans="1:11" ht="42" customHeight="1">
      <c r="A5496" s="2" t="s">
        <v>11475</v>
      </c>
      <c r="B5496" s="2" t="s">
        <v>11476</v>
      </c>
      <c r="C5496" s="2" t="s">
        <v>16</v>
      </c>
      <c r="D5496" s="2" t="s">
        <v>17</v>
      </c>
      <c r="E5496" s="5">
        <v>-31679</v>
      </c>
      <c r="F5496" s="3" t="s">
        <v>571</v>
      </c>
      <c r="G5496" s="3" t="s">
        <v>2884</v>
      </c>
      <c r="H5496" s="2" t="s">
        <v>20</v>
      </c>
      <c r="I5496" s="2" t="s">
        <v>11477</v>
      </c>
      <c r="J5496" s="3" t="str">
        <f>HYPERLINK("https://www.boe.es/gazeta/dias/1813/04/06/pdfs/GRE-1813-42.pdf#page=7","Abrir facsímil")</f>
        <v>Abrir facsímil</v>
      </c>
      <c r="K5496" s="3" t="s">
        <v>22</v>
      </c>
    </row>
    <row r="5497" spans="1:11" ht="42" customHeight="1">
      <c r="A5497" s="2" t="s">
        <v>11478</v>
      </c>
      <c r="B5497" s="2" t="s">
        <v>11478</v>
      </c>
      <c r="C5497" s="2" t="s">
        <v>16</v>
      </c>
      <c r="D5497" s="2" t="s">
        <v>17</v>
      </c>
      <c r="E5497" s="5">
        <v>-31679</v>
      </c>
      <c r="F5497" s="3" t="s">
        <v>571</v>
      </c>
      <c r="G5497" s="3" t="s">
        <v>2884</v>
      </c>
      <c r="H5497" s="2" t="s">
        <v>20</v>
      </c>
      <c r="I5497" s="2" t="s">
        <v>11479</v>
      </c>
      <c r="J5497" s="3" t="str">
        <f>HYPERLINK("https://www.boe.es/gazeta/dias/1813/04/06/pdfs/GRE-1813-42.pdf#page=7","Abrir facsímil")</f>
        <v>Abrir facsímil</v>
      </c>
      <c r="K5497" s="3" t="s">
        <v>22</v>
      </c>
    </row>
    <row r="5498" spans="1:11" ht="42" customHeight="1">
      <c r="A5498" s="2" t="s">
        <v>11480</v>
      </c>
      <c r="B5498" s="2" t="s">
        <v>11481</v>
      </c>
      <c r="C5498" s="2" t="s">
        <v>16</v>
      </c>
      <c r="D5498" s="2" t="s">
        <v>17</v>
      </c>
      <c r="E5498" s="5">
        <v>-31558</v>
      </c>
      <c r="F5498" s="3" t="s">
        <v>1288</v>
      </c>
      <c r="G5498" s="3" t="s">
        <v>82</v>
      </c>
      <c r="H5498" s="2" t="s">
        <v>20</v>
      </c>
      <c r="I5498" s="2" t="s">
        <v>11482</v>
      </c>
      <c r="J5498" s="3" t="str">
        <f>HYPERLINK("https://www.boe.es/gazeta/dias/1813/08/05/pdfs/GMR-1813-24.pdf#page=5","Abrir facsímil")</f>
        <v>Abrir facsímil</v>
      </c>
      <c r="K5498" s="3" t="s">
        <v>22</v>
      </c>
    </row>
    <row r="5499" spans="1:11" ht="42" customHeight="1">
      <c r="A5499" s="2" t="s">
        <v>11483</v>
      </c>
      <c r="B5499" s="2" t="s">
        <v>11484</v>
      </c>
      <c r="C5499" s="2" t="s">
        <v>16</v>
      </c>
      <c r="D5499" s="2" t="s">
        <v>17</v>
      </c>
      <c r="E5499" s="5">
        <v>-31564</v>
      </c>
      <c r="F5499" s="3" t="s">
        <v>206</v>
      </c>
      <c r="G5499" s="3" t="s">
        <v>313</v>
      </c>
      <c r="H5499" s="2" t="s">
        <v>20</v>
      </c>
      <c r="I5499" s="2" t="s">
        <v>11485</v>
      </c>
      <c r="J5499" s="3" t="str">
        <f>HYPERLINK("https://www.boe.es/gazeta/dias/1813/07/30/pdfs/GMR-1813-22.pdf#page=9","Abrir facsímil")</f>
        <v>Abrir facsímil</v>
      </c>
      <c r="K5499" s="3" t="s">
        <v>22</v>
      </c>
    </row>
    <row r="5500" spans="1:11" ht="42" customHeight="1">
      <c r="A5500" s="2" t="s">
        <v>11486</v>
      </c>
      <c r="B5500" s="2" t="s">
        <v>11486</v>
      </c>
      <c r="C5500" s="2" t="s">
        <v>25</v>
      </c>
      <c r="D5500" s="2" t="s">
        <v>26</v>
      </c>
      <c r="E5500" s="5">
        <v>-31675</v>
      </c>
      <c r="F5500" s="3" t="s">
        <v>2552</v>
      </c>
      <c r="G5500" s="3" t="s">
        <v>58</v>
      </c>
      <c r="H5500" s="2" t="s">
        <v>20</v>
      </c>
      <c r="I5500" s="2" t="s">
        <v>11487</v>
      </c>
      <c r="J5500" s="3" t="str">
        <f>HYPERLINK("https://www.boe.es/gazeta/dias/1813/04/10/pdfs/GMD-1813-100.pdf#page=2","Abrir facsímil")</f>
        <v>Abrir facsímil</v>
      </c>
      <c r="K5500" s="3" t="s">
        <v>22</v>
      </c>
    </row>
    <row r="5501" spans="1:11" ht="42" customHeight="1">
      <c r="A5501" s="2" t="s">
        <v>11488</v>
      </c>
      <c r="B5501" s="2" t="s">
        <v>11488</v>
      </c>
      <c r="C5501" s="2" t="s">
        <v>16</v>
      </c>
      <c r="D5501" s="2" t="s">
        <v>17</v>
      </c>
      <c r="E5501" s="5">
        <v>-31772</v>
      </c>
      <c r="F5501" s="3" t="s">
        <v>709</v>
      </c>
      <c r="G5501" s="3" t="s">
        <v>87</v>
      </c>
      <c r="H5501" s="2" t="s">
        <v>20</v>
      </c>
      <c r="I5501" s="2" t="s">
        <v>11489</v>
      </c>
      <c r="J5501" s="3" t="str">
        <f>HYPERLINK("https://www.boe.es/gazeta/dias/1813/01/03/pdfs/GRE-1813-69.pdf#page=7","Abrir facsímil")</f>
        <v>Abrir facsímil</v>
      </c>
      <c r="K5501" s="3" t="s">
        <v>22</v>
      </c>
    </row>
    <row r="5502" spans="1:11" ht="42" customHeight="1">
      <c r="A5502" s="2" t="s">
        <v>11488</v>
      </c>
      <c r="B5502" s="2" t="s">
        <v>11488</v>
      </c>
      <c r="C5502" s="2" t="s">
        <v>16</v>
      </c>
      <c r="D5502" s="2" t="s">
        <v>17</v>
      </c>
      <c r="E5502" s="5">
        <v>-31772</v>
      </c>
      <c r="F5502" s="3" t="s">
        <v>709</v>
      </c>
      <c r="G5502" s="3" t="s">
        <v>28</v>
      </c>
      <c r="H5502" s="2" t="s">
        <v>20</v>
      </c>
      <c r="I5502" s="2" t="s">
        <v>11490</v>
      </c>
      <c r="J5502" s="3" t="str">
        <f>HYPERLINK("https://www.boe.es/gazeta/dias/1813/01/03/pdfs/GRE-1813-69.pdf#page=8","Abrir facsímil")</f>
        <v>Abrir facsímil</v>
      </c>
      <c r="K5502" s="3" t="s">
        <v>22</v>
      </c>
    </row>
    <row r="5503" spans="1:11" ht="42" customHeight="1">
      <c r="A5503" s="2" t="s">
        <v>11488</v>
      </c>
      <c r="B5503" s="2" t="s">
        <v>11488</v>
      </c>
      <c r="C5503" s="2" t="s">
        <v>16</v>
      </c>
      <c r="D5503" s="2" t="s">
        <v>17</v>
      </c>
      <c r="E5503" s="5">
        <v>-31621</v>
      </c>
      <c r="F5503" s="3" t="s">
        <v>709</v>
      </c>
      <c r="G5503" s="3" t="s">
        <v>87</v>
      </c>
      <c r="H5503" s="2" t="s">
        <v>20</v>
      </c>
      <c r="I5503" s="2" t="s">
        <v>11489</v>
      </c>
      <c r="J5503" s="3" t="str">
        <f>HYPERLINK("https://www.boe.es/gazeta/dias/1813/06/03/pdfs/GRE-1813-69.pdf#page=7","Abrir facsímil")</f>
        <v>Abrir facsímil</v>
      </c>
      <c r="K5503" s="3" t="s">
        <v>22</v>
      </c>
    </row>
    <row r="5504" spans="1:11" ht="42" customHeight="1">
      <c r="A5504" s="2" t="s">
        <v>11488</v>
      </c>
      <c r="B5504" s="2" t="s">
        <v>11488</v>
      </c>
      <c r="C5504" s="2" t="s">
        <v>16</v>
      </c>
      <c r="D5504" s="2" t="s">
        <v>17</v>
      </c>
      <c r="E5504" s="5">
        <v>-31621</v>
      </c>
      <c r="F5504" s="3" t="s">
        <v>709</v>
      </c>
      <c r="G5504" s="3" t="s">
        <v>28</v>
      </c>
      <c r="H5504" s="2" t="s">
        <v>20</v>
      </c>
      <c r="I5504" s="2" t="s">
        <v>11490</v>
      </c>
      <c r="J5504" s="3" t="str">
        <f>HYPERLINK("https://www.boe.es/gazeta/dias/1813/06/03/pdfs/GRE-1813-69.pdf#page=8","Abrir facsímil")</f>
        <v>Abrir facsímil</v>
      </c>
      <c r="K5504" s="3" t="s">
        <v>22</v>
      </c>
    </row>
    <row r="5505" spans="1:11" ht="42" customHeight="1">
      <c r="A5505" s="2" t="s">
        <v>11488</v>
      </c>
      <c r="B5505" s="2" t="s">
        <v>11488</v>
      </c>
      <c r="C5505" s="2" t="s">
        <v>16</v>
      </c>
      <c r="D5505" s="2" t="s">
        <v>17</v>
      </c>
      <c r="E5505" s="5">
        <v>-31609</v>
      </c>
      <c r="F5505" s="3" t="s">
        <v>711</v>
      </c>
      <c r="G5505" s="3" t="s">
        <v>87</v>
      </c>
      <c r="H5505" s="2" t="s">
        <v>20</v>
      </c>
      <c r="I5505" s="2" t="s">
        <v>11491</v>
      </c>
      <c r="J5505" s="3" t="str">
        <f>HYPERLINK("https://www.boe.es/gazeta/dias/1813/06/15/pdfs/GMR-1813-6.pdf#page=7","Abrir facsímil")</f>
        <v>Abrir facsímil</v>
      </c>
      <c r="K5505" s="3" t="s">
        <v>22</v>
      </c>
    </row>
    <row r="5506" spans="1:11" ht="42" customHeight="1">
      <c r="A5506" s="2" t="s">
        <v>11492</v>
      </c>
      <c r="B5506" s="2" t="s">
        <v>11493</v>
      </c>
      <c r="C5506" s="2" t="s">
        <v>16</v>
      </c>
      <c r="D5506" s="2" t="s">
        <v>17</v>
      </c>
      <c r="E5506" s="5">
        <v>-31703</v>
      </c>
      <c r="F5506" s="3" t="s">
        <v>4331</v>
      </c>
      <c r="G5506" s="3" t="s">
        <v>95</v>
      </c>
      <c r="H5506" s="2" t="s">
        <v>20</v>
      </c>
      <c r="I5506" s="2" t="s">
        <v>11494</v>
      </c>
      <c r="J5506" s="3" t="str">
        <f>HYPERLINK("https://www.boe.es/gazeta/dias/1813/03/13/pdfs/GRE-1813-32.pdf#page=6","Abrir facsímil")</f>
        <v>Abrir facsímil</v>
      </c>
      <c r="K5506" s="3" t="s">
        <v>22</v>
      </c>
    </row>
    <row r="5507" spans="1:11" ht="42" customHeight="1">
      <c r="A5507" s="2" t="s">
        <v>11495</v>
      </c>
      <c r="B5507" s="2" t="s">
        <v>11495</v>
      </c>
      <c r="C5507" s="2" t="s">
        <v>16</v>
      </c>
      <c r="D5507" s="2" t="s">
        <v>17</v>
      </c>
      <c r="E5507" s="5">
        <v>-31448</v>
      </c>
      <c r="F5507" s="3" t="s">
        <v>57</v>
      </c>
      <c r="G5507" s="3" t="s">
        <v>58</v>
      </c>
      <c r="H5507" s="2" t="s">
        <v>20</v>
      </c>
      <c r="I5507" s="2" t="s">
        <v>11496</v>
      </c>
      <c r="J5507" s="3" t="str">
        <f>HYPERLINK("https://www.boe.es/gazeta/dias/1813/11/23/pdfs/GRE-1813-153.pdf#page=2","Abrir facsímil")</f>
        <v>Abrir facsímil</v>
      </c>
      <c r="K5507" s="3" t="s">
        <v>22</v>
      </c>
    </row>
    <row r="5508" spans="1:11" ht="42" customHeight="1">
      <c r="A5508" s="2" t="s">
        <v>11497</v>
      </c>
      <c r="B5508" s="2" t="s">
        <v>11498</v>
      </c>
      <c r="C5508" s="2" t="s">
        <v>16</v>
      </c>
      <c r="D5508" s="2" t="s">
        <v>17</v>
      </c>
      <c r="E5508" s="5">
        <v>-31672</v>
      </c>
      <c r="F5508" s="3" t="s">
        <v>238</v>
      </c>
      <c r="G5508" s="3" t="s">
        <v>2000</v>
      </c>
      <c r="H5508" s="2" t="s">
        <v>20</v>
      </c>
      <c r="I5508" s="2" t="s">
        <v>11499</v>
      </c>
      <c r="J5508" s="3" t="str">
        <f>HYPERLINK("https://www.boe.es/gazeta/dias/1813/04/13/pdfs/GRE-1813-45.pdf#page=8","Abrir facsímil")</f>
        <v>Abrir facsímil</v>
      </c>
      <c r="K5508" s="3" t="s">
        <v>22</v>
      </c>
    </row>
    <row r="5509" spans="1:11" ht="42" customHeight="1">
      <c r="A5509" s="2" t="s">
        <v>11500</v>
      </c>
      <c r="B5509" s="2" t="s">
        <v>11500</v>
      </c>
      <c r="C5509" s="2" t="s">
        <v>16</v>
      </c>
      <c r="D5509" s="2" t="s">
        <v>17</v>
      </c>
      <c r="E5509" s="5">
        <v>-31696</v>
      </c>
      <c r="F5509" s="3" t="s">
        <v>520</v>
      </c>
      <c r="G5509" s="3" t="s">
        <v>28</v>
      </c>
      <c r="H5509" s="2" t="s">
        <v>20</v>
      </c>
      <c r="I5509" s="2" t="s">
        <v>11501</v>
      </c>
      <c r="J5509" s="3" t="str">
        <f>HYPERLINK("https://www.boe.es/gazeta/dias/1813/03/20/pdfs/GRE-1813-35.pdf#page=8","Abrir facsímil")</f>
        <v>Abrir facsímil</v>
      </c>
      <c r="K5509" s="3" t="s">
        <v>22</v>
      </c>
    </row>
    <row r="5510" spans="1:11" ht="42" customHeight="1">
      <c r="A5510" s="2" t="s">
        <v>11500</v>
      </c>
      <c r="B5510" s="2" t="s">
        <v>11500</v>
      </c>
      <c r="C5510" s="2" t="s">
        <v>16</v>
      </c>
      <c r="D5510" s="2" t="s">
        <v>17</v>
      </c>
      <c r="E5510" s="5">
        <v>-31656</v>
      </c>
      <c r="F5510" s="3" t="s">
        <v>576</v>
      </c>
      <c r="G5510" s="3" t="s">
        <v>10732</v>
      </c>
      <c r="H5510" s="2" t="s">
        <v>20</v>
      </c>
      <c r="I5510" s="2" t="s">
        <v>11502</v>
      </c>
      <c r="J5510" s="3" t="str">
        <f>HYPERLINK("https://www.boe.es/gazeta/dias/1813/04/29/pdfs/GRE-1813-53.pdf#page=6","Abrir facsímil")</f>
        <v>Abrir facsímil</v>
      </c>
      <c r="K5510" s="3" t="s">
        <v>22</v>
      </c>
    </row>
    <row r="5511" spans="1:11" ht="42" customHeight="1">
      <c r="A5511" s="2" t="s">
        <v>11500</v>
      </c>
      <c r="B5511" s="2" t="s">
        <v>11500</v>
      </c>
      <c r="C5511" s="2" t="s">
        <v>16</v>
      </c>
      <c r="D5511" s="2" t="s">
        <v>17</v>
      </c>
      <c r="E5511" s="5">
        <v>-31532</v>
      </c>
      <c r="F5511" s="3" t="s">
        <v>215</v>
      </c>
      <c r="G5511" s="3" t="s">
        <v>54</v>
      </c>
      <c r="H5511" s="2" t="s">
        <v>20</v>
      </c>
      <c r="I5511" s="2" t="s">
        <v>11503</v>
      </c>
      <c r="J5511" s="3" t="str">
        <f>HYPERLINK("https://www.boe.es/gazeta/dias/1813/08/31/pdfs/GRE-1813-111.pdf#page=3","Abrir facsímil")</f>
        <v>Abrir facsímil</v>
      </c>
      <c r="K5511" s="3" t="s">
        <v>22</v>
      </c>
    </row>
    <row r="5512" spans="1:11" ht="42" customHeight="1">
      <c r="A5512" s="2" t="s">
        <v>11504</v>
      </c>
      <c r="B5512" s="2" t="s">
        <v>11505</v>
      </c>
      <c r="C5512" s="2" t="s">
        <v>16</v>
      </c>
      <c r="D5512" s="2" t="s">
        <v>17</v>
      </c>
      <c r="E5512" s="5">
        <v>-31672</v>
      </c>
      <c r="F5512" s="3" t="s">
        <v>238</v>
      </c>
      <c r="G5512" s="3" t="s">
        <v>2000</v>
      </c>
      <c r="H5512" s="2" t="s">
        <v>20</v>
      </c>
      <c r="I5512" s="2" t="s">
        <v>11506</v>
      </c>
      <c r="J5512" s="3" t="str">
        <f>HYPERLINK("https://www.boe.es/gazeta/dias/1813/04/13/pdfs/GRE-1813-45.pdf#page=8","Abrir facsímil")</f>
        <v>Abrir facsímil</v>
      </c>
      <c r="K5512" s="3" t="s">
        <v>22</v>
      </c>
    </row>
    <row r="5513" spans="1:11" ht="42" customHeight="1">
      <c r="A5513" s="2" t="s">
        <v>11504</v>
      </c>
      <c r="B5513" s="2" t="s">
        <v>11505</v>
      </c>
      <c r="C5513" s="2" t="s">
        <v>16</v>
      </c>
      <c r="D5513" s="2" t="s">
        <v>17</v>
      </c>
      <c r="E5513" s="5">
        <v>-31668</v>
      </c>
      <c r="F5513" s="3" t="s">
        <v>574</v>
      </c>
      <c r="G5513" s="3" t="s">
        <v>6144</v>
      </c>
      <c r="H5513" s="2" t="s">
        <v>20</v>
      </c>
      <c r="I5513" s="2" t="s">
        <v>11507</v>
      </c>
      <c r="J5513" s="3" t="str">
        <f>HYPERLINK("https://www.boe.es/gazeta/dias/1813/04/17/pdfs/GRE-1813-48.pdf#page=7","Abrir facsímil")</f>
        <v>Abrir facsímil</v>
      </c>
      <c r="K5513" s="3" t="s">
        <v>22</v>
      </c>
    </row>
    <row r="5514" spans="1:11" ht="42" customHeight="1">
      <c r="A5514" s="2" t="s">
        <v>11508</v>
      </c>
      <c r="B5514" s="2" t="s">
        <v>11508</v>
      </c>
      <c r="C5514" s="2" t="s">
        <v>16</v>
      </c>
      <c r="D5514" s="2" t="s">
        <v>97</v>
      </c>
      <c r="E5514" s="5">
        <v>-31445</v>
      </c>
      <c r="F5514" s="3" t="s">
        <v>299</v>
      </c>
      <c r="G5514" s="3" t="s">
        <v>58</v>
      </c>
      <c r="H5514" s="2" t="s">
        <v>20</v>
      </c>
      <c r="I5514" s="2" t="s">
        <v>11509</v>
      </c>
      <c r="J5514" s="3" t="str">
        <f>HYPERLINK("https://www.boe.es/gazeta/dias/1813/11/26/pdfs/GRE-1813-156E.pdf#page=2","Abrir facsímil")</f>
        <v>Abrir facsímil</v>
      </c>
      <c r="K5514" s="3" t="s">
        <v>22</v>
      </c>
    </row>
    <row r="5515" spans="1:11" ht="42" customHeight="1">
      <c r="A5515" s="2" t="s">
        <v>11510</v>
      </c>
      <c r="B5515" s="2" t="s">
        <v>11510</v>
      </c>
      <c r="C5515" s="2" t="s">
        <v>16</v>
      </c>
      <c r="D5515" s="2" t="s">
        <v>17</v>
      </c>
      <c r="E5515" s="5">
        <v>-31437</v>
      </c>
      <c r="F5515" s="3" t="s">
        <v>217</v>
      </c>
      <c r="G5515" s="3" t="s">
        <v>54</v>
      </c>
      <c r="H5515" s="2" t="s">
        <v>20</v>
      </c>
      <c r="I5515" s="2" t="s">
        <v>11511</v>
      </c>
      <c r="J5515" s="3" t="str">
        <f>HYPERLINK("https://www.boe.es/gazeta/dias/1813/12/04/pdfs/GRE-1813-160.pdf#page=3","Abrir facsímil")</f>
        <v>Abrir facsímil</v>
      </c>
      <c r="K5515" s="3" t="s">
        <v>22</v>
      </c>
    </row>
    <row r="5516" spans="1:11" ht="42" customHeight="1">
      <c r="A5516" s="2" t="s">
        <v>11512</v>
      </c>
      <c r="B5516" s="2" t="s">
        <v>11512</v>
      </c>
      <c r="C5516" s="2" t="s">
        <v>16</v>
      </c>
      <c r="D5516" s="2" t="s">
        <v>17</v>
      </c>
      <c r="E5516" s="5">
        <v>-31647</v>
      </c>
      <c r="F5516" s="3" t="s">
        <v>5110</v>
      </c>
      <c r="G5516" s="3" t="s">
        <v>19</v>
      </c>
      <c r="H5516" s="2" t="s">
        <v>20</v>
      </c>
      <c r="I5516" s="2" t="s">
        <v>11513</v>
      </c>
      <c r="J5516" s="3" t="str">
        <f>HYPERLINK("https://www.boe.es/gazeta/dias/1813/05/08/pdfs/GMD-1813-128.pdf#page=4","Abrir facsímil")</f>
        <v>Abrir facsímil</v>
      </c>
      <c r="K5516" s="3" t="s">
        <v>22</v>
      </c>
    </row>
    <row r="5517" spans="1:11" ht="42" customHeight="1">
      <c r="A5517" s="2" t="s">
        <v>11514</v>
      </c>
      <c r="B5517" s="2" t="s">
        <v>11514</v>
      </c>
      <c r="C5517" s="2" t="s">
        <v>16</v>
      </c>
      <c r="D5517" s="2" t="s">
        <v>17</v>
      </c>
      <c r="E5517" s="5">
        <v>-31642</v>
      </c>
      <c r="F5517" s="3" t="s">
        <v>2091</v>
      </c>
      <c r="G5517" s="3" t="s">
        <v>19</v>
      </c>
      <c r="H5517" s="2" t="s">
        <v>20</v>
      </c>
      <c r="I5517" s="2" t="s">
        <v>11515</v>
      </c>
      <c r="J5517" s="3" t="str">
        <f>HYPERLINK("https://www.boe.es/gazeta/dias/1813/05/13/pdfs/GMD-1813-133.pdf#page=4","Abrir facsímil")</f>
        <v>Abrir facsímil</v>
      </c>
      <c r="K5517" s="3" t="s">
        <v>22</v>
      </c>
    </row>
    <row r="5518" spans="1:11" ht="42" customHeight="1">
      <c r="A5518" s="2" t="s">
        <v>11516</v>
      </c>
      <c r="B5518" s="2" t="s">
        <v>11517</v>
      </c>
      <c r="C5518" s="2" t="s">
        <v>109</v>
      </c>
      <c r="D5518" s="2" t="s">
        <v>26</v>
      </c>
      <c r="E5518" s="5">
        <v>-31420</v>
      </c>
      <c r="F5518" s="3" t="s">
        <v>145</v>
      </c>
      <c r="G5518" s="3" t="s">
        <v>5339</v>
      </c>
      <c r="H5518" s="2" t="s">
        <v>20</v>
      </c>
      <c r="I5518" s="2" t="s">
        <v>11518</v>
      </c>
      <c r="J5518" s="3" t="str">
        <f>HYPERLINK("https://www.boe.es/gazeta/dias/1813/12/21/pdfs/GMR-1813-90.pdf#page=12","Abrir facsímil")</f>
        <v>Abrir facsímil</v>
      </c>
      <c r="K5518" s="3" t="s">
        <v>22</v>
      </c>
    </row>
    <row r="5519" spans="1:11" ht="42" customHeight="1">
      <c r="A5519" s="2" t="s">
        <v>11519</v>
      </c>
      <c r="B5519" s="2" t="s">
        <v>11520</v>
      </c>
      <c r="C5519" s="2" t="s">
        <v>16</v>
      </c>
      <c r="D5519" s="2" t="s">
        <v>17</v>
      </c>
      <c r="E5519" s="5">
        <v>-31542</v>
      </c>
      <c r="F5519" s="3" t="s">
        <v>347</v>
      </c>
      <c r="G5519" s="3" t="s">
        <v>95</v>
      </c>
      <c r="H5519" s="2" t="s">
        <v>29</v>
      </c>
      <c r="I5519" s="2" t="s">
        <v>11521</v>
      </c>
      <c r="J5519" s="3" t="str">
        <f>HYPERLINK("https://www.boe.es/gazeta/dias/1813/08/21/pdfs/GMR-1813-31.pdf#page=6","Abrir facsímil")</f>
        <v>Abrir facsímil</v>
      </c>
      <c r="K5519" s="3" t="s">
        <v>31</v>
      </c>
    </row>
    <row r="5520" spans="1:11" ht="42" customHeight="1">
      <c r="A5520" s="2" t="s">
        <v>11522</v>
      </c>
      <c r="B5520" s="2" t="s">
        <v>11522</v>
      </c>
      <c r="C5520" s="2" t="s">
        <v>16</v>
      </c>
      <c r="D5520" s="2" t="s">
        <v>17</v>
      </c>
      <c r="E5520" s="5">
        <v>-31643</v>
      </c>
      <c r="F5520" s="3" t="s">
        <v>2610</v>
      </c>
      <c r="G5520" s="3" t="s">
        <v>7304</v>
      </c>
      <c r="H5520" s="2" t="s">
        <v>20</v>
      </c>
      <c r="I5520" s="2" t="s">
        <v>11523</v>
      </c>
      <c r="J5520" s="3" t="str">
        <f>HYPERLINK("https://www.boe.es/gazeta/dias/1813/05/12/pdfs/GMD-1813-132.pdf#page=2","Abrir facsímil")</f>
        <v>Abrir facsímil</v>
      </c>
      <c r="K5520" s="3" t="s">
        <v>22</v>
      </c>
    </row>
    <row r="5521" spans="1:11" ht="42" customHeight="1">
      <c r="A5521" s="2" t="s">
        <v>11524</v>
      </c>
      <c r="B5521" s="2" t="s">
        <v>11524</v>
      </c>
      <c r="C5521" s="2" t="s">
        <v>16</v>
      </c>
      <c r="D5521" s="2" t="s">
        <v>17</v>
      </c>
      <c r="E5521" s="5">
        <v>-31420</v>
      </c>
      <c r="F5521" s="3" t="s">
        <v>210</v>
      </c>
      <c r="G5521" s="3" t="s">
        <v>95</v>
      </c>
      <c r="H5521" s="2" t="s">
        <v>20</v>
      </c>
      <c r="I5521" s="2" t="s">
        <v>11525</v>
      </c>
      <c r="J5521" s="3" t="str">
        <f>HYPERLINK("https://www.boe.es/gazeta/dias/1813/12/21/pdfs/GRE-1813-167.pdf#page=6","Abrir facsímil")</f>
        <v>Abrir facsímil</v>
      </c>
      <c r="K5521" s="3" t="s">
        <v>22</v>
      </c>
    </row>
    <row r="5522" spans="1:11" ht="42" customHeight="1">
      <c r="A5522" s="2" t="s">
        <v>11526</v>
      </c>
      <c r="B5522" s="2" t="s">
        <v>11527</v>
      </c>
      <c r="C5522" s="2" t="s">
        <v>16</v>
      </c>
      <c r="D5522" s="2" t="s">
        <v>17</v>
      </c>
      <c r="E5522" s="5">
        <v>-31623</v>
      </c>
      <c r="F5522" s="3" t="s">
        <v>267</v>
      </c>
      <c r="G5522" s="3" t="s">
        <v>9420</v>
      </c>
      <c r="H5522" s="2" t="s">
        <v>29</v>
      </c>
      <c r="I5522" s="2" t="s">
        <v>11528</v>
      </c>
      <c r="J5522" s="3" t="str">
        <f>HYPERLINK("https://www.boe.es/gazeta/dias/1813/06/01/pdfs/GRE-1813-67.pdf#page=6","Abrir facsímil")</f>
        <v>Abrir facsímil</v>
      </c>
      <c r="K5522" s="3" t="s">
        <v>31</v>
      </c>
    </row>
    <row r="5523" spans="1:11" ht="42" customHeight="1">
      <c r="A5523" s="2" t="s">
        <v>11526</v>
      </c>
      <c r="B5523" s="2" t="s">
        <v>11527</v>
      </c>
      <c r="C5523" s="2" t="s">
        <v>16</v>
      </c>
      <c r="D5523" s="2" t="s">
        <v>17</v>
      </c>
      <c r="E5523" s="5">
        <v>-31469</v>
      </c>
      <c r="F5523" s="3" t="s">
        <v>1452</v>
      </c>
      <c r="G5523" s="3" t="s">
        <v>82</v>
      </c>
      <c r="H5523" s="2" t="s">
        <v>29</v>
      </c>
      <c r="I5523" s="2" t="s">
        <v>11529</v>
      </c>
      <c r="J5523" s="3" t="str">
        <f>HYPERLINK("https://www.boe.es/gazeta/dias/1813/11/02/pdfs/GRE-1813-143.pdf#page=5","Abrir facsímil")</f>
        <v>Abrir facsímil</v>
      </c>
      <c r="K5523" s="3" t="s">
        <v>31</v>
      </c>
    </row>
    <row r="5524" spans="1:11" ht="42" customHeight="1">
      <c r="A5524" s="2" t="s">
        <v>11530</v>
      </c>
      <c r="B5524" s="2" t="s">
        <v>11531</v>
      </c>
      <c r="C5524" s="2" t="s">
        <v>25</v>
      </c>
      <c r="D5524" s="2" t="s">
        <v>26</v>
      </c>
      <c r="E5524" s="5">
        <v>-31772</v>
      </c>
      <c r="F5524" s="3" t="s">
        <v>709</v>
      </c>
      <c r="G5524" s="3" t="s">
        <v>95</v>
      </c>
      <c r="H5524" s="2" t="s">
        <v>29</v>
      </c>
      <c r="I5524" s="2" t="s">
        <v>11532</v>
      </c>
      <c r="J5524" s="3" t="str">
        <f>HYPERLINK("https://www.boe.es/gazeta/dias/1813/01/03/pdfs/GRE-1813-69.pdf#page=6","Abrir facsímil")</f>
        <v>Abrir facsímil</v>
      </c>
      <c r="K5524" s="3" t="s">
        <v>31</v>
      </c>
    </row>
    <row r="5525" spans="1:11" ht="42" customHeight="1">
      <c r="A5525" s="2" t="s">
        <v>11530</v>
      </c>
      <c r="B5525" s="2" t="s">
        <v>11531</v>
      </c>
      <c r="C5525" s="2" t="s">
        <v>25</v>
      </c>
      <c r="D5525" s="2" t="s">
        <v>26</v>
      </c>
      <c r="E5525" s="5">
        <v>-31772</v>
      </c>
      <c r="F5525" s="3" t="s">
        <v>709</v>
      </c>
      <c r="G5525" s="3" t="s">
        <v>87</v>
      </c>
      <c r="H5525" s="2" t="s">
        <v>29</v>
      </c>
      <c r="I5525" s="2" t="s">
        <v>11533</v>
      </c>
      <c r="J5525" s="3" t="str">
        <f>HYPERLINK("https://www.boe.es/gazeta/dias/1813/01/03/pdfs/GRE-1813-69.pdf#page=7","Abrir facsímil")</f>
        <v>Abrir facsímil</v>
      </c>
      <c r="K5525" s="3" t="s">
        <v>31</v>
      </c>
    </row>
    <row r="5526" spans="1:11" ht="42" customHeight="1">
      <c r="A5526" s="2" t="s">
        <v>11530</v>
      </c>
      <c r="B5526" s="2" t="s">
        <v>11531</v>
      </c>
      <c r="C5526" s="2" t="s">
        <v>25</v>
      </c>
      <c r="D5526" s="2" t="s">
        <v>26</v>
      </c>
      <c r="E5526" s="5">
        <v>-31621</v>
      </c>
      <c r="F5526" s="3" t="s">
        <v>709</v>
      </c>
      <c r="G5526" s="3" t="s">
        <v>95</v>
      </c>
      <c r="H5526" s="2" t="s">
        <v>29</v>
      </c>
      <c r="I5526" s="2" t="s">
        <v>11532</v>
      </c>
      <c r="J5526" s="3" t="str">
        <f>HYPERLINK("https://www.boe.es/gazeta/dias/1813/06/03/pdfs/GRE-1813-69.pdf#page=6","Abrir facsímil")</f>
        <v>Abrir facsímil</v>
      </c>
      <c r="K5526" s="3" t="s">
        <v>31</v>
      </c>
    </row>
    <row r="5527" spans="1:11" ht="42" customHeight="1">
      <c r="A5527" s="2" t="s">
        <v>11530</v>
      </c>
      <c r="B5527" s="2" t="s">
        <v>11531</v>
      </c>
      <c r="C5527" s="2" t="s">
        <v>25</v>
      </c>
      <c r="D5527" s="2" t="s">
        <v>26</v>
      </c>
      <c r="E5527" s="5">
        <v>-31621</v>
      </c>
      <c r="F5527" s="3" t="s">
        <v>709</v>
      </c>
      <c r="G5527" s="3" t="s">
        <v>87</v>
      </c>
      <c r="H5527" s="2" t="s">
        <v>29</v>
      </c>
      <c r="I5527" s="2" t="s">
        <v>11533</v>
      </c>
      <c r="J5527" s="3" t="str">
        <f>HYPERLINK("https://www.boe.es/gazeta/dias/1813/06/03/pdfs/GRE-1813-69.pdf#page=7","Abrir facsímil")</f>
        <v>Abrir facsímil</v>
      </c>
      <c r="K5527" s="3" t="s">
        <v>31</v>
      </c>
    </row>
    <row r="5528" spans="1:11" ht="42" customHeight="1">
      <c r="A5528" s="2" t="s">
        <v>11534</v>
      </c>
      <c r="B5528" s="2" t="s">
        <v>11535</v>
      </c>
      <c r="C5528" s="2" t="s">
        <v>109</v>
      </c>
      <c r="D5528" s="2" t="s">
        <v>26</v>
      </c>
      <c r="E5528" s="5">
        <v>-31686</v>
      </c>
      <c r="F5528" s="3" t="s">
        <v>7037</v>
      </c>
      <c r="G5528" s="3" t="s">
        <v>54</v>
      </c>
      <c r="H5528" s="2" t="s">
        <v>29</v>
      </c>
      <c r="I5528" s="2" t="s">
        <v>11536</v>
      </c>
      <c r="J5528" s="3" t="str">
        <f>HYPERLINK("https://www.boe.es/gazeta/dias/1813/03/30/pdfs/GMD-1813-89.pdf#page=3","Abrir facsímil")</f>
        <v>Abrir facsímil</v>
      </c>
      <c r="K5528" s="3" t="s">
        <v>31</v>
      </c>
    </row>
    <row r="5529" spans="1:11" ht="42" customHeight="1">
      <c r="A5529" s="2" t="s">
        <v>11537</v>
      </c>
      <c r="B5529" s="2" t="s">
        <v>11537</v>
      </c>
      <c r="C5529" s="2" t="s">
        <v>34</v>
      </c>
      <c r="D5529" s="2" t="s">
        <v>35</v>
      </c>
      <c r="E5529" s="5">
        <v>-31700</v>
      </c>
      <c r="F5529" s="3" t="s">
        <v>226</v>
      </c>
      <c r="G5529" s="3" t="s">
        <v>82</v>
      </c>
      <c r="H5529" s="2" t="s">
        <v>20</v>
      </c>
      <c r="I5529" s="2" t="s">
        <v>11538</v>
      </c>
      <c r="J5529" s="3" t="str">
        <f>HYPERLINK("https://www.boe.es/gazeta/dias/1813/03/16/pdfs/GRE-1813-33.pdf#page=5","Abrir facsímil")</f>
        <v>Abrir facsímil</v>
      </c>
      <c r="K5529" s="3" t="s">
        <v>22</v>
      </c>
    </row>
    <row r="5530" spans="1:11" ht="42" customHeight="1">
      <c r="A5530" s="2" t="s">
        <v>11537</v>
      </c>
      <c r="B5530" s="2" t="s">
        <v>11537</v>
      </c>
      <c r="C5530" s="2" t="s">
        <v>16</v>
      </c>
      <c r="D5530" s="2" t="s">
        <v>17</v>
      </c>
      <c r="E5530" s="5">
        <v>-31663</v>
      </c>
      <c r="F5530" s="3" t="s">
        <v>2638</v>
      </c>
      <c r="G5530" s="3" t="s">
        <v>65</v>
      </c>
      <c r="H5530" s="2" t="s">
        <v>20</v>
      </c>
      <c r="I5530" s="2" t="s">
        <v>11539</v>
      </c>
      <c r="J5530" s="3" t="str">
        <f>HYPERLINK("https://www.boe.es/gazeta/dias/1813/04/22/pdfs/GRE-1813-50.pdf#page=1","Abrir facsímil")</f>
        <v>Abrir facsímil</v>
      </c>
      <c r="K5530" s="3" t="s">
        <v>22</v>
      </c>
    </row>
    <row r="5531" spans="1:11" ht="42" customHeight="1">
      <c r="A5531" s="2" t="s">
        <v>11537</v>
      </c>
      <c r="B5531" s="2" t="s">
        <v>11537</v>
      </c>
      <c r="C5531" s="2" t="s">
        <v>16</v>
      </c>
      <c r="D5531" s="2" t="s">
        <v>17</v>
      </c>
      <c r="E5531" s="5">
        <v>-31544</v>
      </c>
      <c r="F5531" s="3" t="s">
        <v>200</v>
      </c>
      <c r="G5531" s="3" t="s">
        <v>58</v>
      </c>
      <c r="H5531" s="2" t="s">
        <v>20</v>
      </c>
      <c r="I5531" s="2" t="s">
        <v>11540</v>
      </c>
      <c r="J5531" s="3" t="str">
        <f>HYPERLINK("https://www.boe.es/gazeta/dias/1813/08/19/pdfs/GRE-1813-106.pdf#page=2","Abrir facsímil")</f>
        <v>Abrir facsímil</v>
      </c>
      <c r="K5531" s="3" t="s">
        <v>22</v>
      </c>
    </row>
    <row r="5532" spans="1:11" ht="42" customHeight="1">
      <c r="A5532" s="2" t="s">
        <v>11537</v>
      </c>
      <c r="B5532" s="2" t="s">
        <v>11537</v>
      </c>
      <c r="C5532" s="2" t="s">
        <v>16</v>
      </c>
      <c r="D5532" s="2" t="s">
        <v>17</v>
      </c>
      <c r="E5532" s="5">
        <v>-31497</v>
      </c>
      <c r="F5532" s="3" t="s">
        <v>223</v>
      </c>
      <c r="G5532" s="3" t="s">
        <v>28</v>
      </c>
      <c r="H5532" s="2" t="s">
        <v>20</v>
      </c>
      <c r="I5532" s="2" t="s">
        <v>11541</v>
      </c>
      <c r="J5532" s="3" t="str">
        <f>HYPERLINK("https://www.boe.es/gazeta/dias/1813/10/05/pdfs/GRE-1813-130.pdf#page=8","Abrir facsímil")</f>
        <v>Abrir facsímil</v>
      </c>
      <c r="K5532" s="3" t="s">
        <v>22</v>
      </c>
    </row>
    <row r="5533" spans="1:11" ht="42" customHeight="1">
      <c r="A5533" s="2" t="s">
        <v>11537</v>
      </c>
      <c r="B5533" s="2" t="s">
        <v>11537</v>
      </c>
      <c r="C5533" s="2" t="s">
        <v>16</v>
      </c>
      <c r="D5533" s="2" t="s">
        <v>17</v>
      </c>
      <c r="E5533" s="5">
        <v>-31488</v>
      </c>
      <c r="F5533" s="3" t="s">
        <v>1023</v>
      </c>
      <c r="G5533" s="3" t="s">
        <v>58</v>
      </c>
      <c r="H5533" s="2" t="s">
        <v>20</v>
      </c>
      <c r="I5533" s="2" t="s">
        <v>11542</v>
      </c>
      <c r="J5533" s="3" t="str">
        <f>HYPERLINK("https://www.boe.es/gazeta/dias/1813/10/14/pdfs/GRE-1813-134.pdf#page=2","Abrir facsímil")</f>
        <v>Abrir facsímil</v>
      </c>
      <c r="K5533" s="3" t="s">
        <v>22</v>
      </c>
    </row>
    <row r="5534" spans="1:11" ht="42" customHeight="1">
      <c r="A5534" s="2" t="s">
        <v>11537</v>
      </c>
      <c r="B5534" s="2" t="s">
        <v>11537</v>
      </c>
      <c r="C5534" s="2" t="s">
        <v>16</v>
      </c>
      <c r="D5534" s="2" t="s">
        <v>17</v>
      </c>
      <c r="E5534" s="5">
        <v>-31462</v>
      </c>
      <c r="F5534" s="3" t="s">
        <v>542</v>
      </c>
      <c r="G5534" s="3" t="s">
        <v>95</v>
      </c>
      <c r="H5534" s="2" t="s">
        <v>20</v>
      </c>
      <c r="I5534" s="2" t="s">
        <v>11543</v>
      </c>
      <c r="J5534" s="3" t="str">
        <f>HYPERLINK("https://www.boe.es/gazeta/dias/1813/11/09/pdfs/GRE-1813-146.pdf#page=6","Abrir facsímil")</f>
        <v>Abrir facsímil</v>
      </c>
      <c r="K5534" s="3" t="s">
        <v>22</v>
      </c>
    </row>
    <row r="5535" spans="1:11" ht="42" customHeight="1">
      <c r="A5535" s="2" t="s">
        <v>11544</v>
      </c>
      <c r="B5535" s="2" t="s">
        <v>11545</v>
      </c>
      <c r="C5535" s="2" t="s">
        <v>16</v>
      </c>
      <c r="D5535" s="2" t="s">
        <v>17</v>
      </c>
      <c r="E5535" s="5">
        <v>-31430</v>
      </c>
      <c r="F5535" s="3" t="s">
        <v>1161</v>
      </c>
      <c r="G5535" s="3" t="s">
        <v>95</v>
      </c>
      <c r="H5535" s="2" t="s">
        <v>29</v>
      </c>
      <c r="I5535" s="2" t="s">
        <v>11546</v>
      </c>
      <c r="J5535" s="3" t="str">
        <f>HYPERLINK("https://www.boe.es/gazeta/dias/1813/12/11/pdfs/GMR-1813-86.pdf#page=6","Abrir facsímil")</f>
        <v>Abrir facsímil</v>
      </c>
      <c r="K5535" s="3" t="s">
        <v>31</v>
      </c>
    </row>
    <row r="5536" spans="1:11" ht="42" customHeight="1">
      <c r="A5536" s="2" t="s">
        <v>11547</v>
      </c>
      <c r="B5536" s="2" t="s">
        <v>11548</v>
      </c>
      <c r="C5536" s="2" t="s">
        <v>34</v>
      </c>
      <c r="D5536" s="2" t="s">
        <v>35</v>
      </c>
      <c r="E5536" s="5">
        <v>-31521</v>
      </c>
      <c r="F5536" s="3" t="s">
        <v>1282</v>
      </c>
      <c r="G5536" s="3" t="s">
        <v>207</v>
      </c>
      <c r="H5536" s="2" t="s">
        <v>20</v>
      </c>
      <c r="I5536" s="2" t="s">
        <v>11549</v>
      </c>
      <c r="J5536" s="3" t="str">
        <f>HYPERLINK("https://www.boe.es/gazeta/dias/1813/09/11/pdfs/GMR-1813-41.pdf#page=10","Abrir facsímil")</f>
        <v>Abrir facsímil</v>
      </c>
      <c r="K5536" s="3" t="s">
        <v>22</v>
      </c>
    </row>
    <row r="5537" spans="1:11" ht="42" customHeight="1">
      <c r="A5537" s="2" t="s">
        <v>11550</v>
      </c>
      <c r="B5537" s="2" t="s">
        <v>11551</v>
      </c>
      <c r="C5537" s="2" t="s">
        <v>34</v>
      </c>
      <c r="D5537" s="2" t="s">
        <v>35</v>
      </c>
      <c r="E5537" s="5">
        <v>-31467</v>
      </c>
      <c r="F5537" s="3" t="s">
        <v>120</v>
      </c>
      <c r="G5537" s="3" t="s">
        <v>87</v>
      </c>
      <c r="H5537" s="2" t="s">
        <v>20</v>
      </c>
      <c r="I5537" s="2" t="s">
        <v>11552</v>
      </c>
      <c r="J5537" s="3" t="str">
        <f>HYPERLINK("https://www.boe.es/gazeta/dias/1813/11/04/pdfs/GMR-1813-68.pdf#page=7","Abrir facsímil")</f>
        <v>Abrir facsímil</v>
      </c>
      <c r="K5537" s="3" t="s">
        <v>22</v>
      </c>
    </row>
    <row r="5538" spans="1:11" ht="42" customHeight="1">
      <c r="A5538" s="2" t="s">
        <v>11550</v>
      </c>
      <c r="B5538" s="2" t="s">
        <v>11551</v>
      </c>
      <c r="C5538" s="2" t="s">
        <v>25</v>
      </c>
      <c r="D5538" s="2" t="s">
        <v>26</v>
      </c>
      <c r="E5538" s="5">
        <v>-31458</v>
      </c>
      <c r="F5538" s="3" t="s">
        <v>1171</v>
      </c>
      <c r="G5538" s="3" t="s">
        <v>95</v>
      </c>
      <c r="H5538" s="2" t="s">
        <v>20</v>
      </c>
      <c r="I5538" s="2" t="s">
        <v>11553</v>
      </c>
      <c r="J5538" s="3" t="str">
        <f>HYPERLINK("https://www.boe.es/gazeta/dias/1813/11/13/pdfs/GRE-1813-149.pdf#page=6","Abrir facsímil")</f>
        <v>Abrir facsímil</v>
      </c>
      <c r="K5538" s="3" t="s">
        <v>22</v>
      </c>
    </row>
    <row r="5539" spans="1:11" ht="42" customHeight="1">
      <c r="A5539" s="2" t="s">
        <v>11554</v>
      </c>
      <c r="B5539" s="2" t="s">
        <v>11555</v>
      </c>
      <c r="C5539" s="2" t="s">
        <v>25</v>
      </c>
      <c r="D5539" s="2" t="s">
        <v>26</v>
      </c>
      <c r="E5539" s="5">
        <v>-31479</v>
      </c>
      <c r="F5539" s="3" t="s">
        <v>322</v>
      </c>
      <c r="G5539" s="3" t="s">
        <v>1307</v>
      </c>
      <c r="H5539" s="2" t="s">
        <v>20</v>
      </c>
      <c r="I5539" s="2" t="s">
        <v>11556</v>
      </c>
      <c r="J5539" s="3" t="str">
        <f>HYPERLINK("https://www.boe.es/gazeta/dias/1813/10/23/pdfs/GMR-1813-63.pdf#page=12","Abrir facsímil")</f>
        <v>Abrir facsímil</v>
      </c>
      <c r="K5539" s="3" t="s">
        <v>22</v>
      </c>
    </row>
    <row r="5540" spans="1:11" ht="42" customHeight="1">
      <c r="A5540" s="2" t="s">
        <v>11557</v>
      </c>
      <c r="B5540" s="2" t="s">
        <v>11557</v>
      </c>
      <c r="C5540" s="2" t="s">
        <v>16</v>
      </c>
      <c r="D5540" s="2" t="s">
        <v>97</v>
      </c>
      <c r="E5540" s="5">
        <v>-31499</v>
      </c>
      <c r="F5540" s="3" t="s">
        <v>220</v>
      </c>
      <c r="G5540" s="3" t="s">
        <v>313</v>
      </c>
      <c r="H5540" s="2" t="s">
        <v>20</v>
      </c>
      <c r="I5540" s="2" t="s">
        <v>11558</v>
      </c>
      <c r="J5540" s="3" t="str">
        <f>HYPERLINK("https://www.boe.es/gazeta/dias/1813/10/03/pdfs/GMR-1813-53E.pdf#page=9","Abrir facsímil")</f>
        <v>Abrir facsímil</v>
      </c>
      <c r="K5540" s="3" t="s">
        <v>22</v>
      </c>
    </row>
    <row r="5541" spans="1:11" ht="42" customHeight="1">
      <c r="A5541" s="2" t="s">
        <v>11559</v>
      </c>
      <c r="B5541" s="2" t="s">
        <v>11560</v>
      </c>
      <c r="C5541" s="2" t="s">
        <v>277</v>
      </c>
      <c r="D5541" s="2" t="s">
        <v>26</v>
      </c>
      <c r="E5541" s="5">
        <v>-31567</v>
      </c>
      <c r="F5541" s="3" t="s">
        <v>820</v>
      </c>
      <c r="G5541" s="3" t="s">
        <v>71</v>
      </c>
      <c r="H5541" s="2" t="s">
        <v>20</v>
      </c>
      <c r="I5541" s="2" t="s">
        <v>11561</v>
      </c>
      <c r="J5541" s="3" t="str">
        <f>HYPERLINK("https://www.boe.es/gazeta/dias/1813/07/27/pdfs/GMR-1813-21.pdf#page=16","Abrir facsímil")</f>
        <v>Abrir facsímil</v>
      </c>
      <c r="K5541" s="3" t="s">
        <v>22</v>
      </c>
    </row>
    <row r="5542" spans="1:11" ht="42" customHeight="1">
      <c r="A5542" s="2" t="s">
        <v>11562</v>
      </c>
      <c r="B5542" s="2" t="s">
        <v>11562</v>
      </c>
      <c r="C5542" s="2" t="s">
        <v>16</v>
      </c>
      <c r="D5542" s="2" t="s">
        <v>17</v>
      </c>
      <c r="E5542" s="5">
        <v>-31502</v>
      </c>
      <c r="F5542" s="3" t="s">
        <v>1363</v>
      </c>
      <c r="G5542" s="3" t="s">
        <v>82</v>
      </c>
      <c r="H5542" s="2" t="s">
        <v>20</v>
      </c>
      <c r="I5542" s="2" t="s">
        <v>11563</v>
      </c>
      <c r="J5542" s="3" t="str">
        <f>HYPERLINK("https://www.boe.es/gazeta/dias/1813/09/30/pdfs/GRE-1813-128.pdf#page=5","Abrir facsímil")</f>
        <v>Abrir facsímil</v>
      </c>
      <c r="K5542" s="3" t="s">
        <v>22</v>
      </c>
    </row>
    <row r="5543" spans="1:11" ht="42" customHeight="1">
      <c r="A5543" s="2" t="s">
        <v>11562</v>
      </c>
      <c r="B5543" s="2" t="s">
        <v>11562</v>
      </c>
      <c r="C5543" s="2" t="s">
        <v>16</v>
      </c>
      <c r="D5543" s="2" t="s">
        <v>17</v>
      </c>
      <c r="E5543" s="5">
        <v>-31453</v>
      </c>
      <c r="F5543" s="3" t="s">
        <v>887</v>
      </c>
      <c r="G5543" s="3" t="s">
        <v>87</v>
      </c>
      <c r="H5543" s="2" t="s">
        <v>20</v>
      </c>
      <c r="I5543" s="2" t="s">
        <v>11564</v>
      </c>
      <c r="J5543" s="3" t="str">
        <f>HYPERLINK("https://www.boe.es/gazeta/dias/1813/11/18/pdfs/GMR-1813-76.pdf#page=7","Abrir facsímil")</f>
        <v>Abrir facsímil</v>
      </c>
      <c r="K5543" s="3" t="s">
        <v>22</v>
      </c>
    </row>
    <row r="5544" spans="1:11" ht="42" customHeight="1">
      <c r="A5544" s="2" t="s">
        <v>11562</v>
      </c>
      <c r="B5544" s="2" t="s">
        <v>11562</v>
      </c>
      <c r="C5544" s="2" t="s">
        <v>16</v>
      </c>
      <c r="D5544" s="2" t="s">
        <v>17</v>
      </c>
      <c r="E5544" s="5">
        <v>-31441</v>
      </c>
      <c r="F5544" s="3" t="s">
        <v>1952</v>
      </c>
      <c r="G5544" s="3" t="s">
        <v>82</v>
      </c>
      <c r="H5544" s="2" t="s">
        <v>20</v>
      </c>
      <c r="I5544" s="2" t="s">
        <v>11565</v>
      </c>
      <c r="J5544" s="3" t="str">
        <f>HYPERLINK("https://www.boe.es/gazeta/dias/1813/11/30/pdfs/GRE-1813-158.pdf#page=5","Abrir facsímil")</f>
        <v>Abrir facsímil</v>
      </c>
      <c r="K5544" s="3" t="s">
        <v>22</v>
      </c>
    </row>
    <row r="5545" spans="1:11" ht="42" customHeight="1">
      <c r="A5545" s="2" t="s">
        <v>11562</v>
      </c>
      <c r="B5545" s="2" t="s">
        <v>11562</v>
      </c>
      <c r="C5545" s="2" t="s">
        <v>16</v>
      </c>
      <c r="D5545" s="2" t="s">
        <v>17</v>
      </c>
      <c r="E5545" s="5">
        <v>-31430</v>
      </c>
      <c r="F5545" s="3" t="s">
        <v>1161</v>
      </c>
      <c r="G5545" s="3" t="s">
        <v>58</v>
      </c>
      <c r="H5545" s="2" t="s">
        <v>20</v>
      </c>
      <c r="I5545" s="2" t="s">
        <v>11566</v>
      </c>
      <c r="J5545" s="3" t="str">
        <f>HYPERLINK("https://www.boe.es/gazeta/dias/1813/12/11/pdfs/GMR-1813-86.pdf#page=2","Abrir facsímil")</f>
        <v>Abrir facsímil</v>
      </c>
      <c r="K5545" s="3" t="s">
        <v>22</v>
      </c>
    </row>
    <row r="5546" spans="1:11" ht="42" customHeight="1">
      <c r="A5546" s="2" t="s">
        <v>11567</v>
      </c>
      <c r="B5546" s="2" t="s">
        <v>11567</v>
      </c>
      <c r="C5546" s="2" t="s">
        <v>16</v>
      </c>
      <c r="D5546" s="2" t="s">
        <v>17</v>
      </c>
      <c r="E5546" s="5">
        <v>-31474</v>
      </c>
      <c r="F5546" s="3" t="s">
        <v>130</v>
      </c>
      <c r="G5546" s="3" t="s">
        <v>95</v>
      </c>
      <c r="H5546" s="2" t="s">
        <v>20</v>
      </c>
      <c r="I5546" s="2" t="s">
        <v>11568</v>
      </c>
      <c r="J5546" s="3" t="str">
        <f>HYPERLINK("https://www.boe.es/gazeta/dias/1813/10/28/pdfs/GRE-1813-141.pdf#page=6","Abrir facsímil")</f>
        <v>Abrir facsímil</v>
      </c>
      <c r="K5546" s="3" t="s">
        <v>22</v>
      </c>
    </row>
    <row r="5547" spans="1:11" ht="42" customHeight="1">
      <c r="A5547" s="2" t="s">
        <v>11569</v>
      </c>
      <c r="B5547" s="2" t="s">
        <v>11569</v>
      </c>
      <c r="C5547" s="2" t="s">
        <v>16</v>
      </c>
      <c r="D5547" s="2" t="s">
        <v>17</v>
      </c>
      <c r="E5547" s="5">
        <v>-31544</v>
      </c>
      <c r="F5547" s="3" t="s">
        <v>200</v>
      </c>
      <c r="G5547" s="3" t="s">
        <v>65</v>
      </c>
      <c r="H5547" s="2" t="s">
        <v>20</v>
      </c>
      <c r="I5547" s="2" t="s">
        <v>11570</v>
      </c>
      <c r="J5547" s="3" t="str">
        <f>HYPERLINK("https://www.boe.es/gazeta/dias/1813/08/19/pdfs/GRE-1813-106.pdf#page=1","Abrir facsímil")</f>
        <v>Abrir facsímil</v>
      </c>
      <c r="K5547" s="3" t="s">
        <v>22</v>
      </c>
    </row>
    <row r="5548" spans="1:11" ht="42" customHeight="1">
      <c r="A5548" s="2" t="s">
        <v>11569</v>
      </c>
      <c r="B5548" s="2" t="s">
        <v>11569</v>
      </c>
      <c r="C5548" s="2" t="s">
        <v>16</v>
      </c>
      <c r="D5548" s="2" t="s">
        <v>17</v>
      </c>
      <c r="E5548" s="5">
        <v>-31544</v>
      </c>
      <c r="F5548" s="3" t="s">
        <v>200</v>
      </c>
      <c r="G5548" s="3" t="s">
        <v>58</v>
      </c>
      <c r="H5548" s="2" t="s">
        <v>20</v>
      </c>
      <c r="I5548" s="2" t="s">
        <v>11571</v>
      </c>
      <c r="J5548" s="3" t="str">
        <f>HYPERLINK("https://www.boe.es/gazeta/dias/1813/08/19/pdfs/GRE-1813-106.pdf#page=2","Abrir facsímil")</f>
        <v>Abrir facsímil</v>
      </c>
      <c r="K5548" s="3" t="s">
        <v>22</v>
      </c>
    </row>
    <row r="5549" spans="1:11" ht="42" customHeight="1">
      <c r="A5549" s="2" t="s">
        <v>11569</v>
      </c>
      <c r="B5549" s="2" t="s">
        <v>11569</v>
      </c>
      <c r="C5549" s="2" t="s">
        <v>16</v>
      </c>
      <c r="D5549" s="2" t="s">
        <v>17</v>
      </c>
      <c r="E5549" s="5">
        <v>-31521</v>
      </c>
      <c r="F5549" s="3" t="s">
        <v>1256</v>
      </c>
      <c r="G5549" s="3" t="s">
        <v>58</v>
      </c>
      <c r="H5549" s="2" t="s">
        <v>20</v>
      </c>
      <c r="I5549" s="2" t="s">
        <v>11572</v>
      </c>
      <c r="J5549" s="3" t="str">
        <f>HYPERLINK("https://www.boe.es/gazeta/dias/1813/09/11/pdfs/GRE-1813-116.pdf#page=2","Abrir facsímil")</f>
        <v>Abrir facsímil</v>
      </c>
      <c r="K5549" s="3" t="s">
        <v>22</v>
      </c>
    </row>
    <row r="5550" spans="1:11" ht="42" customHeight="1">
      <c r="A5550" s="2" t="s">
        <v>11569</v>
      </c>
      <c r="B5550" s="2" t="s">
        <v>11569</v>
      </c>
      <c r="C5550" s="2" t="s">
        <v>16</v>
      </c>
      <c r="D5550" s="2" t="s">
        <v>17</v>
      </c>
      <c r="E5550" s="5">
        <v>-31521</v>
      </c>
      <c r="F5550" s="3" t="s">
        <v>1256</v>
      </c>
      <c r="G5550" s="3" t="s">
        <v>54</v>
      </c>
      <c r="H5550" s="2" t="s">
        <v>20</v>
      </c>
      <c r="I5550" s="2" t="s">
        <v>11573</v>
      </c>
      <c r="J5550" s="3" t="str">
        <f>HYPERLINK("https://www.boe.es/gazeta/dias/1813/09/11/pdfs/GRE-1813-116.pdf#page=3","Abrir facsímil")</f>
        <v>Abrir facsímil</v>
      </c>
      <c r="K5550" s="3" t="s">
        <v>22</v>
      </c>
    </row>
    <row r="5551" spans="1:11" ht="42" customHeight="1">
      <c r="A5551" s="2" t="s">
        <v>11574</v>
      </c>
      <c r="B5551" s="2" t="s">
        <v>11574</v>
      </c>
      <c r="C5551" s="2" t="s">
        <v>16</v>
      </c>
      <c r="D5551" s="2" t="s">
        <v>17</v>
      </c>
      <c r="E5551" s="5">
        <v>-31696</v>
      </c>
      <c r="F5551" s="3" t="s">
        <v>520</v>
      </c>
      <c r="G5551" s="3" t="s">
        <v>58</v>
      </c>
      <c r="H5551" s="2" t="s">
        <v>20</v>
      </c>
      <c r="I5551" s="2" t="s">
        <v>11575</v>
      </c>
      <c r="J5551" s="3" t="str">
        <f>HYPERLINK("https://www.boe.es/gazeta/dias/1813/03/20/pdfs/GRE-1813-35.pdf#page=2","Abrir facsímil")</f>
        <v>Abrir facsímil</v>
      </c>
      <c r="K5551" s="3" t="s">
        <v>22</v>
      </c>
    </row>
    <row r="5552" spans="1:11" ht="42" customHeight="1">
      <c r="A5552" s="2" t="s">
        <v>11574</v>
      </c>
      <c r="B5552" s="2" t="s">
        <v>11574</v>
      </c>
      <c r="C5552" s="2" t="s">
        <v>16</v>
      </c>
      <c r="D5552" s="2" t="s">
        <v>17</v>
      </c>
      <c r="E5552" s="5">
        <v>-31455</v>
      </c>
      <c r="F5552" s="3" t="s">
        <v>693</v>
      </c>
      <c r="G5552" s="3" t="s">
        <v>58</v>
      </c>
      <c r="H5552" s="2" t="s">
        <v>20</v>
      </c>
      <c r="I5552" s="2" t="s">
        <v>11576</v>
      </c>
      <c r="J5552" s="3" t="str">
        <f>HYPERLINK("https://www.boe.es/gazeta/dias/1813/11/16/pdfs/GRE-1813-150.pdf#page=2","Abrir facsímil")</f>
        <v>Abrir facsímil</v>
      </c>
      <c r="K5552" s="3" t="s">
        <v>22</v>
      </c>
    </row>
    <row r="5553" spans="1:11" ht="42" customHeight="1">
      <c r="A5553" s="2" t="s">
        <v>11574</v>
      </c>
      <c r="B5553" s="2" t="s">
        <v>11574</v>
      </c>
      <c r="C5553" s="2" t="s">
        <v>16</v>
      </c>
      <c r="D5553" s="2" t="s">
        <v>17</v>
      </c>
      <c r="E5553" s="5">
        <v>-31416</v>
      </c>
      <c r="F5553" s="3" t="s">
        <v>110</v>
      </c>
      <c r="G5553" s="3" t="s">
        <v>95</v>
      </c>
      <c r="H5553" s="2" t="s">
        <v>20</v>
      </c>
      <c r="I5553" s="2" t="s">
        <v>11577</v>
      </c>
      <c r="J5553" s="3" t="str">
        <f>HYPERLINK("https://www.boe.es/gazeta/dias/1813/12/25/pdfs/GRE-1813-169.pdf#page=6","Abrir facsímil")</f>
        <v>Abrir facsímil</v>
      </c>
      <c r="K5553" s="3" t="s">
        <v>22</v>
      </c>
    </row>
    <row r="5554" spans="1:11" ht="42" customHeight="1">
      <c r="A5554" s="2" t="s">
        <v>11578</v>
      </c>
      <c r="B5554" s="2" t="s">
        <v>11578</v>
      </c>
      <c r="C5554" s="2" t="s">
        <v>25</v>
      </c>
      <c r="D5554" s="2" t="s">
        <v>26</v>
      </c>
      <c r="E5554" s="5">
        <v>-31488</v>
      </c>
      <c r="F5554" s="3" t="s">
        <v>1023</v>
      </c>
      <c r="G5554" s="3" t="s">
        <v>65</v>
      </c>
      <c r="H5554" s="2" t="s">
        <v>20</v>
      </c>
      <c r="I5554" s="2" t="s">
        <v>11579</v>
      </c>
      <c r="J5554" s="3" t="str">
        <f>HYPERLINK("https://www.boe.es/gazeta/dias/1813/10/14/pdfs/GRE-1813-134.pdf#page=1","Abrir facsímil")</f>
        <v>Abrir facsímil</v>
      </c>
      <c r="K5554" s="3" t="s">
        <v>22</v>
      </c>
    </row>
    <row r="5555" spans="1:11" ht="42" customHeight="1">
      <c r="A5555" s="2" t="s">
        <v>11580</v>
      </c>
      <c r="B5555" s="2" t="s">
        <v>11580</v>
      </c>
      <c r="C5555" s="2" t="s">
        <v>16</v>
      </c>
      <c r="D5555" s="2" t="s">
        <v>17</v>
      </c>
      <c r="E5555" s="5">
        <v>-31488</v>
      </c>
      <c r="F5555" s="3" t="s">
        <v>1023</v>
      </c>
      <c r="G5555" s="3" t="s">
        <v>19</v>
      </c>
      <c r="H5555" s="2" t="s">
        <v>20</v>
      </c>
      <c r="I5555" s="2" t="s">
        <v>11581</v>
      </c>
      <c r="J5555" s="3" t="str">
        <f>HYPERLINK("https://www.boe.es/gazeta/dias/1813/10/14/pdfs/GRE-1813-134.pdf#page=4","Abrir facsímil")</f>
        <v>Abrir facsímil</v>
      </c>
      <c r="K5555" s="3" t="s">
        <v>22</v>
      </c>
    </row>
    <row r="5556" spans="1:11" ht="42" customHeight="1">
      <c r="A5556" s="2" t="s">
        <v>11582</v>
      </c>
      <c r="B5556" s="2" t="s">
        <v>11582</v>
      </c>
      <c r="C5556" s="2" t="s">
        <v>16</v>
      </c>
      <c r="D5556" s="2" t="s">
        <v>17</v>
      </c>
      <c r="E5556" s="5">
        <v>-31733</v>
      </c>
      <c r="F5556" s="3" t="s">
        <v>3036</v>
      </c>
      <c r="G5556" s="3" t="s">
        <v>7278</v>
      </c>
      <c r="H5556" s="2" t="s">
        <v>20</v>
      </c>
      <c r="I5556" s="2" t="s">
        <v>11583</v>
      </c>
      <c r="J5556" s="3" t="str">
        <f>HYPERLINK("https://www.boe.es/gazeta/dias/1813/02/11/pdfs/GRE-1813-18.pdf#page=4","Abrir facsímil")</f>
        <v>Abrir facsímil</v>
      </c>
      <c r="K5556" s="3" t="s">
        <v>22</v>
      </c>
    </row>
    <row r="5557" spans="1:11" ht="42" customHeight="1">
      <c r="A5557" s="2" t="s">
        <v>11582</v>
      </c>
      <c r="B5557" s="2" t="s">
        <v>11582</v>
      </c>
      <c r="C5557" s="2" t="s">
        <v>16</v>
      </c>
      <c r="D5557" s="2" t="s">
        <v>17</v>
      </c>
      <c r="E5557" s="5">
        <v>-31731</v>
      </c>
      <c r="F5557" s="3" t="s">
        <v>866</v>
      </c>
      <c r="G5557" s="3" t="s">
        <v>65</v>
      </c>
      <c r="H5557" s="2" t="s">
        <v>20</v>
      </c>
      <c r="I5557" s="2" t="s">
        <v>11584</v>
      </c>
      <c r="J5557" s="3" t="str">
        <f>HYPERLINK("https://www.boe.es/gazeta/dias/1813/02/13/pdfs/GRE-1813-19.pdf#page=1","Abrir facsímil")</f>
        <v>Abrir facsímil</v>
      </c>
      <c r="K5557" s="3" t="s">
        <v>22</v>
      </c>
    </row>
    <row r="5558" spans="1:11" ht="42" customHeight="1">
      <c r="A5558" s="2" t="s">
        <v>11582</v>
      </c>
      <c r="B5558" s="2" t="s">
        <v>11582</v>
      </c>
      <c r="C5558" s="2" t="s">
        <v>16</v>
      </c>
      <c r="D5558" s="2" t="s">
        <v>17</v>
      </c>
      <c r="E5558" s="5">
        <v>-31700</v>
      </c>
      <c r="F5558" s="3" t="s">
        <v>226</v>
      </c>
      <c r="G5558" s="3" t="s">
        <v>58</v>
      </c>
      <c r="H5558" s="2" t="s">
        <v>20</v>
      </c>
      <c r="I5558" s="2" t="s">
        <v>11585</v>
      </c>
      <c r="J5558" s="3" t="str">
        <f>HYPERLINK("https://www.boe.es/gazeta/dias/1813/03/16/pdfs/GRE-1813-33.pdf#page=2","Abrir facsímil")</f>
        <v>Abrir facsímil</v>
      </c>
      <c r="K5558" s="3" t="s">
        <v>22</v>
      </c>
    </row>
    <row r="5559" spans="1:11" ht="42" customHeight="1">
      <c r="A5559" s="2" t="s">
        <v>11582</v>
      </c>
      <c r="B5559" s="2" t="s">
        <v>11582</v>
      </c>
      <c r="C5559" s="2" t="s">
        <v>16</v>
      </c>
      <c r="D5559" s="2" t="s">
        <v>17</v>
      </c>
      <c r="E5559" s="5">
        <v>-31698</v>
      </c>
      <c r="F5559" s="3" t="s">
        <v>470</v>
      </c>
      <c r="G5559" s="3" t="s">
        <v>65</v>
      </c>
      <c r="H5559" s="2" t="s">
        <v>20</v>
      </c>
      <c r="I5559" s="2" t="s">
        <v>11586</v>
      </c>
      <c r="J5559" s="3" t="str">
        <f>HYPERLINK("https://www.boe.es/gazeta/dias/1813/03/18/pdfs/GRE-1813-34.pdf#page=1","Abrir facsímil")</f>
        <v>Abrir facsímil</v>
      </c>
      <c r="K5559" s="3" t="s">
        <v>22</v>
      </c>
    </row>
    <row r="5560" spans="1:11" ht="42" customHeight="1">
      <c r="A5560" s="2" t="s">
        <v>11582</v>
      </c>
      <c r="B5560" s="2" t="s">
        <v>11582</v>
      </c>
      <c r="C5560" s="2" t="s">
        <v>25</v>
      </c>
      <c r="D5560" s="2" t="s">
        <v>26</v>
      </c>
      <c r="E5560" s="5">
        <v>-31696</v>
      </c>
      <c r="F5560" s="3" t="s">
        <v>520</v>
      </c>
      <c r="G5560" s="3" t="s">
        <v>565</v>
      </c>
      <c r="H5560" s="2" t="s">
        <v>20</v>
      </c>
      <c r="I5560" s="2" t="s">
        <v>11587</v>
      </c>
      <c r="J5560" s="3" t="str">
        <f>HYPERLINK("https://www.boe.es/gazeta/dias/1813/03/20/pdfs/GRE-1813-35.pdf#page=4","Abrir facsímil")</f>
        <v>Abrir facsímil</v>
      </c>
      <c r="K5560" s="3" t="s">
        <v>22</v>
      </c>
    </row>
    <row r="5561" spans="1:11" ht="42" customHeight="1">
      <c r="A5561" s="2" t="s">
        <v>11582</v>
      </c>
      <c r="B5561" s="2" t="s">
        <v>11582</v>
      </c>
      <c r="C5561" s="2" t="s">
        <v>25</v>
      </c>
      <c r="D5561" s="2" t="s">
        <v>26</v>
      </c>
      <c r="E5561" s="5">
        <v>-31689</v>
      </c>
      <c r="F5561" s="3" t="s">
        <v>48</v>
      </c>
      <c r="G5561" s="3" t="s">
        <v>58</v>
      </c>
      <c r="H5561" s="2" t="s">
        <v>20</v>
      </c>
      <c r="I5561" s="2" t="s">
        <v>11588</v>
      </c>
      <c r="J5561" s="3" t="str">
        <f>HYPERLINK("https://www.boe.es/gazeta/dias/1813/03/27/pdfs/GRE-1813-38.pdf#page=2","Abrir facsímil")</f>
        <v>Abrir facsímil</v>
      </c>
      <c r="K5561" s="3" t="s">
        <v>22</v>
      </c>
    </row>
    <row r="5562" spans="1:11" ht="42" customHeight="1">
      <c r="A5562" s="2" t="s">
        <v>11582</v>
      </c>
      <c r="B5562" s="2" t="s">
        <v>11582</v>
      </c>
      <c r="C5562" s="2" t="s">
        <v>25</v>
      </c>
      <c r="D5562" s="2" t="s">
        <v>26</v>
      </c>
      <c r="E5562" s="5">
        <v>-31637</v>
      </c>
      <c r="F5562" s="3" t="s">
        <v>234</v>
      </c>
      <c r="G5562" s="3" t="s">
        <v>58</v>
      </c>
      <c r="H5562" s="2" t="s">
        <v>20</v>
      </c>
      <c r="I5562" s="2" t="s">
        <v>11589</v>
      </c>
      <c r="J5562" s="3" t="str">
        <f>HYPERLINK("https://www.boe.es/gazeta/dias/1813/05/18/pdfs/GRE-1813-61.pdf#page=2","Abrir facsímil")</f>
        <v>Abrir facsímil</v>
      </c>
      <c r="K5562" s="3" t="s">
        <v>22</v>
      </c>
    </row>
    <row r="5563" spans="1:11" ht="42" customHeight="1">
      <c r="A5563" s="2" t="s">
        <v>11582</v>
      </c>
      <c r="B5563" s="2" t="s">
        <v>11582</v>
      </c>
      <c r="C5563" s="2" t="s">
        <v>34</v>
      </c>
      <c r="D5563" s="2" t="s">
        <v>35</v>
      </c>
      <c r="E5563" s="5">
        <v>-31612</v>
      </c>
      <c r="F5563" s="3" t="s">
        <v>5784</v>
      </c>
      <c r="G5563" s="3" t="s">
        <v>58</v>
      </c>
      <c r="H5563" s="2" t="s">
        <v>20</v>
      </c>
      <c r="I5563" s="2" t="s">
        <v>11590</v>
      </c>
      <c r="J5563" s="3" t="str">
        <f>HYPERLINK("https://www.boe.es/gazeta/dias/1813/06/12/pdfs/GRE-1813-73.pdf#page=2","Abrir facsímil")</f>
        <v>Abrir facsímil</v>
      </c>
      <c r="K5563" s="3" t="s">
        <v>22</v>
      </c>
    </row>
    <row r="5564" spans="1:11" ht="42" customHeight="1">
      <c r="A5564" s="2" t="s">
        <v>11582</v>
      </c>
      <c r="B5564" s="2" t="s">
        <v>11582</v>
      </c>
      <c r="C5564" s="2" t="s">
        <v>34</v>
      </c>
      <c r="D5564" s="2" t="s">
        <v>35</v>
      </c>
      <c r="E5564" s="5">
        <v>-31609</v>
      </c>
      <c r="F5564" s="3" t="s">
        <v>584</v>
      </c>
      <c r="G5564" s="3" t="s">
        <v>58</v>
      </c>
      <c r="H5564" s="2" t="s">
        <v>20</v>
      </c>
      <c r="I5564" s="2" t="s">
        <v>11591</v>
      </c>
      <c r="J5564" s="3" t="str">
        <f>HYPERLINK("https://www.boe.es/gazeta/dias/1813/06/15/pdfs/GRE-1813-74.pdf#page=2","Abrir facsímil")</f>
        <v>Abrir facsímil</v>
      </c>
      <c r="K5564" s="3" t="s">
        <v>22</v>
      </c>
    </row>
    <row r="5565" spans="1:11" ht="42" customHeight="1">
      <c r="A5565" s="2" t="s">
        <v>11582</v>
      </c>
      <c r="B5565" s="2" t="s">
        <v>11582</v>
      </c>
      <c r="C5565" s="2" t="s">
        <v>16</v>
      </c>
      <c r="D5565" s="2" t="s">
        <v>17</v>
      </c>
      <c r="E5565" s="5">
        <v>-31591</v>
      </c>
      <c r="F5565" s="3" t="s">
        <v>2123</v>
      </c>
      <c r="G5565" s="3" t="s">
        <v>58</v>
      </c>
      <c r="H5565" s="2" t="s">
        <v>20</v>
      </c>
      <c r="I5565" s="2" t="s">
        <v>11592</v>
      </c>
      <c r="J5565" s="3" t="str">
        <f>HYPERLINK("https://www.boe.es/gazeta/dias/1813/07/03/pdfs/GRE-1813-83.pdf#page=2","Abrir facsímil")</f>
        <v>Abrir facsímil</v>
      </c>
      <c r="K5565" s="3" t="s">
        <v>22</v>
      </c>
    </row>
    <row r="5566" spans="1:11" ht="42" customHeight="1">
      <c r="A5566" s="2" t="s">
        <v>11582</v>
      </c>
      <c r="B5566" s="2" t="s">
        <v>11582</v>
      </c>
      <c r="C5566" s="2" t="s">
        <v>25</v>
      </c>
      <c r="D5566" s="2" t="s">
        <v>26</v>
      </c>
      <c r="E5566" s="5">
        <v>-31577</v>
      </c>
      <c r="F5566" s="3" t="s">
        <v>586</v>
      </c>
      <c r="G5566" s="3" t="s">
        <v>19</v>
      </c>
      <c r="H5566" s="2" t="s">
        <v>20</v>
      </c>
      <c r="I5566" s="2" t="s">
        <v>11593</v>
      </c>
      <c r="J5566" s="3" t="str">
        <f>HYPERLINK("https://www.boe.es/gazeta/dias/1813/07/17/pdfs/GRE-1813-90.pdf#page=4","Abrir facsímil")</f>
        <v>Abrir facsímil</v>
      </c>
      <c r="K5566" s="3" t="s">
        <v>22</v>
      </c>
    </row>
    <row r="5567" spans="1:11" ht="42" customHeight="1">
      <c r="A5567" s="2" t="s">
        <v>11582</v>
      </c>
      <c r="B5567" s="2" t="s">
        <v>11582</v>
      </c>
      <c r="C5567" s="2" t="s">
        <v>16</v>
      </c>
      <c r="D5567" s="2" t="s">
        <v>17</v>
      </c>
      <c r="E5567" s="5">
        <v>-31507</v>
      </c>
      <c r="F5567" s="3" t="s">
        <v>2294</v>
      </c>
      <c r="G5567" s="3" t="s">
        <v>82</v>
      </c>
      <c r="H5567" s="2" t="s">
        <v>20</v>
      </c>
      <c r="I5567" s="2" t="s">
        <v>11594</v>
      </c>
      <c r="J5567" s="3" t="str">
        <f>HYPERLINK("https://www.boe.es/gazeta/dias/1813/09/25/pdfs/GRE-1813-126.pdf#page=5","Abrir facsímil")</f>
        <v>Abrir facsímil</v>
      </c>
      <c r="K5567" s="3" t="s">
        <v>22</v>
      </c>
    </row>
    <row r="5568" spans="1:11" ht="42" customHeight="1">
      <c r="A5568" s="2" t="s">
        <v>11582</v>
      </c>
      <c r="B5568" s="2" t="s">
        <v>11582</v>
      </c>
      <c r="C5568" s="2" t="s">
        <v>25</v>
      </c>
      <c r="D5568" s="2" t="s">
        <v>26</v>
      </c>
      <c r="E5568" s="5">
        <v>-31493</v>
      </c>
      <c r="F5568" s="3" t="s">
        <v>1996</v>
      </c>
      <c r="G5568" s="3" t="s">
        <v>58</v>
      </c>
      <c r="H5568" s="2" t="s">
        <v>20</v>
      </c>
      <c r="I5568" s="2" t="s">
        <v>11595</v>
      </c>
      <c r="J5568" s="3" t="str">
        <f>HYPERLINK("https://www.boe.es/gazeta/dias/1813/10/09/pdfs/GRE-1813-132.pdf#page=2","Abrir facsímil")</f>
        <v>Abrir facsímil</v>
      </c>
      <c r="K5568" s="3" t="s">
        <v>22</v>
      </c>
    </row>
    <row r="5569" spans="1:11" ht="42" customHeight="1">
      <c r="A5569" s="2" t="s">
        <v>11582</v>
      </c>
      <c r="B5569" s="2" t="s">
        <v>11582</v>
      </c>
      <c r="C5569" s="2" t="s">
        <v>16</v>
      </c>
      <c r="D5569" s="2" t="s">
        <v>17</v>
      </c>
      <c r="E5569" s="5">
        <v>-31493</v>
      </c>
      <c r="F5569" s="3" t="s">
        <v>1996</v>
      </c>
      <c r="G5569" s="3" t="s">
        <v>54</v>
      </c>
      <c r="H5569" s="2" t="s">
        <v>20</v>
      </c>
      <c r="I5569" s="2" t="s">
        <v>11596</v>
      </c>
      <c r="J5569" s="3" t="str">
        <f>HYPERLINK("https://www.boe.es/gazeta/dias/1813/10/09/pdfs/GRE-1813-132.pdf#page=3","Abrir facsímil")</f>
        <v>Abrir facsímil</v>
      </c>
      <c r="K5569" s="3" t="s">
        <v>22</v>
      </c>
    </row>
    <row r="5570" spans="1:11" ht="42" customHeight="1">
      <c r="A5570" s="2" t="s">
        <v>11582</v>
      </c>
      <c r="B5570" s="2" t="s">
        <v>11582</v>
      </c>
      <c r="C5570" s="2" t="s">
        <v>187</v>
      </c>
      <c r="D5570" s="2" t="s">
        <v>26</v>
      </c>
      <c r="E5570" s="5">
        <v>-31490</v>
      </c>
      <c r="F5570" s="3" t="s">
        <v>3271</v>
      </c>
      <c r="G5570" s="3" t="s">
        <v>58</v>
      </c>
      <c r="H5570" s="2" t="s">
        <v>20</v>
      </c>
      <c r="I5570" s="2" t="s">
        <v>11597</v>
      </c>
      <c r="J5570" s="3" t="str">
        <f>HYPERLINK("https://www.boe.es/gazeta/dias/1813/10/12/pdfs/GRE-1813-133.pdf#page=2","Abrir facsímil")</f>
        <v>Abrir facsímil</v>
      </c>
      <c r="K5570" s="3" t="s">
        <v>22</v>
      </c>
    </row>
    <row r="5571" spans="1:11" ht="42" customHeight="1">
      <c r="A5571" s="2" t="s">
        <v>11582</v>
      </c>
      <c r="B5571" s="2" t="s">
        <v>11582</v>
      </c>
      <c r="C5571" s="2" t="s">
        <v>25</v>
      </c>
      <c r="D5571" s="2" t="s">
        <v>26</v>
      </c>
      <c r="E5571" s="5">
        <v>-31488</v>
      </c>
      <c r="F5571" s="3" t="s">
        <v>1023</v>
      </c>
      <c r="G5571" s="3" t="s">
        <v>11598</v>
      </c>
      <c r="H5571" s="2" t="s">
        <v>20</v>
      </c>
      <c r="I5571" s="2" t="s">
        <v>11599</v>
      </c>
      <c r="J5571" s="3" t="str">
        <f>HYPERLINK("https://www.boe.es/gazeta/dias/1813/10/14/pdfs/GRE-1813-134.pdf#page=6","Abrir facsímil")</f>
        <v>Abrir facsímil</v>
      </c>
      <c r="K5571" s="3" t="s">
        <v>22</v>
      </c>
    </row>
    <row r="5572" spans="1:11" ht="42" customHeight="1">
      <c r="A5572" s="2" t="s">
        <v>11582</v>
      </c>
      <c r="B5572" s="2" t="s">
        <v>11582</v>
      </c>
      <c r="C5572" s="2" t="s">
        <v>435</v>
      </c>
      <c r="D5572" s="2" t="s">
        <v>26</v>
      </c>
      <c r="E5572" s="5">
        <v>-31488</v>
      </c>
      <c r="F5572" s="3" t="s">
        <v>1023</v>
      </c>
      <c r="G5572" s="3" t="s">
        <v>65</v>
      </c>
      <c r="H5572" s="2" t="s">
        <v>20</v>
      </c>
      <c r="I5572" s="2" t="s">
        <v>11600</v>
      </c>
      <c r="J5572" s="3" t="str">
        <f>HYPERLINK("https://www.boe.es/gazeta/dias/1813/10/14/pdfs/GRE-1813-134.pdf#page=1","Abrir facsímil")</f>
        <v>Abrir facsímil</v>
      </c>
      <c r="K5572" s="3" t="s">
        <v>22</v>
      </c>
    </row>
    <row r="5573" spans="1:11" ht="42" customHeight="1">
      <c r="A5573" s="2" t="s">
        <v>11582</v>
      </c>
      <c r="B5573" s="2" t="s">
        <v>11582</v>
      </c>
      <c r="C5573" s="2" t="s">
        <v>16</v>
      </c>
      <c r="D5573" s="2" t="s">
        <v>17</v>
      </c>
      <c r="E5573" s="5">
        <v>-31488</v>
      </c>
      <c r="F5573" s="3" t="s">
        <v>1023</v>
      </c>
      <c r="G5573" s="3" t="s">
        <v>58</v>
      </c>
      <c r="H5573" s="2" t="s">
        <v>20</v>
      </c>
      <c r="I5573" s="2" t="s">
        <v>11601</v>
      </c>
      <c r="J5573" s="3" t="str">
        <f>HYPERLINK("https://www.boe.es/gazeta/dias/1813/10/14/pdfs/GRE-1813-134.pdf#page=2","Abrir facsímil")</f>
        <v>Abrir facsímil</v>
      </c>
      <c r="K5573" s="3" t="s">
        <v>22</v>
      </c>
    </row>
    <row r="5574" spans="1:11" ht="42" customHeight="1">
      <c r="A5574" s="2" t="s">
        <v>11582</v>
      </c>
      <c r="B5574" s="2" t="s">
        <v>11582</v>
      </c>
      <c r="C5574" s="2" t="s">
        <v>16</v>
      </c>
      <c r="D5574" s="2" t="s">
        <v>17</v>
      </c>
      <c r="E5574" s="5">
        <v>-31488</v>
      </c>
      <c r="F5574" s="3" t="s">
        <v>1023</v>
      </c>
      <c r="G5574" s="3" t="s">
        <v>54</v>
      </c>
      <c r="H5574" s="2" t="s">
        <v>20</v>
      </c>
      <c r="I5574" s="2" t="s">
        <v>11602</v>
      </c>
      <c r="J5574" s="3" t="str">
        <f>HYPERLINK("https://www.boe.es/gazeta/dias/1813/10/14/pdfs/GRE-1813-134.pdf#page=3","Abrir facsímil")</f>
        <v>Abrir facsímil</v>
      </c>
      <c r="K5574" s="3" t="s">
        <v>22</v>
      </c>
    </row>
    <row r="5575" spans="1:11" ht="42" customHeight="1">
      <c r="A5575" s="2" t="s">
        <v>11582</v>
      </c>
      <c r="B5575" s="2" t="s">
        <v>11582</v>
      </c>
      <c r="C5575" s="2" t="s">
        <v>435</v>
      </c>
      <c r="D5575" s="2" t="s">
        <v>26</v>
      </c>
      <c r="E5575" s="5">
        <v>-31488</v>
      </c>
      <c r="F5575" s="3" t="s">
        <v>1023</v>
      </c>
      <c r="G5575" s="3" t="s">
        <v>82</v>
      </c>
      <c r="H5575" s="2" t="s">
        <v>20</v>
      </c>
      <c r="I5575" s="2" t="s">
        <v>11603</v>
      </c>
      <c r="J5575" s="3" t="str">
        <f>HYPERLINK("https://www.boe.es/gazeta/dias/1813/10/14/pdfs/GRE-1813-134.pdf#page=5","Abrir facsímil")</f>
        <v>Abrir facsímil</v>
      </c>
      <c r="K5575" s="3" t="s">
        <v>22</v>
      </c>
    </row>
    <row r="5576" spans="1:11" ht="42" customHeight="1">
      <c r="A5576" s="2" t="s">
        <v>11582</v>
      </c>
      <c r="B5576" s="2" t="s">
        <v>11582</v>
      </c>
      <c r="C5576" s="2" t="s">
        <v>25</v>
      </c>
      <c r="D5576" s="2" t="s">
        <v>26</v>
      </c>
      <c r="E5576" s="5">
        <v>-31488</v>
      </c>
      <c r="F5576" s="3" t="s">
        <v>1023</v>
      </c>
      <c r="G5576" s="3" t="s">
        <v>87</v>
      </c>
      <c r="H5576" s="2" t="s">
        <v>20</v>
      </c>
      <c r="I5576" s="2" t="s">
        <v>11604</v>
      </c>
      <c r="J5576" s="3" t="str">
        <f>HYPERLINK("https://www.boe.es/gazeta/dias/1813/10/14/pdfs/GRE-1813-134.pdf#page=7","Abrir facsímil")</f>
        <v>Abrir facsímil</v>
      </c>
      <c r="K5576" s="3" t="s">
        <v>22</v>
      </c>
    </row>
    <row r="5577" spans="1:11" ht="42" customHeight="1">
      <c r="A5577" s="2" t="s">
        <v>11582</v>
      </c>
      <c r="B5577" s="2" t="s">
        <v>11582</v>
      </c>
      <c r="C5577" s="2" t="s">
        <v>16</v>
      </c>
      <c r="D5577" s="2" t="s">
        <v>17</v>
      </c>
      <c r="E5577" s="5">
        <v>-31474</v>
      </c>
      <c r="F5577" s="3" t="s">
        <v>130</v>
      </c>
      <c r="G5577" s="3" t="s">
        <v>95</v>
      </c>
      <c r="H5577" s="2" t="s">
        <v>20</v>
      </c>
      <c r="I5577" s="2" t="s">
        <v>11605</v>
      </c>
      <c r="J5577" s="3" t="str">
        <f>HYPERLINK("https://www.boe.es/gazeta/dias/1813/10/28/pdfs/GRE-1813-141.pdf#page=6","Abrir facsímil")</f>
        <v>Abrir facsímil</v>
      </c>
      <c r="K5577" s="3" t="s">
        <v>22</v>
      </c>
    </row>
    <row r="5578" spans="1:11" ht="42" customHeight="1">
      <c r="A5578" s="2" t="s">
        <v>11582</v>
      </c>
      <c r="B5578" s="2" t="s">
        <v>11582</v>
      </c>
      <c r="C5578" s="2" t="s">
        <v>16</v>
      </c>
      <c r="D5578" s="2" t="s">
        <v>17</v>
      </c>
      <c r="E5578" s="5">
        <v>-31462</v>
      </c>
      <c r="F5578" s="3" t="s">
        <v>542</v>
      </c>
      <c r="G5578" s="3" t="s">
        <v>2156</v>
      </c>
      <c r="H5578" s="2" t="s">
        <v>20</v>
      </c>
      <c r="I5578" s="2" t="s">
        <v>11606</v>
      </c>
      <c r="J5578" s="3" t="str">
        <f>HYPERLINK("https://www.boe.es/gazeta/dias/1813/11/09/pdfs/GRE-1813-146.pdf#page=5","Abrir facsímil")</f>
        <v>Abrir facsímil</v>
      </c>
      <c r="K5578" s="3" t="s">
        <v>22</v>
      </c>
    </row>
    <row r="5579" spans="1:11" ht="42" customHeight="1">
      <c r="A5579" s="2" t="s">
        <v>11582</v>
      </c>
      <c r="B5579" s="2" t="s">
        <v>11582</v>
      </c>
      <c r="C5579" s="2" t="s">
        <v>16</v>
      </c>
      <c r="D5579" s="2" t="s">
        <v>17</v>
      </c>
      <c r="E5579" s="5">
        <v>-31453</v>
      </c>
      <c r="F5579" s="3" t="s">
        <v>695</v>
      </c>
      <c r="G5579" s="3" t="s">
        <v>54</v>
      </c>
      <c r="H5579" s="2" t="s">
        <v>20</v>
      </c>
      <c r="I5579" s="2" t="s">
        <v>11607</v>
      </c>
      <c r="J5579" s="3" t="str">
        <f>HYPERLINK("https://www.boe.es/gazeta/dias/1813/11/18/pdfs/GRE-1813-151.pdf#page=3","Abrir facsímil")</f>
        <v>Abrir facsímil</v>
      </c>
      <c r="K5579" s="3" t="s">
        <v>22</v>
      </c>
    </row>
    <row r="5580" spans="1:11" ht="42" customHeight="1">
      <c r="A5580" s="2" t="s">
        <v>11582</v>
      </c>
      <c r="B5580" s="2" t="s">
        <v>11582</v>
      </c>
      <c r="C5580" s="2" t="s">
        <v>16</v>
      </c>
      <c r="D5580" s="2" t="s">
        <v>17</v>
      </c>
      <c r="E5580" s="5">
        <v>-31448</v>
      </c>
      <c r="F5580" s="3" t="s">
        <v>57</v>
      </c>
      <c r="G5580" s="3" t="s">
        <v>95</v>
      </c>
      <c r="H5580" s="2" t="s">
        <v>20</v>
      </c>
      <c r="I5580" s="2" t="s">
        <v>11608</v>
      </c>
      <c r="J5580" s="3" t="str">
        <f>HYPERLINK("https://www.boe.es/gazeta/dias/1813/11/23/pdfs/GRE-1813-153.pdf#page=6","Abrir facsímil")</f>
        <v>Abrir facsímil</v>
      </c>
      <c r="K5580" s="3" t="s">
        <v>22</v>
      </c>
    </row>
    <row r="5581" spans="1:11" ht="42" customHeight="1">
      <c r="A5581" s="2" t="s">
        <v>11582</v>
      </c>
      <c r="B5581" s="2" t="s">
        <v>11582</v>
      </c>
      <c r="C5581" s="2" t="s">
        <v>34</v>
      </c>
      <c r="D5581" s="2" t="s">
        <v>35</v>
      </c>
      <c r="E5581" s="5">
        <v>-31446</v>
      </c>
      <c r="F5581" s="3" t="s">
        <v>1078</v>
      </c>
      <c r="G5581" s="3" t="s">
        <v>58</v>
      </c>
      <c r="H5581" s="2" t="s">
        <v>20</v>
      </c>
      <c r="I5581" s="2" t="s">
        <v>11609</v>
      </c>
      <c r="J5581" s="3" t="str">
        <f>HYPERLINK("https://www.boe.es/gazeta/dias/1813/11/25/pdfs/GRE-1813-154.pdf#page=2","Abrir facsímil")</f>
        <v>Abrir facsímil</v>
      </c>
      <c r="K5581" s="3" t="s">
        <v>22</v>
      </c>
    </row>
    <row r="5582" spans="1:11" ht="42" customHeight="1">
      <c r="A5582" s="2" t="s">
        <v>11582</v>
      </c>
      <c r="B5582" s="2" t="s">
        <v>11582</v>
      </c>
      <c r="C5582" s="2" t="s">
        <v>25</v>
      </c>
      <c r="D5582" s="2" t="s">
        <v>26</v>
      </c>
      <c r="E5582" s="5">
        <v>-31439</v>
      </c>
      <c r="F5582" s="3" t="s">
        <v>3821</v>
      </c>
      <c r="G5582" s="3" t="s">
        <v>87</v>
      </c>
      <c r="H5582" s="2" t="s">
        <v>20</v>
      </c>
      <c r="I5582" s="2" t="s">
        <v>11610</v>
      </c>
      <c r="J5582" s="3" t="str">
        <f>HYPERLINK("https://www.boe.es/gazeta/dias/1813/12/02/pdfs/GRE-1813-159.pdf#page=7","Abrir facsímil")</f>
        <v>Abrir facsímil</v>
      </c>
      <c r="K5582" s="3" t="s">
        <v>22</v>
      </c>
    </row>
    <row r="5583" spans="1:11" ht="42" customHeight="1">
      <c r="A5583" s="2" t="s">
        <v>11582</v>
      </c>
      <c r="B5583" s="2" t="s">
        <v>11582</v>
      </c>
      <c r="C5583" s="2" t="s">
        <v>16</v>
      </c>
      <c r="D5583" s="2" t="s">
        <v>17</v>
      </c>
      <c r="E5583" s="5">
        <v>-31437</v>
      </c>
      <c r="F5583" s="3" t="s">
        <v>217</v>
      </c>
      <c r="G5583" s="3" t="s">
        <v>58</v>
      </c>
      <c r="H5583" s="2" t="s">
        <v>20</v>
      </c>
      <c r="I5583" s="2" t="s">
        <v>11611</v>
      </c>
      <c r="J5583" s="3" t="str">
        <f>HYPERLINK("https://www.boe.es/gazeta/dias/1813/12/04/pdfs/GRE-1813-160.pdf#page=2","Abrir facsímil")</f>
        <v>Abrir facsímil</v>
      </c>
      <c r="K5583" s="3" t="s">
        <v>22</v>
      </c>
    </row>
    <row r="5584" spans="1:11" ht="42" customHeight="1">
      <c r="A5584" s="2" t="s">
        <v>11582</v>
      </c>
      <c r="B5584" s="2" t="s">
        <v>11582</v>
      </c>
      <c r="C5584" s="2" t="s">
        <v>16</v>
      </c>
      <c r="D5584" s="2" t="s">
        <v>17</v>
      </c>
      <c r="E5584" s="5">
        <v>-31437</v>
      </c>
      <c r="F5584" s="3" t="s">
        <v>217</v>
      </c>
      <c r="G5584" s="3" t="s">
        <v>54</v>
      </c>
      <c r="H5584" s="2" t="s">
        <v>20</v>
      </c>
      <c r="I5584" s="2" t="s">
        <v>11612</v>
      </c>
      <c r="J5584" s="3" t="str">
        <f>HYPERLINK("https://www.boe.es/gazeta/dias/1813/12/04/pdfs/GRE-1813-160.pdf#page=3","Abrir facsímil")</f>
        <v>Abrir facsímil</v>
      </c>
      <c r="K5584" s="3" t="s">
        <v>22</v>
      </c>
    </row>
    <row r="5585" spans="1:11" ht="42" customHeight="1">
      <c r="A5585" s="2" t="s">
        <v>11582</v>
      </c>
      <c r="B5585" s="2" t="s">
        <v>11582</v>
      </c>
      <c r="C5585" s="2" t="s">
        <v>16</v>
      </c>
      <c r="D5585" s="2" t="s">
        <v>17</v>
      </c>
      <c r="E5585" s="5">
        <v>-31434</v>
      </c>
      <c r="F5585" s="3" t="s">
        <v>18</v>
      </c>
      <c r="G5585" s="3" t="s">
        <v>54</v>
      </c>
      <c r="H5585" s="2" t="s">
        <v>20</v>
      </c>
      <c r="I5585" s="2" t="s">
        <v>11613</v>
      </c>
      <c r="J5585" s="3" t="str">
        <f>HYPERLINK("https://www.boe.es/gazeta/dias/1813/12/07/pdfs/GRE-1813-161.pdf#page=3","Abrir facsímil")</f>
        <v>Abrir facsímil</v>
      </c>
      <c r="K5585" s="3" t="s">
        <v>22</v>
      </c>
    </row>
    <row r="5586" spans="1:11" ht="42" customHeight="1">
      <c r="A5586" s="2" t="s">
        <v>11582</v>
      </c>
      <c r="B5586" s="2" t="s">
        <v>11582</v>
      </c>
      <c r="C5586" s="2" t="s">
        <v>16</v>
      </c>
      <c r="D5586" s="2" t="s">
        <v>17</v>
      </c>
      <c r="E5586" s="5">
        <v>-31418</v>
      </c>
      <c r="F5586" s="3" t="s">
        <v>147</v>
      </c>
      <c r="G5586" s="3" t="s">
        <v>54</v>
      </c>
      <c r="H5586" s="2" t="s">
        <v>20</v>
      </c>
      <c r="I5586" s="2" t="s">
        <v>11614</v>
      </c>
      <c r="J5586" s="3" t="str">
        <f>HYPERLINK("https://www.boe.es/gazeta/dias/1813/12/23/pdfs/GRE-1813-168.pdf#page=3","Abrir facsímil")</f>
        <v>Abrir facsímil</v>
      </c>
      <c r="K5586" s="3" t="s">
        <v>22</v>
      </c>
    </row>
    <row r="5587" spans="1:11" ht="42" customHeight="1">
      <c r="A5587" s="2" t="s">
        <v>11582</v>
      </c>
      <c r="B5587" s="2" t="s">
        <v>11582</v>
      </c>
      <c r="C5587" s="2" t="s">
        <v>16</v>
      </c>
      <c r="D5587" s="2" t="s">
        <v>17</v>
      </c>
      <c r="E5587" s="5">
        <v>-31416</v>
      </c>
      <c r="F5587" s="3" t="s">
        <v>110</v>
      </c>
      <c r="G5587" s="3" t="s">
        <v>54</v>
      </c>
      <c r="H5587" s="2" t="s">
        <v>20</v>
      </c>
      <c r="I5587" s="2" t="s">
        <v>11615</v>
      </c>
      <c r="J5587" s="3" t="str">
        <f>HYPERLINK("https://www.boe.es/gazeta/dias/1813/12/25/pdfs/GRE-1813-169.pdf#page=3","Abrir facsímil")</f>
        <v>Abrir facsímil</v>
      </c>
      <c r="K5587" s="3" t="s">
        <v>22</v>
      </c>
    </row>
    <row r="5588" spans="1:11" ht="42" customHeight="1">
      <c r="A5588" s="2" t="s">
        <v>11616</v>
      </c>
      <c r="B5588" s="2" t="s">
        <v>11617</v>
      </c>
      <c r="C5588" s="2" t="s">
        <v>16</v>
      </c>
      <c r="D5588" s="2" t="s">
        <v>17</v>
      </c>
      <c r="E5588" s="5">
        <v>-31682</v>
      </c>
      <c r="F5588" s="3" t="s">
        <v>5159</v>
      </c>
      <c r="G5588" s="3" t="s">
        <v>11618</v>
      </c>
      <c r="H5588" s="2" t="s">
        <v>20</v>
      </c>
      <c r="I5588" s="2" t="s">
        <v>11619</v>
      </c>
      <c r="J5588" s="3" t="str">
        <f>HYPERLINK("https://www.boe.es/gazeta/dias/1813/04/03/pdfs/GRE-1813-41.pdf#page=3","Abrir facsímil")</f>
        <v>Abrir facsímil</v>
      </c>
      <c r="K5588" s="3" t="s">
        <v>22</v>
      </c>
    </row>
    <row r="5589" spans="1:11" ht="42" customHeight="1">
      <c r="A5589" s="2" t="s">
        <v>11620</v>
      </c>
      <c r="B5589" s="2" t="s">
        <v>11621</v>
      </c>
      <c r="C5589" s="2" t="s">
        <v>34</v>
      </c>
      <c r="D5589" s="2" t="s">
        <v>35</v>
      </c>
      <c r="E5589" s="5">
        <v>-31767</v>
      </c>
      <c r="F5589" s="3" t="s">
        <v>1915</v>
      </c>
      <c r="G5589" s="3" t="s">
        <v>19</v>
      </c>
      <c r="H5589" s="2" t="s">
        <v>20</v>
      </c>
      <c r="I5589" s="2" t="s">
        <v>11622</v>
      </c>
      <c r="J5589" s="3" t="str">
        <f>HYPERLINK("https://www.boe.es/gazeta/dias/1813/01/08/pdfs/GMD-1813-8.pdf#page=4","Abrir facsímil")</f>
        <v>Abrir facsímil</v>
      </c>
      <c r="K5589" s="3" t="s">
        <v>22</v>
      </c>
    </row>
    <row r="5590" spans="1:11" ht="42" customHeight="1">
      <c r="A5590" s="2" t="s">
        <v>11620</v>
      </c>
      <c r="B5590" s="2" t="s">
        <v>11621</v>
      </c>
      <c r="C5590" s="2" t="s">
        <v>109</v>
      </c>
      <c r="D5590" s="2" t="s">
        <v>26</v>
      </c>
      <c r="E5590" s="5">
        <v>-31762</v>
      </c>
      <c r="F5590" s="3" t="s">
        <v>604</v>
      </c>
      <c r="G5590" s="3" t="s">
        <v>19</v>
      </c>
      <c r="H5590" s="2" t="s">
        <v>20</v>
      </c>
      <c r="I5590" s="2" t="s">
        <v>11623</v>
      </c>
      <c r="J5590" s="3" t="str">
        <f>HYPERLINK("https://www.boe.es/gazeta/dias/1813/01/13/pdfs/GMD-1813-13.pdf#page=4","Abrir facsímil")</f>
        <v>Abrir facsímil</v>
      </c>
      <c r="K5590" s="3" t="s">
        <v>22</v>
      </c>
    </row>
    <row r="5591" spans="1:11" ht="42" customHeight="1">
      <c r="A5591" s="2" t="s">
        <v>11620</v>
      </c>
      <c r="B5591" s="2" t="s">
        <v>11621</v>
      </c>
      <c r="C5591" s="2" t="s">
        <v>34</v>
      </c>
      <c r="D5591" s="2" t="s">
        <v>35</v>
      </c>
      <c r="E5591" s="5">
        <v>-31760</v>
      </c>
      <c r="F5591" s="3" t="s">
        <v>3670</v>
      </c>
      <c r="G5591" s="3" t="s">
        <v>19</v>
      </c>
      <c r="H5591" s="2" t="s">
        <v>20</v>
      </c>
      <c r="I5591" s="2" t="s">
        <v>11624</v>
      </c>
      <c r="J5591" s="3" t="str">
        <f>HYPERLINK("https://www.boe.es/gazeta/dias/1813/01/15/pdfs/GMD-1813-15.pdf#page=4","Abrir facsímil")</f>
        <v>Abrir facsímil</v>
      </c>
      <c r="K5591" s="3" t="s">
        <v>22</v>
      </c>
    </row>
    <row r="5592" spans="1:11" ht="42" customHeight="1">
      <c r="A5592" s="2" t="s">
        <v>11620</v>
      </c>
      <c r="B5592" s="2" t="s">
        <v>11621</v>
      </c>
      <c r="C5592" s="2" t="s">
        <v>25</v>
      </c>
      <c r="D5592" s="2" t="s">
        <v>26</v>
      </c>
      <c r="E5592" s="5">
        <v>-31730</v>
      </c>
      <c r="F5592" s="3" t="s">
        <v>2497</v>
      </c>
      <c r="G5592" s="3" t="s">
        <v>19</v>
      </c>
      <c r="H5592" s="2" t="s">
        <v>20</v>
      </c>
      <c r="I5592" s="2" t="s">
        <v>11625</v>
      </c>
      <c r="J5592" s="3" t="str">
        <f>HYPERLINK("https://www.boe.es/gazeta/dias/1813/02/14/pdfs/GMD-1813-45.pdf#page=4","Abrir facsímil")</f>
        <v>Abrir facsímil</v>
      </c>
      <c r="K5592" s="3" t="s">
        <v>22</v>
      </c>
    </row>
    <row r="5593" spans="1:11" ht="42" customHeight="1">
      <c r="A5593" s="2" t="s">
        <v>11620</v>
      </c>
      <c r="B5593" s="2" t="s">
        <v>11621</v>
      </c>
      <c r="C5593" s="2" t="s">
        <v>34</v>
      </c>
      <c r="D5593" s="2" t="s">
        <v>35</v>
      </c>
      <c r="E5593" s="5">
        <v>-31716</v>
      </c>
      <c r="F5593" s="3" t="s">
        <v>1652</v>
      </c>
      <c r="G5593" s="3" t="s">
        <v>19</v>
      </c>
      <c r="H5593" s="2" t="s">
        <v>20</v>
      </c>
      <c r="I5593" s="2" t="s">
        <v>11626</v>
      </c>
      <c r="J5593" s="3" t="str">
        <f>HYPERLINK("https://www.boe.es/gazeta/dias/1813/02/28/pdfs/GMD-1813-59.pdf#page=4","Abrir facsímil")</f>
        <v>Abrir facsímil</v>
      </c>
      <c r="K5593" s="3" t="s">
        <v>22</v>
      </c>
    </row>
    <row r="5594" spans="1:11" ht="42" customHeight="1">
      <c r="A5594" s="2" t="s">
        <v>11620</v>
      </c>
      <c r="B5594" s="2" t="s">
        <v>11621</v>
      </c>
      <c r="C5594" s="2" t="s">
        <v>16</v>
      </c>
      <c r="D5594" s="2" t="s">
        <v>17</v>
      </c>
      <c r="E5594" s="5">
        <v>-31711</v>
      </c>
      <c r="F5594" s="3" t="s">
        <v>90</v>
      </c>
      <c r="G5594" s="3" t="s">
        <v>54</v>
      </c>
      <c r="H5594" s="2" t="s">
        <v>20</v>
      </c>
      <c r="I5594" s="2" t="s">
        <v>11627</v>
      </c>
      <c r="J5594" s="3" t="str">
        <f>HYPERLINK("https://www.boe.es/gazeta/dias/1813/03/05/pdfs/GMD-1813-64.pdf#page=3","Abrir facsímil")</f>
        <v>Abrir facsímil</v>
      </c>
      <c r="K5594" s="3" t="s">
        <v>22</v>
      </c>
    </row>
    <row r="5595" spans="1:11" ht="42" customHeight="1">
      <c r="A5595" s="2" t="s">
        <v>11620</v>
      </c>
      <c r="B5595" s="2" t="s">
        <v>11621</v>
      </c>
      <c r="C5595" s="2" t="s">
        <v>16</v>
      </c>
      <c r="D5595" s="2" t="s">
        <v>17</v>
      </c>
      <c r="E5595" s="5">
        <v>-31709</v>
      </c>
      <c r="F5595" s="3" t="s">
        <v>36</v>
      </c>
      <c r="G5595" s="3" t="s">
        <v>58</v>
      </c>
      <c r="H5595" s="2" t="s">
        <v>20</v>
      </c>
      <c r="I5595" s="2" t="s">
        <v>11628</v>
      </c>
      <c r="J5595" s="3" t="str">
        <f>HYPERLINK("https://www.boe.es/gazeta/dias/1813/03/07/pdfs/GMD-1813-66.pdf#page=2","Abrir facsímil")</f>
        <v>Abrir facsímil</v>
      </c>
      <c r="K5595" s="3" t="s">
        <v>22</v>
      </c>
    </row>
    <row r="5596" spans="1:11" ht="42" customHeight="1">
      <c r="A5596" s="2" t="s">
        <v>11620</v>
      </c>
      <c r="B5596" s="2" t="s">
        <v>11621</v>
      </c>
      <c r="C5596" s="2" t="s">
        <v>25</v>
      </c>
      <c r="D5596" s="2" t="s">
        <v>26</v>
      </c>
      <c r="E5596" s="5">
        <v>-31705</v>
      </c>
      <c r="F5596" s="3" t="s">
        <v>4455</v>
      </c>
      <c r="G5596" s="3" t="s">
        <v>19</v>
      </c>
      <c r="H5596" s="2" t="s">
        <v>20</v>
      </c>
      <c r="I5596" s="2" t="s">
        <v>11629</v>
      </c>
      <c r="J5596" s="3" t="str">
        <f>HYPERLINK("https://www.boe.es/gazeta/dias/1813/03/11/pdfs/GMD-1813-70.pdf#page=4","Abrir facsímil")</f>
        <v>Abrir facsímil</v>
      </c>
      <c r="K5596" s="3" t="s">
        <v>22</v>
      </c>
    </row>
    <row r="5597" spans="1:11" ht="42" customHeight="1">
      <c r="A5597" s="2" t="s">
        <v>11620</v>
      </c>
      <c r="B5597" s="2" t="s">
        <v>11621</v>
      </c>
      <c r="C5597" s="2" t="s">
        <v>16</v>
      </c>
      <c r="D5597" s="2" t="s">
        <v>17</v>
      </c>
      <c r="E5597" s="5">
        <v>-31683</v>
      </c>
      <c r="F5597" s="3" t="s">
        <v>1213</v>
      </c>
      <c r="G5597" s="3" t="s">
        <v>19</v>
      </c>
      <c r="H5597" s="2" t="s">
        <v>20</v>
      </c>
      <c r="I5597" s="2" t="s">
        <v>11630</v>
      </c>
      <c r="J5597" s="3" t="str">
        <f>HYPERLINK("https://www.boe.es/gazeta/dias/1813/04/02/pdfs/GMD-1813-92.pdf#page=4","Abrir facsímil")</f>
        <v>Abrir facsímil</v>
      </c>
      <c r="K5597" s="3" t="s">
        <v>22</v>
      </c>
    </row>
    <row r="5598" spans="1:11" ht="42" customHeight="1">
      <c r="A5598" s="2" t="s">
        <v>11620</v>
      </c>
      <c r="B5598" s="2" t="s">
        <v>11621</v>
      </c>
      <c r="C5598" s="2" t="s">
        <v>16</v>
      </c>
      <c r="D5598" s="2" t="s">
        <v>17</v>
      </c>
      <c r="E5598" s="5">
        <v>-31641</v>
      </c>
      <c r="F5598" s="3" t="s">
        <v>6522</v>
      </c>
      <c r="G5598" s="3" t="s">
        <v>19</v>
      </c>
      <c r="H5598" s="2" t="s">
        <v>20</v>
      </c>
      <c r="I5598" s="2" t="s">
        <v>11631</v>
      </c>
      <c r="J5598" s="3" t="str">
        <f>HYPERLINK("https://www.boe.es/gazeta/dias/1813/05/14/pdfs/GMD-1813-134.pdf#page=4","Abrir facsímil")</f>
        <v>Abrir facsímil</v>
      </c>
      <c r="K5598" s="3" t="s">
        <v>22</v>
      </c>
    </row>
    <row r="5599" spans="1:11" ht="42" customHeight="1">
      <c r="A5599" s="2" t="s">
        <v>11632</v>
      </c>
      <c r="B5599" s="2" t="s">
        <v>11632</v>
      </c>
      <c r="C5599" s="2" t="s">
        <v>16</v>
      </c>
      <c r="D5599" s="2" t="s">
        <v>17</v>
      </c>
      <c r="E5599" s="5">
        <v>-31453</v>
      </c>
      <c r="F5599" s="3" t="s">
        <v>695</v>
      </c>
      <c r="G5599" s="3" t="s">
        <v>54</v>
      </c>
      <c r="H5599" s="2" t="s">
        <v>20</v>
      </c>
      <c r="I5599" s="2" t="s">
        <v>11633</v>
      </c>
      <c r="J5599" s="3" t="str">
        <f>HYPERLINK("https://www.boe.es/gazeta/dias/1813/11/18/pdfs/GRE-1813-151.pdf#page=3","Abrir facsímil")</f>
        <v>Abrir facsímil</v>
      </c>
      <c r="K5599" s="3" t="s">
        <v>22</v>
      </c>
    </row>
    <row r="5600" spans="1:11" ht="42" customHeight="1">
      <c r="A5600" s="2" t="s">
        <v>11634</v>
      </c>
      <c r="B5600" s="2" t="s">
        <v>11634</v>
      </c>
      <c r="C5600" s="2" t="s">
        <v>16</v>
      </c>
      <c r="D5600" s="2" t="s">
        <v>17</v>
      </c>
      <c r="E5600" s="5">
        <v>-31488</v>
      </c>
      <c r="F5600" s="3" t="s">
        <v>1023</v>
      </c>
      <c r="G5600" s="3" t="s">
        <v>54</v>
      </c>
      <c r="H5600" s="2" t="s">
        <v>20</v>
      </c>
      <c r="I5600" s="2" t="s">
        <v>11635</v>
      </c>
      <c r="J5600" s="3" t="str">
        <f>HYPERLINK("https://www.boe.es/gazeta/dias/1813/10/14/pdfs/GRE-1813-134.pdf#page=3","Abrir facsímil")</f>
        <v>Abrir facsímil</v>
      </c>
      <c r="K5600" s="3" t="s">
        <v>22</v>
      </c>
    </row>
    <row r="5601" spans="1:11" ht="42" customHeight="1">
      <c r="A5601" s="2" t="s">
        <v>11636</v>
      </c>
      <c r="B5601" s="2" t="s">
        <v>11636</v>
      </c>
      <c r="C5601" s="2" t="s">
        <v>25</v>
      </c>
      <c r="D5601" s="2" t="s">
        <v>26</v>
      </c>
      <c r="E5601" s="5">
        <v>-31488</v>
      </c>
      <c r="F5601" s="3" t="s">
        <v>1023</v>
      </c>
      <c r="G5601" s="3" t="s">
        <v>82</v>
      </c>
      <c r="H5601" s="2" t="s">
        <v>20</v>
      </c>
      <c r="I5601" s="2" t="s">
        <v>11637</v>
      </c>
      <c r="J5601" s="3" t="str">
        <f>HYPERLINK("https://www.boe.es/gazeta/dias/1813/10/14/pdfs/GRE-1813-134.pdf#page=5","Abrir facsímil")</f>
        <v>Abrir facsímil</v>
      </c>
      <c r="K5601" s="3" t="s">
        <v>22</v>
      </c>
    </row>
    <row r="5602" spans="1:11" ht="42" customHeight="1">
      <c r="A5602" s="2" t="s">
        <v>11638</v>
      </c>
      <c r="B5602" s="2" t="s">
        <v>11638</v>
      </c>
      <c r="C5602" s="2" t="s">
        <v>16</v>
      </c>
      <c r="D5602" s="2" t="s">
        <v>17</v>
      </c>
      <c r="E5602" s="5">
        <v>-31773</v>
      </c>
      <c r="F5602" s="3" t="s">
        <v>3667</v>
      </c>
      <c r="G5602" s="3" t="s">
        <v>3375</v>
      </c>
      <c r="H5602" s="2" t="s">
        <v>20</v>
      </c>
      <c r="I5602" s="2" t="s">
        <v>11639</v>
      </c>
      <c r="J5602" s="3" t="str">
        <f>HYPERLINK("https://www.boe.es/gazeta/dias/1813/01/02/pdfs/GRE-1813-1.pdf#page=3","Abrir facsímil")</f>
        <v>Abrir facsímil</v>
      </c>
      <c r="K5602" s="3" t="s">
        <v>22</v>
      </c>
    </row>
    <row r="5603" spans="1:11" ht="42" customHeight="1">
      <c r="A5603" s="2" t="s">
        <v>11640</v>
      </c>
      <c r="B5603" s="2" t="s">
        <v>11640</v>
      </c>
      <c r="C5603" s="2" t="s">
        <v>16</v>
      </c>
      <c r="D5603" s="2" t="s">
        <v>17</v>
      </c>
      <c r="E5603" s="5">
        <v>-31411</v>
      </c>
      <c r="F5603" s="3" t="s">
        <v>2306</v>
      </c>
      <c r="G5603" s="3" t="s">
        <v>54</v>
      </c>
      <c r="H5603" s="2" t="s">
        <v>20</v>
      </c>
      <c r="I5603" s="2" t="s">
        <v>11641</v>
      </c>
      <c r="J5603" s="3" t="str">
        <f>HYPERLINK("https://www.boe.es/gazeta/dias/1813/12/30/pdfs/GMR-1813-94.pdf#page=3","Abrir facsímil")</f>
        <v>Abrir facsímil</v>
      </c>
      <c r="K5603" s="3" t="s">
        <v>22</v>
      </c>
    </row>
    <row r="5604" spans="1:11" ht="42" customHeight="1">
      <c r="A5604" s="2" t="s">
        <v>11642</v>
      </c>
      <c r="B5604" s="2" t="s">
        <v>11643</v>
      </c>
      <c r="C5604" s="2" t="s">
        <v>16</v>
      </c>
      <c r="D5604" s="2" t="s">
        <v>97</v>
      </c>
      <c r="E5604" s="5">
        <v>-31519</v>
      </c>
      <c r="F5604" s="3" t="s">
        <v>312</v>
      </c>
      <c r="G5604" s="3" t="s">
        <v>28</v>
      </c>
      <c r="H5604" s="2" t="s">
        <v>20</v>
      </c>
      <c r="I5604" s="2" t="s">
        <v>11644</v>
      </c>
      <c r="J5604" s="3" t="str">
        <f>HYPERLINK("https://www.boe.es/gazeta/dias/1813/09/13/pdfs/GRE-1813-118E.pdf#page=8","Abrir facsímil")</f>
        <v>Abrir facsímil</v>
      </c>
      <c r="K5604" s="3" t="s">
        <v>22</v>
      </c>
    </row>
    <row r="5605" spans="1:11" ht="42" customHeight="1">
      <c r="A5605" s="2" t="s">
        <v>11645</v>
      </c>
      <c r="B5605" s="2" t="s">
        <v>11645</v>
      </c>
      <c r="C5605" s="2" t="s">
        <v>34</v>
      </c>
      <c r="D5605" s="2" t="s">
        <v>35</v>
      </c>
      <c r="E5605" s="5">
        <v>-31708</v>
      </c>
      <c r="F5605" s="3" t="s">
        <v>166</v>
      </c>
      <c r="G5605" s="3" t="s">
        <v>167</v>
      </c>
      <c r="H5605" s="2" t="s">
        <v>20</v>
      </c>
      <c r="I5605" s="2" t="s">
        <v>11646</v>
      </c>
      <c r="J5605" s="3" t="str">
        <f>HYPERLINK("https://www.boe.es/gazeta/dias/1813/03/08/pdfs/GMD-1813-67.pdf#page=3","Abrir facsímil")</f>
        <v>Abrir facsímil</v>
      </c>
      <c r="K5605" s="3" t="s">
        <v>22</v>
      </c>
    </row>
    <row r="5606" spans="1:11" ht="42" customHeight="1">
      <c r="A5606" s="2" t="s">
        <v>11647</v>
      </c>
      <c r="B5606" s="2" t="s">
        <v>11647</v>
      </c>
      <c r="C5606" s="2" t="s">
        <v>16</v>
      </c>
      <c r="D5606" s="2" t="s">
        <v>17</v>
      </c>
      <c r="E5606" s="5">
        <v>-31763</v>
      </c>
      <c r="F5606" s="3" t="s">
        <v>668</v>
      </c>
      <c r="G5606" s="3" t="s">
        <v>82</v>
      </c>
      <c r="H5606" s="2" t="s">
        <v>20</v>
      </c>
      <c r="I5606" s="2" t="s">
        <v>11648</v>
      </c>
      <c r="J5606" s="3" t="str">
        <f>HYPERLINK("https://www.boe.es/gazeta/dias/1813/01/12/pdfs/GRE-1813-5.pdf#page=5","Abrir facsímil")</f>
        <v>Abrir facsímil</v>
      </c>
      <c r="K5606" s="3" t="s">
        <v>22</v>
      </c>
    </row>
    <row r="5607" spans="1:11" ht="42" customHeight="1">
      <c r="A5607" s="2" t="s">
        <v>11649</v>
      </c>
      <c r="B5607" s="2" t="s">
        <v>11650</v>
      </c>
      <c r="C5607" s="2" t="s">
        <v>16</v>
      </c>
      <c r="D5607" s="2" t="s">
        <v>17</v>
      </c>
      <c r="E5607" s="5">
        <v>-31740</v>
      </c>
      <c r="F5607" s="3" t="s">
        <v>354</v>
      </c>
      <c r="G5607" s="3" t="s">
        <v>19</v>
      </c>
      <c r="H5607" s="2" t="s">
        <v>20</v>
      </c>
      <c r="I5607" s="2" t="s">
        <v>11651</v>
      </c>
      <c r="J5607" s="3" t="str">
        <f>HYPERLINK("https://www.boe.es/gazeta/dias/1813/02/04/pdfs/GRE-1813-15.pdf#page=4","Abrir facsímil")</f>
        <v>Abrir facsímil</v>
      </c>
      <c r="K5607" s="3" t="s">
        <v>22</v>
      </c>
    </row>
    <row r="5608" spans="1:11" ht="42" customHeight="1">
      <c r="A5608" s="2" t="s">
        <v>11652</v>
      </c>
      <c r="B5608" s="2" t="s">
        <v>11653</v>
      </c>
      <c r="C5608" s="2" t="s">
        <v>25</v>
      </c>
      <c r="D5608" s="2" t="s">
        <v>26</v>
      </c>
      <c r="E5608" s="5">
        <v>-31754</v>
      </c>
      <c r="F5608" s="3" t="s">
        <v>899</v>
      </c>
      <c r="G5608" s="3" t="s">
        <v>900</v>
      </c>
      <c r="H5608" s="2" t="s">
        <v>20</v>
      </c>
      <c r="I5608" s="2" t="s">
        <v>11654</v>
      </c>
      <c r="J5608" s="3" t="str">
        <f>HYPERLINK("https://www.boe.es/gazeta/dias/1813/01/21/pdfs/GRE-1813-9.pdf#page=8","Abrir facsímil")</f>
        <v>Abrir facsímil</v>
      </c>
      <c r="K5608" s="3" t="s">
        <v>22</v>
      </c>
    </row>
    <row r="5609" spans="1:11" ht="42" customHeight="1">
      <c r="A5609" s="2" t="s">
        <v>11655</v>
      </c>
      <c r="B5609" s="2" t="s">
        <v>11656</v>
      </c>
      <c r="C5609" s="2" t="s">
        <v>16</v>
      </c>
      <c r="D5609" s="2" t="s">
        <v>17</v>
      </c>
      <c r="E5609" s="5">
        <v>-31714</v>
      </c>
      <c r="F5609" s="3" t="s">
        <v>479</v>
      </c>
      <c r="G5609" s="3" t="s">
        <v>480</v>
      </c>
      <c r="H5609" s="2" t="s">
        <v>20</v>
      </c>
      <c r="I5609" s="2" t="s">
        <v>11657</v>
      </c>
      <c r="J5609" s="3" t="str">
        <f>HYPERLINK("https://www.boe.es/gazeta/dias/1813/03/02/pdfs/GRE-1813-27.pdf#page=5","Abrir facsímil")</f>
        <v>Abrir facsímil</v>
      </c>
      <c r="K5609" s="3" t="s">
        <v>22</v>
      </c>
    </row>
    <row r="5610" spans="1:11" ht="42" customHeight="1">
      <c r="A5610" s="2" t="s">
        <v>11658</v>
      </c>
      <c r="B5610" s="2" t="s">
        <v>11659</v>
      </c>
      <c r="C5610" s="2" t="s">
        <v>25</v>
      </c>
      <c r="D5610" s="2" t="s">
        <v>26</v>
      </c>
      <c r="E5610" s="5">
        <v>-31752</v>
      </c>
      <c r="F5610" s="3" t="s">
        <v>182</v>
      </c>
      <c r="G5610" s="3" t="s">
        <v>183</v>
      </c>
      <c r="H5610" s="2" t="s">
        <v>20</v>
      </c>
      <c r="I5610" s="2" t="s">
        <v>11660</v>
      </c>
      <c r="J5610" s="3" t="str">
        <f>HYPERLINK("https://www.boe.es/gazeta/dias/1813/01/23/pdfs/GRE-1813-10.pdf#page=8","Abrir facsímil")</f>
        <v>Abrir facsímil</v>
      </c>
      <c r="K5610" s="3" t="s">
        <v>22</v>
      </c>
    </row>
    <row r="5611" spans="1:11" ht="42" customHeight="1">
      <c r="A5611" s="2" t="s">
        <v>11661</v>
      </c>
      <c r="B5611" s="2" t="s">
        <v>11662</v>
      </c>
      <c r="C5611" s="2" t="s">
        <v>16</v>
      </c>
      <c r="D5611" s="2" t="s">
        <v>17</v>
      </c>
      <c r="E5611" s="5">
        <v>-31598</v>
      </c>
      <c r="F5611" s="3" t="s">
        <v>286</v>
      </c>
      <c r="G5611" s="3" t="s">
        <v>87</v>
      </c>
      <c r="H5611" s="2" t="s">
        <v>20</v>
      </c>
      <c r="I5611" s="2" t="s">
        <v>11663</v>
      </c>
      <c r="J5611" s="3" t="str">
        <f>HYPERLINK("https://www.boe.es/gazeta/dias/1813/06/26/pdfs/GRE-1813-79.pdf#page=7","Abrir facsímil")</f>
        <v>Abrir facsímil</v>
      </c>
      <c r="K5611" s="3" t="s">
        <v>22</v>
      </c>
    </row>
    <row r="5612" spans="1:11" ht="42" customHeight="1">
      <c r="A5612" s="2" t="s">
        <v>11661</v>
      </c>
      <c r="B5612" s="2" t="s">
        <v>11662</v>
      </c>
      <c r="C5612" s="2" t="s">
        <v>34</v>
      </c>
      <c r="D5612" s="2" t="s">
        <v>35</v>
      </c>
      <c r="E5612" s="5">
        <v>-31518</v>
      </c>
      <c r="F5612" s="3" t="s">
        <v>155</v>
      </c>
      <c r="G5612" s="3" t="s">
        <v>95</v>
      </c>
      <c r="H5612" s="2" t="s">
        <v>20</v>
      </c>
      <c r="I5612" s="2" t="s">
        <v>11664</v>
      </c>
      <c r="J5612" s="3" t="str">
        <f>HYPERLINK("https://www.boe.es/gazeta/dias/1813/09/14/pdfs/GRE-1813-119.pdf#page=6","Abrir facsímil")</f>
        <v>Abrir facsímil</v>
      </c>
      <c r="K5612" s="3" t="s">
        <v>22</v>
      </c>
    </row>
    <row r="5613" spans="1:11" ht="42" customHeight="1">
      <c r="A5613" s="2" t="s">
        <v>11665</v>
      </c>
      <c r="B5613" s="2" t="s">
        <v>11666</v>
      </c>
      <c r="C5613" s="2" t="s">
        <v>34</v>
      </c>
      <c r="D5613" s="2" t="s">
        <v>35</v>
      </c>
      <c r="E5613" s="5">
        <v>-31709</v>
      </c>
      <c r="F5613" s="3" t="s">
        <v>36</v>
      </c>
      <c r="G5613" s="3" t="s">
        <v>303</v>
      </c>
      <c r="H5613" s="2" t="s">
        <v>20</v>
      </c>
      <c r="I5613" s="2" t="s">
        <v>11667</v>
      </c>
      <c r="J5613" s="3" t="str">
        <f>HYPERLINK("https://www.boe.es/gazeta/dias/1813/03/07/pdfs/GMD-1813-66.pdf#page=3","Abrir facsímil")</f>
        <v>Abrir facsímil</v>
      </c>
      <c r="K5613" s="3" t="s">
        <v>22</v>
      </c>
    </row>
    <row r="5614" spans="1:11" ht="42" customHeight="1">
      <c r="A5614" s="2" t="s">
        <v>11668</v>
      </c>
      <c r="B5614" s="2" t="s">
        <v>11669</v>
      </c>
      <c r="C5614" s="2" t="s">
        <v>435</v>
      </c>
      <c r="D5614" s="2" t="s">
        <v>26</v>
      </c>
      <c r="E5614" s="5">
        <v>-31574</v>
      </c>
      <c r="F5614" s="3" t="s">
        <v>1343</v>
      </c>
      <c r="G5614" s="3" t="s">
        <v>82</v>
      </c>
      <c r="H5614" s="2" t="s">
        <v>20</v>
      </c>
      <c r="I5614" s="2" t="s">
        <v>11670</v>
      </c>
      <c r="J5614" s="3" t="str">
        <f>HYPERLINK("https://www.boe.es/gazeta/dias/1813/07/20/pdfs/GMR-1813-19.pdf#page=5","Abrir facsímil")</f>
        <v>Abrir facsímil</v>
      </c>
      <c r="K5614" s="3" t="s">
        <v>22</v>
      </c>
    </row>
    <row r="5615" spans="1:11" ht="42" customHeight="1">
      <c r="A5615" s="2" t="s">
        <v>11671</v>
      </c>
      <c r="B5615" s="2" t="s">
        <v>11672</v>
      </c>
      <c r="C5615" s="2" t="s">
        <v>16</v>
      </c>
      <c r="D5615" s="2" t="s">
        <v>17</v>
      </c>
      <c r="E5615" s="5">
        <v>-31591</v>
      </c>
      <c r="F5615" s="3" t="s">
        <v>2123</v>
      </c>
      <c r="G5615" s="3" t="s">
        <v>82</v>
      </c>
      <c r="H5615" s="2" t="s">
        <v>20</v>
      </c>
      <c r="I5615" s="2" t="s">
        <v>11673</v>
      </c>
      <c r="J5615" s="3" t="str">
        <f>HYPERLINK("https://www.boe.es/gazeta/dias/1813/07/03/pdfs/GRE-1813-83.pdf#page=5","Abrir facsímil")</f>
        <v>Abrir facsímil</v>
      </c>
      <c r="K5615" s="3" t="s">
        <v>22</v>
      </c>
    </row>
    <row r="5616" spans="1:11" ht="42" customHeight="1">
      <c r="A5616" s="2" t="s">
        <v>11674</v>
      </c>
      <c r="B5616" s="2" t="s">
        <v>11675</v>
      </c>
      <c r="C5616" s="2" t="s">
        <v>25</v>
      </c>
      <c r="D5616" s="2" t="s">
        <v>26</v>
      </c>
      <c r="E5616" s="5">
        <v>-31754</v>
      </c>
      <c r="F5616" s="3" t="s">
        <v>899</v>
      </c>
      <c r="G5616" s="3" t="s">
        <v>900</v>
      </c>
      <c r="H5616" s="2" t="s">
        <v>20</v>
      </c>
      <c r="I5616" s="2" t="s">
        <v>11676</v>
      </c>
      <c r="J5616" s="3" t="str">
        <f>HYPERLINK("https://www.boe.es/gazeta/dias/1813/01/21/pdfs/GRE-1813-9.pdf#page=8","Abrir facsímil")</f>
        <v>Abrir facsímil</v>
      </c>
      <c r="K5616" s="3" t="s">
        <v>22</v>
      </c>
    </row>
    <row r="5617" spans="1:11" ht="42" customHeight="1">
      <c r="A5617" s="2" t="s">
        <v>11677</v>
      </c>
      <c r="B5617" s="2" t="s">
        <v>11678</v>
      </c>
      <c r="C5617" s="2" t="s">
        <v>16</v>
      </c>
      <c r="D5617" s="2" t="s">
        <v>17</v>
      </c>
      <c r="E5617" s="5">
        <v>-31530</v>
      </c>
      <c r="F5617" s="3" t="s">
        <v>319</v>
      </c>
      <c r="G5617" s="3" t="s">
        <v>320</v>
      </c>
      <c r="H5617" s="2" t="s">
        <v>29</v>
      </c>
      <c r="I5617" s="2" t="s">
        <v>11679</v>
      </c>
      <c r="J5617" s="3" t="str">
        <f>HYPERLINK("https://www.boe.es/gazeta/dias/1813/09/02/pdfs/GRE-1813-112.pdf#page=6","Abrir facsímil")</f>
        <v>Abrir facsímil</v>
      </c>
      <c r="K5617" s="3" t="s">
        <v>31</v>
      </c>
    </row>
    <row r="5618" spans="1:11" ht="42" customHeight="1">
      <c r="A5618" s="2" t="s">
        <v>11680</v>
      </c>
      <c r="B5618" s="2" t="s">
        <v>11681</v>
      </c>
      <c r="C5618" s="2" t="s">
        <v>16</v>
      </c>
      <c r="D5618" s="2" t="s">
        <v>17</v>
      </c>
      <c r="E5618" s="5">
        <v>-31621</v>
      </c>
      <c r="F5618" s="3" t="s">
        <v>1825</v>
      </c>
      <c r="G5618" s="3" t="s">
        <v>19</v>
      </c>
      <c r="H5618" s="2" t="s">
        <v>29</v>
      </c>
      <c r="I5618" s="2" t="s">
        <v>11682</v>
      </c>
      <c r="J5618" s="3" t="str">
        <f>HYPERLINK("https://www.boe.es/gazeta/dias/1813/06/03/pdfs/GMR-1813-1.pdf#page=4","Abrir facsímil")</f>
        <v>Abrir facsímil</v>
      </c>
      <c r="K5618" s="3" t="s">
        <v>31</v>
      </c>
    </row>
    <row r="5619" spans="1:11" ht="42" customHeight="1">
      <c r="A5619" s="2" t="s">
        <v>11683</v>
      </c>
      <c r="B5619" s="2" t="s">
        <v>11684</v>
      </c>
      <c r="C5619" s="2" t="s">
        <v>16</v>
      </c>
      <c r="D5619" s="2" t="s">
        <v>17</v>
      </c>
      <c r="E5619" s="5">
        <v>-31628</v>
      </c>
      <c r="F5619" s="3" t="s">
        <v>358</v>
      </c>
      <c r="G5619" s="3" t="s">
        <v>28</v>
      </c>
      <c r="H5619" s="2" t="s">
        <v>29</v>
      </c>
      <c r="I5619" s="2" t="s">
        <v>11685</v>
      </c>
      <c r="J5619" s="3" t="str">
        <f>HYPERLINK("https://www.boe.es/gazeta/dias/1813/05/27/pdfs/GRE-1813-65.pdf#page=8","Abrir facsímil")</f>
        <v>Abrir facsímil</v>
      </c>
      <c r="K5619" s="3" t="s">
        <v>31</v>
      </c>
    </row>
    <row r="5620" spans="1:11" ht="42" customHeight="1">
      <c r="A5620" s="2" t="s">
        <v>11683</v>
      </c>
      <c r="B5620" s="2" t="s">
        <v>11684</v>
      </c>
      <c r="C5620" s="2" t="s">
        <v>16</v>
      </c>
      <c r="D5620" s="2" t="s">
        <v>17</v>
      </c>
      <c r="E5620" s="5">
        <v>-31537</v>
      </c>
      <c r="F5620" s="3" t="s">
        <v>5241</v>
      </c>
      <c r="G5620" s="3" t="s">
        <v>7105</v>
      </c>
      <c r="H5620" s="2" t="s">
        <v>29</v>
      </c>
      <c r="I5620" s="2" t="s">
        <v>11686</v>
      </c>
      <c r="J5620" s="3" t="str">
        <f>HYPERLINK("https://www.boe.es/gazeta/dias/1813/08/26/pdfs/GRE-1813-109.pdf#page=7","Abrir facsímil")</f>
        <v>Abrir facsímil</v>
      </c>
      <c r="K5620" s="3" t="s">
        <v>31</v>
      </c>
    </row>
    <row r="5621" spans="1:11" ht="42" customHeight="1">
      <c r="A5621" s="2" t="s">
        <v>11683</v>
      </c>
      <c r="B5621" s="2" t="s">
        <v>11684</v>
      </c>
      <c r="C5621" s="2" t="s">
        <v>16</v>
      </c>
      <c r="D5621" s="2" t="s">
        <v>17</v>
      </c>
      <c r="E5621" s="5">
        <v>-31530</v>
      </c>
      <c r="F5621" s="3" t="s">
        <v>133</v>
      </c>
      <c r="G5621" s="3" t="s">
        <v>19</v>
      </c>
      <c r="H5621" s="2" t="s">
        <v>29</v>
      </c>
      <c r="I5621" s="2" t="s">
        <v>11687</v>
      </c>
      <c r="J5621" s="3" t="str">
        <f>HYPERLINK("https://www.boe.es/gazeta/dias/1813/09/02/pdfs/GMR-1813-36.pdf#page=4","Abrir facsímil")</f>
        <v>Abrir facsímil</v>
      </c>
      <c r="K5621" s="3" t="s">
        <v>31</v>
      </c>
    </row>
    <row r="5622" spans="1:11" ht="42" customHeight="1">
      <c r="A5622" s="2" t="s">
        <v>11683</v>
      </c>
      <c r="B5622" s="2" t="s">
        <v>11684</v>
      </c>
      <c r="C5622" s="2" t="s">
        <v>16</v>
      </c>
      <c r="D5622" s="2" t="s">
        <v>17</v>
      </c>
      <c r="E5622" s="5">
        <v>-31462</v>
      </c>
      <c r="F5622" s="3" t="s">
        <v>542</v>
      </c>
      <c r="G5622" s="3" t="s">
        <v>9263</v>
      </c>
      <c r="H5622" s="2" t="s">
        <v>29</v>
      </c>
      <c r="I5622" s="2" t="s">
        <v>11688</v>
      </c>
      <c r="J5622" s="3" t="str">
        <f>HYPERLINK("https://www.boe.es/gazeta/dias/1813/11/09/pdfs/GRE-1813-146.pdf#page=8","Abrir facsímil")</f>
        <v>Abrir facsímil</v>
      </c>
      <c r="K5622" s="3" t="s">
        <v>31</v>
      </c>
    </row>
    <row r="5623" spans="1:11" ht="42" customHeight="1">
      <c r="A5623" s="2" t="s">
        <v>11689</v>
      </c>
      <c r="B5623" s="2" t="s">
        <v>11690</v>
      </c>
      <c r="C5623" s="2" t="s">
        <v>16</v>
      </c>
      <c r="D5623" s="2" t="s">
        <v>17</v>
      </c>
      <c r="E5623" s="5">
        <v>-31467</v>
      </c>
      <c r="F5623" s="3" t="s">
        <v>1464</v>
      </c>
      <c r="G5623" s="3" t="s">
        <v>6318</v>
      </c>
      <c r="H5623" s="2" t="s">
        <v>29</v>
      </c>
      <c r="I5623" s="2" t="s">
        <v>11691</v>
      </c>
      <c r="J5623" s="3" t="str">
        <f>HYPERLINK("https://www.boe.es/gazeta/dias/1813/11/04/pdfs/GRE-1813-144.pdf#page=3","Abrir facsímil")</f>
        <v>Abrir facsímil</v>
      </c>
      <c r="K5623" s="3" t="s">
        <v>31</v>
      </c>
    </row>
    <row r="5624" spans="1:11" ht="42" customHeight="1">
      <c r="A5624" s="2" t="s">
        <v>11692</v>
      </c>
      <c r="B5624" s="2" t="s">
        <v>11693</v>
      </c>
      <c r="C5624" s="2" t="s">
        <v>16</v>
      </c>
      <c r="D5624" s="2" t="s">
        <v>17</v>
      </c>
      <c r="E5624" s="5">
        <v>-31721</v>
      </c>
      <c r="F5624" s="3" t="s">
        <v>562</v>
      </c>
      <c r="G5624" s="3" t="s">
        <v>3585</v>
      </c>
      <c r="H5624" s="2" t="s">
        <v>29</v>
      </c>
      <c r="I5624" s="2" t="s">
        <v>11694</v>
      </c>
      <c r="J5624" s="3" t="str">
        <f>HYPERLINK("https://www.boe.es/gazeta/dias/1813/02/23/pdfs/GRE-1813-23.pdf#page=6","Abrir facsímil")</f>
        <v>Abrir facsímil</v>
      </c>
      <c r="K5624" s="3" t="s">
        <v>31</v>
      </c>
    </row>
    <row r="5625" spans="1:11" ht="42" customHeight="1">
      <c r="A5625" s="2" t="s">
        <v>11695</v>
      </c>
      <c r="B5625" s="2" t="s">
        <v>11696</v>
      </c>
      <c r="C5625" s="2" t="s">
        <v>34</v>
      </c>
      <c r="D5625" s="2" t="s">
        <v>35</v>
      </c>
      <c r="E5625" s="5">
        <v>-31711</v>
      </c>
      <c r="F5625" s="3" t="s">
        <v>385</v>
      </c>
      <c r="G5625" s="3" t="s">
        <v>54</v>
      </c>
      <c r="H5625" s="2" t="s">
        <v>29</v>
      </c>
      <c r="I5625" s="2" t="s">
        <v>11697</v>
      </c>
      <c r="J5625" s="3" t="str">
        <f>HYPERLINK("https://www.boe.es/gazeta/dias/1813/03/05/pdfs/GRE-1813-99.pdf#page=3","Abrir facsímil")</f>
        <v>Abrir facsímil</v>
      </c>
      <c r="K5625" s="3" t="s">
        <v>31</v>
      </c>
    </row>
    <row r="5626" spans="1:11" ht="42" customHeight="1">
      <c r="A5626" s="2" t="s">
        <v>11695</v>
      </c>
      <c r="B5626" s="2" t="s">
        <v>11696</v>
      </c>
      <c r="C5626" s="2" t="s">
        <v>16</v>
      </c>
      <c r="D5626" s="2" t="s">
        <v>17</v>
      </c>
      <c r="E5626" s="5">
        <v>-31647</v>
      </c>
      <c r="F5626" s="3" t="s">
        <v>1972</v>
      </c>
      <c r="G5626" s="3" t="s">
        <v>11698</v>
      </c>
      <c r="H5626" s="2" t="s">
        <v>29</v>
      </c>
      <c r="I5626" s="2" t="s">
        <v>11699</v>
      </c>
      <c r="J5626" s="3" t="str">
        <f>HYPERLINK("https://www.boe.es/gazeta/dias/1813/05/08/pdfs/GRE-1813-57.pdf#page=6","Abrir facsímil")</f>
        <v>Abrir facsímil</v>
      </c>
      <c r="K5626" s="3" t="s">
        <v>31</v>
      </c>
    </row>
    <row r="5627" spans="1:11" ht="42" customHeight="1">
      <c r="A5627" s="2" t="s">
        <v>11695</v>
      </c>
      <c r="B5627" s="2" t="s">
        <v>11696</v>
      </c>
      <c r="C5627" s="2" t="s">
        <v>16</v>
      </c>
      <c r="D5627" s="2" t="s">
        <v>17</v>
      </c>
      <c r="E5627" s="5">
        <v>-31644</v>
      </c>
      <c r="F5627" s="3" t="s">
        <v>3904</v>
      </c>
      <c r="G5627" s="3" t="s">
        <v>983</v>
      </c>
      <c r="H5627" s="2" t="s">
        <v>29</v>
      </c>
      <c r="I5627" s="2" t="s">
        <v>11700</v>
      </c>
      <c r="J5627" s="3" t="str">
        <f>HYPERLINK("https://www.boe.es/gazeta/dias/1813/05/11/pdfs/GRE-1813-58.pdf#page=7","Abrir facsímil")</f>
        <v>Abrir facsímil</v>
      </c>
      <c r="K5627" s="3" t="s">
        <v>31</v>
      </c>
    </row>
    <row r="5628" spans="1:11" ht="42" customHeight="1">
      <c r="A5628" s="2" t="s">
        <v>11695</v>
      </c>
      <c r="B5628" s="2" t="s">
        <v>11696</v>
      </c>
      <c r="C5628" s="2" t="s">
        <v>34</v>
      </c>
      <c r="D5628" s="2" t="s">
        <v>35</v>
      </c>
      <c r="E5628" s="5">
        <v>-31558</v>
      </c>
      <c r="F5628" s="3" t="s">
        <v>385</v>
      </c>
      <c r="G5628" s="3" t="s">
        <v>54</v>
      </c>
      <c r="H5628" s="2" t="s">
        <v>29</v>
      </c>
      <c r="I5628" s="2" t="s">
        <v>11697</v>
      </c>
      <c r="J5628" s="3" t="str">
        <f>HYPERLINK("https://www.boe.es/gazeta/dias/1813/08/05/pdfs/GRE-1813-99.pdf#page=3","Abrir facsímil")</f>
        <v>Abrir facsímil</v>
      </c>
      <c r="K5628" s="3" t="s">
        <v>31</v>
      </c>
    </row>
    <row r="5629" spans="1:11" ht="42" customHeight="1">
      <c r="A5629" s="2" t="s">
        <v>11695</v>
      </c>
      <c r="B5629" s="2" t="s">
        <v>11696</v>
      </c>
      <c r="C5629" s="2" t="s">
        <v>16</v>
      </c>
      <c r="D5629" s="2" t="s">
        <v>17</v>
      </c>
      <c r="E5629" s="5">
        <v>-31530</v>
      </c>
      <c r="F5629" s="3" t="s">
        <v>133</v>
      </c>
      <c r="G5629" s="3" t="s">
        <v>54</v>
      </c>
      <c r="H5629" s="2" t="s">
        <v>29</v>
      </c>
      <c r="I5629" s="2" t="s">
        <v>11701</v>
      </c>
      <c r="J5629" s="3" t="str">
        <f>HYPERLINK("https://www.boe.es/gazeta/dias/1813/09/02/pdfs/GMR-1813-36.pdf#page=3","Abrir facsímil")</f>
        <v>Abrir facsímil</v>
      </c>
      <c r="K5629" s="3" t="s">
        <v>31</v>
      </c>
    </row>
    <row r="5630" spans="1:11" ht="42" customHeight="1">
      <c r="A5630" s="2" t="s">
        <v>11692</v>
      </c>
      <c r="B5630" s="2" t="s">
        <v>11693</v>
      </c>
      <c r="C5630" s="2" t="s">
        <v>16</v>
      </c>
      <c r="D5630" s="2" t="s">
        <v>17</v>
      </c>
      <c r="E5630" s="5">
        <v>-31530</v>
      </c>
      <c r="F5630" s="3" t="s">
        <v>319</v>
      </c>
      <c r="G5630" s="3" t="s">
        <v>58</v>
      </c>
      <c r="H5630" s="2" t="s">
        <v>29</v>
      </c>
      <c r="I5630" s="2" t="s">
        <v>11702</v>
      </c>
      <c r="J5630" s="3" t="str">
        <f>HYPERLINK("https://www.boe.es/gazeta/dias/1813/09/02/pdfs/GRE-1813-112.pdf#page=2","Abrir facsímil")</f>
        <v>Abrir facsímil</v>
      </c>
      <c r="K5630" s="3" t="s">
        <v>31</v>
      </c>
    </row>
    <row r="5631" spans="1:11" ht="42" customHeight="1">
      <c r="A5631" s="2" t="s">
        <v>11695</v>
      </c>
      <c r="B5631" s="2" t="s">
        <v>11696</v>
      </c>
      <c r="C5631" s="2" t="s">
        <v>16</v>
      </c>
      <c r="D5631" s="2" t="s">
        <v>17</v>
      </c>
      <c r="E5631" s="5">
        <v>-31530</v>
      </c>
      <c r="F5631" s="3" t="s">
        <v>319</v>
      </c>
      <c r="G5631" s="3" t="s">
        <v>19</v>
      </c>
      <c r="H5631" s="2" t="s">
        <v>29</v>
      </c>
      <c r="I5631" s="2" t="s">
        <v>11703</v>
      </c>
      <c r="J5631" s="3" t="str">
        <f>HYPERLINK("https://www.boe.es/gazeta/dias/1813/09/02/pdfs/GRE-1813-112.pdf#page=4","Abrir facsímil")</f>
        <v>Abrir facsímil</v>
      </c>
      <c r="K5631" s="3" t="s">
        <v>31</v>
      </c>
    </row>
    <row r="5632" spans="1:11" ht="42" customHeight="1">
      <c r="A5632" s="2" t="s">
        <v>11695</v>
      </c>
      <c r="B5632" s="2" t="s">
        <v>11696</v>
      </c>
      <c r="C5632" s="2" t="s">
        <v>25</v>
      </c>
      <c r="D5632" s="2" t="s">
        <v>26</v>
      </c>
      <c r="E5632" s="5">
        <v>-31523</v>
      </c>
      <c r="F5632" s="3" t="s">
        <v>81</v>
      </c>
      <c r="G5632" s="3" t="s">
        <v>54</v>
      </c>
      <c r="H5632" s="2" t="s">
        <v>29</v>
      </c>
      <c r="I5632" s="2" t="s">
        <v>11704</v>
      </c>
      <c r="J5632" s="3" t="str">
        <f>HYPERLINK("https://www.boe.es/gazeta/dias/1813/09/09/pdfs/GRE-1813-115.pdf#page=3","Abrir facsímil")</f>
        <v>Abrir facsímil</v>
      </c>
      <c r="K5632" s="3" t="s">
        <v>31</v>
      </c>
    </row>
    <row r="5633" spans="1:11" ht="42" customHeight="1">
      <c r="A5633" s="2" t="s">
        <v>11695</v>
      </c>
      <c r="B5633" s="2" t="s">
        <v>11696</v>
      </c>
      <c r="C5633" s="2" t="s">
        <v>16</v>
      </c>
      <c r="D5633" s="2" t="s">
        <v>17</v>
      </c>
      <c r="E5633" s="5">
        <v>-31514</v>
      </c>
      <c r="F5633" s="3" t="s">
        <v>1095</v>
      </c>
      <c r="G5633" s="3" t="s">
        <v>19</v>
      </c>
      <c r="H5633" s="2" t="s">
        <v>29</v>
      </c>
      <c r="I5633" s="2" t="s">
        <v>11705</v>
      </c>
      <c r="J5633" s="3" t="str">
        <f>HYPERLINK("https://www.boe.es/gazeta/dias/1813/09/18/pdfs/GRE-1813-121.pdf#page=4","Abrir facsímil")</f>
        <v>Abrir facsímil</v>
      </c>
      <c r="K5633" s="3" t="s">
        <v>31</v>
      </c>
    </row>
    <row r="5634" spans="1:11" ht="42" customHeight="1">
      <c r="A5634" s="2" t="s">
        <v>11695</v>
      </c>
      <c r="B5634" s="2" t="s">
        <v>11696</v>
      </c>
      <c r="C5634" s="2" t="s">
        <v>16</v>
      </c>
      <c r="D5634" s="2" t="s">
        <v>17</v>
      </c>
      <c r="E5634" s="5">
        <v>-31423</v>
      </c>
      <c r="F5634" s="3" t="s">
        <v>340</v>
      </c>
      <c r="G5634" s="3" t="s">
        <v>95</v>
      </c>
      <c r="H5634" s="2" t="s">
        <v>29</v>
      </c>
      <c r="I5634" s="2" t="s">
        <v>11706</v>
      </c>
      <c r="J5634" s="3" t="str">
        <f>HYPERLINK("https://www.boe.es/gazeta/dias/1813/12/18/pdfs/GRE-1813-166.pdf#page=6","Abrir facsímil")</f>
        <v>Abrir facsímil</v>
      </c>
      <c r="K5634" s="3" t="s">
        <v>31</v>
      </c>
    </row>
    <row r="5635" spans="1:11" ht="42" customHeight="1">
      <c r="A5635" s="2" t="s">
        <v>11707</v>
      </c>
      <c r="B5635" s="2" t="s">
        <v>11708</v>
      </c>
      <c r="C5635" s="2" t="s">
        <v>16</v>
      </c>
      <c r="D5635" s="2" t="s">
        <v>17</v>
      </c>
      <c r="E5635" s="5">
        <v>-31537</v>
      </c>
      <c r="F5635" s="3" t="s">
        <v>138</v>
      </c>
      <c r="G5635" s="3" t="s">
        <v>65</v>
      </c>
      <c r="H5635" s="2" t="s">
        <v>29</v>
      </c>
      <c r="I5635" s="2" t="s">
        <v>11709</v>
      </c>
      <c r="J5635" s="3" t="str">
        <f>HYPERLINK("https://www.boe.es/gazeta/dias/1813/08/26/pdfs/GMR-1813-33.pdf#page=1","Abrir facsímil")</f>
        <v>Abrir facsímil</v>
      </c>
      <c r="K5635" s="3" t="s">
        <v>31</v>
      </c>
    </row>
    <row r="5636" spans="1:11" ht="42" customHeight="1">
      <c r="A5636" s="2" t="s">
        <v>11710</v>
      </c>
      <c r="B5636" s="2" t="s">
        <v>11711</v>
      </c>
      <c r="C5636" s="2" t="s">
        <v>16</v>
      </c>
      <c r="D5636" s="2" t="s">
        <v>17</v>
      </c>
      <c r="E5636" s="5">
        <v>-31523</v>
      </c>
      <c r="F5636" s="3" t="s">
        <v>81</v>
      </c>
      <c r="G5636" s="3" t="s">
        <v>54</v>
      </c>
      <c r="H5636" s="2" t="s">
        <v>29</v>
      </c>
      <c r="I5636" s="2" t="s">
        <v>11712</v>
      </c>
      <c r="J5636" s="3" t="str">
        <f>HYPERLINK("https://www.boe.es/gazeta/dias/1813/09/09/pdfs/GRE-1813-115.pdf#page=3","Abrir facsímil")</f>
        <v>Abrir facsímil</v>
      </c>
      <c r="K5636" s="3" t="s">
        <v>31</v>
      </c>
    </row>
    <row r="5637" spans="1:11" ht="42" customHeight="1">
      <c r="A5637" s="2" t="s">
        <v>11713</v>
      </c>
      <c r="B5637" s="2" t="s">
        <v>11714</v>
      </c>
      <c r="C5637" s="2" t="s">
        <v>34</v>
      </c>
      <c r="D5637" s="2" t="s">
        <v>35</v>
      </c>
      <c r="E5637" s="5">
        <v>-31667</v>
      </c>
      <c r="F5637" s="3" t="s">
        <v>3712</v>
      </c>
      <c r="G5637" s="3" t="s">
        <v>19</v>
      </c>
      <c r="H5637" s="2" t="s">
        <v>29</v>
      </c>
      <c r="I5637" s="2" t="s">
        <v>11715</v>
      </c>
      <c r="J5637" s="3" t="str">
        <f>HYPERLINK("https://www.boe.es/gazeta/dias/1813/04/18/pdfs/GMD-1813-108.pdf#page=4","Abrir facsímil")</f>
        <v>Abrir facsímil</v>
      </c>
      <c r="K5637" s="3" t="s">
        <v>31</v>
      </c>
    </row>
    <row r="5638" spans="1:11" ht="42" customHeight="1">
      <c r="A5638" s="2" t="s">
        <v>11716</v>
      </c>
      <c r="B5638" s="2" t="s">
        <v>11716</v>
      </c>
      <c r="C5638" s="2" t="s">
        <v>16</v>
      </c>
      <c r="D5638" s="2" t="s">
        <v>17</v>
      </c>
      <c r="E5638" s="5">
        <v>-31708</v>
      </c>
      <c r="F5638" s="3" t="s">
        <v>166</v>
      </c>
      <c r="G5638" s="3" t="s">
        <v>65</v>
      </c>
      <c r="H5638" s="2" t="s">
        <v>20</v>
      </c>
      <c r="I5638" s="2" t="s">
        <v>11717</v>
      </c>
      <c r="J5638" s="3" t="str">
        <f>HYPERLINK("https://www.boe.es/gazeta/dias/1813/03/08/pdfs/GMD-1813-67.pdf#page=1","Abrir facsímil")</f>
        <v>Abrir facsímil</v>
      </c>
      <c r="K5638" s="3" t="s">
        <v>22</v>
      </c>
    </row>
    <row r="5639" spans="1:11" ht="42" customHeight="1">
      <c r="A5639" s="2" t="s">
        <v>11718</v>
      </c>
      <c r="B5639" s="2" t="s">
        <v>11718</v>
      </c>
      <c r="C5639" s="2" t="s">
        <v>16</v>
      </c>
      <c r="D5639" s="2" t="s">
        <v>17</v>
      </c>
      <c r="E5639" s="5">
        <v>-31641</v>
      </c>
      <c r="F5639" s="3" t="s">
        <v>6522</v>
      </c>
      <c r="G5639" s="3" t="s">
        <v>65</v>
      </c>
      <c r="H5639" s="2" t="s">
        <v>20</v>
      </c>
      <c r="I5639" s="2" t="s">
        <v>11719</v>
      </c>
      <c r="J5639" s="3" t="str">
        <f>HYPERLINK("https://www.boe.es/gazeta/dias/1813/05/14/pdfs/GMD-1813-134.pdf#page=1","Abrir facsímil")</f>
        <v>Abrir facsímil</v>
      </c>
      <c r="K5639" s="3" t="s">
        <v>22</v>
      </c>
    </row>
    <row r="5640" spans="1:11" ht="42" customHeight="1">
      <c r="A5640" s="2" t="s">
        <v>11720</v>
      </c>
      <c r="B5640" s="2" t="s">
        <v>11721</v>
      </c>
      <c r="C5640" s="2" t="s">
        <v>16</v>
      </c>
      <c r="D5640" s="2" t="s">
        <v>17</v>
      </c>
      <c r="E5640" s="5">
        <v>-31542</v>
      </c>
      <c r="F5640" s="3" t="s">
        <v>347</v>
      </c>
      <c r="G5640" s="3" t="s">
        <v>82</v>
      </c>
      <c r="H5640" s="2" t="s">
        <v>20</v>
      </c>
      <c r="I5640" s="2" t="s">
        <v>11722</v>
      </c>
      <c r="J5640" s="3" t="str">
        <f>HYPERLINK("https://www.boe.es/gazeta/dias/1813/08/21/pdfs/GMR-1813-31.pdf#page=5","Abrir facsímil")</f>
        <v>Abrir facsímil</v>
      </c>
      <c r="K5640" s="3" t="s">
        <v>22</v>
      </c>
    </row>
    <row r="5641" spans="1:11" ht="42" customHeight="1">
      <c r="A5641" s="2" t="s">
        <v>11720</v>
      </c>
      <c r="B5641" s="2" t="s">
        <v>11721</v>
      </c>
      <c r="C5641" s="2" t="s">
        <v>16</v>
      </c>
      <c r="D5641" s="2" t="s">
        <v>17</v>
      </c>
      <c r="E5641" s="5">
        <v>-31532</v>
      </c>
      <c r="F5641" s="3" t="s">
        <v>215</v>
      </c>
      <c r="G5641" s="3" t="s">
        <v>87</v>
      </c>
      <c r="H5641" s="2" t="s">
        <v>20</v>
      </c>
      <c r="I5641" s="2" t="s">
        <v>11723</v>
      </c>
      <c r="J5641" s="3" t="str">
        <f>HYPERLINK("https://www.boe.es/gazeta/dias/1813/08/31/pdfs/GRE-1813-111.pdf#page=7","Abrir facsímil")</f>
        <v>Abrir facsímil</v>
      </c>
      <c r="K5641" s="3" t="s">
        <v>22</v>
      </c>
    </row>
    <row r="5642" spans="1:11" ht="42" customHeight="1">
      <c r="A5642" s="2" t="s">
        <v>11724</v>
      </c>
      <c r="B5642" s="2" t="s">
        <v>11725</v>
      </c>
      <c r="C5642" s="2" t="s">
        <v>16</v>
      </c>
      <c r="D5642" s="2" t="s">
        <v>17</v>
      </c>
      <c r="E5642" s="5">
        <v>-31525</v>
      </c>
      <c r="F5642" s="3" t="s">
        <v>1131</v>
      </c>
      <c r="G5642" s="3" t="s">
        <v>1406</v>
      </c>
      <c r="H5642" s="2" t="s">
        <v>20</v>
      </c>
      <c r="I5642" s="2" t="s">
        <v>11726</v>
      </c>
      <c r="J5642" s="3" t="str">
        <f>HYPERLINK("https://www.boe.es/gazeta/dias/1813/09/07/pdfs/GRE-1813-114.pdf#page=5","Abrir facsímil")</f>
        <v>Abrir facsímil</v>
      </c>
      <c r="K5642" s="3" t="s">
        <v>22</v>
      </c>
    </row>
    <row r="5643" spans="1:11" ht="42" customHeight="1">
      <c r="A5643" s="2" t="s">
        <v>11724</v>
      </c>
      <c r="B5643" s="2" t="s">
        <v>11725</v>
      </c>
      <c r="C5643" s="2" t="s">
        <v>16</v>
      </c>
      <c r="D5643" s="2" t="s">
        <v>17</v>
      </c>
      <c r="E5643" s="5">
        <v>-31525</v>
      </c>
      <c r="F5643" s="3" t="s">
        <v>1131</v>
      </c>
      <c r="G5643" s="3" t="s">
        <v>95</v>
      </c>
      <c r="H5643" s="2" t="s">
        <v>20</v>
      </c>
      <c r="I5643" s="2" t="s">
        <v>11727</v>
      </c>
      <c r="J5643" s="3" t="str">
        <f>HYPERLINK("https://www.boe.es/gazeta/dias/1813/09/07/pdfs/GRE-1813-114.pdf#page=6","Abrir facsímil")</f>
        <v>Abrir facsímil</v>
      </c>
      <c r="K5643" s="3" t="s">
        <v>22</v>
      </c>
    </row>
    <row r="5644" spans="1:11" ht="42" customHeight="1">
      <c r="A5644" s="2" t="s">
        <v>11728</v>
      </c>
      <c r="B5644" s="2" t="s">
        <v>11728</v>
      </c>
      <c r="C5644" s="2" t="s">
        <v>16</v>
      </c>
      <c r="D5644" s="2" t="s">
        <v>17</v>
      </c>
      <c r="E5644" s="5">
        <v>-31763</v>
      </c>
      <c r="F5644" s="3" t="s">
        <v>668</v>
      </c>
      <c r="G5644" s="3" t="s">
        <v>82</v>
      </c>
      <c r="H5644" s="2" t="s">
        <v>20</v>
      </c>
      <c r="I5644" s="2" t="s">
        <v>11729</v>
      </c>
      <c r="J5644" s="3" t="str">
        <f>HYPERLINK("https://www.boe.es/gazeta/dias/1813/01/12/pdfs/GRE-1813-5.pdf#page=5","Abrir facsímil")</f>
        <v>Abrir facsímil</v>
      </c>
      <c r="K5644" s="3" t="s">
        <v>22</v>
      </c>
    </row>
    <row r="5645" spans="1:11" ht="42" customHeight="1">
      <c r="A5645" s="2" t="s">
        <v>11730</v>
      </c>
      <c r="B5645" s="2" t="s">
        <v>11730</v>
      </c>
      <c r="C5645" s="2" t="s">
        <v>16</v>
      </c>
      <c r="D5645" s="2" t="s">
        <v>17</v>
      </c>
      <c r="E5645" s="5">
        <v>-31560</v>
      </c>
      <c r="F5645" s="3" t="s">
        <v>590</v>
      </c>
      <c r="G5645" s="3" t="s">
        <v>19</v>
      </c>
      <c r="H5645" s="2" t="s">
        <v>20</v>
      </c>
      <c r="I5645" s="2" t="s">
        <v>11731</v>
      </c>
      <c r="J5645" s="3" t="str">
        <f>HYPERLINK("https://www.boe.es/gazeta/dias/1813/08/03/pdfs/GRE-1813-98.pdf#page=4","Abrir facsímil")</f>
        <v>Abrir facsímil</v>
      </c>
      <c r="K5645" s="3" t="s">
        <v>22</v>
      </c>
    </row>
    <row r="5646" spans="1:11" ht="42" customHeight="1">
      <c r="A5646" s="2" t="s">
        <v>11732</v>
      </c>
      <c r="B5646" s="2" t="s">
        <v>11732</v>
      </c>
      <c r="C5646" s="2" t="s">
        <v>16</v>
      </c>
      <c r="D5646" s="2" t="s">
        <v>17</v>
      </c>
      <c r="E5646" s="5">
        <v>-31565</v>
      </c>
      <c r="F5646" s="3" t="s">
        <v>306</v>
      </c>
      <c r="G5646" s="3" t="s">
        <v>82</v>
      </c>
      <c r="H5646" s="2" t="s">
        <v>20</v>
      </c>
      <c r="I5646" s="2" t="s">
        <v>11733</v>
      </c>
      <c r="J5646" s="3" t="str">
        <f>HYPERLINK("https://www.boe.es/gazeta/dias/1813/07/29/pdfs/GRE-1813-96.pdf#page=5","Abrir facsímil")</f>
        <v>Abrir facsímil</v>
      </c>
      <c r="K5646" s="3" t="s">
        <v>22</v>
      </c>
    </row>
    <row r="5647" spans="1:11" ht="42" customHeight="1">
      <c r="A5647" s="2" t="s">
        <v>11732</v>
      </c>
      <c r="B5647" s="2" t="s">
        <v>11732</v>
      </c>
      <c r="C5647" s="2" t="s">
        <v>25</v>
      </c>
      <c r="D5647" s="2" t="s">
        <v>26</v>
      </c>
      <c r="E5647" s="5">
        <v>-31565</v>
      </c>
      <c r="F5647" s="3" t="s">
        <v>306</v>
      </c>
      <c r="G5647" s="3" t="s">
        <v>95</v>
      </c>
      <c r="H5647" s="2" t="s">
        <v>20</v>
      </c>
      <c r="I5647" s="2" t="s">
        <v>11734</v>
      </c>
      <c r="J5647" s="3" t="str">
        <f>HYPERLINK("https://www.boe.es/gazeta/dias/1813/07/29/pdfs/GRE-1813-96.pdf#page=6","Abrir facsímil")</f>
        <v>Abrir facsímil</v>
      </c>
      <c r="K5647" s="3" t="s">
        <v>22</v>
      </c>
    </row>
    <row r="5648" spans="1:11" ht="42" customHeight="1">
      <c r="A5648" s="2" t="s">
        <v>11732</v>
      </c>
      <c r="B5648" s="2" t="s">
        <v>11732</v>
      </c>
      <c r="C5648" s="2" t="s">
        <v>25</v>
      </c>
      <c r="D5648" s="2" t="s">
        <v>26</v>
      </c>
      <c r="E5648" s="5">
        <v>-31563</v>
      </c>
      <c r="F5648" s="3" t="s">
        <v>1267</v>
      </c>
      <c r="G5648" s="3" t="s">
        <v>82</v>
      </c>
      <c r="H5648" s="2" t="s">
        <v>20</v>
      </c>
      <c r="I5648" s="2" t="s">
        <v>11735</v>
      </c>
      <c r="J5648" s="3" t="str">
        <f>HYPERLINK("https://www.boe.es/gazeta/dias/1813/07/31/pdfs/GRE-1813-97.pdf#page=5","Abrir facsímil")</f>
        <v>Abrir facsímil</v>
      </c>
      <c r="K5648" s="3" t="s">
        <v>22</v>
      </c>
    </row>
    <row r="5649" spans="1:11" ht="42" customHeight="1">
      <c r="A5649" s="2" t="s">
        <v>11732</v>
      </c>
      <c r="B5649" s="2" t="s">
        <v>11732</v>
      </c>
      <c r="C5649" s="2" t="s">
        <v>16</v>
      </c>
      <c r="D5649" s="2" t="s">
        <v>17</v>
      </c>
      <c r="E5649" s="5">
        <v>-31560</v>
      </c>
      <c r="F5649" s="3" t="s">
        <v>590</v>
      </c>
      <c r="G5649" s="3" t="s">
        <v>19</v>
      </c>
      <c r="H5649" s="2" t="s">
        <v>20</v>
      </c>
      <c r="I5649" s="2" t="s">
        <v>11736</v>
      </c>
      <c r="J5649" s="3" t="str">
        <f>HYPERLINK("https://www.boe.es/gazeta/dias/1813/08/03/pdfs/GRE-1813-98.pdf#page=4","Abrir facsímil")</f>
        <v>Abrir facsímil</v>
      </c>
      <c r="K5649" s="3" t="s">
        <v>22</v>
      </c>
    </row>
    <row r="5650" spans="1:11" ht="42" customHeight="1">
      <c r="A5650" s="2" t="s">
        <v>11737</v>
      </c>
      <c r="B5650" s="2" t="s">
        <v>11738</v>
      </c>
      <c r="C5650" s="2" t="s">
        <v>16</v>
      </c>
      <c r="D5650" s="2" t="s">
        <v>17</v>
      </c>
      <c r="E5650" s="5">
        <v>-31759</v>
      </c>
      <c r="F5650" s="3" t="s">
        <v>419</v>
      </c>
      <c r="G5650" s="3" t="s">
        <v>420</v>
      </c>
      <c r="H5650" s="2" t="s">
        <v>20</v>
      </c>
      <c r="I5650" s="2" t="s">
        <v>11739</v>
      </c>
      <c r="J5650" s="3" t="str">
        <f>HYPERLINK("https://www.boe.es/gazeta/dias/1813/01/16/pdfs/GRE-1813-7.pdf#page=8","Abrir facsímil")</f>
        <v>Abrir facsímil</v>
      </c>
      <c r="K5650" s="3" t="s">
        <v>22</v>
      </c>
    </row>
    <row r="5651" spans="1:11" ht="42" customHeight="1">
      <c r="A5651" s="2" t="s">
        <v>11740</v>
      </c>
      <c r="B5651" s="2" t="s">
        <v>11741</v>
      </c>
      <c r="C5651" s="2" t="s">
        <v>16</v>
      </c>
      <c r="D5651" s="2" t="s">
        <v>17</v>
      </c>
      <c r="E5651" s="5">
        <v>-31556</v>
      </c>
      <c r="F5651" s="3" t="s">
        <v>976</v>
      </c>
      <c r="G5651" s="3" t="s">
        <v>19</v>
      </c>
      <c r="H5651" s="2" t="s">
        <v>29</v>
      </c>
      <c r="I5651" s="2" t="s">
        <v>11742</v>
      </c>
      <c r="J5651" s="3" t="str">
        <f>HYPERLINK("https://www.boe.es/gazeta/dias/1813/08/07/pdfs/GRE-1813-100.pdf#page=4","Abrir facsímil")</f>
        <v>Abrir facsímil</v>
      </c>
      <c r="K5651" s="3" t="s">
        <v>31</v>
      </c>
    </row>
    <row r="5652" spans="1:11" ht="42" customHeight="1">
      <c r="A5652" s="2" t="s">
        <v>11743</v>
      </c>
      <c r="B5652" s="2" t="s">
        <v>11744</v>
      </c>
      <c r="C5652" s="2" t="s">
        <v>25</v>
      </c>
      <c r="D5652" s="2" t="s">
        <v>26</v>
      </c>
      <c r="E5652" s="5">
        <v>-31619</v>
      </c>
      <c r="F5652" s="3" t="s">
        <v>749</v>
      </c>
      <c r="G5652" s="3" t="s">
        <v>58</v>
      </c>
      <c r="H5652" s="2" t="s">
        <v>20</v>
      </c>
      <c r="I5652" s="2" t="s">
        <v>11745</v>
      </c>
      <c r="J5652" s="3" t="str">
        <f>HYPERLINK("https://www.boe.es/gazeta/dias/1813/06/05/pdfs/GRE-1813-70.pdf#page=2","Abrir facsímil")</f>
        <v>Abrir facsímil</v>
      </c>
      <c r="K5652" s="3" t="s">
        <v>22</v>
      </c>
    </row>
    <row r="5653" spans="1:11" ht="42" customHeight="1">
      <c r="A5653" s="2" t="s">
        <v>11743</v>
      </c>
      <c r="B5653" s="2" t="s">
        <v>11744</v>
      </c>
      <c r="C5653" s="2" t="s">
        <v>16</v>
      </c>
      <c r="D5653" s="2" t="s">
        <v>17</v>
      </c>
      <c r="E5653" s="5">
        <v>-31565</v>
      </c>
      <c r="F5653" s="3" t="s">
        <v>306</v>
      </c>
      <c r="G5653" s="3" t="s">
        <v>82</v>
      </c>
      <c r="H5653" s="2" t="s">
        <v>20</v>
      </c>
      <c r="I5653" s="2" t="s">
        <v>11746</v>
      </c>
      <c r="J5653" s="3" t="str">
        <f>HYPERLINK("https://www.boe.es/gazeta/dias/1813/07/29/pdfs/GRE-1813-96.pdf#page=5","Abrir facsímil")</f>
        <v>Abrir facsímil</v>
      </c>
      <c r="K5653" s="3" t="s">
        <v>22</v>
      </c>
    </row>
    <row r="5654" spans="1:11" ht="42" customHeight="1">
      <c r="A5654" s="2" t="s">
        <v>11743</v>
      </c>
      <c r="B5654" s="2" t="s">
        <v>11744</v>
      </c>
      <c r="C5654" s="2" t="s">
        <v>16</v>
      </c>
      <c r="D5654" s="2" t="s">
        <v>17</v>
      </c>
      <c r="E5654" s="5">
        <v>-31563</v>
      </c>
      <c r="F5654" s="3" t="s">
        <v>1267</v>
      </c>
      <c r="G5654" s="3" t="s">
        <v>19</v>
      </c>
      <c r="H5654" s="2" t="s">
        <v>20</v>
      </c>
      <c r="I5654" s="2" t="s">
        <v>11747</v>
      </c>
      <c r="J5654" s="3" t="str">
        <f>HYPERLINK("https://www.boe.es/gazeta/dias/1813/07/31/pdfs/GRE-1813-97.pdf#page=4","Abrir facsímil")</f>
        <v>Abrir facsímil</v>
      </c>
      <c r="K5654" s="3" t="s">
        <v>22</v>
      </c>
    </row>
    <row r="5655" spans="1:11" ht="42" customHeight="1">
      <c r="A5655" s="2" t="s">
        <v>11743</v>
      </c>
      <c r="B5655" s="2" t="s">
        <v>11744</v>
      </c>
      <c r="C5655" s="2" t="s">
        <v>16</v>
      </c>
      <c r="D5655" s="2" t="s">
        <v>17</v>
      </c>
      <c r="E5655" s="5">
        <v>-31563</v>
      </c>
      <c r="F5655" s="3" t="s">
        <v>1267</v>
      </c>
      <c r="G5655" s="3" t="s">
        <v>82</v>
      </c>
      <c r="H5655" s="2" t="s">
        <v>20</v>
      </c>
      <c r="I5655" s="2" t="s">
        <v>11748</v>
      </c>
      <c r="J5655" s="3" t="str">
        <f>HYPERLINK("https://www.boe.es/gazeta/dias/1813/07/31/pdfs/GRE-1813-97.pdf#page=5","Abrir facsímil")</f>
        <v>Abrir facsímil</v>
      </c>
      <c r="K5655" s="3" t="s">
        <v>22</v>
      </c>
    </row>
    <row r="5656" spans="1:11" ht="42" customHeight="1">
      <c r="A5656" s="2" t="s">
        <v>11743</v>
      </c>
      <c r="B5656" s="2" t="s">
        <v>11744</v>
      </c>
      <c r="C5656" s="2" t="s">
        <v>25</v>
      </c>
      <c r="D5656" s="2" t="s">
        <v>26</v>
      </c>
      <c r="E5656" s="5">
        <v>-31532</v>
      </c>
      <c r="F5656" s="3" t="s">
        <v>215</v>
      </c>
      <c r="G5656" s="3" t="s">
        <v>95</v>
      </c>
      <c r="H5656" s="2" t="s">
        <v>20</v>
      </c>
      <c r="I5656" s="2" t="s">
        <v>11749</v>
      </c>
      <c r="J5656" s="3" t="str">
        <f>HYPERLINK("https://www.boe.es/gazeta/dias/1813/08/31/pdfs/GRE-1813-111.pdf#page=6","Abrir facsímil")</f>
        <v>Abrir facsímil</v>
      </c>
      <c r="K5656" s="3" t="s">
        <v>22</v>
      </c>
    </row>
    <row r="5657" spans="1:11" ht="42" customHeight="1">
      <c r="A5657" s="2" t="s">
        <v>11750</v>
      </c>
      <c r="B5657" s="2" t="s">
        <v>11751</v>
      </c>
      <c r="C5657" s="2" t="s">
        <v>435</v>
      </c>
      <c r="D5657" s="2" t="s">
        <v>26</v>
      </c>
      <c r="E5657" s="5">
        <v>-31486</v>
      </c>
      <c r="F5657" s="3" t="s">
        <v>597</v>
      </c>
      <c r="G5657" s="3" t="s">
        <v>58</v>
      </c>
      <c r="H5657" s="2" t="s">
        <v>20</v>
      </c>
      <c r="I5657" s="2" t="s">
        <v>11752</v>
      </c>
      <c r="J5657" s="3" t="str">
        <f>HYPERLINK("https://www.boe.es/gazeta/dias/1813/10/16/pdfs/GRE-1813-135.pdf#page=2","Abrir facsímil")</f>
        <v>Abrir facsímil</v>
      </c>
      <c r="K5657" s="3" t="s">
        <v>22</v>
      </c>
    </row>
    <row r="5658" spans="1:11" ht="42" customHeight="1">
      <c r="A5658" s="2" t="s">
        <v>11753</v>
      </c>
      <c r="B5658" s="2" t="s">
        <v>11753</v>
      </c>
      <c r="C5658" s="2" t="s">
        <v>16</v>
      </c>
      <c r="D5658" s="2" t="s">
        <v>17</v>
      </c>
      <c r="E5658" s="5">
        <v>-31595</v>
      </c>
      <c r="F5658" s="3" t="s">
        <v>70</v>
      </c>
      <c r="G5658" s="3" t="s">
        <v>54</v>
      </c>
      <c r="H5658" s="2" t="s">
        <v>20</v>
      </c>
      <c r="I5658" s="2" t="s">
        <v>11754</v>
      </c>
      <c r="J5658" s="3" t="str">
        <f>HYPERLINK("https://www.boe.es/gazeta/dias/1813/06/29/pdfs/GMR-1813-13.pdf#page=3","Abrir facsímil")</f>
        <v>Abrir facsímil</v>
      </c>
      <c r="K5658" s="3" t="s">
        <v>22</v>
      </c>
    </row>
    <row r="5659" spans="1:11" ht="42" customHeight="1">
      <c r="A5659" s="2" t="s">
        <v>11753</v>
      </c>
      <c r="B5659" s="2" t="s">
        <v>11753</v>
      </c>
      <c r="C5659" s="2" t="s">
        <v>16</v>
      </c>
      <c r="D5659" s="2" t="s">
        <v>17</v>
      </c>
      <c r="E5659" s="5">
        <v>-31585</v>
      </c>
      <c r="F5659" s="3" t="s">
        <v>177</v>
      </c>
      <c r="G5659" s="3" t="s">
        <v>54</v>
      </c>
      <c r="H5659" s="2" t="s">
        <v>20</v>
      </c>
      <c r="I5659" s="2" t="s">
        <v>11755</v>
      </c>
      <c r="J5659" s="3" t="str">
        <f>HYPERLINK("https://www.boe.es/gazeta/dias/1813/07/09/pdfs/GMR-1813-16.pdf#page=3","Abrir facsímil")</f>
        <v>Abrir facsímil</v>
      </c>
      <c r="K5659" s="3" t="s">
        <v>22</v>
      </c>
    </row>
    <row r="5660" spans="1:11" ht="42" customHeight="1">
      <c r="A5660" s="2" t="s">
        <v>11753</v>
      </c>
      <c r="B5660" s="2" t="s">
        <v>11753</v>
      </c>
      <c r="C5660" s="2" t="s">
        <v>16</v>
      </c>
      <c r="D5660" s="2" t="s">
        <v>17</v>
      </c>
      <c r="E5660" s="5">
        <v>-31581</v>
      </c>
      <c r="F5660" s="3" t="s">
        <v>1321</v>
      </c>
      <c r="G5660" s="3" t="s">
        <v>58</v>
      </c>
      <c r="H5660" s="2" t="s">
        <v>20</v>
      </c>
      <c r="I5660" s="2" t="s">
        <v>11756</v>
      </c>
      <c r="J5660" s="3" t="str">
        <f>HYPERLINK("https://www.boe.es/gazeta/dias/1813/07/13/pdfs/GMR-1813-17.pdf#page=2","Abrir facsímil")</f>
        <v>Abrir facsímil</v>
      </c>
      <c r="K5660" s="3" t="s">
        <v>22</v>
      </c>
    </row>
    <row r="5661" spans="1:11" ht="42" customHeight="1">
      <c r="A5661" s="2" t="s">
        <v>11753</v>
      </c>
      <c r="B5661" s="2" t="s">
        <v>11753</v>
      </c>
      <c r="C5661" s="2" t="s">
        <v>16</v>
      </c>
      <c r="D5661" s="2" t="s">
        <v>17</v>
      </c>
      <c r="E5661" s="5">
        <v>-31509</v>
      </c>
      <c r="F5661" s="3" t="s">
        <v>202</v>
      </c>
      <c r="G5661" s="3" t="s">
        <v>95</v>
      </c>
      <c r="H5661" s="2" t="s">
        <v>20</v>
      </c>
      <c r="I5661" s="2" t="s">
        <v>11757</v>
      </c>
      <c r="J5661" s="3" t="str">
        <f>HYPERLINK("https://www.boe.es/gazeta/dias/1813/09/23/pdfs/GMR-1813-47.pdf#page=6","Abrir facsímil")</f>
        <v>Abrir facsímil</v>
      </c>
      <c r="K5661" s="3" t="s">
        <v>22</v>
      </c>
    </row>
    <row r="5662" spans="1:11" ht="42" customHeight="1">
      <c r="A5662" s="2" t="s">
        <v>11758</v>
      </c>
      <c r="B5662" s="2" t="s">
        <v>11758</v>
      </c>
      <c r="C5662" s="2" t="s">
        <v>16</v>
      </c>
      <c r="D5662" s="2" t="s">
        <v>17</v>
      </c>
      <c r="E5662" s="5">
        <v>-31703</v>
      </c>
      <c r="F5662" s="3" t="s">
        <v>526</v>
      </c>
      <c r="G5662" s="3" t="s">
        <v>58</v>
      </c>
      <c r="H5662" s="2" t="s">
        <v>20</v>
      </c>
      <c r="I5662" s="2" t="s">
        <v>11759</v>
      </c>
      <c r="J5662" s="3" t="str">
        <f>HYPERLINK("https://www.boe.es/gazeta/dias/1813/03/13/pdfs/GMD-1813-72.pdf#page=2","Abrir facsímil")</f>
        <v>Abrir facsímil</v>
      </c>
      <c r="K5662" s="3" t="s">
        <v>22</v>
      </c>
    </row>
    <row r="5663" spans="1:11" ht="42" customHeight="1">
      <c r="A5663" s="2" t="s">
        <v>11760</v>
      </c>
      <c r="B5663" s="2" t="s">
        <v>11760</v>
      </c>
      <c r="C5663" s="2" t="s">
        <v>16</v>
      </c>
      <c r="D5663" s="2" t="s">
        <v>17</v>
      </c>
      <c r="E5663" s="5">
        <v>-31427</v>
      </c>
      <c r="F5663" s="3" t="s">
        <v>489</v>
      </c>
      <c r="G5663" s="3" t="s">
        <v>54</v>
      </c>
      <c r="H5663" s="2" t="s">
        <v>20</v>
      </c>
      <c r="I5663" s="2" t="s">
        <v>11761</v>
      </c>
      <c r="J5663" s="3" t="str">
        <f>HYPERLINK("https://www.boe.es/gazeta/dias/1813/12/14/pdfs/GMR-1813-87.pdf#page=3","Abrir facsímil")</f>
        <v>Abrir facsímil</v>
      </c>
      <c r="K5663" s="3" t="s">
        <v>22</v>
      </c>
    </row>
    <row r="5664" spans="1:11" ht="42" customHeight="1">
      <c r="A5664" s="2" t="s">
        <v>11762</v>
      </c>
      <c r="B5664" s="2" t="s">
        <v>11762</v>
      </c>
      <c r="C5664" s="2" t="s">
        <v>16</v>
      </c>
      <c r="D5664" s="2" t="s">
        <v>17</v>
      </c>
      <c r="E5664" s="5">
        <v>-31472</v>
      </c>
      <c r="F5664" s="3" t="s">
        <v>1942</v>
      </c>
      <c r="G5664" s="3" t="s">
        <v>58</v>
      </c>
      <c r="H5664" s="2" t="s">
        <v>20</v>
      </c>
      <c r="I5664" s="2" t="s">
        <v>11763</v>
      </c>
      <c r="J5664" s="3" t="str">
        <f>HYPERLINK("https://www.boe.es/gazeta/dias/1813/10/30/pdfs/GRE-1813-142.pdf#page=2","Abrir facsímil")</f>
        <v>Abrir facsímil</v>
      </c>
      <c r="K5664" s="3" t="s">
        <v>22</v>
      </c>
    </row>
    <row r="5665" spans="1:11" ht="42" customHeight="1">
      <c r="A5665" s="2" t="s">
        <v>11764</v>
      </c>
      <c r="B5665" s="2" t="s">
        <v>11764</v>
      </c>
      <c r="C5665" s="2" t="s">
        <v>34</v>
      </c>
      <c r="D5665" s="2" t="s">
        <v>35</v>
      </c>
      <c r="E5665" s="5">
        <v>-31684</v>
      </c>
      <c r="F5665" s="3" t="s">
        <v>2053</v>
      </c>
      <c r="G5665" s="3" t="s">
        <v>65</v>
      </c>
      <c r="H5665" s="2" t="s">
        <v>20</v>
      </c>
      <c r="I5665" s="2" t="s">
        <v>11765</v>
      </c>
      <c r="J5665" s="3" t="str">
        <f>HYPERLINK("https://www.boe.es/gazeta/dias/1813/04/01/pdfs/GMD-1813-91.pdf#page=1","Abrir facsímil")</f>
        <v>Abrir facsímil</v>
      </c>
      <c r="K5665" s="3" t="s">
        <v>22</v>
      </c>
    </row>
    <row r="5666" spans="1:11" ht="42" customHeight="1">
      <c r="A5666" s="2" t="s">
        <v>11764</v>
      </c>
      <c r="B5666" s="2" t="s">
        <v>11764</v>
      </c>
      <c r="C5666" s="2" t="s">
        <v>435</v>
      </c>
      <c r="D5666" s="2" t="s">
        <v>26</v>
      </c>
      <c r="E5666" s="5">
        <v>-31657</v>
      </c>
      <c r="F5666" s="3" t="s">
        <v>988</v>
      </c>
      <c r="G5666" s="3" t="s">
        <v>54</v>
      </c>
      <c r="H5666" s="2" t="s">
        <v>20</v>
      </c>
      <c r="I5666" s="2" t="s">
        <v>11766</v>
      </c>
      <c r="J5666" s="3" t="str">
        <f>HYPERLINK("https://www.boe.es/gazeta/dias/1813/04/28/pdfs/GMD-1813-118.pdf#page=3","Abrir facsímil")</f>
        <v>Abrir facsímil</v>
      </c>
      <c r="K5666" s="3" t="s">
        <v>22</v>
      </c>
    </row>
    <row r="5667" spans="1:11" ht="42" customHeight="1">
      <c r="A5667" s="2" t="s">
        <v>11767</v>
      </c>
      <c r="B5667" s="2" t="s">
        <v>11767</v>
      </c>
      <c r="C5667" s="2" t="s">
        <v>16</v>
      </c>
      <c r="D5667" s="2" t="s">
        <v>17</v>
      </c>
      <c r="E5667" s="5">
        <v>-31416</v>
      </c>
      <c r="F5667" s="3" t="s">
        <v>110</v>
      </c>
      <c r="G5667" s="3" t="s">
        <v>1590</v>
      </c>
      <c r="H5667" s="2" t="s">
        <v>20</v>
      </c>
      <c r="I5667" s="2" t="s">
        <v>11768</v>
      </c>
      <c r="J5667" s="3" t="str">
        <f>HYPERLINK("https://www.boe.es/gazeta/dias/1813/12/25/pdfs/GRE-1813-169.pdf#page=4","Abrir facsímil")</f>
        <v>Abrir facsímil</v>
      </c>
      <c r="K5667" s="3" t="s">
        <v>22</v>
      </c>
    </row>
    <row r="5668" spans="1:11" ht="42" customHeight="1">
      <c r="A5668" s="2" t="s">
        <v>11769</v>
      </c>
      <c r="B5668" s="2" t="s">
        <v>11769</v>
      </c>
      <c r="C5668" s="2" t="s">
        <v>435</v>
      </c>
      <c r="D5668" s="2" t="s">
        <v>26</v>
      </c>
      <c r="E5668" s="5">
        <v>-31441</v>
      </c>
      <c r="F5668" s="3" t="s">
        <v>1952</v>
      </c>
      <c r="G5668" s="3" t="s">
        <v>54</v>
      </c>
      <c r="H5668" s="2" t="s">
        <v>20</v>
      </c>
      <c r="I5668" s="2" t="s">
        <v>11770</v>
      </c>
      <c r="J5668" s="3" t="str">
        <f>HYPERLINK("https://www.boe.es/gazeta/dias/1813/11/30/pdfs/GRE-1813-158.pdf#page=3","Abrir facsímil")</f>
        <v>Abrir facsímil</v>
      </c>
      <c r="K5668" s="3" t="s">
        <v>22</v>
      </c>
    </row>
    <row r="5669" spans="1:11" ht="42" customHeight="1">
      <c r="A5669" s="2" t="s">
        <v>11771</v>
      </c>
      <c r="B5669" s="2" t="s">
        <v>11771</v>
      </c>
      <c r="C5669" s="2" t="s">
        <v>109</v>
      </c>
      <c r="D5669" s="2" t="s">
        <v>26</v>
      </c>
      <c r="E5669" s="5">
        <v>-31530</v>
      </c>
      <c r="F5669" s="3" t="s">
        <v>133</v>
      </c>
      <c r="G5669" s="3" t="s">
        <v>65</v>
      </c>
      <c r="H5669" s="2" t="s">
        <v>20</v>
      </c>
      <c r="I5669" s="2" t="s">
        <v>11772</v>
      </c>
      <c r="J5669" s="3" t="str">
        <f>HYPERLINK("https://www.boe.es/gazeta/dias/1813/09/02/pdfs/GMR-1813-36.pdf#page=1","Abrir facsímil")</f>
        <v>Abrir facsímil</v>
      </c>
      <c r="K5669" s="3" t="s">
        <v>22</v>
      </c>
    </row>
    <row r="5670" spans="1:11" ht="42" customHeight="1">
      <c r="A5670" s="2" t="s">
        <v>11773</v>
      </c>
      <c r="B5670" s="2" t="s">
        <v>11773</v>
      </c>
      <c r="C5670" s="2" t="s">
        <v>16</v>
      </c>
      <c r="D5670" s="2" t="s">
        <v>17</v>
      </c>
      <c r="E5670" s="5">
        <v>-31706</v>
      </c>
      <c r="F5670" s="3" t="s">
        <v>2256</v>
      </c>
      <c r="G5670" s="3" t="s">
        <v>19</v>
      </c>
      <c r="H5670" s="2" t="s">
        <v>20</v>
      </c>
      <c r="I5670" s="2" t="s">
        <v>11774</v>
      </c>
      <c r="J5670" s="3" t="str">
        <f>HYPERLINK("https://www.boe.es/gazeta/dias/1813/03/10/pdfs/GMD-1813-69.pdf#page=4","Abrir facsímil")</f>
        <v>Abrir facsímil</v>
      </c>
      <c r="K5670" s="3" t="s">
        <v>22</v>
      </c>
    </row>
    <row r="5671" spans="1:11" ht="42" customHeight="1">
      <c r="A5671" s="2" t="s">
        <v>11775</v>
      </c>
      <c r="B5671" s="2" t="s">
        <v>11775</v>
      </c>
      <c r="C5671" s="2" t="s">
        <v>16</v>
      </c>
      <c r="D5671" s="2" t="s">
        <v>17</v>
      </c>
      <c r="E5671" s="5">
        <v>-31714</v>
      </c>
      <c r="F5671" s="3" t="s">
        <v>3912</v>
      </c>
      <c r="G5671" s="3" t="s">
        <v>65</v>
      </c>
      <c r="H5671" s="2" t="s">
        <v>20</v>
      </c>
      <c r="I5671" s="2" t="s">
        <v>11776</v>
      </c>
      <c r="J5671" s="3" t="str">
        <f>HYPERLINK("https://www.boe.es/gazeta/dias/1813/03/02/pdfs/GMD-1813-61.pdf#page=1","Abrir facsímil")</f>
        <v>Abrir facsímil</v>
      </c>
      <c r="K5671" s="3" t="s">
        <v>22</v>
      </c>
    </row>
    <row r="5672" spans="1:11" ht="42" customHeight="1">
      <c r="A5672" s="2" t="s">
        <v>11777</v>
      </c>
      <c r="B5672" s="2" t="s">
        <v>11777</v>
      </c>
      <c r="C5672" s="2" t="s">
        <v>16</v>
      </c>
      <c r="D5672" s="2" t="s">
        <v>17</v>
      </c>
      <c r="E5672" s="5">
        <v>-31770</v>
      </c>
      <c r="F5672" s="3" t="s">
        <v>1738</v>
      </c>
      <c r="G5672" s="3" t="s">
        <v>2984</v>
      </c>
      <c r="H5672" s="2" t="s">
        <v>20</v>
      </c>
      <c r="I5672" s="2" t="s">
        <v>11778</v>
      </c>
      <c r="J5672" s="3" t="str">
        <f>HYPERLINK("https://www.boe.es/gazeta/dias/1813/01/05/pdfs/GRE-1813-2.pdf#page=4","Abrir facsímil")</f>
        <v>Abrir facsímil</v>
      </c>
      <c r="K5672" s="3" t="s">
        <v>22</v>
      </c>
    </row>
    <row r="5673" spans="1:11" ht="42" customHeight="1">
      <c r="A5673" s="2" t="s">
        <v>11777</v>
      </c>
      <c r="B5673" s="2" t="s">
        <v>11777</v>
      </c>
      <c r="C5673" s="2" t="s">
        <v>16</v>
      </c>
      <c r="D5673" s="2" t="s">
        <v>17</v>
      </c>
      <c r="E5673" s="5">
        <v>-31684</v>
      </c>
      <c r="F5673" s="3" t="s">
        <v>427</v>
      </c>
      <c r="G5673" s="3" t="s">
        <v>19</v>
      </c>
      <c r="H5673" s="2" t="s">
        <v>20</v>
      </c>
      <c r="I5673" s="2" t="s">
        <v>11779</v>
      </c>
      <c r="J5673" s="3" t="str">
        <f>HYPERLINK("https://www.boe.es/gazeta/dias/1813/04/01/pdfs/GRE-1813-40.pdf#page=4","Abrir facsímil")</f>
        <v>Abrir facsímil</v>
      </c>
      <c r="K5673" s="3" t="s">
        <v>22</v>
      </c>
    </row>
    <row r="5674" spans="1:11" ht="42" customHeight="1">
      <c r="A5674" s="2" t="s">
        <v>11777</v>
      </c>
      <c r="B5674" s="2" t="s">
        <v>11777</v>
      </c>
      <c r="C5674" s="2" t="s">
        <v>25</v>
      </c>
      <c r="D5674" s="2" t="s">
        <v>26</v>
      </c>
      <c r="E5674" s="5">
        <v>-31613</v>
      </c>
      <c r="F5674" s="3" t="s">
        <v>1629</v>
      </c>
      <c r="G5674" s="3" t="s">
        <v>2177</v>
      </c>
      <c r="H5674" s="2" t="s">
        <v>20</v>
      </c>
      <c r="I5674" s="2" t="s">
        <v>11780</v>
      </c>
      <c r="J5674" s="3" t="str">
        <f>HYPERLINK("https://www.boe.es/gazeta/dias/1813/06/11/pdfs/GMR-1813-4.pdf#page=5","Abrir facsímil")</f>
        <v>Abrir facsímil</v>
      </c>
      <c r="K5674" s="3" t="s">
        <v>22</v>
      </c>
    </row>
    <row r="5675" spans="1:11" ht="42" customHeight="1">
      <c r="A5675" s="2" t="s">
        <v>11777</v>
      </c>
      <c r="B5675" s="2" t="s">
        <v>11777</v>
      </c>
      <c r="C5675" s="2" t="s">
        <v>16</v>
      </c>
      <c r="D5675" s="2" t="s">
        <v>17</v>
      </c>
      <c r="E5675" s="5">
        <v>-31600</v>
      </c>
      <c r="F5675" s="3" t="s">
        <v>2121</v>
      </c>
      <c r="G5675" s="3" t="s">
        <v>58</v>
      </c>
      <c r="H5675" s="2" t="s">
        <v>20</v>
      </c>
      <c r="I5675" s="2" t="s">
        <v>11781</v>
      </c>
      <c r="J5675" s="3" t="str">
        <f>HYPERLINK("https://www.boe.es/gazeta/dias/1813/06/24/pdfs/GRE-1813-78.pdf#page=2","Abrir facsímil")</f>
        <v>Abrir facsímil</v>
      </c>
      <c r="K5675" s="3" t="s">
        <v>22</v>
      </c>
    </row>
    <row r="5676" spans="1:11" ht="42" customHeight="1">
      <c r="A5676" s="2" t="s">
        <v>11777</v>
      </c>
      <c r="B5676" s="2" t="s">
        <v>11777</v>
      </c>
      <c r="C5676" s="2" t="s">
        <v>16</v>
      </c>
      <c r="D5676" s="2" t="s">
        <v>17</v>
      </c>
      <c r="E5676" s="5">
        <v>-31598</v>
      </c>
      <c r="F5676" s="3" t="s">
        <v>286</v>
      </c>
      <c r="G5676" s="3" t="s">
        <v>54</v>
      </c>
      <c r="H5676" s="2" t="s">
        <v>20</v>
      </c>
      <c r="I5676" s="2" t="s">
        <v>11782</v>
      </c>
      <c r="J5676" s="3" t="str">
        <f>HYPERLINK("https://www.boe.es/gazeta/dias/1813/06/26/pdfs/GRE-1813-79.pdf#page=3","Abrir facsímil")</f>
        <v>Abrir facsímil</v>
      </c>
      <c r="K5676" s="3" t="s">
        <v>22</v>
      </c>
    </row>
    <row r="5677" spans="1:11" ht="42" customHeight="1">
      <c r="A5677" s="2" t="s">
        <v>11777</v>
      </c>
      <c r="B5677" s="2" t="s">
        <v>11777</v>
      </c>
      <c r="C5677" s="2" t="s">
        <v>16</v>
      </c>
      <c r="D5677" s="2" t="s">
        <v>17</v>
      </c>
      <c r="E5677" s="5">
        <v>-31595</v>
      </c>
      <c r="F5677" s="3" t="s">
        <v>1319</v>
      </c>
      <c r="G5677" s="3" t="s">
        <v>54</v>
      </c>
      <c r="H5677" s="2" t="s">
        <v>20</v>
      </c>
      <c r="I5677" s="2" t="s">
        <v>11783</v>
      </c>
      <c r="J5677" s="3" t="str">
        <f>HYPERLINK("https://www.boe.es/gazeta/dias/1813/06/29/pdfs/GRE-1813-80.pdf#page=3","Abrir facsímil")</f>
        <v>Abrir facsímil</v>
      </c>
      <c r="K5677" s="3" t="s">
        <v>22</v>
      </c>
    </row>
    <row r="5678" spans="1:11" ht="42" customHeight="1">
      <c r="A5678" s="2" t="s">
        <v>11777</v>
      </c>
      <c r="B5678" s="2" t="s">
        <v>11777</v>
      </c>
      <c r="C5678" s="2" t="s">
        <v>16</v>
      </c>
      <c r="D5678" s="2" t="s">
        <v>17</v>
      </c>
      <c r="E5678" s="5">
        <v>-31509</v>
      </c>
      <c r="F5678" s="3" t="s">
        <v>2007</v>
      </c>
      <c r="G5678" s="3" t="s">
        <v>2008</v>
      </c>
      <c r="H5678" s="2" t="s">
        <v>20</v>
      </c>
      <c r="I5678" s="2" t="s">
        <v>11784</v>
      </c>
      <c r="J5678" s="3" t="str">
        <f>HYPERLINK("https://www.boe.es/gazeta/dias/1813/09/23/pdfs/GRE-1813-125.pdf#page=6","Abrir facsímil")</f>
        <v>Abrir facsímil</v>
      </c>
      <c r="K5678" s="3" t="s">
        <v>22</v>
      </c>
    </row>
    <row r="5679" spans="1:11" ht="42" customHeight="1">
      <c r="A5679" s="2" t="s">
        <v>11777</v>
      </c>
      <c r="B5679" s="2" t="s">
        <v>11777</v>
      </c>
      <c r="C5679" s="2" t="s">
        <v>16</v>
      </c>
      <c r="D5679" s="2" t="s">
        <v>17</v>
      </c>
      <c r="E5679" s="5">
        <v>-31497</v>
      </c>
      <c r="F5679" s="3" t="s">
        <v>1457</v>
      </c>
      <c r="G5679" s="3" t="s">
        <v>54</v>
      </c>
      <c r="H5679" s="2" t="s">
        <v>20</v>
      </c>
      <c r="I5679" s="2" t="s">
        <v>11785</v>
      </c>
      <c r="J5679" s="3" t="str">
        <f>HYPERLINK("https://www.boe.es/gazeta/dias/1813/10/05/pdfs/GMR-1813-54.pdf#page=3","Abrir facsímil")</f>
        <v>Abrir facsímil</v>
      </c>
      <c r="K5679" s="3" t="s">
        <v>22</v>
      </c>
    </row>
    <row r="5680" spans="1:11" ht="42" customHeight="1">
      <c r="A5680" s="2" t="s">
        <v>11777</v>
      </c>
      <c r="B5680" s="2" t="s">
        <v>11777</v>
      </c>
      <c r="C5680" s="2" t="s">
        <v>16</v>
      </c>
      <c r="D5680" s="2" t="s">
        <v>17</v>
      </c>
      <c r="E5680" s="5">
        <v>-31481</v>
      </c>
      <c r="F5680" s="3" t="s">
        <v>380</v>
      </c>
      <c r="G5680" s="3" t="s">
        <v>54</v>
      </c>
      <c r="H5680" s="2" t="s">
        <v>20</v>
      </c>
      <c r="I5680" s="2" t="s">
        <v>11786</v>
      </c>
      <c r="J5680" s="3" t="str">
        <f>HYPERLINK("https://www.boe.es/gazeta/dias/1813/10/21/pdfs/GRE-1813-137.pdf#page=3","Abrir facsímil")</f>
        <v>Abrir facsímil</v>
      </c>
      <c r="K5680" s="3" t="s">
        <v>22</v>
      </c>
    </row>
    <row r="5681" spans="1:11" ht="42" customHeight="1">
      <c r="A5681" s="2" t="s">
        <v>11777</v>
      </c>
      <c r="B5681" s="2" t="s">
        <v>11777</v>
      </c>
      <c r="C5681" s="2" t="s">
        <v>25</v>
      </c>
      <c r="D5681" s="2" t="s">
        <v>26</v>
      </c>
      <c r="E5681" s="5">
        <v>-31479</v>
      </c>
      <c r="F5681" s="3" t="s">
        <v>2383</v>
      </c>
      <c r="G5681" s="3" t="s">
        <v>54</v>
      </c>
      <c r="H5681" s="2" t="s">
        <v>20</v>
      </c>
      <c r="I5681" s="2" t="s">
        <v>11787</v>
      </c>
      <c r="J5681" s="3" t="str">
        <f>HYPERLINK("https://www.boe.es/gazeta/dias/1813/10/23/pdfs/GRE-1813-138.pdf#page=3","Abrir facsímil")</f>
        <v>Abrir facsímil</v>
      </c>
      <c r="K5681" s="3" t="s">
        <v>22</v>
      </c>
    </row>
    <row r="5682" spans="1:11" ht="42" customHeight="1">
      <c r="A5682" s="2" t="s">
        <v>11777</v>
      </c>
      <c r="B5682" s="2" t="s">
        <v>11777</v>
      </c>
      <c r="C5682" s="2" t="s">
        <v>16</v>
      </c>
      <c r="D5682" s="2" t="s">
        <v>17</v>
      </c>
      <c r="E5682" s="5">
        <v>-31458</v>
      </c>
      <c r="F5682" s="3" t="s">
        <v>2315</v>
      </c>
      <c r="G5682" s="3" t="s">
        <v>54</v>
      </c>
      <c r="H5682" s="2" t="s">
        <v>20</v>
      </c>
      <c r="I5682" s="2" t="s">
        <v>11788</v>
      </c>
      <c r="J5682" s="3" t="str">
        <f>HYPERLINK("https://www.boe.es/gazeta/dias/1813/11/13/pdfs/GMR-1813-73.pdf#page=3","Abrir facsímil")</f>
        <v>Abrir facsímil</v>
      </c>
      <c r="K5682" s="3" t="s">
        <v>22</v>
      </c>
    </row>
    <row r="5683" spans="1:11" ht="42" customHeight="1">
      <c r="A5683" s="2" t="s">
        <v>11777</v>
      </c>
      <c r="B5683" s="2" t="s">
        <v>11777</v>
      </c>
      <c r="C5683" s="2" t="s">
        <v>16</v>
      </c>
      <c r="D5683" s="2" t="s">
        <v>17</v>
      </c>
      <c r="E5683" s="5">
        <v>-31448</v>
      </c>
      <c r="F5683" s="3" t="s">
        <v>325</v>
      </c>
      <c r="G5683" s="3" t="s">
        <v>95</v>
      </c>
      <c r="H5683" s="2" t="s">
        <v>20</v>
      </c>
      <c r="I5683" s="2" t="s">
        <v>11789</v>
      </c>
      <c r="J5683" s="3" t="str">
        <f>HYPERLINK("https://www.boe.es/gazeta/dias/1813/11/23/pdfs/GMR-1813-78.pdf#page=6","Abrir facsímil")</f>
        <v>Abrir facsímil</v>
      </c>
      <c r="K5683" s="3" t="s">
        <v>22</v>
      </c>
    </row>
    <row r="5684" spans="1:11" ht="42" customHeight="1">
      <c r="A5684" s="2" t="s">
        <v>11777</v>
      </c>
      <c r="B5684" s="2" t="s">
        <v>11777</v>
      </c>
      <c r="C5684" s="2" t="s">
        <v>16</v>
      </c>
      <c r="D5684" s="2" t="s">
        <v>17</v>
      </c>
      <c r="E5684" s="5">
        <v>-31448</v>
      </c>
      <c r="F5684" s="3" t="s">
        <v>57</v>
      </c>
      <c r="G5684" s="3" t="s">
        <v>2218</v>
      </c>
      <c r="H5684" s="2" t="s">
        <v>20</v>
      </c>
      <c r="I5684" s="2" t="s">
        <v>11790</v>
      </c>
      <c r="J5684" s="3" t="str">
        <f>HYPERLINK("https://www.boe.es/gazeta/dias/1813/11/23/pdfs/GRE-1813-153.pdf#page=4","Abrir facsímil")</f>
        <v>Abrir facsímil</v>
      </c>
      <c r="K5684" s="3" t="s">
        <v>22</v>
      </c>
    </row>
    <row r="5685" spans="1:11" ht="42" customHeight="1">
      <c r="A5685" s="2" t="s">
        <v>11777</v>
      </c>
      <c r="B5685" s="2" t="s">
        <v>11777</v>
      </c>
      <c r="C5685" s="2" t="s">
        <v>25</v>
      </c>
      <c r="D5685" s="2" t="s">
        <v>97</v>
      </c>
      <c r="E5685" s="5">
        <v>-31446</v>
      </c>
      <c r="F5685" s="3" t="s">
        <v>1877</v>
      </c>
      <c r="G5685" s="3" t="s">
        <v>54</v>
      </c>
      <c r="H5685" s="2" t="s">
        <v>20</v>
      </c>
      <c r="I5685" s="2" t="s">
        <v>11791</v>
      </c>
      <c r="J5685" s="3" t="str">
        <f>HYPERLINK("https://www.boe.es/gazeta/dias/1813/11/25/pdfs/GRE-1813-155E.pdf#page=3","Abrir facsímil")</f>
        <v>Abrir facsímil</v>
      </c>
      <c r="K5685" s="3" t="s">
        <v>22</v>
      </c>
    </row>
    <row r="5686" spans="1:11" ht="42" customHeight="1">
      <c r="A5686" s="2" t="s">
        <v>11777</v>
      </c>
      <c r="B5686" s="2" t="s">
        <v>11777</v>
      </c>
      <c r="C5686" s="2" t="s">
        <v>16</v>
      </c>
      <c r="D5686" s="2" t="s">
        <v>17</v>
      </c>
      <c r="E5686" s="5">
        <v>-31444</v>
      </c>
      <c r="F5686" s="3" t="s">
        <v>389</v>
      </c>
      <c r="G5686" s="3" t="s">
        <v>1365</v>
      </c>
      <c r="H5686" s="2" t="s">
        <v>20</v>
      </c>
      <c r="I5686" s="2" t="s">
        <v>11792</v>
      </c>
      <c r="J5686" s="3" t="str">
        <f>HYPERLINK("https://www.boe.es/gazeta/dias/1813/11/27/pdfs/GMR-1813-80.pdf#page=5","Abrir facsímil")</f>
        <v>Abrir facsímil</v>
      </c>
      <c r="K5686" s="3" t="s">
        <v>22</v>
      </c>
    </row>
    <row r="5687" spans="1:11" ht="42" customHeight="1">
      <c r="A5687" s="2" t="s">
        <v>11777</v>
      </c>
      <c r="B5687" s="2" t="s">
        <v>11777</v>
      </c>
      <c r="C5687" s="2" t="s">
        <v>16</v>
      </c>
      <c r="D5687" s="2" t="s">
        <v>17</v>
      </c>
      <c r="E5687" s="5">
        <v>-31441</v>
      </c>
      <c r="F5687" s="3" t="s">
        <v>1933</v>
      </c>
      <c r="G5687" s="3" t="s">
        <v>65</v>
      </c>
      <c r="H5687" s="2" t="s">
        <v>20</v>
      </c>
      <c r="I5687" s="2" t="s">
        <v>11793</v>
      </c>
      <c r="J5687" s="3" t="str">
        <f>HYPERLINK("https://www.boe.es/gazeta/dias/1813/11/30/pdfs/GMR-1813-81.pdf#page=1","Abrir facsímil")</f>
        <v>Abrir facsímil</v>
      </c>
      <c r="K5687" s="3" t="s">
        <v>22</v>
      </c>
    </row>
    <row r="5688" spans="1:11" ht="42" customHeight="1">
      <c r="A5688" s="2" t="s">
        <v>11777</v>
      </c>
      <c r="B5688" s="2" t="s">
        <v>11777</v>
      </c>
      <c r="C5688" s="2" t="s">
        <v>16</v>
      </c>
      <c r="D5688" s="2" t="s">
        <v>17</v>
      </c>
      <c r="E5688" s="5">
        <v>-31434</v>
      </c>
      <c r="F5688" s="3" t="s">
        <v>18</v>
      </c>
      <c r="G5688" s="3" t="s">
        <v>95</v>
      </c>
      <c r="H5688" s="2" t="s">
        <v>20</v>
      </c>
      <c r="I5688" s="2" t="s">
        <v>11794</v>
      </c>
      <c r="J5688" s="3" t="str">
        <f>HYPERLINK("https://www.boe.es/gazeta/dias/1813/12/07/pdfs/GRE-1813-161.pdf#page=6","Abrir facsímil")</f>
        <v>Abrir facsímil</v>
      </c>
      <c r="K5688" s="3" t="s">
        <v>22</v>
      </c>
    </row>
    <row r="5689" spans="1:11" ht="42" customHeight="1">
      <c r="A5689" s="2" t="s">
        <v>11777</v>
      </c>
      <c r="B5689" s="2" t="s">
        <v>11777</v>
      </c>
      <c r="C5689" s="2" t="s">
        <v>16</v>
      </c>
      <c r="D5689" s="2" t="s">
        <v>17</v>
      </c>
      <c r="E5689" s="5">
        <v>-31427</v>
      </c>
      <c r="F5689" s="3" t="s">
        <v>489</v>
      </c>
      <c r="G5689" s="3" t="s">
        <v>490</v>
      </c>
      <c r="H5689" s="2" t="s">
        <v>20</v>
      </c>
      <c r="I5689" s="2" t="s">
        <v>11795</v>
      </c>
      <c r="J5689" s="3" t="str">
        <f>HYPERLINK("https://www.boe.es/gazeta/dias/1813/12/14/pdfs/GMR-1813-87.pdf#page=5","Abrir facsímil")</f>
        <v>Abrir facsímil</v>
      </c>
      <c r="K5689" s="3" t="s">
        <v>22</v>
      </c>
    </row>
    <row r="5690" spans="1:11" ht="42" customHeight="1">
      <c r="A5690" s="2" t="s">
        <v>11796</v>
      </c>
      <c r="B5690" s="2" t="s">
        <v>11797</v>
      </c>
      <c r="C5690" s="2" t="s">
        <v>16</v>
      </c>
      <c r="D5690" s="2" t="s">
        <v>17</v>
      </c>
      <c r="E5690" s="5">
        <v>-31521</v>
      </c>
      <c r="F5690" s="3" t="s">
        <v>1256</v>
      </c>
      <c r="G5690" s="3" t="s">
        <v>87</v>
      </c>
      <c r="H5690" s="2" t="s">
        <v>20</v>
      </c>
      <c r="I5690" s="2" t="s">
        <v>11798</v>
      </c>
      <c r="J5690" s="3" t="str">
        <f>HYPERLINK("https://www.boe.es/gazeta/dias/1813/09/11/pdfs/GRE-1813-116.pdf#page=7","Abrir facsímil")</f>
        <v>Abrir facsímil</v>
      </c>
      <c r="K5690" s="3" t="s">
        <v>22</v>
      </c>
    </row>
    <row r="5691" spans="1:11" ht="42" customHeight="1">
      <c r="A5691" s="2" t="s">
        <v>11799</v>
      </c>
      <c r="B5691" s="2" t="s">
        <v>11799</v>
      </c>
      <c r="C5691" s="2" t="s">
        <v>25</v>
      </c>
      <c r="D5691" s="2" t="s">
        <v>26</v>
      </c>
      <c r="E5691" s="5">
        <v>-31734</v>
      </c>
      <c r="F5691" s="3" t="s">
        <v>362</v>
      </c>
      <c r="G5691" s="3" t="s">
        <v>54</v>
      </c>
      <c r="H5691" s="2" t="s">
        <v>20</v>
      </c>
      <c r="I5691" s="2" t="s">
        <v>11800</v>
      </c>
      <c r="J5691" s="3" t="str">
        <f>HYPERLINK("https://www.boe.es/gazeta/dias/1813/02/10/pdfs/GMD-1813-41.pdf#page=3","Abrir facsímil")</f>
        <v>Abrir facsímil</v>
      </c>
      <c r="K5691" s="3" t="s">
        <v>22</v>
      </c>
    </row>
    <row r="5692" spans="1:11" ht="42" customHeight="1">
      <c r="A5692" s="2" t="s">
        <v>11801</v>
      </c>
      <c r="B5692" s="2" t="s">
        <v>11801</v>
      </c>
      <c r="C5692" s="2" t="s">
        <v>109</v>
      </c>
      <c r="D5692" s="2" t="s">
        <v>26</v>
      </c>
      <c r="E5692" s="5">
        <v>-31734</v>
      </c>
      <c r="F5692" s="3" t="s">
        <v>362</v>
      </c>
      <c r="G5692" s="3" t="s">
        <v>19</v>
      </c>
      <c r="H5692" s="2" t="s">
        <v>20</v>
      </c>
      <c r="I5692" s="2" t="s">
        <v>11802</v>
      </c>
      <c r="J5692" s="3" t="str">
        <f>HYPERLINK("https://www.boe.es/gazeta/dias/1813/02/10/pdfs/GMD-1813-41.pdf#page=4","Abrir facsímil")</f>
        <v>Abrir facsímil</v>
      </c>
      <c r="K5692" s="3" t="s">
        <v>22</v>
      </c>
    </row>
    <row r="5693" spans="1:11" ht="42" customHeight="1">
      <c r="A5693" s="2" t="s">
        <v>11801</v>
      </c>
      <c r="B5693" s="2" t="s">
        <v>11801</v>
      </c>
      <c r="C5693" s="2" t="s">
        <v>69</v>
      </c>
      <c r="D5693" s="2" t="s">
        <v>26</v>
      </c>
      <c r="E5693" s="5">
        <v>-31413</v>
      </c>
      <c r="F5693" s="3" t="s">
        <v>152</v>
      </c>
      <c r="G5693" s="3" t="s">
        <v>95</v>
      </c>
      <c r="H5693" s="2" t="s">
        <v>20</v>
      </c>
      <c r="I5693" s="2" t="s">
        <v>11803</v>
      </c>
      <c r="J5693" s="3" t="str">
        <f>HYPERLINK("https://www.boe.es/gazeta/dias/1813/12/28/pdfs/GRE-1813-170.pdf#page=6","Abrir facsímil")</f>
        <v>Abrir facsímil</v>
      </c>
      <c r="K5693" s="3" t="s">
        <v>22</v>
      </c>
    </row>
    <row r="5694" spans="1:11" ht="42" customHeight="1">
      <c r="A5694" s="2" t="s">
        <v>11804</v>
      </c>
      <c r="B5694" s="2" t="s">
        <v>11804</v>
      </c>
      <c r="C5694" s="2" t="s">
        <v>435</v>
      </c>
      <c r="D5694" s="2" t="s">
        <v>26</v>
      </c>
      <c r="E5694" s="5">
        <v>-31686</v>
      </c>
      <c r="F5694" s="3" t="s">
        <v>7037</v>
      </c>
      <c r="G5694" s="3" t="s">
        <v>19</v>
      </c>
      <c r="H5694" s="2" t="s">
        <v>20</v>
      </c>
      <c r="I5694" s="2" t="s">
        <v>11805</v>
      </c>
      <c r="J5694" s="3" t="str">
        <f>HYPERLINK("https://www.boe.es/gazeta/dias/1813/03/30/pdfs/GMD-1813-89.pdf#page=4","Abrir facsímil")</f>
        <v>Abrir facsímil</v>
      </c>
      <c r="K5694" s="3" t="s">
        <v>22</v>
      </c>
    </row>
    <row r="5695" spans="1:11" ht="42" customHeight="1">
      <c r="A5695" s="2" t="s">
        <v>11806</v>
      </c>
      <c r="B5695" s="2" t="s">
        <v>11806</v>
      </c>
      <c r="C5695" s="2" t="s">
        <v>187</v>
      </c>
      <c r="D5695" s="2" t="s">
        <v>26</v>
      </c>
      <c r="E5695" s="5">
        <v>-31734</v>
      </c>
      <c r="F5695" s="3" t="s">
        <v>362</v>
      </c>
      <c r="G5695" s="3" t="s">
        <v>54</v>
      </c>
      <c r="H5695" s="2" t="s">
        <v>20</v>
      </c>
      <c r="I5695" s="2" t="s">
        <v>11807</v>
      </c>
      <c r="J5695" s="3" t="str">
        <f>HYPERLINK("https://www.boe.es/gazeta/dias/1813/02/10/pdfs/GMD-1813-41.pdf#page=3","Abrir facsímil")</f>
        <v>Abrir facsímil</v>
      </c>
      <c r="K5695" s="3" t="s">
        <v>22</v>
      </c>
    </row>
    <row r="5696" spans="1:11" ht="42" customHeight="1">
      <c r="A5696" s="2" t="s">
        <v>11808</v>
      </c>
      <c r="B5696" s="2" t="s">
        <v>11808</v>
      </c>
      <c r="C5696" s="2" t="s">
        <v>435</v>
      </c>
      <c r="D5696" s="2" t="s">
        <v>26</v>
      </c>
      <c r="E5696" s="5">
        <v>-31734</v>
      </c>
      <c r="F5696" s="3" t="s">
        <v>362</v>
      </c>
      <c r="G5696" s="3" t="s">
        <v>54</v>
      </c>
      <c r="H5696" s="2" t="s">
        <v>20</v>
      </c>
      <c r="I5696" s="2" t="s">
        <v>11809</v>
      </c>
      <c r="J5696" s="3" t="str">
        <f>HYPERLINK("https://www.boe.es/gazeta/dias/1813/02/10/pdfs/GMD-1813-41.pdf#page=3","Abrir facsímil")</f>
        <v>Abrir facsímil</v>
      </c>
      <c r="K5696" s="3" t="s">
        <v>22</v>
      </c>
    </row>
    <row r="5697" spans="1:11" ht="42" customHeight="1">
      <c r="A5697" s="2" t="s">
        <v>11808</v>
      </c>
      <c r="B5697" s="2" t="s">
        <v>11808</v>
      </c>
      <c r="C5697" s="2" t="s">
        <v>16</v>
      </c>
      <c r="D5697" s="2" t="s">
        <v>17</v>
      </c>
      <c r="E5697" s="5">
        <v>-31686</v>
      </c>
      <c r="F5697" s="3" t="s">
        <v>7037</v>
      </c>
      <c r="G5697" s="3" t="s">
        <v>54</v>
      </c>
      <c r="H5697" s="2" t="s">
        <v>20</v>
      </c>
      <c r="I5697" s="2" t="s">
        <v>11810</v>
      </c>
      <c r="J5697" s="3" t="str">
        <f>HYPERLINK("https://www.boe.es/gazeta/dias/1813/03/30/pdfs/GMD-1813-89.pdf#page=3","Abrir facsímil")</f>
        <v>Abrir facsímil</v>
      </c>
      <c r="K5697" s="3" t="s">
        <v>22</v>
      </c>
    </row>
    <row r="5698" spans="1:11" ht="42" customHeight="1">
      <c r="A5698" s="2" t="s">
        <v>11808</v>
      </c>
      <c r="B5698" s="2" t="s">
        <v>11808</v>
      </c>
      <c r="C5698" s="2" t="s">
        <v>25</v>
      </c>
      <c r="D5698" s="2" t="s">
        <v>26</v>
      </c>
      <c r="E5698" s="5">
        <v>-31686</v>
      </c>
      <c r="F5698" s="3" t="s">
        <v>7037</v>
      </c>
      <c r="G5698" s="3" t="s">
        <v>19</v>
      </c>
      <c r="H5698" s="2" t="s">
        <v>20</v>
      </c>
      <c r="I5698" s="2" t="s">
        <v>11811</v>
      </c>
      <c r="J5698" s="3" t="str">
        <f>HYPERLINK("https://www.boe.es/gazeta/dias/1813/03/30/pdfs/GMD-1813-89.pdf#page=4","Abrir facsímil")</f>
        <v>Abrir facsímil</v>
      </c>
      <c r="K5698" s="3" t="s">
        <v>22</v>
      </c>
    </row>
    <row r="5699" spans="1:11" ht="42" customHeight="1">
      <c r="A5699" s="2" t="s">
        <v>11812</v>
      </c>
      <c r="B5699" s="2" t="s">
        <v>11812</v>
      </c>
      <c r="C5699" s="2" t="s">
        <v>25</v>
      </c>
      <c r="D5699" s="2" t="s">
        <v>26</v>
      </c>
      <c r="E5699" s="5">
        <v>-31662</v>
      </c>
      <c r="F5699" s="3" t="s">
        <v>8038</v>
      </c>
      <c r="G5699" s="3" t="s">
        <v>19</v>
      </c>
      <c r="H5699" s="2" t="s">
        <v>20</v>
      </c>
      <c r="I5699" s="2" t="s">
        <v>11813</v>
      </c>
      <c r="J5699" s="3" t="str">
        <f>HYPERLINK("https://www.boe.es/gazeta/dias/1813/04/23/pdfs/GMD-1813-113.pdf#page=4","Abrir facsímil")</f>
        <v>Abrir facsímil</v>
      </c>
      <c r="K5699" s="3" t="s">
        <v>22</v>
      </c>
    </row>
    <row r="5700" spans="1:11" ht="42" customHeight="1">
      <c r="A5700" s="2" t="s">
        <v>11814</v>
      </c>
      <c r="B5700" s="2" t="s">
        <v>11814</v>
      </c>
      <c r="C5700" s="2" t="s">
        <v>16</v>
      </c>
      <c r="D5700" s="2" t="s">
        <v>17</v>
      </c>
      <c r="E5700" s="5">
        <v>-31507</v>
      </c>
      <c r="F5700" s="3" t="s">
        <v>61</v>
      </c>
      <c r="G5700" s="3" t="s">
        <v>28</v>
      </c>
      <c r="H5700" s="2" t="s">
        <v>20</v>
      </c>
      <c r="I5700" s="2" t="s">
        <v>11815</v>
      </c>
      <c r="J5700" s="3" t="str">
        <f>HYPERLINK("https://www.boe.es/gazeta/dias/1813/09/25/pdfs/GMR-1813-48.pdf#page=8","Abrir facsímil")</f>
        <v>Abrir facsímil</v>
      </c>
      <c r="K5700" s="3" t="s">
        <v>22</v>
      </c>
    </row>
    <row r="5701" spans="1:11" ht="42" customHeight="1">
      <c r="A5701" s="2" t="s">
        <v>11816</v>
      </c>
      <c r="B5701" s="2" t="s">
        <v>11817</v>
      </c>
      <c r="C5701" s="2" t="s">
        <v>16</v>
      </c>
      <c r="D5701" s="2" t="s">
        <v>17</v>
      </c>
      <c r="E5701" s="5">
        <v>-31490</v>
      </c>
      <c r="F5701" s="3" t="s">
        <v>3271</v>
      </c>
      <c r="G5701" s="3" t="s">
        <v>82</v>
      </c>
      <c r="H5701" s="2" t="s">
        <v>20</v>
      </c>
      <c r="I5701" s="2" t="s">
        <v>11818</v>
      </c>
      <c r="J5701" s="3" t="str">
        <f>HYPERLINK("https://www.boe.es/gazeta/dias/1813/10/12/pdfs/GRE-1813-133.pdf#page=5","Abrir facsímil")</f>
        <v>Abrir facsímil</v>
      </c>
      <c r="K5701" s="3" t="s">
        <v>22</v>
      </c>
    </row>
    <row r="5702" spans="1:11" ht="42" customHeight="1">
      <c r="A5702" s="2" t="s">
        <v>11819</v>
      </c>
      <c r="B5702" s="2" t="s">
        <v>11820</v>
      </c>
      <c r="C5702" s="2" t="s">
        <v>16</v>
      </c>
      <c r="D5702" s="2" t="s">
        <v>17</v>
      </c>
      <c r="E5702" s="5">
        <v>-31504</v>
      </c>
      <c r="F5702" s="3" t="s">
        <v>1361</v>
      </c>
      <c r="G5702" s="3" t="s">
        <v>2029</v>
      </c>
      <c r="H5702" s="2" t="s">
        <v>20</v>
      </c>
      <c r="I5702" s="2" t="s">
        <v>11821</v>
      </c>
      <c r="J5702" s="3" t="str">
        <f>HYPERLINK("https://www.boe.es/gazeta/dias/1813/09/28/pdfs/GMR-1813-50.pdf#page=6","Abrir facsímil")</f>
        <v>Abrir facsímil</v>
      </c>
      <c r="K5702" s="3" t="s">
        <v>22</v>
      </c>
    </row>
    <row r="5703" spans="1:11" ht="42" customHeight="1">
      <c r="A5703" s="2" t="s">
        <v>11822</v>
      </c>
      <c r="B5703" s="2" t="s">
        <v>11822</v>
      </c>
      <c r="C5703" s="2" t="s">
        <v>16</v>
      </c>
      <c r="D5703" s="2" t="s">
        <v>17</v>
      </c>
      <c r="E5703" s="5">
        <v>-31700</v>
      </c>
      <c r="F5703" s="3" t="s">
        <v>778</v>
      </c>
      <c r="G5703" s="3" t="s">
        <v>65</v>
      </c>
      <c r="H5703" s="2" t="s">
        <v>20</v>
      </c>
      <c r="I5703" s="2" t="s">
        <v>11823</v>
      </c>
      <c r="J5703" s="3" t="str">
        <f>HYPERLINK("https://www.boe.es/gazeta/dias/1813/03/16/pdfs/GMD-1813-75.pdf#page=1","Abrir facsímil")</f>
        <v>Abrir facsímil</v>
      </c>
      <c r="K5703" s="3" t="s">
        <v>22</v>
      </c>
    </row>
    <row r="5704" spans="1:11" ht="42" customHeight="1">
      <c r="A5704" s="2" t="s">
        <v>11824</v>
      </c>
      <c r="B5704" s="2" t="s">
        <v>11824</v>
      </c>
      <c r="C5704" s="2" t="s">
        <v>187</v>
      </c>
      <c r="D5704" s="2" t="s">
        <v>26</v>
      </c>
      <c r="E5704" s="5">
        <v>-31662</v>
      </c>
      <c r="F5704" s="3" t="s">
        <v>8038</v>
      </c>
      <c r="G5704" s="3" t="s">
        <v>19</v>
      </c>
      <c r="H5704" s="2" t="s">
        <v>20</v>
      </c>
      <c r="I5704" s="2" t="s">
        <v>11825</v>
      </c>
      <c r="J5704" s="3" t="str">
        <f>HYPERLINK("https://www.boe.es/gazeta/dias/1813/04/23/pdfs/GMD-1813-113.pdf#page=4","Abrir facsímil")</f>
        <v>Abrir facsímil</v>
      </c>
      <c r="K5704" s="3" t="s">
        <v>22</v>
      </c>
    </row>
    <row r="5705" spans="1:11" ht="42" customHeight="1">
      <c r="A5705" s="2" t="s">
        <v>11826</v>
      </c>
      <c r="B5705" s="2" t="s">
        <v>11826</v>
      </c>
      <c r="C5705" s="2" t="s">
        <v>16</v>
      </c>
      <c r="D5705" s="2" t="s">
        <v>17</v>
      </c>
      <c r="E5705" s="5">
        <v>-31752</v>
      </c>
      <c r="F5705" s="3" t="s">
        <v>182</v>
      </c>
      <c r="G5705" s="3" t="s">
        <v>58</v>
      </c>
      <c r="H5705" s="2" t="s">
        <v>20</v>
      </c>
      <c r="I5705" s="2" t="s">
        <v>11827</v>
      </c>
      <c r="J5705" s="3" t="str">
        <f>HYPERLINK("https://www.boe.es/gazeta/dias/1813/01/23/pdfs/GRE-1813-10.pdf#page=2","Abrir facsímil")</f>
        <v>Abrir facsímil</v>
      </c>
      <c r="K5705" s="3" t="s">
        <v>22</v>
      </c>
    </row>
    <row r="5706" spans="1:11" ht="42" customHeight="1">
      <c r="A5706" s="2" t="s">
        <v>11828</v>
      </c>
      <c r="B5706" s="2" t="s">
        <v>11828</v>
      </c>
      <c r="C5706" s="2" t="s">
        <v>16</v>
      </c>
      <c r="D5706" s="2" t="s">
        <v>17</v>
      </c>
      <c r="E5706" s="5">
        <v>-31741</v>
      </c>
      <c r="F5706" s="3" t="s">
        <v>1359</v>
      </c>
      <c r="G5706" s="3" t="s">
        <v>54</v>
      </c>
      <c r="H5706" s="2" t="s">
        <v>20</v>
      </c>
      <c r="I5706" s="2" t="s">
        <v>11829</v>
      </c>
      <c r="J5706" s="3" t="str">
        <f>HYPERLINK("https://www.boe.es/gazeta/dias/1813/02/03/pdfs/GMD-1813-34.pdf#page=3","Abrir facsímil")</f>
        <v>Abrir facsímil</v>
      </c>
      <c r="K5706" s="3" t="s">
        <v>22</v>
      </c>
    </row>
    <row r="5707" spans="1:11" ht="42" customHeight="1">
      <c r="A5707" s="2" t="s">
        <v>11828</v>
      </c>
      <c r="B5707" s="2" t="s">
        <v>11828</v>
      </c>
      <c r="C5707" s="2" t="s">
        <v>16</v>
      </c>
      <c r="D5707" s="2" t="s">
        <v>17</v>
      </c>
      <c r="E5707" s="5">
        <v>-31741</v>
      </c>
      <c r="F5707" s="3" t="s">
        <v>1359</v>
      </c>
      <c r="G5707" s="3" t="s">
        <v>19</v>
      </c>
      <c r="H5707" s="2" t="s">
        <v>20</v>
      </c>
      <c r="I5707" s="2" t="s">
        <v>11830</v>
      </c>
      <c r="J5707" s="3" t="str">
        <f>HYPERLINK("https://www.boe.es/gazeta/dias/1813/02/03/pdfs/GMD-1813-34.pdf#page=4","Abrir facsímil")</f>
        <v>Abrir facsímil</v>
      </c>
      <c r="K5707" s="3" t="s">
        <v>22</v>
      </c>
    </row>
    <row r="5708" spans="1:11" ht="42" customHeight="1">
      <c r="A5708" s="2" t="s">
        <v>11828</v>
      </c>
      <c r="B5708" s="2" t="s">
        <v>11828</v>
      </c>
      <c r="C5708" s="2" t="s">
        <v>16</v>
      </c>
      <c r="D5708" s="2" t="s">
        <v>17</v>
      </c>
      <c r="E5708" s="5">
        <v>-31532</v>
      </c>
      <c r="F5708" s="3" t="s">
        <v>215</v>
      </c>
      <c r="G5708" s="3" t="s">
        <v>54</v>
      </c>
      <c r="H5708" s="2" t="s">
        <v>20</v>
      </c>
      <c r="I5708" s="2" t="s">
        <v>11831</v>
      </c>
      <c r="J5708" s="3" t="str">
        <f>HYPERLINK("https://www.boe.es/gazeta/dias/1813/08/31/pdfs/GRE-1813-111.pdf#page=3","Abrir facsímil")</f>
        <v>Abrir facsímil</v>
      </c>
      <c r="K5708" s="3" t="s">
        <v>22</v>
      </c>
    </row>
    <row r="5709" spans="1:11" ht="42" customHeight="1">
      <c r="A5709" s="2" t="s">
        <v>11832</v>
      </c>
      <c r="B5709" s="2" t="s">
        <v>11833</v>
      </c>
      <c r="C5709" s="2" t="s">
        <v>16</v>
      </c>
      <c r="D5709" s="2" t="s">
        <v>17</v>
      </c>
      <c r="E5709" s="5">
        <v>-31413</v>
      </c>
      <c r="F5709" s="3" t="s">
        <v>152</v>
      </c>
      <c r="G5709" s="3" t="s">
        <v>19</v>
      </c>
      <c r="H5709" s="2" t="s">
        <v>20</v>
      </c>
      <c r="I5709" s="2" t="s">
        <v>11834</v>
      </c>
      <c r="J5709" s="3" t="str">
        <f>HYPERLINK("https://www.boe.es/gazeta/dias/1813/12/28/pdfs/GRE-1813-170.pdf#page=4","Abrir facsímil")</f>
        <v>Abrir facsímil</v>
      </c>
      <c r="K5709" s="3" t="s">
        <v>22</v>
      </c>
    </row>
    <row r="5710" spans="1:11" ht="42" customHeight="1">
      <c r="A5710" s="2" t="s">
        <v>11835</v>
      </c>
      <c r="B5710" s="2" t="s">
        <v>11836</v>
      </c>
      <c r="C5710" s="2" t="s">
        <v>25</v>
      </c>
      <c r="D5710" s="2" t="s">
        <v>26</v>
      </c>
      <c r="E5710" s="5">
        <v>-31745</v>
      </c>
      <c r="F5710" s="3" t="s">
        <v>445</v>
      </c>
      <c r="G5710" s="3" t="s">
        <v>28</v>
      </c>
      <c r="H5710" s="2" t="s">
        <v>20</v>
      </c>
      <c r="I5710" s="2" t="s">
        <v>11837</v>
      </c>
      <c r="J5710" s="3" t="str">
        <f>HYPERLINK("https://www.boe.es/gazeta/dias/1813/01/30/pdfs/GRE-1813-13.pdf#page=8","Abrir facsímil")</f>
        <v>Abrir facsímil</v>
      </c>
      <c r="K5710" s="3" t="s">
        <v>22</v>
      </c>
    </row>
    <row r="5711" spans="1:11" ht="42" customHeight="1">
      <c r="A5711" s="2" t="s">
        <v>11835</v>
      </c>
      <c r="B5711" s="2" t="s">
        <v>11836</v>
      </c>
      <c r="C5711" s="2" t="s">
        <v>16</v>
      </c>
      <c r="D5711" s="2" t="s">
        <v>17</v>
      </c>
      <c r="E5711" s="5">
        <v>-31670</v>
      </c>
      <c r="F5711" s="3" t="s">
        <v>92</v>
      </c>
      <c r="G5711" s="3" t="s">
        <v>93</v>
      </c>
      <c r="H5711" s="2" t="s">
        <v>20</v>
      </c>
      <c r="I5711" s="2" t="s">
        <v>11838</v>
      </c>
      <c r="J5711" s="3" t="str">
        <f>HYPERLINK("https://www.boe.es/gazeta/dias/1813/04/15/pdfs/GRE-1813-46.pdf#page=5","Abrir facsímil")</f>
        <v>Abrir facsímil</v>
      </c>
      <c r="K5711" s="3" t="s">
        <v>22</v>
      </c>
    </row>
    <row r="5712" spans="1:11" ht="42" customHeight="1">
      <c r="A5712" s="2" t="s">
        <v>11839</v>
      </c>
      <c r="B5712" s="2" t="s">
        <v>11839</v>
      </c>
      <c r="C5712" s="2" t="s">
        <v>16</v>
      </c>
      <c r="D5712" s="2" t="s">
        <v>17</v>
      </c>
      <c r="E5712" s="5">
        <v>-31481</v>
      </c>
      <c r="F5712" s="3" t="s">
        <v>40</v>
      </c>
      <c r="G5712" s="3" t="s">
        <v>58</v>
      </c>
      <c r="H5712" s="2" t="s">
        <v>20</v>
      </c>
      <c r="I5712" s="2" t="s">
        <v>11840</v>
      </c>
      <c r="J5712" s="3" t="str">
        <f>HYPERLINK("https://www.boe.es/gazeta/dias/1813/10/21/pdfs/GMR-1813-62.pdf#page=2","Abrir facsímil")</f>
        <v>Abrir facsímil</v>
      </c>
      <c r="K5712" s="3" t="s">
        <v>22</v>
      </c>
    </row>
    <row r="5713" spans="1:11" ht="42" customHeight="1">
      <c r="A5713" s="2" t="s">
        <v>11841</v>
      </c>
      <c r="B5713" s="2" t="s">
        <v>11842</v>
      </c>
      <c r="C5713" s="2" t="s">
        <v>25</v>
      </c>
      <c r="D5713" s="2" t="s">
        <v>26</v>
      </c>
      <c r="E5713" s="5">
        <v>-31767</v>
      </c>
      <c r="F5713" s="3" t="s">
        <v>1915</v>
      </c>
      <c r="G5713" s="3" t="s">
        <v>19</v>
      </c>
      <c r="H5713" s="2" t="s">
        <v>20</v>
      </c>
      <c r="I5713" s="2" t="s">
        <v>11843</v>
      </c>
      <c r="J5713" s="3" t="str">
        <f>HYPERLINK("https://www.boe.es/gazeta/dias/1813/01/08/pdfs/GMD-1813-8.pdf#page=4","Abrir facsímil")</f>
        <v>Abrir facsímil</v>
      </c>
      <c r="K5713" s="3" t="s">
        <v>22</v>
      </c>
    </row>
    <row r="5714" spans="1:11" ht="42" customHeight="1">
      <c r="A5714" s="2" t="s">
        <v>11844</v>
      </c>
      <c r="B5714" s="2" t="s">
        <v>11844</v>
      </c>
      <c r="C5714" s="2" t="s">
        <v>16</v>
      </c>
      <c r="D5714" s="2" t="s">
        <v>17</v>
      </c>
      <c r="E5714" s="5">
        <v>-31455</v>
      </c>
      <c r="F5714" s="3" t="s">
        <v>6184</v>
      </c>
      <c r="G5714" s="3" t="s">
        <v>82</v>
      </c>
      <c r="H5714" s="2" t="s">
        <v>20</v>
      </c>
      <c r="I5714" s="2" t="s">
        <v>11845</v>
      </c>
      <c r="J5714" s="3" t="str">
        <f>HYPERLINK("https://www.boe.es/gazeta/dias/1813/11/16/pdfs/GMR-1813-74.pdf#page=5","Abrir facsímil")</f>
        <v>Abrir facsímil</v>
      </c>
      <c r="K5714" s="3" t="s">
        <v>22</v>
      </c>
    </row>
    <row r="5715" spans="1:11" ht="42" customHeight="1">
      <c r="A5715" s="2" t="s">
        <v>11846</v>
      </c>
      <c r="B5715" s="2" t="s">
        <v>11847</v>
      </c>
      <c r="C5715" s="2" t="s">
        <v>16</v>
      </c>
      <c r="D5715" s="2" t="s">
        <v>97</v>
      </c>
      <c r="E5715" s="5">
        <v>-31519</v>
      </c>
      <c r="F5715" s="3" t="s">
        <v>312</v>
      </c>
      <c r="G5715" s="3" t="s">
        <v>28</v>
      </c>
      <c r="H5715" s="2" t="s">
        <v>20</v>
      </c>
      <c r="I5715" s="2" t="s">
        <v>11848</v>
      </c>
      <c r="J5715" s="3" t="str">
        <f>HYPERLINK("https://www.boe.es/gazeta/dias/1813/09/13/pdfs/GRE-1813-118E.pdf#page=8","Abrir facsímil")</f>
        <v>Abrir facsímil</v>
      </c>
      <c r="K5715" s="3" t="s">
        <v>22</v>
      </c>
    </row>
    <row r="5716" spans="1:11" ht="42" customHeight="1">
      <c r="A5716" s="2" t="s">
        <v>11849</v>
      </c>
      <c r="B5716" s="2" t="s">
        <v>11849</v>
      </c>
      <c r="C5716" s="2" t="s">
        <v>109</v>
      </c>
      <c r="D5716" s="2" t="s">
        <v>26</v>
      </c>
      <c r="E5716" s="5">
        <v>-31757</v>
      </c>
      <c r="F5716" s="3" t="s">
        <v>5611</v>
      </c>
      <c r="G5716" s="3" t="s">
        <v>19</v>
      </c>
      <c r="H5716" s="2" t="s">
        <v>20</v>
      </c>
      <c r="I5716" s="2" t="s">
        <v>11850</v>
      </c>
      <c r="J5716" s="3" t="str">
        <f>HYPERLINK("https://www.boe.es/gazeta/dias/1813/01/18/pdfs/GMD-1813-18.pdf#page=4","Abrir facsímil")</f>
        <v>Abrir facsímil</v>
      </c>
      <c r="K5716" s="3" t="s">
        <v>22</v>
      </c>
    </row>
    <row r="5717" spans="1:11" ht="42" customHeight="1">
      <c r="A5717" s="2" t="s">
        <v>11851</v>
      </c>
      <c r="B5717" s="2" t="s">
        <v>11852</v>
      </c>
      <c r="C5717" s="2" t="s">
        <v>16</v>
      </c>
      <c r="D5717" s="2" t="s">
        <v>17</v>
      </c>
      <c r="E5717" s="5">
        <v>-31630</v>
      </c>
      <c r="F5717" s="3" t="s">
        <v>1324</v>
      </c>
      <c r="G5717" s="3" t="s">
        <v>3731</v>
      </c>
      <c r="H5717" s="2" t="s">
        <v>20</v>
      </c>
      <c r="I5717" s="2" t="s">
        <v>11853</v>
      </c>
      <c r="J5717" s="3" t="str">
        <f>HYPERLINK("https://www.boe.es/gazeta/dias/1813/05/25/pdfs/GRE-1813-64.pdf#page=7","Abrir facsímil")</f>
        <v>Abrir facsímil</v>
      </c>
      <c r="K5717" s="3" t="s">
        <v>22</v>
      </c>
    </row>
    <row r="5718" spans="1:11" ht="42" customHeight="1">
      <c r="A5718" s="2" t="s">
        <v>11854</v>
      </c>
      <c r="B5718" s="2" t="s">
        <v>11855</v>
      </c>
      <c r="C5718" s="2" t="s">
        <v>16</v>
      </c>
      <c r="D5718" s="2" t="s">
        <v>97</v>
      </c>
      <c r="E5718" s="5">
        <v>-31519</v>
      </c>
      <c r="F5718" s="3" t="s">
        <v>312</v>
      </c>
      <c r="G5718" s="3" t="s">
        <v>313</v>
      </c>
      <c r="H5718" s="2" t="s">
        <v>20</v>
      </c>
      <c r="I5718" s="2" t="s">
        <v>11856</v>
      </c>
      <c r="J5718" s="3" t="str">
        <f>HYPERLINK("https://www.boe.es/gazeta/dias/1813/09/13/pdfs/GRE-1813-118E.pdf#page=9","Abrir facsímil")</f>
        <v>Abrir facsímil</v>
      </c>
      <c r="K5718" s="3" t="s">
        <v>22</v>
      </c>
    </row>
    <row r="5719" spans="1:11" ht="42" customHeight="1">
      <c r="A5719" s="2" t="s">
        <v>11854</v>
      </c>
      <c r="B5719" s="2" t="s">
        <v>11855</v>
      </c>
      <c r="C5719" s="2" t="s">
        <v>16</v>
      </c>
      <c r="D5719" s="2" t="s">
        <v>17</v>
      </c>
      <c r="E5719" s="5">
        <v>-31507</v>
      </c>
      <c r="F5719" s="3" t="s">
        <v>61</v>
      </c>
      <c r="G5719" s="3" t="s">
        <v>28</v>
      </c>
      <c r="H5719" s="2" t="s">
        <v>20</v>
      </c>
      <c r="I5719" s="2" t="s">
        <v>11857</v>
      </c>
      <c r="J5719" s="3" t="str">
        <f>HYPERLINK("https://www.boe.es/gazeta/dias/1813/09/25/pdfs/GMR-1813-48.pdf#page=8","Abrir facsímil")</f>
        <v>Abrir facsímil</v>
      </c>
      <c r="K5719" s="3" t="s">
        <v>22</v>
      </c>
    </row>
    <row r="5720" spans="1:11" ht="42" customHeight="1">
      <c r="A5720" s="2" t="s">
        <v>11858</v>
      </c>
      <c r="B5720" s="2" t="s">
        <v>11858</v>
      </c>
      <c r="C5720" s="2" t="s">
        <v>34</v>
      </c>
      <c r="D5720" s="2" t="s">
        <v>35</v>
      </c>
      <c r="E5720" s="5">
        <v>-31674</v>
      </c>
      <c r="F5720" s="3" t="s">
        <v>2773</v>
      </c>
      <c r="G5720" s="3" t="s">
        <v>58</v>
      </c>
      <c r="H5720" s="2" t="s">
        <v>20</v>
      </c>
      <c r="I5720" s="2" t="s">
        <v>11859</v>
      </c>
      <c r="J5720" s="3" t="str">
        <f>HYPERLINK("https://www.boe.es/gazeta/dias/1813/04/11/pdfs/GMD-1813-101.pdf#page=2","Abrir facsímil")</f>
        <v>Abrir facsímil</v>
      </c>
      <c r="K5720" s="3" t="s">
        <v>22</v>
      </c>
    </row>
    <row r="5721" spans="1:11" ht="42" customHeight="1">
      <c r="A5721" s="2" t="s">
        <v>11860</v>
      </c>
      <c r="B5721" s="2" t="s">
        <v>11860</v>
      </c>
      <c r="C5721" s="2" t="s">
        <v>16</v>
      </c>
      <c r="D5721" s="2" t="s">
        <v>97</v>
      </c>
      <c r="E5721" s="5">
        <v>-31446</v>
      </c>
      <c r="F5721" s="3" t="s">
        <v>1877</v>
      </c>
      <c r="G5721" s="3" t="s">
        <v>19</v>
      </c>
      <c r="H5721" s="2" t="s">
        <v>20</v>
      </c>
      <c r="I5721" s="2" t="s">
        <v>11861</v>
      </c>
      <c r="J5721" s="3" t="str">
        <f>HYPERLINK("https://www.boe.es/gazeta/dias/1813/11/25/pdfs/GRE-1813-155E.pdf#page=4","Abrir facsímil")</f>
        <v>Abrir facsímil</v>
      </c>
      <c r="K5721" s="3" t="s">
        <v>22</v>
      </c>
    </row>
    <row r="5722" spans="1:11" ht="42" customHeight="1">
      <c r="A5722" s="2" t="s">
        <v>11862</v>
      </c>
      <c r="B5722" s="2" t="s">
        <v>11863</v>
      </c>
      <c r="C5722" s="2" t="s">
        <v>34</v>
      </c>
      <c r="D5722" s="2" t="s">
        <v>35</v>
      </c>
      <c r="E5722" s="5">
        <v>-31747</v>
      </c>
      <c r="F5722" s="3" t="s">
        <v>4771</v>
      </c>
      <c r="G5722" s="3" t="s">
        <v>19</v>
      </c>
      <c r="H5722" s="2" t="s">
        <v>20</v>
      </c>
      <c r="I5722" s="2" t="s">
        <v>11864</v>
      </c>
      <c r="J5722" s="3" t="str">
        <f>HYPERLINK("https://www.boe.es/gazeta/dias/1813/01/28/pdfs/GMD-1813-28.pdf#page=4","Abrir facsímil")</f>
        <v>Abrir facsímil</v>
      </c>
      <c r="K5722" s="3" t="s">
        <v>22</v>
      </c>
    </row>
    <row r="5723" spans="1:11" ht="42" customHeight="1">
      <c r="A5723" s="2" t="s">
        <v>11862</v>
      </c>
      <c r="B5723" s="2" t="s">
        <v>11863</v>
      </c>
      <c r="C5723" s="2" t="s">
        <v>25</v>
      </c>
      <c r="D5723" s="2" t="s">
        <v>26</v>
      </c>
      <c r="E5723" s="5">
        <v>-31744</v>
      </c>
      <c r="F5723" s="3" t="s">
        <v>5679</v>
      </c>
      <c r="G5723" s="3" t="s">
        <v>19</v>
      </c>
      <c r="H5723" s="2" t="s">
        <v>20</v>
      </c>
      <c r="I5723" s="2" t="s">
        <v>11865</v>
      </c>
      <c r="J5723" s="3" t="str">
        <f>HYPERLINK("https://www.boe.es/gazeta/dias/1813/01/31/pdfs/GMD-1813-31.pdf#page=4","Abrir facsímil")</f>
        <v>Abrir facsímil</v>
      </c>
      <c r="K5723" s="3" t="s">
        <v>22</v>
      </c>
    </row>
    <row r="5724" spans="1:11" ht="42" customHeight="1">
      <c r="A5724" s="2" t="s">
        <v>11866</v>
      </c>
      <c r="B5724" s="2" t="s">
        <v>11867</v>
      </c>
      <c r="C5724" s="2" t="s">
        <v>16</v>
      </c>
      <c r="D5724" s="2" t="s">
        <v>17</v>
      </c>
      <c r="E5724" s="5">
        <v>-31754</v>
      </c>
      <c r="F5724" s="3" t="s">
        <v>899</v>
      </c>
      <c r="G5724" s="3" t="s">
        <v>900</v>
      </c>
      <c r="H5724" s="2" t="s">
        <v>20</v>
      </c>
      <c r="I5724" s="2" t="s">
        <v>11868</v>
      </c>
      <c r="J5724" s="3" t="str">
        <f>HYPERLINK("https://www.boe.es/gazeta/dias/1813/01/21/pdfs/GRE-1813-9.pdf#page=8","Abrir facsímil")</f>
        <v>Abrir facsímil</v>
      </c>
      <c r="K5724" s="3" t="s">
        <v>22</v>
      </c>
    </row>
    <row r="5725" spans="1:11" ht="42" customHeight="1">
      <c r="A5725" s="2" t="s">
        <v>11869</v>
      </c>
      <c r="B5725" s="2" t="s">
        <v>11870</v>
      </c>
      <c r="C5725" s="2" t="s">
        <v>16</v>
      </c>
      <c r="D5725" s="2" t="s">
        <v>97</v>
      </c>
      <c r="E5725" s="5">
        <v>-31519</v>
      </c>
      <c r="F5725" s="3" t="s">
        <v>312</v>
      </c>
      <c r="G5725" s="3" t="s">
        <v>28</v>
      </c>
      <c r="H5725" s="2" t="s">
        <v>20</v>
      </c>
      <c r="I5725" s="2" t="s">
        <v>11871</v>
      </c>
      <c r="J5725" s="3" t="str">
        <f>HYPERLINK("https://www.boe.es/gazeta/dias/1813/09/13/pdfs/GRE-1813-118E.pdf#page=8","Abrir facsímil")</f>
        <v>Abrir facsímil</v>
      </c>
      <c r="K5725" s="3" t="s">
        <v>22</v>
      </c>
    </row>
    <row r="5726" spans="1:11" ht="42" customHeight="1">
      <c r="A5726" s="2" t="s">
        <v>11869</v>
      </c>
      <c r="B5726" s="2" t="s">
        <v>11870</v>
      </c>
      <c r="C5726" s="2" t="s">
        <v>16</v>
      </c>
      <c r="D5726" s="2" t="s">
        <v>17</v>
      </c>
      <c r="E5726" s="5">
        <v>-31479</v>
      </c>
      <c r="F5726" s="3" t="s">
        <v>2383</v>
      </c>
      <c r="G5726" s="3" t="s">
        <v>87</v>
      </c>
      <c r="H5726" s="2" t="s">
        <v>20</v>
      </c>
      <c r="I5726" s="2" t="s">
        <v>11872</v>
      </c>
      <c r="J5726" s="3" t="str">
        <f>HYPERLINK("https://www.boe.es/gazeta/dias/1813/10/23/pdfs/GRE-1813-138.pdf#page=7","Abrir facsímil")</f>
        <v>Abrir facsímil</v>
      </c>
      <c r="K5726" s="3" t="s">
        <v>22</v>
      </c>
    </row>
    <row r="5727" spans="1:11" ht="42" customHeight="1">
      <c r="A5727" s="2" t="s">
        <v>11873</v>
      </c>
      <c r="B5727" s="2" t="s">
        <v>11874</v>
      </c>
      <c r="C5727" s="2" t="s">
        <v>16</v>
      </c>
      <c r="D5727" s="2" t="s">
        <v>17</v>
      </c>
      <c r="E5727" s="5">
        <v>-31731</v>
      </c>
      <c r="F5727" s="3" t="s">
        <v>866</v>
      </c>
      <c r="G5727" s="3" t="s">
        <v>4688</v>
      </c>
      <c r="H5727" s="2" t="s">
        <v>20</v>
      </c>
      <c r="I5727" s="2" t="s">
        <v>11875</v>
      </c>
      <c r="J5727" s="3" t="str">
        <f>HYPERLINK("https://www.boe.es/gazeta/dias/1813/02/13/pdfs/GRE-1813-19.pdf#page=5","Abrir facsímil")</f>
        <v>Abrir facsímil</v>
      </c>
      <c r="K5727" s="3" t="s">
        <v>22</v>
      </c>
    </row>
    <row r="5728" spans="1:11" ht="42" customHeight="1">
      <c r="A5728" s="2" t="s">
        <v>11876</v>
      </c>
      <c r="B5728" s="2" t="s">
        <v>11877</v>
      </c>
      <c r="C5728" s="2" t="s">
        <v>25</v>
      </c>
      <c r="D5728" s="2" t="s">
        <v>26</v>
      </c>
      <c r="E5728" s="5">
        <v>-31675</v>
      </c>
      <c r="F5728" s="3" t="s">
        <v>27</v>
      </c>
      <c r="G5728" s="3" t="s">
        <v>28</v>
      </c>
      <c r="H5728" s="2" t="s">
        <v>20</v>
      </c>
      <c r="I5728" s="2" t="s">
        <v>11878</v>
      </c>
      <c r="J5728" s="3" t="str">
        <f>HYPERLINK("https://www.boe.es/gazeta/dias/1813/04/10/pdfs/GRE-1813-44.pdf#page=8","Abrir facsímil")</f>
        <v>Abrir facsímil</v>
      </c>
      <c r="K5728" s="3" t="s">
        <v>22</v>
      </c>
    </row>
    <row r="5729" spans="1:11" ht="42" customHeight="1">
      <c r="A5729" s="2" t="s">
        <v>11879</v>
      </c>
      <c r="B5729" s="2" t="s">
        <v>11879</v>
      </c>
      <c r="C5729" s="2" t="s">
        <v>16</v>
      </c>
      <c r="D5729" s="2" t="s">
        <v>17</v>
      </c>
      <c r="E5729" s="5">
        <v>-31427</v>
      </c>
      <c r="F5729" s="3" t="s">
        <v>1822</v>
      </c>
      <c r="G5729" s="3" t="s">
        <v>19</v>
      </c>
      <c r="H5729" s="2" t="s">
        <v>20</v>
      </c>
      <c r="I5729" s="2" t="s">
        <v>11880</v>
      </c>
      <c r="J5729" s="3" t="str">
        <f>HYPERLINK("https://www.boe.es/gazeta/dias/1813/12/14/pdfs/GRE-1813-164.pdf#page=4","Abrir facsímil")</f>
        <v>Abrir facsímil</v>
      </c>
      <c r="K5729" s="3" t="s">
        <v>22</v>
      </c>
    </row>
    <row r="5730" spans="1:11" ht="42" customHeight="1">
      <c r="A5730" s="2" t="s">
        <v>11881</v>
      </c>
      <c r="B5730" s="2" t="s">
        <v>11881</v>
      </c>
      <c r="C5730" s="2" t="s">
        <v>16</v>
      </c>
      <c r="D5730" s="2" t="s">
        <v>17</v>
      </c>
      <c r="E5730" s="5">
        <v>-31437</v>
      </c>
      <c r="F5730" s="3" t="s">
        <v>680</v>
      </c>
      <c r="G5730" s="3" t="s">
        <v>58</v>
      </c>
      <c r="H5730" s="2" t="s">
        <v>20</v>
      </c>
      <c r="I5730" s="2" t="s">
        <v>11882</v>
      </c>
      <c r="J5730" s="3" t="str">
        <f>HYPERLINK("https://www.boe.es/gazeta/dias/1813/12/04/pdfs/GMR-1813-83.pdf#page=2","Abrir facsímil")</f>
        <v>Abrir facsímil</v>
      </c>
      <c r="K5730" s="3" t="s">
        <v>22</v>
      </c>
    </row>
    <row r="5731" spans="1:11" ht="42" customHeight="1">
      <c r="A5731" s="2" t="s">
        <v>11883</v>
      </c>
      <c r="B5731" s="2" t="s">
        <v>11883</v>
      </c>
      <c r="C5731" s="2" t="s">
        <v>16</v>
      </c>
      <c r="D5731" s="2" t="s">
        <v>17</v>
      </c>
      <c r="E5731" s="5">
        <v>-31476</v>
      </c>
      <c r="F5731" s="3" t="s">
        <v>158</v>
      </c>
      <c r="G5731" s="3" t="s">
        <v>65</v>
      </c>
      <c r="H5731" s="2" t="s">
        <v>20</v>
      </c>
      <c r="I5731" s="2" t="s">
        <v>11884</v>
      </c>
      <c r="J5731" s="3" t="str">
        <f>HYPERLINK("https://www.boe.es/gazeta/dias/1813/10/26/pdfs/GMR-1813-64.pdf#page=1","Abrir facsímil")</f>
        <v>Abrir facsímil</v>
      </c>
      <c r="K5731" s="3" t="s">
        <v>22</v>
      </c>
    </row>
    <row r="5732" spans="1:11" ht="42" customHeight="1">
      <c r="A5732" s="2" t="s">
        <v>11883</v>
      </c>
      <c r="B5732" s="2" t="s">
        <v>11883</v>
      </c>
      <c r="C5732" s="2" t="s">
        <v>16</v>
      </c>
      <c r="D5732" s="2" t="s">
        <v>17</v>
      </c>
      <c r="E5732" s="5">
        <v>-31467</v>
      </c>
      <c r="F5732" s="3" t="s">
        <v>1464</v>
      </c>
      <c r="G5732" s="3" t="s">
        <v>11885</v>
      </c>
      <c r="H5732" s="2" t="s">
        <v>20</v>
      </c>
      <c r="I5732" s="2" t="s">
        <v>11886</v>
      </c>
      <c r="J5732" s="3" t="str">
        <f>HYPERLINK("https://www.boe.es/gazeta/dias/1813/11/04/pdfs/GRE-1813-144.pdf#page=2","Abrir facsímil")</f>
        <v>Abrir facsímil</v>
      </c>
      <c r="K5732" s="3" t="s">
        <v>22</v>
      </c>
    </row>
    <row r="5733" spans="1:11" ht="42" customHeight="1">
      <c r="A5733" s="2" t="s">
        <v>11887</v>
      </c>
      <c r="B5733" s="2" t="s">
        <v>11887</v>
      </c>
      <c r="C5733" s="2" t="s">
        <v>16</v>
      </c>
      <c r="D5733" s="2" t="s">
        <v>17</v>
      </c>
      <c r="E5733" s="5">
        <v>-31437</v>
      </c>
      <c r="F5733" s="3" t="s">
        <v>680</v>
      </c>
      <c r="G5733" s="3" t="s">
        <v>58</v>
      </c>
      <c r="H5733" s="2" t="s">
        <v>20</v>
      </c>
      <c r="I5733" s="2" t="s">
        <v>11888</v>
      </c>
      <c r="J5733" s="3" t="str">
        <f>HYPERLINK("https://www.boe.es/gazeta/dias/1813/12/04/pdfs/GMR-1813-83.pdf#page=2","Abrir facsímil")</f>
        <v>Abrir facsímil</v>
      </c>
      <c r="K5733" s="3" t="s">
        <v>22</v>
      </c>
    </row>
    <row r="5734" spans="1:11" ht="42" customHeight="1">
      <c r="A5734" s="2" t="s">
        <v>11883</v>
      </c>
      <c r="B5734" s="2" t="s">
        <v>11883</v>
      </c>
      <c r="C5734" s="2" t="s">
        <v>16</v>
      </c>
      <c r="D5734" s="2" t="s">
        <v>17</v>
      </c>
      <c r="E5734" s="5">
        <v>-31427</v>
      </c>
      <c r="F5734" s="3" t="s">
        <v>1822</v>
      </c>
      <c r="G5734" s="3" t="s">
        <v>19</v>
      </c>
      <c r="H5734" s="2" t="s">
        <v>20</v>
      </c>
      <c r="I5734" s="2" t="s">
        <v>11889</v>
      </c>
      <c r="J5734" s="3" t="str">
        <f>HYPERLINK("https://www.boe.es/gazeta/dias/1813/12/14/pdfs/GRE-1813-164.pdf#page=4","Abrir facsímil")</f>
        <v>Abrir facsímil</v>
      </c>
      <c r="K5734" s="3" t="s">
        <v>22</v>
      </c>
    </row>
    <row r="5735" spans="1:11" ht="42" customHeight="1">
      <c r="A5735" s="2" t="s">
        <v>11883</v>
      </c>
      <c r="B5735" s="2" t="s">
        <v>11883</v>
      </c>
      <c r="C5735" s="2" t="s">
        <v>16</v>
      </c>
      <c r="D5735" s="2" t="s">
        <v>17</v>
      </c>
      <c r="E5735" s="5">
        <v>-31413</v>
      </c>
      <c r="F5735" s="3" t="s">
        <v>149</v>
      </c>
      <c r="G5735" s="3" t="s">
        <v>95</v>
      </c>
      <c r="H5735" s="2" t="s">
        <v>20</v>
      </c>
      <c r="I5735" s="2" t="s">
        <v>11890</v>
      </c>
      <c r="J5735" s="3" t="str">
        <f>HYPERLINK("https://www.boe.es/gazeta/dias/1813/12/28/pdfs/GMR-1813-93.pdf#page=6","Abrir facsímil")</f>
        <v>Abrir facsímil</v>
      </c>
      <c r="K5735" s="3" t="s">
        <v>22</v>
      </c>
    </row>
    <row r="5736" spans="1:11" ht="42" customHeight="1">
      <c r="A5736" s="2" t="s">
        <v>11891</v>
      </c>
      <c r="B5736" s="2" t="s">
        <v>11891</v>
      </c>
      <c r="C5736" s="2" t="s">
        <v>16</v>
      </c>
      <c r="D5736" s="2" t="s">
        <v>17</v>
      </c>
      <c r="E5736" s="5">
        <v>-31486</v>
      </c>
      <c r="F5736" s="3" t="s">
        <v>1284</v>
      </c>
      <c r="G5736" s="3" t="s">
        <v>2413</v>
      </c>
      <c r="H5736" s="2" t="s">
        <v>20</v>
      </c>
      <c r="I5736" s="2" t="s">
        <v>11892</v>
      </c>
      <c r="J5736" s="3" t="str">
        <f>HYPERLINK("https://www.boe.es/gazeta/dias/1813/10/16/pdfs/GMR-1813-60.pdf#page=5","Abrir facsímil")</f>
        <v>Abrir facsímil</v>
      </c>
      <c r="K5736" s="3" t="s">
        <v>22</v>
      </c>
    </row>
    <row r="5737" spans="1:11" ht="42" customHeight="1">
      <c r="A5737" s="2" t="s">
        <v>11893</v>
      </c>
      <c r="B5737" s="2" t="s">
        <v>11893</v>
      </c>
      <c r="C5737" s="2" t="s">
        <v>16</v>
      </c>
      <c r="D5737" s="2" t="s">
        <v>17</v>
      </c>
      <c r="E5737" s="5">
        <v>-31634</v>
      </c>
      <c r="F5737" s="3" t="s">
        <v>8642</v>
      </c>
      <c r="G5737" s="3" t="s">
        <v>270</v>
      </c>
      <c r="H5737" s="2" t="s">
        <v>20</v>
      </c>
      <c r="I5737" s="2" t="s">
        <v>11894</v>
      </c>
      <c r="J5737" s="3" t="str">
        <f>HYPERLINK("https://www.boe.es/gazeta/dias/1813/05/21/pdfs/GMD-1813-141.pdf#page=2","Abrir facsímil")</f>
        <v>Abrir facsímil</v>
      </c>
      <c r="K5737" s="3" t="s">
        <v>22</v>
      </c>
    </row>
    <row r="5738" spans="1:11" ht="42" customHeight="1">
      <c r="A5738" s="2" t="s">
        <v>11893</v>
      </c>
      <c r="B5738" s="2" t="s">
        <v>11893</v>
      </c>
      <c r="C5738" s="2" t="s">
        <v>16</v>
      </c>
      <c r="D5738" s="2" t="s">
        <v>17</v>
      </c>
      <c r="E5738" s="5">
        <v>-31633</v>
      </c>
      <c r="F5738" s="3" t="s">
        <v>6276</v>
      </c>
      <c r="G5738" s="3" t="s">
        <v>58</v>
      </c>
      <c r="H5738" s="2" t="s">
        <v>20</v>
      </c>
      <c r="I5738" s="2" t="s">
        <v>11895</v>
      </c>
      <c r="J5738" s="3" t="str">
        <f>HYPERLINK("https://www.boe.es/gazeta/dias/1813/05/22/pdfs/GMD-1813-142.pdf#page=2","Abrir facsímil")</f>
        <v>Abrir facsímil</v>
      </c>
      <c r="K5738" s="3" t="s">
        <v>22</v>
      </c>
    </row>
    <row r="5739" spans="1:11" ht="42" customHeight="1">
      <c r="A5739" s="2" t="s">
        <v>11896</v>
      </c>
      <c r="B5739" s="2" t="s">
        <v>11897</v>
      </c>
      <c r="C5739" s="2" t="s">
        <v>16</v>
      </c>
      <c r="D5739" s="2" t="s">
        <v>17</v>
      </c>
      <c r="E5739" s="5">
        <v>-31635</v>
      </c>
      <c r="F5739" s="3" t="s">
        <v>8640</v>
      </c>
      <c r="G5739" s="3" t="s">
        <v>54</v>
      </c>
      <c r="H5739" s="2" t="s">
        <v>29</v>
      </c>
      <c r="I5739" s="2" t="s">
        <v>11898</v>
      </c>
      <c r="J5739" s="3" t="str">
        <f>HYPERLINK("https://www.boe.es/gazeta/dias/1813/05/20/pdfs/GMD-1813-140.pdf#page=3","Abrir facsímil")</f>
        <v>Abrir facsímil</v>
      </c>
      <c r="K5739" s="3" t="s">
        <v>31</v>
      </c>
    </row>
    <row r="5740" spans="1:11" ht="42" customHeight="1">
      <c r="A5740" s="2" t="s">
        <v>11899</v>
      </c>
      <c r="B5740" s="2" t="s">
        <v>11899</v>
      </c>
      <c r="C5740" s="2" t="s">
        <v>69</v>
      </c>
      <c r="D5740" s="2" t="s">
        <v>26</v>
      </c>
      <c r="E5740" s="5">
        <v>-31567</v>
      </c>
      <c r="F5740" s="3" t="s">
        <v>820</v>
      </c>
      <c r="G5740" s="3" t="s">
        <v>28</v>
      </c>
      <c r="H5740" s="2" t="s">
        <v>20</v>
      </c>
      <c r="I5740" s="2" t="s">
        <v>11900</v>
      </c>
      <c r="J5740" s="3" t="str">
        <f>HYPERLINK("https://www.boe.es/gazeta/dias/1813/07/27/pdfs/GMR-1813-21.pdf#page=8","Abrir facsímil")</f>
        <v>Abrir facsímil</v>
      </c>
      <c r="K5740" s="3" t="s">
        <v>22</v>
      </c>
    </row>
    <row r="5741" spans="1:11" ht="42" customHeight="1">
      <c r="A5741" s="2" t="s">
        <v>11901</v>
      </c>
      <c r="B5741" s="2" t="s">
        <v>11902</v>
      </c>
      <c r="C5741" s="2" t="s">
        <v>16</v>
      </c>
      <c r="D5741" s="2" t="s">
        <v>17</v>
      </c>
      <c r="E5741" s="5">
        <v>-31628</v>
      </c>
      <c r="F5741" s="3" t="s">
        <v>358</v>
      </c>
      <c r="G5741" s="3" t="s">
        <v>359</v>
      </c>
      <c r="H5741" s="2" t="s">
        <v>20</v>
      </c>
      <c r="I5741" s="2" t="s">
        <v>11903</v>
      </c>
      <c r="J5741" s="3" t="str">
        <f>HYPERLINK("https://www.boe.es/gazeta/dias/1813/05/27/pdfs/GRE-1813-65.pdf#page=6","Abrir facsímil")</f>
        <v>Abrir facsímil</v>
      </c>
      <c r="K5741" s="3" t="s">
        <v>22</v>
      </c>
    </row>
    <row r="5742" spans="1:11" ht="42" customHeight="1">
      <c r="A5742" s="2" t="s">
        <v>11904</v>
      </c>
      <c r="B5742" s="2" t="s">
        <v>11905</v>
      </c>
      <c r="C5742" s="2" t="s">
        <v>25</v>
      </c>
      <c r="D5742" s="2" t="s">
        <v>26</v>
      </c>
      <c r="E5742" s="5">
        <v>-31530</v>
      </c>
      <c r="F5742" s="3" t="s">
        <v>133</v>
      </c>
      <c r="G5742" s="3" t="s">
        <v>95</v>
      </c>
      <c r="H5742" s="2" t="s">
        <v>20</v>
      </c>
      <c r="I5742" s="2" t="s">
        <v>11906</v>
      </c>
      <c r="J5742" s="3" t="str">
        <f>HYPERLINK("https://www.boe.es/gazeta/dias/1813/09/02/pdfs/GMR-1813-36.pdf#page=6","Abrir facsímil")</f>
        <v>Abrir facsímil</v>
      </c>
      <c r="K5742" s="3" t="s">
        <v>22</v>
      </c>
    </row>
    <row r="5743" spans="1:11" ht="42" customHeight="1">
      <c r="A5743" s="2" t="s">
        <v>11907</v>
      </c>
      <c r="B5743" s="2" t="s">
        <v>11907</v>
      </c>
      <c r="C5743" s="2" t="s">
        <v>16</v>
      </c>
      <c r="D5743" s="2" t="s">
        <v>17</v>
      </c>
      <c r="E5743" s="5">
        <v>-31453</v>
      </c>
      <c r="F5743" s="3" t="s">
        <v>695</v>
      </c>
      <c r="G5743" s="3" t="s">
        <v>58</v>
      </c>
      <c r="H5743" s="2" t="s">
        <v>20</v>
      </c>
      <c r="I5743" s="2" t="s">
        <v>11908</v>
      </c>
      <c r="J5743" s="3" t="str">
        <f>HYPERLINK("https://www.boe.es/gazeta/dias/1813/11/18/pdfs/GRE-1813-151.pdf#page=2","Abrir facsímil")</f>
        <v>Abrir facsímil</v>
      </c>
      <c r="K5743" s="3" t="s">
        <v>22</v>
      </c>
    </row>
    <row r="5744" spans="1:11" ht="42" customHeight="1">
      <c r="A5744" s="2" t="s">
        <v>11909</v>
      </c>
      <c r="B5744" s="2" t="s">
        <v>11909</v>
      </c>
      <c r="C5744" s="2" t="s">
        <v>69</v>
      </c>
      <c r="D5744" s="2" t="s">
        <v>26</v>
      </c>
      <c r="E5744" s="5">
        <v>-31696</v>
      </c>
      <c r="F5744" s="3" t="s">
        <v>520</v>
      </c>
      <c r="G5744" s="3" t="s">
        <v>521</v>
      </c>
      <c r="H5744" s="2" t="s">
        <v>20</v>
      </c>
      <c r="I5744" s="2" t="s">
        <v>11910</v>
      </c>
      <c r="J5744" s="3" t="str">
        <f>HYPERLINK("https://www.boe.es/gazeta/dias/1813/03/20/pdfs/GRE-1813-35.pdf#page=7","Abrir facsímil")</f>
        <v>Abrir facsímil</v>
      </c>
      <c r="K5744" s="3" t="s">
        <v>22</v>
      </c>
    </row>
    <row r="5745" spans="1:11" ht="42" customHeight="1">
      <c r="A5745" s="2" t="s">
        <v>11911</v>
      </c>
      <c r="B5745" s="2" t="s">
        <v>11912</v>
      </c>
      <c r="C5745" s="2" t="s">
        <v>16</v>
      </c>
      <c r="D5745" s="2" t="s">
        <v>17</v>
      </c>
      <c r="E5745" s="5">
        <v>-31559</v>
      </c>
      <c r="F5745" s="3" t="s">
        <v>1485</v>
      </c>
      <c r="G5745" s="3" t="s">
        <v>1486</v>
      </c>
      <c r="H5745" s="2" t="s">
        <v>29</v>
      </c>
      <c r="I5745" s="2" t="s">
        <v>11913</v>
      </c>
      <c r="J5745" s="3" t="str">
        <f>HYPERLINK("https://www.boe.es/gazeta/dias/1813/08/04/pdfs/GRE-1813-113.pdf#page=8","Abrir facsímil")</f>
        <v>Abrir facsímil</v>
      </c>
      <c r="K5745" s="3" t="s">
        <v>31</v>
      </c>
    </row>
    <row r="5746" spans="1:11" ht="42" customHeight="1">
      <c r="A5746" s="2" t="s">
        <v>11911</v>
      </c>
      <c r="B5746" s="2" t="s">
        <v>11912</v>
      </c>
      <c r="C5746" s="2" t="s">
        <v>16</v>
      </c>
      <c r="D5746" s="2" t="s">
        <v>17</v>
      </c>
      <c r="E5746" s="5">
        <v>-31528</v>
      </c>
      <c r="F5746" s="3" t="s">
        <v>1485</v>
      </c>
      <c r="G5746" s="3" t="s">
        <v>1486</v>
      </c>
      <c r="H5746" s="2" t="s">
        <v>29</v>
      </c>
      <c r="I5746" s="2" t="s">
        <v>11913</v>
      </c>
      <c r="J5746" s="3" t="str">
        <f>HYPERLINK("https://www.boe.es/gazeta/dias/1813/09/04/pdfs/GRE-1813-113.pdf#page=8","Abrir facsímil")</f>
        <v>Abrir facsímil</v>
      </c>
      <c r="K5746" s="3" t="s">
        <v>31</v>
      </c>
    </row>
    <row r="5747" spans="1:11" ht="42" customHeight="1">
      <c r="A5747" s="2" t="s">
        <v>11914</v>
      </c>
      <c r="B5747" s="2" t="s">
        <v>11914</v>
      </c>
      <c r="C5747" s="2" t="s">
        <v>16</v>
      </c>
      <c r="D5747" s="2" t="s">
        <v>17</v>
      </c>
      <c r="E5747" s="5">
        <v>-31769</v>
      </c>
      <c r="F5747" s="3" t="s">
        <v>431</v>
      </c>
      <c r="G5747" s="3" t="s">
        <v>54</v>
      </c>
      <c r="H5747" s="2" t="s">
        <v>20</v>
      </c>
      <c r="I5747" s="2" t="s">
        <v>11915</v>
      </c>
      <c r="J5747" s="3" t="str">
        <f>HYPERLINK("https://www.boe.es/gazeta/dias/1813/01/06/pdfs/GMD-1813-6.pdf#page=3","Abrir facsímil")</f>
        <v>Abrir facsímil</v>
      </c>
      <c r="K5747" s="3" t="s">
        <v>22</v>
      </c>
    </row>
    <row r="5748" spans="1:11" ht="42" customHeight="1">
      <c r="A5748" s="2" t="s">
        <v>11916</v>
      </c>
      <c r="B5748" s="2" t="s">
        <v>11917</v>
      </c>
      <c r="C5748" s="2" t="s">
        <v>25</v>
      </c>
      <c r="D5748" s="2" t="s">
        <v>26</v>
      </c>
      <c r="E5748" s="5">
        <v>-31745</v>
      </c>
      <c r="F5748" s="3" t="s">
        <v>445</v>
      </c>
      <c r="G5748" s="3" t="s">
        <v>28</v>
      </c>
      <c r="H5748" s="2" t="s">
        <v>29</v>
      </c>
      <c r="I5748" s="2" t="s">
        <v>11918</v>
      </c>
      <c r="J5748" s="3" t="str">
        <f>HYPERLINK("https://www.boe.es/gazeta/dias/1813/01/30/pdfs/GRE-1813-13.pdf#page=8","Abrir facsímil")</f>
        <v>Abrir facsímil</v>
      </c>
      <c r="K5748" s="3" t="s">
        <v>31</v>
      </c>
    </row>
    <row r="5749" spans="1:11" ht="42" customHeight="1">
      <c r="A5749" s="2" t="s">
        <v>11919</v>
      </c>
      <c r="B5749" s="2" t="s">
        <v>11920</v>
      </c>
      <c r="C5749" s="2" t="s">
        <v>16</v>
      </c>
      <c r="D5749" s="2" t="s">
        <v>97</v>
      </c>
      <c r="E5749" s="5">
        <v>-31479</v>
      </c>
      <c r="F5749" s="3" t="s">
        <v>290</v>
      </c>
      <c r="G5749" s="3" t="s">
        <v>19</v>
      </c>
      <c r="H5749" s="2" t="s">
        <v>29</v>
      </c>
      <c r="I5749" s="2" t="s">
        <v>11921</v>
      </c>
      <c r="J5749" s="3" t="str">
        <f>HYPERLINK("https://www.boe.es/gazeta/dias/1813/10/23/pdfs/GRE-1813-139E.pdf#page=4","Abrir facsímil")</f>
        <v>Abrir facsímil</v>
      </c>
      <c r="K5749" s="3" t="s">
        <v>31</v>
      </c>
    </row>
    <row r="5750" spans="1:11" ht="42" customHeight="1">
      <c r="A5750" s="2" t="s">
        <v>11922</v>
      </c>
      <c r="B5750" s="2" t="s">
        <v>11923</v>
      </c>
      <c r="C5750" s="2" t="s">
        <v>16</v>
      </c>
      <c r="D5750" s="2" t="s">
        <v>17</v>
      </c>
      <c r="E5750" s="5">
        <v>-31559</v>
      </c>
      <c r="F5750" s="3" t="s">
        <v>1485</v>
      </c>
      <c r="G5750" s="3" t="s">
        <v>82</v>
      </c>
      <c r="H5750" s="2" t="s">
        <v>29</v>
      </c>
      <c r="I5750" s="2" t="s">
        <v>11924</v>
      </c>
      <c r="J5750" s="3" t="str">
        <f>HYPERLINK("https://www.boe.es/gazeta/dias/1813/08/04/pdfs/GRE-1813-113.pdf#page=5","Abrir facsímil")</f>
        <v>Abrir facsímil</v>
      </c>
      <c r="K5750" s="3" t="s">
        <v>31</v>
      </c>
    </row>
    <row r="5751" spans="1:11" ht="42" customHeight="1">
      <c r="A5751" s="2" t="s">
        <v>11922</v>
      </c>
      <c r="B5751" s="2" t="s">
        <v>11923</v>
      </c>
      <c r="C5751" s="2" t="s">
        <v>16</v>
      </c>
      <c r="D5751" s="2" t="s">
        <v>17</v>
      </c>
      <c r="E5751" s="5">
        <v>-31528</v>
      </c>
      <c r="F5751" s="3" t="s">
        <v>1485</v>
      </c>
      <c r="G5751" s="3" t="s">
        <v>82</v>
      </c>
      <c r="H5751" s="2" t="s">
        <v>29</v>
      </c>
      <c r="I5751" s="2" t="s">
        <v>11924</v>
      </c>
      <c r="J5751" s="3" t="str">
        <f>HYPERLINK("https://www.boe.es/gazeta/dias/1813/09/04/pdfs/GRE-1813-113.pdf#page=5","Abrir facsímil")</f>
        <v>Abrir facsímil</v>
      </c>
      <c r="K5751" s="3" t="s">
        <v>31</v>
      </c>
    </row>
    <row r="5752" spans="1:11" ht="42" customHeight="1">
      <c r="A5752" s="2" t="s">
        <v>11925</v>
      </c>
      <c r="B5752" s="2" t="s">
        <v>11925</v>
      </c>
      <c r="C5752" s="2" t="s">
        <v>16</v>
      </c>
      <c r="D5752" s="2" t="s">
        <v>17</v>
      </c>
      <c r="E5752" s="5">
        <v>-31598</v>
      </c>
      <c r="F5752" s="3" t="s">
        <v>286</v>
      </c>
      <c r="G5752" s="3" t="s">
        <v>28</v>
      </c>
      <c r="H5752" s="2" t="s">
        <v>20</v>
      </c>
      <c r="I5752" s="2" t="s">
        <v>11926</v>
      </c>
      <c r="J5752" s="3" t="str">
        <f>HYPERLINK("https://www.boe.es/gazeta/dias/1813/06/26/pdfs/GRE-1813-79.pdf#page=8","Abrir facsímil")</f>
        <v>Abrir facsímil</v>
      </c>
      <c r="K5752" s="3" t="s">
        <v>22</v>
      </c>
    </row>
    <row r="5753" spans="1:11" ht="42" customHeight="1">
      <c r="A5753" s="2" t="s">
        <v>11927</v>
      </c>
      <c r="B5753" s="2" t="s">
        <v>11927</v>
      </c>
      <c r="C5753" s="2" t="s">
        <v>16</v>
      </c>
      <c r="D5753" s="2" t="s">
        <v>17</v>
      </c>
      <c r="E5753" s="5">
        <v>-31532</v>
      </c>
      <c r="F5753" s="3" t="s">
        <v>215</v>
      </c>
      <c r="G5753" s="3" t="s">
        <v>54</v>
      </c>
      <c r="H5753" s="2" t="s">
        <v>20</v>
      </c>
      <c r="I5753" s="2" t="s">
        <v>11928</v>
      </c>
      <c r="J5753" s="3" t="str">
        <f>HYPERLINK("https://www.boe.es/gazeta/dias/1813/08/31/pdfs/GRE-1813-111.pdf#page=3","Abrir facsímil")</f>
        <v>Abrir facsímil</v>
      </c>
      <c r="K5753" s="3" t="s">
        <v>22</v>
      </c>
    </row>
    <row r="5754" spans="1:11" ht="42" customHeight="1">
      <c r="A5754" s="2" t="s">
        <v>11929</v>
      </c>
      <c r="B5754" s="2" t="s">
        <v>11929</v>
      </c>
      <c r="C5754" s="2" t="s">
        <v>16</v>
      </c>
      <c r="D5754" s="2" t="s">
        <v>17</v>
      </c>
      <c r="E5754" s="5">
        <v>-31532</v>
      </c>
      <c r="F5754" s="3" t="s">
        <v>215</v>
      </c>
      <c r="G5754" s="3" t="s">
        <v>19</v>
      </c>
      <c r="H5754" s="2" t="s">
        <v>20</v>
      </c>
      <c r="I5754" s="2" t="s">
        <v>11930</v>
      </c>
      <c r="J5754" s="3" t="str">
        <f>HYPERLINK("https://www.boe.es/gazeta/dias/1813/08/31/pdfs/GRE-1813-111.pdf#page=4","Abrir facsímil")</f>
        <v>Abrir facsímil</v>
      </c>
      <c r="K5754" s="3" t="s">
        <v>22</v>
      </c>
    </row>
    <row r="5755" spans="1:11" ht="42" customHeight="1">
      <c r="A5755" s="2" t="s">
        <v>11931</v>
      </c>
      <c r="B5755" s="2" t="s">
        <v>11932</v>
      </c>
      <c r="C5755" s="2" t="s">
        <v>16</v>
      </c>
      <c r="D5755" s="2" t="s">
        <v>17</v>
      </c>
      <c r="E5755" s="5">
        <v>-31567</v>
      </c>
      <c r="F5755" s="3" t="s">
        <v>1471</v>
      </c>
      <c r="G5755" s="3" t="s">
        <v>28</v>
      </c>
      <c r="H5755" s="2" t="s">
        <v>20</v>
      </c>
      <c r="I5755" s="2" t="s">
        <v>11933</v>
      </c>
      <c r="J5755" s="3" t="str">
        <f>HYPERLINK("https://www.boe.es/gazeta/dias/1813/07/27/pdfs/GRE-1813-95.pdf#page=8","Abrir facsímil")</f>
        <v>Abrir facsímil</v>
      </c>
      <c r="K5755" s="3" t="s">
        <v>22</v>
      </c>
    </row>
    <row r="5756" spans="1:11" ht="42" customHeight="1">
      <c r="A5756" s="2" t="s">
        <v>11934</v>
      </c>
      <c r="B5756" s="2" t="s">
        <v>11935</v>
      </c>
      <c r="C5756" s="2" t="s">
        <v>16</v>
      </c>
      <c r="D5756" s="2" t="s">
        <v>17</v>
      </c>
      <c r="E5756" s="5">
        <v>-31504</v>
      </c>
      <c r="F5756" s="3" t="s">
        <v>192</v>
      </c>
      <c r="G5756" s="3" t="s">
        <v>87</v>
      </c>
      <c r="H5756" s="2" t="s">
        <v>20</v>
      </c>
      <c r="I5756" s="2" t="s">
        <v>11936</v>
      </c>
      <c r="J5756" s="3" t="str">
        <f>HYPERLINK("https://www.boe.es/gazeta/dias/1813/09/28/pdfs/GRE-1813-127.pdf#page=7","Abrir facsímil")</f>
        <v>Abrir facsímil</v>
      </c>
      <c r="K5756" s="3" t="s">
        <v>22</v>
      </c>
    </row>
    <row r="5757" spans="1:11" ht="42" customHeight="1">
      <c r="A5757" s="2" t="s">
        <v>11937</v>
      </c>
      <c r="B5757" s="2" t="s">
        <v>11937</v>
      </c>
      <c r="C5757" s="2" t="s">
        <v>16</v>
      </c>
      <c r="D5757" s="2" t="s">
        <v>17</v>
      </c>
      <c r="E5757" s="5">
        <v>-31592</v>
      </c>
      <c r="F5757" s="3" t="s">
        <v>1538</v>
      </c>
      <c r="G5757" s="3" t="s">
        <v>207</v>
      </c>
      <c r="H5757" s="2" t="s">
        <v>20</v>
      </c>
      <c r="I5757" s="2" t="s">
        <v>11938</v>
      </c>
      <c r="J5757" s="3" t="str">
        <f>HYPERLINK("https://www.boe.es/gazeta/dias/1813/07/02/pdfs/GMR-1813-14.pdf#page=10","Abrir facsímil")</f>
        <v>Abrir facsímil</v>
      </c>
      <c r="K5757" s="3" t="s">
        <v>22</v>
      </c>
    </row>
    <row r="5758" spans="1:11" ht="42" customHeight="1">
      <c r="A5758" s="2" t="s">
        <v>11937</v>
      </c>
      <c r="B5758" s="2" t="s">
        <v>11937</v>
      </c>
      <c r="C5758" s="2" t="s">
        <v>16</v>
      </c>
      <c r="D5758" s="2" t="s">
        <v>17</v>
      </c>
      <c r="E5758" s="5">
        <v>-31578</v>
      </c>
      <c r="F5758" s="3" t="s">
        <v>974</v>
      </c>
      <c r="G5758" s="3" t="s">
        <v>563</v>
      </c>
      <c r="H5758" s="2" t="s">
        <v>20</v>
      </c>
      <c r="I5758" s="2" t="s">
        <v>11939</v>
      </c>
      <c r="J5758" s="3" t="str">
        <f>HYPERLINK("https://www.boe.es/gazeta/dias/1813/07/16/pdfs/GMR-1813-18.pdf#page=8","Abrir facsímil")</f>
        <v>Abrir facsímil</v>
      </c>
      <c r="K5758" s="3" t="s">
        <v>22</v>
      </c>
    </row>
    <row r="5759" spans="1:11" ht="42" customHeight="1">
      <c r="A5759" s="2" t="s">
        <v>11937</v>
      </c>
      <c r="B5759" s="2" t="s">
        <v>11937</v>
      </c>
      <c r="C5759" s="2" t="s">
        <v>16</v>
      </c>
      <c r="D5759" s="2" t="s">
        <v>17</v>
      </c>
      <c r="E5759" s="5">
        <v>-31564</v>
      </c>
      <c r="F5759" s="3" t="s">
        <v>206</v>
      </c>
      <c r="G5759" s="3" t="s">
        <v>2055</v>
      </c>
      <c r="H5759" s="2" t="s">
        <v>20</v>
      </c>
      <c r="I5759" s="2" t="s">
        <v>11940</v>
      </c>
      <c r="J5759" s="3" t="str">
        <f>HYPERLINK("https://www.boe.es/gazeta/dias/1813/07/30/pdfs/GMR-1813-22.pdf#page=7","Abrir facsímil")</f>
        <v>Abrir facsímil</v>
      </c>
      <c r="K5759" s="3" t="s">
        <v>22</v>
      </c>
    </row>
    <row r="5760" spans="1:11" ht="42" customHeight="1">
      <c r="A5760" s="2" t="s">
        <v>11937</v>
      </c>
      <c r="B5760" s="2" t="s">
        <v>11937</v>
      </c>
      <c r="C5760" s="2" t="s">
        <v>16</v>
      </c>
      <c r="D5760" s="2" t="s">
        <v>17</v>
      </c>
      <c r="E5760" s="5">
        <v>-31564</v>
      </c>
      <c r="F5760" s="3" t="s">
        <v>206</v>
      </c>
      <c r="G5760" s="3" t="s">
        <v>58</v>
      </c>
      <c r="H5760" s="2" t="s">
        <v>20</v>
      </c>
      <c r="I5760" s="2" t="s">
        <v>11941</v>
      </c>
      <c r="J5760" s="3" t="str">
        <f>HYPERLINK("https://www.boe.es/gazeta/dias/1813/07/30/pdfs/GMR-1813-22.pdf#page=2","Abrir facsímil")</f>
        <v>Abrir facsímil</v>
      </c>
      <c r="K5760" s="3" t="s">
        <v>22</v>
      </c>
    </row>
    <row r="5761" spans="1:11" ht="42" customHeight="1">
      <c r="A5761" s="2" t="s">
        <v>11937</v>
      </c>
      <c r="B5761" s="2" t="s">
        <v>11937</v>
      </c>
      <c r="C5761" s="2" t="s">
        <v>16</v>
      </c>
      <c r="D5761" s="2" t="s">
        <v>17</v>
      </c>
      <c r="E5761" s="5">
        <v>-31504</v>
      </c>
      <c r="F5761" s="3" t="s">
        <v>1361</v>
      </c>
      <c r="G5761" s="3" t="s">
        <v>65</v>
      </c>
      <c r="H5761" s="2" t="s">
        <v>20</v>
      </c>
      <c r="I5761" s="2" t="s">
        <v>11942</v>
      </c>
      <c r="J5761" s="3" t="str">
        <f>HYPERLINK("https://www.boe.es/gazeta/dias/1813/09/28/pdfs/GMR-1813-50.pdf#page=1","Abrir facsímil")</f>
        <v>Abrir facsímil</v>
      </c>
      <c r="K5761" s="3" t="s">
        <v>22</v>
      </c>
    </row>
    <row r="5762" spans="1:11" ht="42" customHeight="1">
      <c r="A5762" s="2" t="s">
        <v>11943</v>
      </c>
      <c r="B5762" s="2" t="s">
        <v>11944</v>
      </c>
      <c r="C5762" s="2" t="s">
        <v>16</v>
      </c>
      <c r="D5762" s="2" t="s">
        <v>17</v>
      </c>
      <c r="E5762" s="5">
        <v>-31535</v>
      </c>
      <c r="F5762" s="3" t="s">
        <v>894</v>
      </c>
      <c r="G5762" s="3" t="s">
        <v>82</v>
      </c>
      <c r="H5762" s="2" t="s">
        <v>20</v>
      </c>
      <c r="I5762" s="2" t="s">
        <v>11945</v>
      </c>
      <c r="J5762" s="3" t="str">
        <f>HYPERLINK("https://www.boe.es/gazeta/dias/1813/08/28/pdfs/GMR-1813-34.pdf#page=5","Abrir facsímil")</f>
        <v>Abrir facsímil</v>
      </c>
      <c r="K5762" s="3" t="s">
        <v>22</v>
      </c>
    </row>
    <row r="5763" spans="1:11" ht="42" customHeight="1">
      <c r="A5763" s="2" t="s">
        <v>11946</v>
      </c>
      <c r="B5763" s="2" t="s">
        <v>11946</v>
      </c>
      <c r="C5763" s="2" t="s">
        <v>16</v>
      </c>
      <c r="D5763" s="2" t="s">
        <v>17</v>
      </c>
      <c r="E5763" s="5">
        <v>-31542</v>
      </c>
      <c r="F5763" s="3" t="s">
        <v>337</v>
      </c>
      <c r="G5763" s="3" t="s">
        <v>87</v>
      </c>
      <c r="H5763" s="2" t="s">
        <v>20</v>
      </c>
      <c r="I5763" s="2" t="s">
        <v>11947</v>
      </c>
      <c r="J5763" s="3" t="str">
        <f>HYPERLINK("https://www.boe.es/gazeta/dias/1813/08/21/pdfs/GRE-1813-107.pdf#page=7","Abrir facsímil")</f>
        <v>Abrir facsímil</v>
      </c>
      <c r="K5763" s="3" t="s">
        <v>22</v>
      </c>
    </row>
    <row r="5764" spans="1:11" ht="42" customHeight="1">
      <c r="A5764" s="2" t="s">
        <v>11948</v>
      </c>
      <c r="B5764" s="2" t="s">
        <v>11949</v>
      </c>
      <c r="C5764" s="2" t="s">
        <v>16</v>
      </c>
      <c r="D5764" s="2" t="s">
        <v>17</v>
      </c>
      <c r="E5764" s="5">
        <v>-31458</v>
      </c>
      <c r="F5764" s="3" t="s">
        <v>1171</v>
      </c>
      <c r="G5764" s="3" t="s">
        <v>8629</v>
      </c>
      <c r="H5764" s="2" t="s">
        <v>20</v>
      </c>
      <c r="I5764" s="2" t="s">
        <v>11950</v>
      </c>
      <c r="J5764" s="3" t="str">
        <f>HYPERLINK("https://www.boe.es/gazeta/dias/1813/11/13/pdfs/GRE-1813-149.pdf#page=5","Abrir facsímil")</f>
        <v>Abrir facsímil</v>
      </c>
      <c r="K5764" s="3" t="s">
        <v>22</v>
      </c>
    </row>
    <row r="5765" spans="1:11" ht="42" customHeight="1">
      <c r="A5765" s="2" t="s">
        <v>11951</v>
      </c>
      <c r="B5765" s="2" t="s">
        <v>11952</v>
      </c>
      <c r="C5765" s="2" t="s">
        <v>16</v>
      </c>
      <c r="D5765" s="2" t="s">
        <v>17</v>
      </c>
      <c r="E5765" s="5">
        <v>-31432</v>
      </c>
      <c r="F5765" s="3" t="s">
        <v>702</v>
      </c>
      <c r="G5765" s="3" t="s">
        <v>54</v>
      </c>
      <c r="H5765" s="2" t="s">
        <v>20</v>
      </c>
      <c r="I5765" s="2" t="s">
        <v>11953</v>
      </c>
      <c r="J5765" s="3" t="str">
        <f>HYPERLINK("https://www.boe.es/gazeta/dias/1813/12/09/pdfs/GMR-1813-85.pdf#page=3","Abrir facsímil")</f>
        <v>Abrir facsímil</v>
      </c>
      <c r="K5765" s="3" t="s">
        <v>22</v>
      </c>
    </row>
    <row r="5766" spans="1:11" ht="42" customHeight="1">
      <c r="A5766" s="2" t="s">
        <v>11954</v>
      </c>
      <c r="B5766" s="2" t="s">
        <v>11955</v>
      </c>
      <c r="C5766" s="2" t="s">
        <v>16</v>
      </c>
      <c r="D5766" s="2" t="s">
        <v>17</v>
      </c>
      <c r="E5766" s="5">
        <v>-31595</v>
      </c>
      <c r="F5766" s="3" t="s">
        <v>1319</v>
      </c>
      <c r="G5766" s="3" t="s">
        <v>28</v>
      </c>
      <c r="H5766" s="2" t="s">
        <v>20</v>
      </c>
      <c r="I5766" s="2" t="s">
        <v>11956</v>
      </c>
      <c r="J5766" s="3" t="str">
        <f>HYPERLINK("https://www.boe.es/gazeta/dias/1813/06/29/pdfs/GRE-1813-80.pdf#page=8","Abrir facsímil")</f>
        <v>Abrir facsímil</v>
      </c>
      <c r="K5766" s="3" t="s">
        <v>22</v>
      </c>
    </row>
    <row r="5767" spans="1:11" ht="42" customHeight="1">
      <c r="A5767" s="2" t="s">
        <v>11957</v>
      </c>
      <c r="B5767" s="2" t="s">
        <v>11957</v>
      </c>
      <c r="C5767" s="2" t="s">
        <v>34</v>
      </c>
      <c r="D5767" s="2" t="s">
        <v>35</v>
      </c>
      <c r="E5767" s="5">
        <v>-31472</v>
      </c>
      <c r="F5767" s="3" t="s">
        <v>143</v>
      </c>
      <c r="G5767" s="3" t="s">
        <v>998</v>
      </c>
      <c r="H5767" s="2" t="s">
        <v>20</v>
      </c>
      <c r="I5767" s="2" t="s">
        <v>11958</v>
      </c>
      <c r="J5767" s="3" t="str">
        <f>HYPERLINK("https://www.boe.es/gazeta/dias/1813/10/30/pdfs/GMR-1813-66.pdf#page=6","Abrir facsímil")</f>
        <v>Abrir facsímil</v>
      </c>
      <c r="K5767" s="3" t="s">
        <v>22</v>
      </c>
    </row>
    <row r="5768" spans="1:11" ht="42" customHeight="1">
      <c r="A5768" s="2" t="s">
        <v>11959</v>
      </c>
      <c r="B5768" s="2" t="s">
        <v>11960</v>
      </c>
      <c r="C5768" s="2" t="s">
        <v>16</v>
      </c>
      <c r="D5768" s="2" t="s">
        <v>17</v>
      </c>
      <c r="E5768" s="5">
        <v>-31711</v>
      </c>
      <c r="F5768" s="3" t="s">
        <v>385</v>
      </c>
      <c r="G5768" s="3" t="s">
        <v>28</v>
      </c>
      <c r="H5768" s="2" t="s">
        <v>20</v>
      </c>
      <c r="I5768" s="2" t="s">
        <v>11961</v>
      </c>
      <c r="J5768" s="3" t="str">
        <f>HYPERLINK("https://www.boe.es/gazeta/dias/1813/03/05/pdfs/GRE-1813-99.pdf#page=8","Abrir facsímil")</f>
        <v>Abrir facsímil</v>
      </c>
      <c r="K5768" s="3" t="s">
        <v>22</v>
      </c>
    </row>
    <row r="5769" spans="1:11" ht="42" customHeight="1">
      <c r="A5769" s="2" t="s">
        <v>11962</v>
      </c>
      <c r="B5769" s="2" t="s">
        <v>11963</v>
      </c>
      <c r="C5769" s="2" t="s">
        <v>16</v>
      </c>
      <c r="D5769" s="2" t="s">
        <v>17</v>
      </c>
      <c r="E5769" s="5">
        <v>-31592</v>
      </c>
      <c r="F5769" s="3" t="s">
        <v>175</v>
      </c>
      <c r="G5769" s="3" t="s">
        <v>471</v>
      </c>
      <c r="H5769" s="2" t="s">
        <v>20</v>
      </c>
      <c r="I5769" s="2" t="s">
        <v>11964</v>
      </c>
      <c r="J5769" s="3" t="str">
        <f>HYPERLINK("https://www.boe.es/gazeta/dias/1813/07/02/pdfs/GRE-1813-82.pdf#page=7","Abrir facsímil")</f>
        <v>Abrir facsímil</v>
      </c>
      <c r="K5769" s="3" t="s">
        <v>22</v>
      </c>
    </row>
    <row r="5770" spans="1:11" ht="42" customHeight="1">
      <c r="A5770" s="2" t="s">
        <v>11959</v>
      </c>
      <c r="B5770" s="2" t="s">
        <v>11960</v>
      </c>
      <c r="C5770" s="2" t="s">
        <v>16</v>
      </c>
      <c r="D5770" s="2" t="s">
        <v>17</v>
      </c>
      <c r="E5770" s="5">
        <v>-31592</v>
      </c>
      <c r="F5770" s="3" t="s">
        <v>175</v>
      </c>
      <c r="G5770" s="3" t="s">
        <v>95</v>
      </c>
      <c r="H5770" s="2" t="s">
        <v>20</v>
      </c>
      <c r="I5770" s="2" t="s">
        <v>11965</v>
      </c>
      <c r="J5770" s="3" t="str">
        <f>HYPERLINK("https://www.boe.es/gazeta/dias/1813/07/02/pdfs/GRE-1813-82.pdf#page=6","Abrir facsímil")</f>
        <v>Abrir facsímil</v>
      </c>
      <c r="K5770" s="3" t="s">
        <v>22</v>
      </c>
    </row>
    <row r="5771" spans="1:11" ht="42" customHeight="1">
      <c r="A5771" s="2" t="s">
        <v>11962</v>
      </c>
      <c r="B5771" s="2" t="s">
        <v>11963</v>
      </c>
      <c r="C5771" s="2" t="s">
        <v>16</v>
      </c>
      <c r="D5771" s="2" t="s">
        <v>17</v>
      </c>
      <c r="E5771" s="5">
        <v>-31585</v>
      </c>
      <c r="F5771" s="3" t="s">
        <v>177</v>
      </c>
      <c r="G5771" s="3" t="s">
        <v>178</v>
      </c>
      <c r="H5771" s="2" t="s">
        <v>20</v>
      </c>
      <c r="I5771" s="2" t="s">
        <v>11966</v>
      </c>
      <c r="J5771" s="3" t="str">
        <f>HYPERLINK("https://www.boe.es/gazeta/dias/1813/07/09/pdfs/GMR-1813-16.pdf#page=11","Abrir facsímil")</f>
        <v>Abrir facsímil</v>
      </c>
      <c r="K5771" s="3" t="s">
        <v>22</v>
      </c>
    </row>
    <row r="5772" spans="1:11" ht="42" customHeight="1">
      <c r="A5772" s="2" t="s">
        <v>11962</v>
      </c>
      <c r="B5772" s="2" t="s">
        <v>11963</v>
      </c>
      <c r="C5772" s="2" t="s">
        <v>16</v>
      </c>
      <c r="D5772" s="2" t="s">
        <v>17</v>
      </c>
      <c r="E5772" s="5">
        <v>-31585</v>
      </c>
      <c r="F5772" s="3" t="s">
        <v>177</v>
      </c>
      <c r="G5772" s="3" t="s">
        <v>258</v>
      </c>
      <c r="H5772" s="2" t="s">
        <v>20</v>
      </c>
      <c r="I5772" s="2" t="s">
        <v>11967</v>
      </c>
      <c r="J5772" s="3" t="str">
        <f>HYPERLINK("https://www.boe.es/gazeta/dias/1813/07/09/pdfs/GMR-1813-16.pdf#page=12","Abrir facsímil")</f>
        <v>Abrir facsímil</v>
      </c>
      <c r="K5772" s="3" t="s">
        <v>22</v>
      </c>
    </row>
    <row r="5773" spans="1:11" ht="42" customHeight="1">
      <c r="A5773" s="2" t="s">
        <v>11959</v>
      </c>
      <c r="B5773" s="2" t="s">
        <v>11960</v>
      </c>
      <c r="C5773" s="2" t="s">
        <v>16</v>
      </c>
      <c r="D5773" s="2" t="s">
        <v>17</v>
      </c>
      <c r="E5773" s="5">
        <v>-31574</v>
      </c>
      <c r="F5773" s="3" t="s">
        <v>1343</v>
      </c>
      <c r="G5773" s="3" t="s">
        <v>207</v>
      </c>
      <c r="H5773" s="2" t="s">
        <v>20</v>
      </c>
      <c r="I5773" s="2" t="s">
        <v>11968</v>
      </c>
      <c r="J5773" s="3" t="str">
        <f>HYPERLINK("https://www.boe.es/gazeta/dias/1813/07/20/pdfs/GMR-1813-19.pdf#page=10","Abrir facsímil")</f>
        <v>Abrir facsímil</v>
      </c>
      <c r="K5773" s="3" t="s">
        <v>22</v>
      </c>
    </row>
    <row r="5774" spans="1:11" ht="42" customHeight="1">
      <c r="A5774" s="2" t="s">
        <v>11959</v>
      </c>
      <c r="B5774" s="2" t="s">
        <v>11960</v>
      </c>
      <c r="C5774" s="2" t="s">
        <v>16</v>
      </c>
      <c r="D5774" s="2" t="s">
        <v>17</v>
      </c>
      <c r="E5774" s="5">
        <v>-31558</v>
      </c>
      <c r="F5774" s="3" t="s">
        <v>385</v>
      </c>
      <c r="G5774" s="3" t="s">
        <v>28</v>
      </c>
      <c r="H5774" s="2" t="s">
        <v>20</v>
      </c>
      <c r="I5774" s="2" t="s">
        <v>11961</v>
      </c>
      <c r="J5774" s="3" t="str">
        <f>HYPERLINK("https://www.boe.es/gazeta/dias/1813/08/05/pdfs/GRE-1813-99.pdf#page=8","Abrir facsímil")</f>
        <v>Abrir facsímil</v>
      </c>
      <c r="K5774" s="3" t="s">
        <v>22</v>
      </c>
    </row>
    <row r="5775" spans="1:11" ht="42" customHeight="1">
      <c r="A5775" s="2" t="s">
        <v>11959</v>
      </c>
      <c r="B5775" s="2" t="s">
        <v>11960</v>
      </c>
      <c r="C5775" s="2" t="s">
        <v>25</v>
      </c>
      <c r="D5775" s="2" t="s">
        <v>26</v>
      </c>
      <c r="E5775" s="5">
        <v>-31549</v>
      </c>
      <c r="F5775" s="3" t="s">
        <v>294</v>
      </c>
      <c r="G5775" s="3" t="s">
        <v>28</v>
      </c>
      <c r="H5775" s="2" t="s">
        <v>20</v>
      </c>
      <c r="I5775" s="2" t="s">
        <v>11969</v>
      </c>
      <c r="J5775" s="3" t="str">
        <f>HYPERLINK("https://www.boe.es/gazeta/dias/1813/08/14/pdfs/GRE-1813-103.pdf#page=8","Abrir facsímil")</f>
        <v>Abrir facsímil</v>
      </c>
      <c r="K5775" s="3" t="s">
        <v>22</v>
      </c>
    </row>
    <row r="5776" spans="1:11" ht="42" customHeight="1">
      <c r="A5776" s="2" t="s">
        <v>11959</v>
      </c>
      <c r="B5776" s="2" t="s">
        <v>11960</v>
      </c>
      <c r="C5776" s="2" t="s">
        <v>16</v>
      </c>
      <c r="D5776" s="2" t="s">
        <v>17</v>
      </c>
      <c r="E5776" s="5">
        <v>-31511</v>
      </c>
      <c r="F5776" s="3" t="s">
        <v>2149</v>
      </c>
      <c r="G5776" s="3" t="s">
        <v>82</v>
      </c>
      <c r="H5776" s="2" t="s">
        <v>20</v>
      </c>
      <c r="I5776" s="2" t="s">
        <v>11970</v>
      </c>
      <c r="J5776" s="3" t="str">
        <f>HYPERLINK("https://www.boe.es/gazeta/dias/1813/09/21/pdfs/GRE-1813-122.pdf#page=5","Abrir facsímil")</f>
        <v>Abrir facsímil</v>
      </c>
      <c r="K5776" s="3" t="s">
        <v>22</v>
      </c>
    </row>
    <row r="5777" spans="1:11" ht="42" customHeight="1">
      <c r="A5777" s="2" t="s">
        <v>11959</v>
      </c>
      <c r="B5777" s="2" t="s">
        <v>11960</v>
      </c>
      <c r="C5777" s="2" t="s">
        <v>16</v>
      </c>
      <c r="D5777" s="2" t="s">
        <v>17</v>
      </c>
      <c r="E5777" s="5">
        <v>-31490</v>
      </c>
      <c r="F5777" s="3" t="s">
        <v>3271</v>
      </c>
      <c r="G5777" s="3" t="s">
        <v>95</v>
      </c>
      <c r="H5777" s="2" t="s">
        <v>20</v>
      </c>
      <c r="I5777" s="2" t="s">
        <v>11971</v>
      </c>
      <c r="J5777" s="3" t="str">
        <f>HYPERLINK("https://www.boe.es/gazeta/dias/1813/10/12/pdfs/GRE-1813-133.pdf#page=6","Abrir facsímil")</f>
        <v>Abrir facsímil</v>
      </c>
      <c r="K5777" s="3" t="s">
        <v>22</v>
      </c>
    </row>
    <row r="5778" spans="1:11" ht="42" customHeight="1">
      <c r="A5778" s="2" t="s">
        <v>11972</v>
      </c>
      <c r="B5778" s="2" t="s">
        <v>11973</v>
      </c>
      <c r="C5778" s="2" t="s">
        <v>25</v>
      </c>
      <c r="D5778" s="2" t="s">
        <v>97</v>
      </c>
      <c r="E5778" s="5">
        <v>-31460</v>
      </c>
      <c r="F5778" s="3" t="s">
        <v>3382</v>
      </c>
      <c r="G5778" s="3" t="s">
        <v>58</v>
      </c>
      <c r="H5778" s="2" t="s">
        <v>20</v>
      </c>
      <c r="I5778" s="2" t="s">
        <v>11974</v>
      </c>
      <c r="J5778" s="3" t="str">
        <f>HYPERLINK("https://www.boe.es/gazeta/dias/1813/11/11/pdfs/GRE-1813-148E.pdf#page=2","Abrir facsímil")</f>
        <v>Abrir facsímil</v>
      </c>
      <c r="K5778" s="3" t="s">
        <v>22</v>
      </c>
    </row>
    <row r="5779" spans="1:11" ht="42" customHeight="1">
      <c r="A5779" s="2" t="s">
        <v>11962</v>
      </c>
      <c r="B5779" s="2" t="s">
        <v>11963</v>
      </c>
      <c r="C5779" s="2" t="s">
        <v>16</v>
      </c>
      <c r="D5779" s="2" t="s">
        <v>17</v>
      </c>
      <c r="E5779" s="5">
        <v>-31432</v>
      </c>
      <c r="F5779" s="3" t="s">
        <v>702</v>
      </c>
      <c r="G5779" s="3" t="s">
        <v>87</v>
      </c>
      <c r="H5779" s="2" t="s">
        <v>20</v>
      </c>
      <c r="I5779" s="2" t="s">
        <v>11975</v>
      </c>
      <c r="J5779" s="3" t="str">
        <f>HYPERLINK("https://www.boe.es/gazeta/dias/1813/12/09/pdfs/GMR-1813-85.pdf#page=7","Abrir facsímil")</f>
        <v>Abrir facsímil</v>
      </c>
      <c r="K5779" s="3" t="s">
        <v>22</v>
      </c>
    </row>
    <row r="5780" spans="1:11" ht="42" customHeight="1">
      <c r="A5780" s="2" t="s">
        <v>11962</v>
      </c>
      <c r="B5780" s="2" t="s">
        <v>11963</v>
      </c>
      <c r="C5780" s="2" t="s">
        <v>187</v>
      </c>
      <c r="D5780" s="2" t="s">
        <v>26</v>
      </c>
      <c r="E5780" s="5">
        <v>-31427</v>
      </c>
      <c r="F5780" s="3" t="s">
        <v>1822</v>
      </c>
      <c r="G5780" s="3" t="s">
        <v>28</v>
      </c>
      <c r="H5780" s="2" t="s">
        <v>20</v>
      </c>
      <c r="I5780" s="2" t="s">
        <v>11976</v>
      </c>
      <c r="J5780" s="3" t="str">
        <f>HYPERLINK("https://www.boe.es/gazeta/dias/1813/12/14/pdfs/GRE-1813-164.pdf#page=8","Abrir facsímil")</f>
        <v>Abrir facsímil</v>
      </c>
      <c r="K5780" s="3" t="s">
        <v>22</v>
      </c>
    </row>
    <row r="5781" spans="1:11" ht="42" customHeight="1">
      <c r="A5781" s="2" t="s">
        <v>11977</v>
      </c>
      <c r="B5781" s="2" t="s">
        <v>11978</v>
      </c>
      <c r="C5781" s="2" t="s">
        <v>16</v>
      </c>
      <c r="D5781" s="2" t="s">
        <v>97</v>
      </c>
      <c r="E5781" s="5">
        <v>-31460</v>
      </c>
      <c r="F5781" s="3" t="s">
        <v>3382</v>
      </c>
      <c r="G5781" s="3" t="s">
        <v>58</v>
      </c>
      <c r="H5781" s="2" t="s">
        <v>29</v>
      </c>
      <c r="I5781" s="2" t="s">
        <v>11979</v>
      </c>
      <c r="J5781" s="3" t="str">
        <f>HYPERLINK("https://www.boe.es/gazeta/dias/1813/11/11/pdfs/GRE-1813-148E.pdf#page=2","Abrir facsímil")</f>
        <v>Abrir facsímil</v>
      </c>
      <c r="K5781" s="3" t="s">
        <v>31</v>
      </c>
    </row>
    <row r="5782" spans="1:11" ht="42" customHeight="1">
      <c r="A5782" s="2" t="s">
        <v>11980</v>
      </c>
      <c r="B5782" s="2" t="s">
        <v>11981</v>
      </c>
      <c r="C5782" s="2" t="s">
        <v>16</v>
      </c>
      <c r="D5782" s="2" t="s">
        <v>97</v>
      </c>
      <c r="E5782" s="5">
        <v>-31548</v>
      </c>
      <c r="F5782" s="3" t="s">
        <v>1680</v>
      </c>
      <c r="G5782" s="3" t="s">
        <v>28</v>
      </c>
      <c r="H5782" s="2" t="s">
        <v>20</v>
      </c>
      <c r="I5782" s="2" t="s">
        <v>11982</v>
      </c>
      <c r="J5782" s="3" t="str">
        <f>HYPERLINK("https://www.boe.es/gazeta/dias/1813/08/15/pdfs/GRE-1813-104E.pdf#page=8","Abrir facsímil")</f>
        <v>Abrir facsímil</v>
      </c>
      <c r="K5782" s="3" t="s">
        <v>22</v>
      </c>
    </row>
    <row r="5783" spans="1:11" ht="42" customHeight="1">
      <c r="A5783" s="2" t="s">
        <v>11983</v>
      </c>
      <c r="B5783" s="2" t="s">
        <v>11984</v>
      </c>
      <c r="C5783" s="2" t="s">
        <v>16</v>
      </c>
      <c r="D5783" s="2" t="s">
        <v>17</v>
      </c>
      <c r="E5783" s="5">
        <v>-31591</v>
      </c>
      <c r="F5783" s="3" t="s">
        <v>2123</v>
      </c>
      <c r="G5783" s="3" t="s">
        <v>87</v>
      </c>
      <c r="H5783" s="2" t="s">
        <v>20</v>
      </c>
      <c r="I5783" s="2" t="s">
        <v>11985</v>
      </c>
      <c r="J5783" s="3" t="str">
        <f>HYPERLINK("https://www.boe.es/gazeta/dias/1813/07/03/pdfs/GRE-1813-83.pdf#page=7","Abrir facsímil")</f>
        <v>Abrir facsímil</v>
      </c>
      <c r="K5783" s="3" t="s">
        <v>22</v>
      </c>
    </row>
    <row r="5784" spans="1:11" ht="42" customHeight="1">
      <c r="A5784" s="2" t="s">
        <v>11986</v>
      </c>
      <c r="B5784" s="2" t="s">
        <v>11986</v>
      </c>
      <c r="C5784" s="2" t="s">
        <v>34</v>
      </c>
      <c r="D5784" s="2" t="s">
        <v>35</v>
      </c>
      <c r="E5784" s="5">
        <v>-31514</v>
      </c>
      <c r="F5784" s="3" t="s">
        <v>2099</v>
      </c>
      <c r="G5784" s="3" t="s">
        <v>4358</v>
      </c>
      <c r="H5784" s="2" t="s">
        <v>20</v>
      </c>
      <c r="I5784" s="2" t="s">
        <v>11987</v>
      </c>
      <c r="J5784" s="3" t="str">
        <f>HYPERLINK("https://www.boe.es/gazeta/dias/1813/09/18/pdfs/GMR-1813-45.pdf#page=7","Abrir facsímil")</f>
        <v>Abrir facsímil</v>
      </c>
      <c r="K5784" s="3" t="s">
        <v>22</v>
      </c>
    </row>
    <row r="5785" spans="1:11" ht="42" customHeight="1">
      <c r="A5785" s="2" t="s">
        <v>11988</v>
      </c>
      <c r="B5785" s="2" t="s">
        <v>11989</v>
      </c>
      <c r="C5785" s="2" t="s">
        <v>16</v>
      </c>
      <c r="D5785" s="2" t="s">
        <v>17</v>
      </c>
      <c r="E5785" s="5">
        <v>-31558</v>
      </c>
      <c r="F5785" s="3" t="s">
        <v>1288</v>
      </c>
      <c r="G5785" s="3" t="s">
        <v>87</v>
      </c>
      <c r="H5785" s="2" t="s">
        <v>20</v>
      </c>
      <c r="I5785" s="2" t="s">
        <v>11990</v>
      </c>
      <c r="J5785" s="3" t="str">
        <f>HYPERLINK("https://www.boe.es/gazeta/dias/1813/08/05/pdfs/GMR-1813-24.pdf#page=7","Abrir facsímil")</f>
        <v>Abrir facsímil</v>
      </c>
      <c r="K5785" s="3" t="s">
        <v>22</v>
      </c>
    </row>
    <row r="5786" spans="1:11" ht="42" customHeight="1">
      <c r="A5786" s="2" t="s">
        <v>11991</v>
      </c>
      <c r="B5786" s="2" t="s">
        <v>11992</v>
      </c>
      <c r="C5786" s="2" t="s">
        <v>16</v>
      </c>
      <c r="D5786" s="2" t="s">
        <v>17</v>
      </c>
      <c r="E5786" s="5">
        <v>-31612</v>
      </c>
      <c r="F5786" s="3" t="s">
        <v>5784</v>
      </c>
      <c r="G5786" s="3" t="s">
        <v>87</v>
      </c>
      <c r="H5786" s="2" t="s">
        <v>20</v>
      </c>
      <c r="I5786" s="2" t="s">
        <v>11993</v>
      </c>
      <c r="J5786" s="3" t="str">
        <f>HYPERLINK("https://www.boe.es/gazeta/dias/1813/06/12/pdfs/GRE-1813-73.pdf#page=7","Abrir facsímil")</f>
        <v>Abrir facsímil</v>
      </c>
      <c r="K5786" s="3" t="s">
        <v>22</v>
      </c>
    </row>
    <row r="5787" spans="1:11" ht="42" customHeight="1">
      <c r="A5787" s="2" t="s">
        <v>11991</v>
      </c>
      <c r="B5787" s="2" t="s">
        <v>11992</v>
      </c>
      <c r="C5787" s="2" t="s">
        <v>16</v>
      </c>
      <c r="D5787" s="2" t="s">
        <v>17</v>
      </c>
      <c r="E5787" s="5">
        <v>-31595</v>
      </c>
      <c r="F5787" s="3" t="s">
        <v>1319</v>
      </c>
      <c r="G5787" s="3" t="s">
        <v>28</v>
      </c>
      <c r="H5787" s="2" t="s">
        <v>20</v>
      </c>
      <c r="I5787" s="2" t="s">
        <v>11994</v>
      </c>
      <c r="J5787" s="3" t="str">
        <f>HYPERLINK("https://www.boe.es/gazeta/dias/1813/06/29/pdfs/GRE-1813-80.pdf#page=8","Abrir facsímil")</f>
        <v>Abrir facsímil</v>
      </c>
      <c r="K5787" s="3" t="s">
        <v>22</v>
      </c>
    </row>
    <row r="5788" spans="1:11" ht="42" customHeight="1">
      <c r="A5788" s="2" t="s">
        <v>11991</v>
      </c>
      <c r="B5788" s="2" t="s">
        <v>11992</v>
      </c>
      <c r="C5788" s="2" t="s">
        <v>16</v>
      </c>
      <c r="D5788" s="2" t="s">
        <v>17</v>
      </c>
      <c r="E5788" s="5">
        <v>-31592</v>
      </c>
      <c r="F5788" s="3" t="s">
        <v>175</v>
      </c>
      <c r="G5788" s="3" t="s">
        <v>95</v>
      </c>
      <c r="H5788" s="2" t="s">
        <v>20</v>
      </c>
      <c r="I5788" s="2" t="s">
        <v>11995</v>
      </c>
      <c r="J5788" s="3" t="str">
        <f>HYPERLINK("https://www.boe.es/gazeta/dias/1813/07/02/pdfs/GRE-1813-82.pdf#page=6","Abrir facsímil")</f>
        <v>Abrir facsímil</v>
      </c>
      <c r="K5788" s="3" t="s">
        <v>22</v>
      </c>
    </row>
    <row r="5789" spans="1:11" ht="42" customHeight="1">
      <c r="A5789" s="2" t="s">
        <v>11996</v>
      </c>
      <c r="B5789" s="2" t="s">
        <v>11996</v>
      </c>
      <c r="C5789" s="2" t="s">
        <v>16</v>
      </c>
      <c r="D5789" s="2" t="s">
        <v>17</v>
      </c>
      <c r="E5789" s="5">
        <v>-31516</v>
      </c>
      <c r="F5789" s="3" t="s">
        <v>1685</v>
      </c>
      <c r="G5789" s="3" t="s">
        <v>2625</v>
      </c>
      <c r="H5789" s="2" t="s">
        <v>20</v>
      </c>
      <c r="I5789" s="2" t="s">
        <v>11997</v>
      </c>
      <c r="J5789" s="3" t="str">
        <f>HYPERLINK("https://www.boe.es/gazeta/dias/1813/09/16/pdfs/GRE-1813-120.pdf#page=8","Abrir facsímil")</f>
        <v>Abrir facsímil</v>
      </c>
      <c r="K5789" s="3" t="s">
        <v>22</v>
      </c>
    </row>
    <row r="5790" spans="1:11" ht="42" customHeight="1">
      <c r="A5790" s="2" t="s">
        <v>11998</v>
      </c>
      <c r="B5790" s="2" t="s">
        <v>11999</v>
      </c>
      <c r="C5790" s="2" t="s">
        <v>16</v>
      </c>
      <c r="D5790" s="2" t="s">
        <v>17</v>
      </c>
      <c r="E5790" s="5">
        <v>-31535</v>
      </c>
      <c r="F5790" s="3" t="s">
        <v>894</v>
      </c>
      <c r="G5790" s="3" t="s">
        <v>82</v>
      </c>
      <c r="H5790" s="2" t="s">
        <v>20</v>
      </c>
      <c r="I5790" s="2" t="s">
        <v>12000</v>
      </c>
      <c r="J5790" s="3" t="str">
        <f>HYPERLINK("https://www.boe.es/gazeta/dias/1813/08/28/pdfs/GMR-1813-34.pdf#page=5","Abrir facsímil")</f>
        <v>Abrir facsímil</v>
      </c>
      <c r="K5790" s="3" t="s">
        <v>22</v>
      </c>
    </row>
    <row r="5791" spans="1:11" ht="42" customHeight="1">
      <c r="A5791" s="2" t="s">
        <v>12001</v>
      </c>
      <c r="B5791" s="2" t="s">
        <v>12001</v>
      </c>
      <c r="C5791" s="2" t="s">
        <v>16</v>
      </c>
      <c r="D5791" s="2" t="s">
        <v>17</v>
      </c>
      <c r="E5791" s="5">
        <v>-31537</v>
      </c>
      <c r="F5791" s="3" t="s">
        <v>138</v>
      </c>
      <c r="G5791" s="3" t="s">
        <v>258</v>
      </c>
      <c r="H5791" s="2" t="s">
        <v>20</v>
      </c>
      <c r="I5791" s="2" t="s">
        <v>12002</v>
      </c>
      <c r="J5791" s="3" t="str">
        <f>HYPERLINK("https://www.boe.es/gazeta/dias/1813/08/26/pdfs/GMR-1813-33.pdf#page=12","Abrir facsímil")</f>
        <v>Abrir facsímil</v>
      </c>
      <c r="K5791" s="3" t="s">
        <v>22</v>
      </c>
    </row>
    <row r="5792" spans="1:11" ht="42" customHeight="1">
      <c r="A5792" s="2" t="s">
        <v>12003</v>
      </c>
      <c r="B5792" s="2" t="s">
        <v>12004</v>
      </c>
      <c r="C5792" s="2" t="s">
        <v>16</v>
      </c>
      <c r="D5792" s="2" t="s">
        <v>17</v>
      </c>
      <c r="E5792" s="5">
        <v>-31439</v>
      </c>
      <c r="F5792" s="3" t="s">
        <v>1298</v>
      </c>
      <c r="G5792" s="3" t="s">
        <v>95</v>
      </c>
      <c r="H5792" s="2" t="s">
        <v>20</v>
      </c>
      <c r="I5792" s="2" t="s">
        <v>12005</v>
      </c>
      <c r="J5792" s="3" t="str">
        <f>HYPERLINK("https://www.boe.es/gazeta/dias/1813/12/02/pdfs/GMR-1813-82.pdf#page=6","Abrir facsímil")</f>
        <v>Abrir facsímil</v>
      </c>
      <c r="K5792" s="3" t="s">
        <v>22</v>
      </c>
    </row>
    <row r="5793" spans="1:11" ht="42" customHeight="1">
      <c r="A5793" s="2" t="s">
        <v>12006</v>
      </c>
      <c r="B5793" s="2" t="s">
        <v>12007</v>
      </c>
      <c r="C5793" s="2" t="s">
        <v>16</v>
      </c>
      <c r="D5793" s="2" t="s">
        <v>17</v>
      </c>
      <c r="E5793" s="5">
        <v>-31754</v>
      </c>
      <c r="F5793" s="3" t="s">
        <v>899</v>
      </c>
      <c r="G5793" s="3" t="s">
        <v>900</v>
      </c>
      <c r="H5793" s="2" t="s">
        <v>20</v>
      </c>
      <c r="I5793" s="2" t="s">
        <v>12008</v>
      </c>
      <c r="J5793" s="3" t="str">
        <f>HYPERLINK("https://www.boe.es/gazeta/dias/1813/01/21/pdfs/GRE-1813-9.pdf#page=8","Abrir facsímil")</f>
        <v>Abrir facsímil</v>
      </c>
      <c r="K5793" s="3" t="s">
        <v>22</v>
      </c>
    </row>
    <row r="5794" spans="1:11" ht="42" customHeight="1">
      <c r="A5794" s="2" t="s">
        <v>12009</v>
      </c>
      <c r="B5794" s="2" t="s">
        <v>12010</v>
      </c>
      <c r="C5794" s="2" t="s">
        <v>16</v>
      </c>
      <c r="D5794" s="2" t="s">
        <v>17</v>
      </c>
      <c r="E5794" s="5">
        <v>-31439</v>
      </c>
      <c r="F5794" s="3" t="s">
        <v>1298</v>
      </c>
      <c r="G5794" s="3" t="s">
        <v>87</v>
      </c>
      <c r="H5794" s="2" t="s">
        <v>20</v>
      </c>
      <c r="I5794" s="2" t="s">
        <v>12011</v>
      </c>
      <c r="J5794" s="3" t="str">
        <f>HYPERLINK("https://www.boe.es/gazeta/dias/1813/12/02/pdfs/GMR-1813-82.pdf#page=7","Abrir facsímil")</f>
        <v>Abrir facsímil</v>
      </c>
      <c r="K5794" s="3" t="s">
        <v>22</v>
      </c>
    </row>
    <row r="5795" spans="1:11" ht="42" customHeight="1">
      <c r="A5795" s="2" t="s">
        <v>12012</v>
      </c>
      <c r="B5795" s="2" t="s">
        <v>12013</v>
      </c>
      <c r="C5795" s="2" t="s">
        <v>25</v>
      </c>
      <c r="D5795" s="2" t="s">
        <v>97</v>
      </c>
      <c r="E5795" s="5">
        <v>-31519</v>
      </c>
      <c r="F5795" s="3" t="s">
        <v>312</v>
      </c>
      <c r="G5795" s="3" t="s">
        <v>313</v>
      </c>
      <c r="H5795" s="2" t="s">
        <v>20</v>
      </c>
      <c r="I5795" s="2" t="s">
        <v>12014</v>
      </c>
      <c r="J5795" s="3" t="str">
        <f>HYPERLINK("https://www.boe.es/gazeta/dias/1813/09/13/pdfs/GRE-1813-118E.pdf#page=9","Abrir facsímil")</f>
        <v>Abrir facsímil</v>
      </c>
      <c r="K5795" s="3" t="s">
        <v>22</v>
      </c>
    </row>
    <row r="5796" spans="1:11" ht="42" customHeight="1">
      <c r="A5796" s="2" t="s">
        <v>12015</v>
      </c>
      <c r="B5796" s="2" t="s">
        <v>12016</v>
      </c>
      <c r="C5796" s="2" t="s">
        <v>25</v>
      </c>
      <c r="D5796" s="2" t="s">
        <v>26</v>
      </c>
      <c r="E5796" s="5">
        <v>-31507</v>
      </c>
      <c r="F5796" s="3" t="s">
        <v>61</v>
      </c>
      <c r="G5796" s="3" t="s">
        <v>28</v>
      </c>
      <c r="H5796" s="2" t="s">
        <v>20</v>
      </c>
      <c r="I5796" s="2" t="s">
        <v>12017</v>
      </c>
      <c r="J5796" s="3" t="str">
        <f>HYPERLINK("https://www.boe.es/gazeta/dias/1813/09/25/pdfs/GMR-1813-48.pdf#page=8","Abrir facsímil")</f>
        <v>Abrir facsímil</v>
      </c>
      <c r="K5796" s="3" t="s">
        <v>22</v>
      </c>
    </row>
    <row r="5797" spans="1:11" ht="42" customHeight="1">
      <c r="A5797" s="2" t="s">
        <v>12018</v>
      </c>
      <c r="B5797" s="2" t="s">
        <v>12018</v>
      </c>
      <c r="C5797" s="2" t="s">
        <v>435</v>
      </c>
      <c r="D5797" s="2" t="s">
        <v>26</v>
      </c>
      <c r="E5797" s="5">
        <v>-31542</v>
      </c>
      <c r="F5797" s="3" t="s">
        <v>347</v>
      </c>
      <c r="G5797" s="3" t="s">
        <v>95</v>
      </c>
      <c r="H5797" s="2" t="s">
        <v>20</v>
      </c>
      <c r="I5797" s="2" t="s">
        <v>12019</v>
      </c>
      <c r="J5797" s="3" t="str">
        <f>HYPERLINK("https://www.boe.es/gazeta/dias/1813/08/21/pdfs/GMR-1813-31.pdf#page=6","Abrir facsímil")</f>
        <v>Abrir facsímil</v>
      </c>
      <c r="K5797" s="3" t="s">
        <v>22</v>
      </c>
    </row>
    <row r="5798" spans="1:11" ht="42" customHeight="1">
      <c r="A5798" s="2" t="s">
        <v>12020</v>
      </c>
      <c r="B5798" s="2" t="s">
        <v>12021</v>
      </c>
      <c r="C5798" s="2" t="s">
        <v>34</v>
      </c>
      <c r="D5798" s="2" t="s">
        <v>35</v>
      </c>
      <c r="E5798" s="5">
        <v>-31530</v>
      </c>
      <c r="F5798" s="3" t="s">
        <v>133</v>
      </c>
      <c r="G5798" s="3" t="s">
        <v>82</v>
      </c>
      <c r="H5798" s="2" t="s">
        <v>20</v>
      </c>
      <c r="I5798" s="2" t="s">
        <v>12022</v>
      </c>
      <c r="J5798" s="3" t="str">
        <f>HYPERLINK("https://www.boe.es/gazeta/dias/1813/09/02/pdfs/GMR-1813-36.pdf#page=5","Abrir facsímil")</f>
        <v>Abrir facsímil</v>
      </c>
      <c r="K5798" s="3" t="s">
        <v>22</v>
      </c>
    </row>
    <row r="5799" spans="1:11" ht="42" customHeight="1">
      <c r="A5799" s="2" t="s">
        <v>12023</v>
      </c>
      <c r="B5799" s="2" t="s">
        <v>12023</v>
      </c>
      <c r="C5799" s="2" t="s">
        <v>16</v>
      </c>
      <c r="D5799" s="2" t="s">
        <v>17</v>
      </c>
      <c r="E5799" s="5">
        <v>-31772</v>
      </c>
      <c r="F5799" s="3" t="s">
        <v>709</v>
      </c>
      <c r="G5799" s="3" t="s">
        <v>19</v>
      </c>
      <c r="H5799" s="2" t="s">
        <v>20</v>
      </c>
      <c r="I5799" s="2" t="s">
        <v>12024</v>
      </c>
      <c r="J5799" s="3" t="str">
        <f>HYPERLINK("https://www.boe.es/gazeta/dias/1813/01/03/pdfs/GRE-1813-69.pdf#page=4","Abrir facsímil")</f>
        <v>Abrir facsímil</v>
      </c>
      <c r="K5799" s="3" t="s">
        <v>22</v>
      </c>
    </row>
    <row r="5800" spans="1:11" ht="42" customHeight="1">
      <c r="A5800" s="2" t="s">
        <v>12023</v>
      </c>
      <c r="B5800" s="2" t="s">
        <v>12023</v>
      </c>
      <c r="C5800" s="2" t="s">
        <v>16</v>
      </c>
      <c r="D5800" s="2" t="s">
        <v>17</v>
      </c>
      <c r="E5800" s="5">
        <v>-31621</v>
      </c>
      <c r="F5800" s="3" t="s">
        <v>709</v>
      </c>
      <c r="G5800" s="3" t="s">
        <v>19</v>
      </c>
      <c r="H5800" s="2" t="s">
        <v>20</v>
      </c>
      <c r="I5800" s="2" t="s">
        <v>12024</v>
      </c>
      <c r="J5800" s="3" t="str">
        <f>HYPERLINK("https://www.boe.es/gazeta/dias/1813/06/03/pdfs/GRE-1813-69.pdf#page=4","Abrir facsímil")</f>
        <v>Abrir facsímil</v>
      </c>
      <c r="K5800" s="3" t="s">
        <v>22</v>
      </c>
    </row>
    <row r="5801" spans="1:11" ht="42" customHeight="1">
      <c r="A5801" s="2" t="s">
        <v>12025</v>
      </c>
      <c r="B5801" s="2" t="s">
        <v>12026</v>
      </c>
      <c r="C5801" s="2" t="s">
        <v>25</v>
      </c>
      <c r="D5801" s="2" t="s">
        <v>26</v>
      </c>
      <c r="E5801" s="5">
        <v>-31738</v>
      </c>
      <c r="F5801" s="3" t="s">
        <v>556</v>
      </c>
      <c r="G5801" s="3" t="s">
        <v>3260</v>
      </c>
      <c r="H5801" s="2" t="s">
        <v>20</v>
      </c>
      <c r="I5801" s="2" t="s">
        <v>12027</v>
      </c>
      <c r="J5801" s="3" t="str">
        <f>HYPERLINK("https://www.boe.es/gazeta/dias/1813/02/06/pdfs/GRE-1813-16.pdf#page=7","Abrir facsímil")</f>
        <v>Abrir facsímil</v>
      </c>
      <c r="K5801" s="3" t="s">
        <v>22</v>
      </c>
    </row>
    <row r="5802" spans="1:11" ht="42" customHeight="1">
      <c r="A5802" s="2" t="s">
        <v>12028</v>
      </c>
      <c r="B5802" s="2" t="s">
        <v>12029</v>
      </c>
      <c r="C5802" s="2" t="s">
        <v>16</v>
      </c>
      <c r="D5802" s="2" t="s">
        <v>17</v>
      </c>
      <c r="E5802" s="5">
        <v>-31772</v>
      </c>
      <c r="F5802" s="3" t="s">
        <v>709</v>
      </c>
      <c r="G5802" s="3" t="s">
        <v>19</v>
      </c>
      <c r="H5802" s="2" t="s">
        <v>20</v>
      </c>
      <c r="I5802" s="2" t="s">
        <v>12030</v>
      </c>
      <c r="J5802" s="3" t="str">
        <f>HYPERLINK("https://www.boe.es/gazeta/dias/1813/01/03/pdfs/GRE-1813-69.pdf#page=4","Abrir facsímil")</f>
        <v>Abrir facsímil</v>
      </c>
      <c r="K5802" s="3" t="s">
        <v>22</v>
      </c>
    </row>
    <row r="5803" spans="1:11" ht="42" customHeight="1">
      <c r="A5803" s="2" t="s">
        <v>12028</v>
      </c>
      <c r="B5803" s="2" t="s">
        <v>12029</v>
      </c>
      <c r="C5803" s="2" t="s">
        <v>16</v>
      </c>
      <c r="D5803" s="2" t="s">
        <v>17</v>
      </c>
      <c r="E5803" s="5">
        <v>-31621</v>
      </c>
      <c r="F5803" s="3" t="s">
        <v>709</v>
      </c>
      <c r="G5803" s="3" t="s">
        <v>19</v>
      </c>
      <c r="H5803" s="2" t="s">
        <v>20</v>
      </c>
      <c r="I5803" s="2" t="s">
        <v>12030</v>
      </c>
      <c r="J5803" s="3" t="str">
        <f>HYPERLINK("https://www.boe.es/gazeta/dias/1813/06/03/pdfs/GRE-1813-69.pdf#page=4","Abrir facsímil")</f>
        <v>Abrir facsímil</v>
      </c>
      <c r="K5803" s="3" t="s">
        <v>22</v>
      </c>
    </row>
    <row r="5804" spans="1:11" ht="42" customHeight="1">
      <c r="A5804" s="2" t="s">
        <v>12031</v>
      </c>
      <c r="B5804" s="2" t="s">
        <v>12032</v>
      </c>
      <c r="C5804" s="2" t="s">
        <v>16</v>
      </c>
      <c r="D5804" s="2" t="s">
        <v>97</v>
      </c>
      <c r="E5804" s="5">
        <v>-31519</v>
      </c>
      <c r="F5804" s="3" t="s">
        <v>312</v>
      </c>
      <c r="G5804" s="3" t="s">
        <v>82</v>
      </c>
      <c r="H5804" s="2" t="s">
        <v>20</v>
      </c>
      <c r="I5804" s="2" t="s">
        <v>12033</v>
      </c>
      <c r="J5804" s="3" t="str">
        <f>HYPERLINK("https://www.boe.es/gazeta/dias/1813/09/13/pdfs/GRE-1813-118E.pdf#page=5","Abrir facsímil")</f>
        <v>Abrir facsímil</v>
      </c>
      <c r="K5804" s="3" t="s">
        <v>22</v>
      </c>
    </row>
    <row r="5805" spans="1:11" ht="42" customHeight="1">
      <c r="A5805" s="2" t="s">
        <v>12034</v>
      </c>
      <c r="B5805" s="2" t="s">
        <v>12035</v>
      </c>
      <c r="C5805" s="2" t="s">
        <v>16</v>
      </c>
      <c r="D5805" s="2" t="s">
        <v>17</v>
      </c>
      <c r="E5805" s="5">
        <v>-31570</v>
      </c>
      <c r="F5805" s="3" t="s">
        <v>1803</v>
      </c>
      <c r="G5805" s="3" t="s">
        <v>28</v>
      </c>
      <c r="H5805" s="2" t="s">
        <v>20</v>
      </c>
      <c r="I5805" s="2" t="s">
        <v>12036</v>
      </c>
      <c r="J5805" s="3" t="str">
        <f>HYPERLINK("https://www.boe.es/gazeta/dias/1813/07/24/pdfs/GRE-1813-94.pdf#page=8","Abrir facsímil")</f>
        <v>Abrir facsímil</v>
      </c>
      <c r="K5805" s="3" t="s">
        <v>22</v>
      </c>
    </row>
    <row r="5806" spans="1:11" ht="42" customHeight="1">
      <c r="A5806" s="2" t="s">
        <v>12037</v>
      </c>
      <c r="B5806" s="2" t="s">
        <v>12038</v>
      </c>
      <c r="C5806" s="2" t="s">
        <v>16</v>
      </c>
      <c r="D5806" s="2" t="s">
        <v>97</v>
      </c>
      <c r="E5806" s="5">
        <v>-31548</v>
      </c>
      <c r="F5806" s="3" t="s">
        <v>1680</v>
      </c>
      <c r="G5806" s="3" t="s">
        <v>87</v>
      </c>
      <c r="H5806" s="2" t="s">
        <v>20</v>
      </c>
      <c r="I5806" s="2" t="s">
        <v>12039</v>
      </c>
      <c r="J5806" s="3" t="str">
        <f>HYPERLINK("https://www.boe.es/gazeta/dias/1813/08/15/pdfs/GRE-1813-104E.pdf#page=7","Abrir facsímil")</f>
        <v>Abrir facsímil</v>
      </c>
      <c r="K5806" s="3" t="s">
        <v>22</v>
      </c>
    </row>
    <row r="5807" spans="1:11" ht="42" customHeight="1">
      <c r="A5807" s="2" t="s">
        <v>12040</v>
      </c>
      <c r="B5807" s="2" t="s">
        <v>12041</v>
      </c>
      <c r="C5807" s="2" t="s">
        <v>187</v>
      </c>
      <c r="D5807" s="2" t="s">
        <v>26</v>
      </c>
      <c r="E5807" s="5">
        <v>-31511</v>
      </c>
      <c r="F5807" s="3" t="s">
        <v>935</v>
      </c>
      <c r="G5807" s="3" t="s">
        <v>1304</v>
      </c>
      <c r="H5807" s="2" t="s">
        <v>20</v>
      </c>
      <c r="I5807" s="2" t="s">
        <v>12042</v>
      </c>
      <c r="J5807" s="3" t="str">
        <f>HYPERLINK("https://www.boe.es/gazeta/dias/1813/09/21/pdfs/GMR-1813-46.pdf#page=12","Abrir facsímil")</f>
        <v>Abrir facsímil</v>
      </c>
      <c r="K5807" s="3" t="s">
        <v>22</v>
      </c>
    </row>
    <row r="5808" spans="1:11" ht="42" customHeight="1">
      <c r="A5808" s="2" t="s">
        <v>12043</v>
      </c>
      <c r="B5808" s="2" t="s">
        <v>12044</v>
      </c>
      <c r="C5808" s="2" t="s">
        <v>16</v>
      </c>
      <c r="D5808" s="2" t="s">
        <v>17</v>
      </c>
      <c r="E5808" s="5">
        <v>-31507</v>
      </c>
      <c r="F5808" s="3" t="s">
        <v>61</v>
      </c>
      <c r="G5808" s="3" t="s">
        <v>28</v>
      </c>
      <c r="H5808" s="2" t="s">
        <v>20</v>
      </c>
      <c r="I5808" s="2" t="s">
        <v>12045</v>
      </c>
      <c r="J5808" s="3" t="str">
        <f>HYPERLINK("https://www.boe.es/gazeta/dias/1813/09/25/pdfs/GMR-1813-48.pdf#page=8","Abrir facsímil")</f>
        <v>Abrir facsímil</v>
      </c>
      <c r="K5808" s="3" t="s">
        <v>22</v>
      </c>
    </row>
    <row r="5809" spans="1:11" ht="42" customHeight="1">
      <c r="A5809" s="2" t="s">
        <v>12046</v>
      </c>
      <c r="B5809" s="2" t="s">
        <v>12047</v>
      </c>
      <c r="C5809" s="2" t="s">
        <v>25</v>
      </c>
      <c r="D5809" s="2" t="s">
        <v>26</v>
      </c>
      <c r="E5809" s="5">
        <v>-31689</v>
      </c>
      <c r="F5809" s="3" t="s">
        <v>48</v>
      </c>
      <c r="G5809" s="3" t="s">
        <v>162</v>
      </c>
      <c r="H5809" s="2" t="s">
        <v>20</v>
      </c>
      <c r="I5809" s="2" t="s">
        <v>12048</v>
      </c>
      <c r="J5809" s="3" t="str">
        <f>HYPERLINK("https://www.boe.es/gazeta/dias/1813/03/27/pdfs/GRE-1813-38.pdf#page=8","Abrir facsímil")</f>
        <v>Abrir facsímil</v>
      </c>
      <c r="K5809" s="3" t="s">
        <v>22</v>
      </c>
    </row>
    <row r="5810" spans="1:11" ht="42" customHeight="1">
      <c r="A5810" s="2" t="s">
        <v>12049</v>
      </c>
      <c r="B5810" s="2" t="s">
        <v>12049</v>
      </c>
      <c r="C5810" s="2" t="s">
        <v>16</v>
      </c>
      <c r="D5810" s="2" t="s">
        <v>17</v>
      </c>
      <c r="E5810" s="5">
        <v>-31427</v>
      </c>
      <c r="F5810" s="3" t="s">
        <v>489</v>
      </c>
      <c r="G5810" s="3" t="s">
        <v>19</v>
      </c>
      <c r="H5810" s="2" t="s">
        <v>20</v>
      </c>
      <c r="I5810" s="2" t="s">
        <v>12050</v>
      </c>
      <c r="J5810" s="3" t="str">
        <f>HYPERLINK("https://www.boe.es/gazeta/dias/1813/12/14/pdfs/GMR-1813-87.pdf#page=4","Abrir facsímil")</f>
        <v>Abrir facsímil</v>
      </c>
      <c r="K5810" s="3" t="s">
        <v>22</v>
      </c>
    </row>
    <row r="5811" spans="1:11" ht="42" customHeight="1">
      <c r="A5811" s="2" t="s">
        <v>12051</v>
      </c>
      <c r="B5811" s="2" t="s">
        <v>12051</v>
      </c>
      <c r="C5811" s="2" t="s">
        <v>16</v>
      </c>
      <c r="D5811" s="2" t="s">
        <v>17</v>
      </c>
      <c r="E5811" s="5">
        <v>-31581</v>
      </c>
      <c r="F5811" s="3" t="s">
        <v>1321</v>
      </c>
      <c r="G5811" s="3" t="s">
        <v>82</v>
      </c>
      <c r="H5811" s="2" t="s">
        <v>20</v>
      </c>
      <c r="I5811" s="2" t="s">
        <v>12052</v>
      </c>
      <c r="J5811" s="3" t="str">
        <f>HYPERLINK("https://www.boe.es/gazeta/dias/1813/07/13/pdfs/GMR-1813-17.pdf#page=5","Abrir facsímil")</f>
        <v>Abrir facsímil</v>
      </c>
      <c r="K5811" s="3" t="s">
        <v>22</v>
      </c>
    </row>
    <row r="5812" spans="1:11" ht="42" customHeight="1">
      <c r="A5812" s="2" t="s">
        <v>12053</v>
      </c>
      <c r="B5812" s="2" t="s">
        <v>12053</v>
      </c>
      <c r="C5812" s="2" t="s">
        <v>16</v>
      </c>
      <c r="D5812" s="2" t="s">
        <v>17</v>
      </c>
      <c r="E5812" s="5">
        <v>-31763</v>
      </c>
      <c r="F5812" s="3" t="s">
        <v>668</v>
      </c>
      <c r="G5812" s="3" t="s">
        <v>669</v>
      </c>
      <c r="H5812" s="2" t="s">
        <v>20</v>
      </c>
      <c r="I5812" s="2" t="s">
        <v>12054</v>
      </c>
      <c r="J5812" s="3" t="str">
        <f>HYPERLINK("https://www.boe.es/gazeta/dias/1813/01/12/pdfs/GRE-1813-5.pdf#page=6","Abrir facsímil")</f>
        <v>Abrir facsímil</v>
      </c>
      <c r="K5812" s="3" t="s">
        <v>22</v>
      </c>
    </row>
    <row r="5813" spans="1:11" ht="42" customHeight="1">
      <c r="A5813" s="2" t="s">
        <v>12055</v>
      </c>
      <c r="B5813" s="2" t="s">
        <v>12055</v>
      </c>
      <c r="C5813" s="2" t="s">
        <v>16</v>
      </c>
      <c r="D5813" s="2" t="s">
        <v>17</v>
      </c>
      <c r="E5813" s="5">
        <v>-31731</v>
      </c>
      <c r="F5813" s="3" t="s">
        <v>866</v>
      </c>
      <c r="G5813" s="3" t="s">
        <v>4688</v>
      </c>
      <c r="H5813" s="2" t="s">
        <v>20</v>
      </c>
      <c r="I5813" s="2" t="s">
        <v>12056</v>
      </c>
      <c r="J5813" s="3" t="str">
        <f>HYPERLINK("https://www.boe.es/gazeta/dias/1813/02/13/pdfs/GRE-1813-19.pdf#page=5","Abrir facsímil")</f>
        <v>Abrir facsímil</v>
      </c>
      <c r="K5813" s="3" t="s">
        <v>22</v>
      </c>
    </row>
    <row r="5814" spans="1:11" ht="42" customHeight="1">
      <c r="A5814" s="2" t="s">
        <v>12057</v>
      </c>
      <c r="B5814" s="2" t="s">
        <v>12057</v>
      </c>
      <c r="C5814" s="2" t="s">
        <v>34</v>
      </c>
      <c r="D5814" s="2" t="s">
        <v>35</v>
      </c>
      <c r="E5814" s="5">
        <v>-31737</v>
      </c>
      <c r="F5814" s="3" t="s">
        <v>5824</v>
      </c>
      <c r="G5814" s="3" t="s">
        <v>19</v>
      </c>
      <c r="H5814" s="2" t="s">
        <v>20</v>
      </c>
      <c r="I5814" s="2" t="s">
        <v>12058</v>
      </c>
      <c r="J5814" s="3" t="str">
        <f>HYPERLINK("https://www.boe.es/gazeta/dias/1813/02/07/pdfs/GMD-1813-38.pdf#page=4","Abrir facsímil")</f>
        <v>Abrir facsímil</v>
      </c>
      <c r="K5814" s="3" t="s">
        <v>22</v>
      </c>
    </row>
    <row r="5815" spans="1:11" ht="42" customHeight="1">
      <c r="A5815" s="2" t="s">
        <v>12059</v>
      </c>
      <c r="B5815" s="2" t="s">
        <v>12060</v>
      </c>
      <c r="C5815" s="2" t="s">
        <v>16</v>
      </c>
      <c r="D5815" s="2" t="s">
        <v>17</v>
      </c>
      <c r="E5815" s="5">
        <v>-31439</v>
      </c>
      <c r="F5815" s="3" t="s">
        <v>1298</v>
      </c>
      <c r="G5815" s="3" t="s">
        <v>87</v>
      </c>
      <c r="H5815" s="2" t="s">
        <v>20</v>
      </c>
      <c r="I5815" s="2" t="s">
        <v>12061</v>
      </c>
      <c r="J5815" s="3" t="str">
        <f>HYPERLINK("https://www.boe.es/gazeta/dias/1813/12/02/pdfs/GMR-1813-82.pdf#page=7","Abrir facsímil")</f>
        <v>Abrir facsímil</v>
      </c>
      <c r="K5815" s="3" t="s">
        <v>22</v>
      </c>
    </row>
    <row r="5816" spans="1:11" ht="42" customHeight="1">
      <c r="A5816" s="2" t="s">
        <v>12062</v>
      </c>
      <c r="B5816" s="2" t="s">
        <v>12062</v>
      </c>
      <c r="C5816" s="2" t="s">
        <v>16</v>
      </c>
      <c r="D5816" s="2" t="s">
        <v>17</v>
      </c>
      <c r="E5816" s="5">
        <v>-31472</v>
      </c>
      <c r="F5816" s="3" t="s">
        <v>143</v>
      </c>
      <c r="G5816" s="3" t="s">
        <v>940</v>
      </c>
      <c r="H5816" s="2" t="s">
        <v>20</v>
      </c>
      <c r="I5816" s="2" t="s">
        <v>12063</v>
      </c>
      <c r="J5816" s="3" t="str">
        <f>HYPERLINK("https://www.boe.es/gazeta/dias/1813/10/30/pdfs/GMR-1813-66.pdf#page=8","Abrir facsímil")</f>
        <v>Abrir facsímil</v>
      </c>
      <c r="K5816" s="3" t="s">
        <v>22</v>
      </c>
    </row>
    <row r="5817" spans="1:11" ht="42" customHeight="1">
      <c r="A5817" s="2" t="s">
        <v>12064</v>
      </c>
      <c r="B5817" s="2" t="s">
        <v>12065</v>
      </c>
      <c r="C5817" s="2" t="s">
        <v>16</v>
      </c>
      <c r="D5817" s="2" t="s">
        <v>17</v>
      </c>
      <c r="E5817" s="5">
        <v>-31754</v>
      </c>
      <c r="F5817" s="3" t="s">
        <v>899</v>
      </c>
      <c r="G5817" s="3" t="s">
        <v>900</v>
      </c>
      <c r="H5817" s="2" t="s">
        <v>20</v>
      </c>
      <c r="I5817" s="2" t="s">
        <v>12066</v>
      </c>
      <c r="J5817" s="3" t="str">
        <f>HYPERLINK("https://www.boe.es/gazeta/dias/1813/01/21/pdfs/GRE-1813-9.pdf#page=8","Abrir facsímil")</f>
        <v>Abrir facsímil</v>
      </c>
      <c r="K5817" s="3" t="s">
        <v>22</v>
      </c>
    </row>
    <row r="5818" spans="1:11" ht="42" customHeight="1">
      <c r="A5818" s="2" t="s">
        <v>12067</v>
      </c>
      <c r="B5818" s="2" t="s">
        <v>12068</v>
      </c>
      <c r="C5818" s="2" t="s">
        <v>16</v>
      </c>
      <c r="D5818" s="2" t="s">
        <v>17</v>
      </c>
      <c r="E5818" s="5">
        <v>-31675</v>
      </c>
      <c r="F5818" s="3" t="s">
        <v>2552</v>
      </c>
      <c r="G5818" s="3" t="s">
        <v>65</v>
      </c>
      <c r="H5818" s="2" t="s">
        <v>20</v>
      </c>
      <c r="I5818" s="2" t="s">
        <v>12069</v>
      </c>
      <c r="J5818" s="3" t="str">
        <f>HYPERLINK("https://www.boe.es/gazeta/dias/1813/04/10/pdfs/GMD-1813-100.pdf#page=1","Abrir facsímil")</f>
        <v>Abrir facsímil</v>
      </c>
      <c r="K5818" s="3" t="s">
        <v>22</v>
      </c>
    </row>
    <row r="5819" spans="1:11" ht="42" customHeight="1">
      <c r="A5819" s="2" t="s">
        <v>12070</v>
      </c>
      <c r="B5819" s="2" t="s">
        <v>12071</v>
      </c>
      <c r="C5819" s="2" t="s">
        <v>16</v>
      </c>
      <c r="D5819" s="2" t="s">
        <v>17</v>
      </c>
      <c r="E5819" s="5">
        <v>-31465</v>
      </c>
      <c r="F5819" s="3" t="s">
        <v>2930</v>
      </c>
      <c r="G5819" s="3" t="s">
        <v>2931</v>
      </c>
      <c r="H5819" s="2" t="s">
        <v>20</v>
      </c>
      <c r="I5819" s="2" t="s">
        <v>12072</v>
      </c>
      <c r="J5819" s="3" t="str">
        <f>HYPERLINK("https://www.boe.es/gazeta/dias/1813/11/06/pdfs/GRE-1813-145.pdf#page=4","Abrir facsímil")</f>
        <v>Abrir facsímil</v>
      </c>
      <c r="K5819" s="3" t="s">
        <v>22</v>
      </c>
    </row>
    <row r="5820" spans="1:11" ht="42" customHeight="1">
      <c r="A5820" s="2" t="s">
        <v>12073</v>
      </c>
      <c r="B5820" s="2" t="s">
        <v>12074</v>
      </c>
      <c r="C5820" s="2" t="s">
        <v>25</v>
      </c>
      <c r="D5820" s="2" t="s">
        <v>26</v>
      </c>
      <c r="E5820" s="5">
        <v>-31752</v>
      </c>
      <c r="F5820" s="3" t="s">
        <v>182</v>
      </c>
      <c r="G5820" s="3" t="s">
        <v>183</v>
      </c>
      <c r="H5820" s="2" t="s">
        <v>20</v>
      </c>
      <c r="I5820" s="2" t="s">
        <v>12075</v>
      </c>
      <c r="J5820" s="3" t="str">
        <f>HYPERLINK("https://www.boe.es/gazeta/dias/1813/01/23/pdfs/GRE-1813-10.pdf#page=8","Abrir facsímil")</f>
        <v>Abrir facsímil</v>
      </c>
      <c r="K5820" s="3" t="s">
        <v>22</v>
      </c>
    </row>
    <row r="5821" spans="1:11" ht="42" customHeight="1">
      <c r="A5821" s="2" t="s">
        <v>12076</v>
      </c>
      <c r="B5821" s="2" t="s">
        <v>12077</v>
      </c>
      <c r="C5821" s="2" t="s">
        <v>16</v>
      </c>
      <c r="D5821" s="2" t="s">
        <v>17</v>
      </c>
      <c r="E5821" s="5">
        <v>-31437</v>
      </c>
      <c r="F5821" s="3" t="s">
        <v>680</v>
      </c>
      <c r="G5821" s="3" t="s">
        <v>28</v>
      </c>
      <c r="H5821" s="2" t="s">
        <v>20</v>
      </c>
      <c r="I5821" s="2" t="s">
        <v>12078</v>
      </c>
      <c r="J5821" s="3" t="str">
        <f>HYPERLINK("https://www.boe.es/gazeta/dias/1813/12/04/pdfs/GMR-1813-83.pdf#page=8","Abrir facsímil")</f>
        <v>Abrir facsímil</v>
      </c>
      <c r="K5821" s="3" t="s">
        <v>22</v>
      </c>
    </row>
    <row r="5822" spans="1:11" ht="42" customHeight="1">
      <c r="A5822" s="2" t="s">
        <v>12079</v>
      </c>
      <c r="B5822" s="2" t="s">
        <v>12079</v>
      </c>
      <c r="C5822" s="2" t="s">
        <v>435</v>
      </c>
      <c r="D5822" s="2" t="s">
        <v>26</v>
      </c>
      <c r="E5822" s="5">
        <v>-31537</v>
      </c>
      <c r="F5822" s="3" t="s">
        <v>138</v>
      </c>
      <c r="G5822" s="3" t="s">
        <v>19</v>
      </c>
      <c r="H5822" s="2" t="s">
        <v>20</v>
      </c>
      <c r="I5822" s="2" t="s">
        <v>12080</v>
      </c>
      <c r="J5822" s="3" t="str">
        <f>HYPERLINK("https://www.boe.es/gazeta/dias/1813/08/26/pdfs/GMR-1813-33.pdf#page=4","Abrir facsímil")</f>
        <v>Abrir facsímil</v>
      </c>
      <c r="K5822" s="3" t="s">
        <v>22</v>
      </c>
    </row>
    <row r="5823" spans="1:11" ht="42" customHeight="1">
      <c r="A5823" s="2" t="s">
        <v>12081</v>
      </c>
      <c r="B5823" s="2" t="s">
        <v>12082</v>
      </c>
      <c r="C5823" s="2" t="s">
        <v>16</v>
      </c>
      <c r="D5823" s="2" t="s">
        <v>17</v>
      </c>
      <c r="E5823" s="5">
        <v>-31628</v>
      </c>
      <c r="F5823" s="3" t="s">
        <v>358</v>
      </c>
      <c r="G5823" s="3" t="s">
        <v>359</v>
      </c>
      <c r="H5823" s="2" t="s">
        <v>20</v>
      </c>
      <c r="I5823" s="2" t="s">
        <v>12083</v>
      </c>
      <c r="J5823" s="3" t="str">
        <f>HYPERLINK("https://www.boe.es/gazeta/dias/1813/05/27/pdfs/GRE-1813-65.pdf#page=6","Abrir facsímil")</f>
        <v>Abrir facsímil</v>
      </c>
      <c r="K5823" s="3" t="s">
        <v>22</v>
      </c>
    </row>
    <row r="5824" spans="1:11" ht="42" customHeight="1">
      <c r="A5824" s="2" t="s">
        <v>12084</v>
      </c>
      <c r="B5824" s="2" t="s">
        <v>12085</v>
      </c>
      <c r="C5824" s="2" t="s">
        <v>25</v>
      </c>
      <c r="D5824" s="2" t="s">
        <v>26</v>
      </c>
      <c r="E5824" s="5">
        <v>-31677</v>
      </c>
      <c r="F5824" s="3" t="s">
        <v>76</v>
      </c>
      <c r="G5824" s="3" t="s">
        <v>28</v>
      </c>
      <c r="H5824" s="2" t="s">
        <v>20</v>
      </c>
      <c r="I5824" s="2" t="s">
        <v>12086</v>
      </c>
      <c r="J5824" s="3" t="str">
        <f>HYPERLINK("https://www.boe.es/gazeta/dias/1813/04/08/pdfs/GRE-1813-43.pdf#page=8","Abrir facsímil")</f>
        <v>Abrir facsímil</v>
      </c>
      <c r="K5824" s="3" t="s">
        <v>22</v>
      </c>
    </row>
    <row r="5825" spans="1:11" ht="42" customHeight="1">
      <c r="A5825" s="2" t="s">
        <v>12087</v>
      </c>
      <c r="B5825" s="2" t="s">
        <v>12088</v>
      </c>
      <c r="C5825" s="2" t="s">
        <v>34</v>
      </c>
      <c r="D5825" s="2" t="s">
        <v>35</v>
      </c>
      <c r="E5825" s="5">
        <v>-31564</v>
      </c>
      <c r="F5825" s="3" t="s">
        <v>206</v>
      </c>
      <c r="G5825" s="3" t="s">
        <v>207</v>
      </c>
      <c r="H5825" s="2" t="s">
        <v>20</v>
      </c>
      <c r="I5825" s="2" t="s">
        <v>12089</v>
      </c>
      <c r="J5825" s="3" t="str">
        <f>HYPERLINK("https://www.boe.es/gazeta/dias/1813/07/30/pdfs/GMR-1813-22.pdf#page=10","Abrir facsímil")</f>
        <v>Abrir facsímil</v>
      </c>
      <c r="K5825" s="3" t="s">
        <v>22</v>
      </c>
    </row>
    <row r="5826" spans="1:11" ht="42" customHeight="1">
      <c r="A5826" s="2" t="s">
        <v>12090</v>
      </c>
      <c r="B5826" s="2" t="s">
        <v>12090</v>
      </c>
      <c r="C5826" s="2" t="s">
        <v>16</v>
      </c>
      <c r="D5826" s="2" t="s">
        <v>17</v>
      </c>
      <c r="E5826" s="5">
        <v>-31570</v>
      </c>
      <c r="F5826" s="3" t="s">
        <v>1803</v>
      </c>
      <c r="G5826" s="3" t="s">
        <v>54</v>
      </c>
      <c r="H5826" s="2" t="s">
        <v>20</v>
      </c>
      <c r="I5826" s="2" t="s">
        <v>12091</v>
      </c>
      <c r="J5826" s="3" t="str">
        <f>HYPERLINK("https://www.boe.es/gazeta/dias/1813/07/24/pdfs/GRE-1813-94.pdf#page=3","Abrir facsímil")</f>
        <v>Abrir facsímil</v>
      </c>
      <c r="K5826" s="3" t="s">
        <v>22</v>
      </c>
    </row>
    <row r="5827" spans="1:11" ht="42" customHeight="1">
      <c r="A5827" s="2" t="s">
        <v>12090</v>
      </c>
      <c r="B5827" s="2" t="s">
        <v>12090</v>
      </c>
      <c r="C5827" s="2" t="s">
        <v>16</v>
      </c>
      <c r="D5827" s="2" t="s">
        <v>17</v>
      </c>
      <c r="E5827" s="5">
        <v>-31570</v>
      </c>
      <c r="F5827" s="3" t="s">
        <v>1803</v>
      </c>
      <c r="G5827" s="3" t="s">
        <v>19</v>
      </c>
      <c r="H5827" s="2" t="s">
        <v>20</v>
      </c>
      <c r="I5827" s="2" t="s">
        <v>12092</v>
      </c>
      <c r="J5827" s="3" t="str">
        <f>HYPERLINK("https://www.boe.es/gazeta/dias/1813/07/24/pdfs/GRE-1813-94.pdf#page=4","Abrir facsímil")</f>
        <v>Abrir facsímil</v>
      </c>
      <c r="K5827" s="3" t="s">
        <v>22</v>
      </c>
    </row>
    <row r="5828" spans="1:11" ht="42" customHeight="1">
      <c r="A5828" s="2" t="s">
        <v>12093</v>
      </c>
      <c r="B5828" s="2" t="s">
        <v>12093</v>
      </c>
      <c r="C5828" s="2" t="s">
        <v>25</v>
      </c>
      <c r="D5828" s="2" t="s">
        <v>26</v>
      </c>
      <c r="E5828" s="5">
        <v>-31570</v>
      </c>
      <c r="F5828" s="3" t="s">
        <v>1803</v>
      </c>
      <c r="G5828" s="3" t="s">
        <v>54</v>
      </c>
      <c r="H5828" s="2" t="s">
        <v>20</v>
      </c>
      <c r="I5828" s="2" t="s">
        <v>12094</v>
      </c>
      <c r="J5828" s="3" t="str">
        <f>HYPERLINK("https://www.boe.es/gazeta/dias/1813/07/24/pdfs/GRE-1813-94.pdf#page=3","Abrir facsímil")</f>
        <v>Abrir facsímil</v>
      </c>
      <c r="K5828" s="3" t="s">
        <v>22</v>
      </c>
    </row>
    <row r="5829" spans="1:11" ht="42" customHeight="1">
      <c r="A5829" s="2" t="s">
        <v>12095</v>
      </c>
      <c r="B5829" s="2" t="s">
        <v>12096</v>
      </c>
      <c r="C5829" s="2" t="s">
        <v>25</v>
      </c>
      <c r="D5829" s="2" t="s">
        <v>26</v>
      </c>
      <c r="E5829" s="5">
        <v>-31752</v>
      </c>
      <c r="F5829" s="3" t="s">
        <v>182</v>
      </c>
      <c r="G5829" s="3" t="s">
        <v>183</v>
      </c>
      <c r="H5829" s="2" t="s">
        <v>20</v>
      </c>
      <c r="I5829" s="2" t="s">
        <v>12097</v>
      </c>
      <c r="J5829" s="3" t="str">
        <f>HYPERLINK("https://www.boe.es/gazeta/dias/1813/01/23/pdfs/GRE-1813-10.pdf#page=8","Abrir facsímil")</f>
        <v>Abrir facsímil</v>
      </c>
      <c r="K5829" s="3" t="s">
        <v>22</v>
      </c>
    </row>
    <row r="5830" spans="1:11" ht="42" customHeight="1">
      <c r="A5830" s="2" t="s">
        <v>12098</v>
      </c>
      <c r="B5830" s="2" t="s">
        <v>12098</v>
      </c>
      <c r="C5830" s="2" t="s">
        <v>16</v>
      </c>
      <c r="D5830" s="2" t="s">
        <v>17</v>
      </c>
      <c r="E5830" s="5">
        <v>-31437</v>
      </c>
      <c r="F5830" s="3" t="s">
        <v>217</v>
      </c>
      <c r="G5830" s="3" t="s">
        <v>539</v>
      </c>
      <c r="H5830" s="2" t="s">
        <v>20</v>
      </c>
      <c r="I5830" s="2" t="s">
        <v>12099</v>
      </c>
      <c r="J5830" s="3" t="str">
        <f>HYPERLINK("https://www.boe.es/gazeta/dias/1813/12/04/pdfs/GRE-1813-160.pdf#page=4","Abrir facsímil")</f>
        <v>Abrir facsímil</v>
      </c>
      <c r="K5830" s="3" t="s">
        <v>22</v>
      </c>
    </row>
    <row r="5831" spans="1:11" ht="42" customHeight="1">
      <c r="A5831" s="2" t="s">
        <v>12100</v>
      </c>
      <c r="B5831" s="2" t="s">
        <v>12101</v>
      </c>
      <c r="C5831" s="2" t="s">
        <v>25</v>
      </c>
      <c r="D5831" s="2" t="s">
        <v>26</v>
      </c>
      <c r="E5831" s="5">
        <v>-31745</v>
      </c>
      <c r="F5831" s="3" t="s">
        <v>445</v>
      </c>
      <c r="G5831" s="3" t="s">
        <v>475</v>
      </c>
      <c r="H5831" s="2" t="s">
        <v>20</v>
      </c>
      <c r="I5831" s="2" t="s">
        <v>12102</v>
      </c>
      <c r="J5831" s="3" t="str">
        <f>HYPERLINK("https://www.boe.es/gazeta/dias/1813/01/30/pdfs/GRE-1813-13.pdf#page=7","Abrir facsímil")</f>
        <v>Abrir facsímil</v>
      </c>
      <c r="K5831" s="3" t="s">
        <v>22</v>
      </c>
    </row>
    <row r="5832" spans="1:11" ht="42" customHeight="1">
      <c r="A5832" s="2" t="s">
        <v>12103</v>
      </c>
      <c r="B5832" s="2" t="s">
        <v>12104</v>
      </c>
      <c r="C5832" s="2" t="s">
        <v>34</v>
      </c>
      <c r="D5832" s="2" t="s">
        <v>35</v>
      </c>
      <c r="E5832" s="5">
        <v>-31709</v>
      </c>
      <c r="F5832" s="3" t="s">
        <v>36</v>
      </c>
      <c r="G5832" s="3" t="s">
        <v>303</v>
      </c>
      <c r="H5832" s="2" t="s">
        <v>20</v>
      </c>
      <c r="I5832" s="2" t="s">
        <v>12105</v>
      </c>
      <c r="J5832" s="3" t="str">
        <f>HYPERLINK("https://www.boe.es/gazeta/dias/1813/03/07/pdfs/GMD-1813-66.pdf#page=3","Abrir facsímil")</f>
        <v>Abrir facsímil</v>
      </c>
      <c r="K5832" s="3" t="s">
        <v>22</v>
      </c>
    </row>
    <row r="5833" spans="1:11" ht="42" customHeight="1">
      <c r="A5833" s="2" t="s">
        <v>12106</v>
      </c>
      <c r="B5833" s="2" t="s">
        <v>12106</v>
      </c>
      <c r="C5833" s="2" t="s">
        <v>34</v>
      </c>
      <c r="D5833" s="2" t="s">
        <v>35</v>
      </c>
      <c r="E5833" s="5">
        <v>-31514</v>
      </c>
      <c r="F5833" s="3" t="s">
        <v>2099</v>
      </c>
      <c r="G5833" s="3" t="s">
        <v>4358</v>
      </c>
      <c r="H5833" s="2" t="s">
        <v>20</v>
      </c>
      <c r="I5833" s="2" t="s">
        <v>12107</v>
      </c>
      <c r="J5833" s="3" t="str">
        <f>HYPERLINK("https://www.boe.es/gazeta/dias/1813/09/18/pdfs/GMR-1813-45.pdf#page=7","Abrir facsímil")</f>
        <v>Abrir facsímil</v>
      </c>
      <c r="K5833" s="3" t="s">
        <v>22</v>
      </c>
    </row>
    <row r="5834" spans="1:11" ht="42" customHeight="1">
      <c r="A5834" s="2" t="s">
        <v>12108</v>
      </c>
      <c r="B5834" s="2" t="s">
        <v>12109</v>
      </c>
      <c r="C5834" s="2" t="s">
        <v>16</v>
      </c>
      <c r="D5834" s="2" t="s">
        <v>17</v>
      </c>
      <c r="E5834" s="5">
        <v>-31747</v>
      </c>
      <c r="F5834" s="3" t="s">
        <v>86</v>
      </c>
      <c r="G5834" s="3" t="s">
        <v>3232</v>
      </c>
      <c r="H5834" s="2" t="s">
        <v>20</v>
      </c>
      <c r="I5834" s="2" t="s">
        <v>12110</v>
      </c>
      <c r="J5834" s="3" t="str">
        <f>HYPERLINK("https://www.boe.es/gazeta/dias/1813/01/28/pdfs/GRE-1813-12.pdf#page=6","Abrir facsímil")</f>
        <v>Abrir facsímil</v>
      </c>
      <c r="K5834" s="3" t="s">
        <v>22</v>
      </c>
    </row>
    <row r="5835" spans="1:11" ht="42" customHeight="1">
      <c r="A5835" s="2" t="s">
        <v>12111</v>
      </c>
      <c r="B5835" s="2" t="s">
        <v>12112</v>
      </c>
      <c r="C5835" s="2" t="s">
        <v>25</v>
      </c>
      <c r="D5835" s="2" t="s">
        <v>26</v>
      </c>
      <c r="E5835" s="5">
        <v>-31567</v>
      </c>
      <c r="F5835" s="3" t="s">
        <v>820</v>
      </c>
      <c r="G5835" s="3" t="s">
        <v>747</v>
      </c>
      <c r="H5835" s="2" t="s">
        <v>20</v>
      </c>
      <c r="I5835" s="2" t="s">
        <v>12113</v>
      </c>
      <c r="J5835" s="3" t="str">
        <f>HYPERLINK("https://www.boe.es/gazeta/dias/1813/07/27/pdfs/GMR-1813-21.pdf#page=10","Abrir facsímil")</f>
        <v>Abrir facsímil</v>
      </c>
      <c r="K5835" s="3" t="s">
        <v>22</v>
      </c>
    </row>
    <row r="5836" spans="1:11" ht="42" customHeight="1">
      <c r="A5836" s="2" t="s">
        <v>12114</v>
      </c>
      <c r="B5836" s="2" t="s">
        <v>12115</v>
      </c>
      <c r="C5836" s="2" t="s">
        <v>16</v>
      </c>
      <c r="D5836" s="2" t="s">
        <v>17</v>
      </c>
      <c r="E5836" s="5">
        <v>-31754</v>
      </c>
      <c r="F5836" s="3" t="s">
        <v>899</v>
      </c>
      <c r="G5836" s="3" t="s">
        <v>900</v>
      </c>
      <c r="H5836" s="2" t="s">
        <v>29</v>
      </c>
      <c r="I5836" s="2" t="s">
        <v>12116</v>
      </c>
      <c r="J5836" s="3" t="str">
        <f>HYPERLINK("https://www.boe.es/gazeta/dias/1813/01/21/pdfs/GRE-1813-9.pdf#page=8","Abrir facsímil")</f>
        <v>Abrir facsímil</v>
      </c>
      <c r="K5836" s="3" t="s">
        <v>31</v>
      </c>
    </row>
    <row r="5837" spans="1:11" ht="42" customHeight="1">
      <c r="A5837" s="2" t="s">
        <v>12117</v>
      </c>
      <c r="B5837" s="2" t="s">
        <v>12118</v>
      </c>
      <c r="C5837" s="2" t="s">
        <v>25</v>
      </c>
      <c r="D5837" s="2" t="s">
        <v>97</v>
      </c>
      <c r="E5837" s="5">
        <v>-31519</v>
      </c>
      <c r="F5837" s="3" t="s">
        <v>312</v>
      </c>
      <c r="G5837" s="3" t="s">
        <v>313</v>
      </c>
      <c r="H5837" s="2" t="s">
        <v>20</v>
      </c>
      <c r="I5837" s="2" t="s">
        <v>12119</v>
      </c>
      <c r="J5837" s="3" t="str">
        <f>HYPERLINK("https://www.boe.es/gazeta/dias/1813/09/13/pdfs/GRE-1813-118E.pdf#page=9","Abrir facsímil")</f>
        <v>Abrir facsímil</v>
      </c>
      <c r="K5837" s="3" t="s">
        <v>22</v>
      </c>
    </row>
    <row r="5838" spans="1:11" ht="42" customHeight="1">
      <c r="A5838" s="2" t="s">
        <v>12117</v>
      </c>
      <c r="B5838" s="2" t="s">
        <v>12118</v>
      </c>
      <c r="C5838" s="2" t="s">
        <v>25</v>
      </c>
      <c r="D5838" s="2" t="s">
        <v>26</v>
      </c>
      <c r="E5838" s="5">
        <v>-31507</v>
      </c>
      <c r="F5838" s="3" t="s">
        <v>61</v>
      </c>
      <c r="G5838" s="3" t="s">
        <v>28</v>
      </c>
      <c r="H5838" s="2" t="s">
        <v>20</v>
      </c>
      <c r="I5838" s="2" t="s">
        <v>12120</v>
      </c>
      <c r="J5838" s="3" t="str">
        <f>HYPERLINK("https://www.boe.es/gazeta/dias/1813/09/25/pdfs/GMR-1813-48.pdf#page=8","Abrir facsímil")</f>
        <v>Abrir facsímil</v>
      </c>
      <c r="K5838" s="3" t="s">
        <v>22</v>
      </c>
    </row>
    <row r="5839" spans="1:11" ht="42" customHeight="1">
      <c r="A5839" s="2" t="s">
        <v>12121</v>
      </c>
      <c r="B5839" s="2" t="s">
        <v>12122</v>
      </c>
      <c r="C5839" s="2" t="s">
        <v>16</v>
      </c>
      <c r="D5839" s="2" t="s">
        <v>17</v>
      </c>
      <c r="E5839" s="5">
        <v>-31694</v>
      </c>
      <c r="F5839" s="3" t="s">
        <v>2756</v>
      </c>
      <c r="G5839" s="3" t="s">
        <v>19</v>
      </c>
      <c r="H5839" s="2" t="s">
        <v>20</v>
      </c>
      <c r="I5839" s="2" t="s">
        <v>12123</v>
      </c>
      <c r="J5839" s="3" t="str">
        <f>HYPERLINK("https://www.boe.es/gazeta/dias/1813/03/22/pdfs/GMD-1813-81.pdf#page=4","Abrir facsímil")</f>
        <v>Abrir facsímil</v>
      </c>
      <c r="K5839" s="3" t="s">
        <v>22</v>
      </c>
    </row>
    <row r="5840" spans="1:11" ht="42" customHeight="1">
      <c r="A5840" s="2" t="s">
        <v>12124</v>
      </c>
      <c r="B5840" s="2" t="s">
        <v>12124</v>
      </c>
      <c r="C5840" s="2" t="s">
        <v>16</v>
      </c>
      <c r="D5840" s="2" t="s">
        <v>17</v>
      </c>
      <c r="E5840" s="5">
        <v>-31444</v>
      </c>
      <c r="F5840" s="3" t="s">
        <v>389</v>
      </c>
      <c r="G5840" s="3" t="s">
        <v>8486</v>
      </c>
      <c r="H5840" s="2" t="s">
        <v>20</v>
      </c>
      <c r="I5840" s="2" t="s">
        <v>12125</v>
      </c>
      <c r="J5840" s="3" t="str">
        <f>HYPERLINK("https://www.boe.es/gazeta/dias/1813/11/27/pdfs/GMR-1813-80.pdf#page=2","Abrir facsímil")</f>
        <v>Abrir facsímil</v>
      </c>
      <c r="K5840" s="3" t="s">
        <v>22</v>
      </c>
    </row>
    <row r="5841" spans="1:11" ht="42" customHeight="1">
      <c r="A5841" s="2" t="s">
        <v>12126</v>
      </c>
      <c r="B5841" s="2" t="s">
        <v>12126</v>
      </c>
      <c r="C5841" s="2" t="s">
        <v>16</v>
      </c>
      <c r="D5841" s="2" t="s">
        <v>17</v>
      </c>
      <c r="E5841" s="5">
        <v>-31763</v>
      </c>
      <c r="F5841" s="3" t="s">
        <v>668</v>
      </c>
      <c r="G5841" s="3" t="s">
        <v>82</v>
      </c>
      <c r="H5841" s="2" t="s">
        <v>20</v>
      </c>
      <c r="I5841" s="2" t="s">
        <v>12127</v>
      </c>
      <c r="J5841" s="3" t="str">
        <f>HYPERLINK("https://www.boe.es/gazeta/dias/1813/01/12/pdfs/GRE-1813-5.pdf#page=5","Abrir facsímil")</f>
        <v>Abrir facsímil</v>
      </c>
      <c r="K5841" s="3" t="s">
        <v>22</v>
      </c>
    </row>
    <row r="5842" spans="1:11" ht="42" customHeight="1">
      <c r="A5842" s="2" t="s">
        <v>12128</v>
      </c>
      <c r="B5842" s="2" t="s">
        <v>12128</v>
      </c>
      <c r="C5842" s="2" t="s">
        <v>16</v>
      </c>
      <c r="D5842" s="2" t="s">
        <v>17</v>
      </c>
      <c r="E5842" s="5">
        <v>-31542</v>
      </c>
      <c r="F5842" s="3" t="s">
        <v>337</v>
      </c>
      <c r="G5842" s="3" t="s">
        <v>95</v>
      </c>
      <c r="H5842" s="2" t="s">
        <v>20</v>
      </c>
      <c r="I5842" s="2" t="s">
        <v>12129</v>
      </c>
      <c r="J5842" s="3" t="str">
        <f>HYPERLINK("https://www.boe.es/gazeta/dias/1813/08/21/pdfs/GRE-1813-107.pdf#page=6","Abrir facsímil")</f>
        <v>Abrir facsímil</v>
      </c>
      <c r="K5842" s="3" t="s">
        <v>22</v>
      </c>
    </row>
    <row r="5843" spans="1:11" ht="42" customHeight="1">
      <c r="A5843" s="2" t="s">
        <v>12130</v>
      </c>
      <c r="B5843" s="2" t="s">
        <v>12131</v>
      </c>
      <c r="C5843" s="2" t="s">
        <v>25</v>
      </c>
      <c r="D5843" s="2" t="s">
        <v>26</v>
      </c>
      <c r="E5843" s="5">
        <v>-31745</v>
      </c>
      <c r="F5843" s="3" t="s">
        <v>445</v>
      </c>
      <c r="G5843" s="3" t="s">
        <v>475</v>
      </c>
      <c r="H5843" s="2" t="s">
        <v>20</v>
      </c>
      <c r="I5843" s="2" t="s">
        <v>12132</v>
      </c>
      <c r="J5843" s="3" t="str">
        <f>HYPERLINK("https://www.boe.es/gazeta/dias/1813/01/30/pdfs/GRE-1813-13.pdf#page=7","Abrir facsímil")</f>
        <v>Abrir facsímil</v>
      </c>
      <c r="K5843" s="3" t="s">
        <v>22</v>
      </c>
    </row>
    <row r="5844" spans="1:11" ht="42" customHeight="1">
      <c r="A5844" s="2" t="s">
        <v>12133</v>
      </c>
      <c r="B5844" s="2" t="s">
        <v>12134</v>
      </c>
      <c r="C5844" s="2" t="s">
        <v>25</v>
      </c>
      <c r="D5844" s="2" t="s">
        <v>26</v>
      </c>
      <c r="E5844" s="5">
        <v>-31588</v>
      </c>
      <c r="F5844" s="3" t="s">
        <v>2402</v>
      </c>
      <c r="G5844" s="3" t="s">
        <v>3551</v>
      </c>
      <c r="H5844" s="2" t="s">
        <v>20</v>
      </c>
      <c r="I5844" s="2" t="s">
        <v>12135</v>
      </c>
      <c r="J5844" s="3" t="str">
        <f>HYPERLINK("https://www.boe.es/gazeta/dias/1813/07/06/pdfs/GRE-1813-84.pdf#page=4","Abrir facsímil")</f>
        <v>Abrir facsímil</v>
      </c>
      <c r="K5844" s="3" t="s">
        <v>22</v>
      </c>
    </row>
    <row r="5845" spans="1:11" ht="42" customHeight="1">
      <c r="A5845" s="2" t="s">
        <v>12136</v>
      </c>
      <c r="B5845" s="2" t="s">
        <v>12137</v>
      </c>
      <c r="C5845" s="2" t="s">
        <v>16</v>
      </c>
      <c r="D5845" s="2" t="s">
        <v>17</v>
      </c>
      <c r="E5845" s="5">
        <v>-31542</v>
      </c>
      <c r="F5845" s="3" t="s">
        <v>337</v>
      </c>
      <c r="G5845" s="3" t="s">
        <v>95</v>
      </c>
      <c r="H5845" s="2" t="s">
        <v>20</v>
      </c>
      <c r="I5845" s="2" t="s">
        <v>12138</v>
      </c>
      <c r="J5845" s="3" t="str">
        <f>HYPERLINK("https://www.boe.es/gazeta/dias/1813/08/21/pdfs/GRE-1813-107.pdf#page=6","Abrir facsímil")</f>
        <v>Abrir facsímil</v>
      </c>
      <c r="K5845" s="3" t="s">
        <v>22</v>
      </c>
    </row>
    <row r="5846" spans="1:11" ht="42" customHeight="1">
      <c r="A5846" s="2" t="s">
        <v>12139</v>
      </c>
      <c r="B5846" s="2" t="s">
        <v>12140</v>
      </c>
      <c r="C5846" s="2" t="s">
        <v>16</v>
      </c>
      <c r="D5846" s="2" t="s">
        <v>17</v>
      </c>
      <c r="E5846" s="5">
        <v>-31502</v>
      </c>
      <c r="F5846" s="3" t="s">
        <v>257</v>
      </c>
      <c r="G5846" s="3" t="s">
        <v>12141</v>
      </c>
      <c r="H5846" s="2" t="s">
        <v>20</v>
      </c>
      <c r="I5846" s="2" t="s">
        <v>12142</v>
      </c>
      <c r="J5846" s="3" t="str">
        <f>HYPERLINK("https://www.boe.es/gazeta/dias/1813/09/30/pdfs/GMR-1813-51.pdf#page=4","Abrir facsímil")</f>
        <v>Abrir facsímil</v>
      </c>
      <c r="K5846" s="3" t="s">
        <v>22</v>
      </c>
    </row>
    <row r="5847" spans="1:11" ht="42" customHeight="1">
      <c r="A5847" s="2" t="s">
        <v>12143</v>
      </c>
      <c r="B5847" s="2" t="s">
        <v>12143</v>
      </c>
      <c r="C5847" s="2" t="s">
        <v>16</v>
      </c>
      <c r="D5847" s="2" t="s">
        <v>17</v>
      </c>
      <c r="E5847" s="5">
        <v>-31549</v>
      </c>
      <c r="F5847" s="3" t="s">
        <v>332</v>
      </c>
      <c r="G5847" s="3" t="s">
        <v>65</v>
      </c>
      <c r="H5847" s="2" t="s">
        <v>20</v>
      </c>
      <c r="I5847" s="2" t="s">
        <v>12144</v>
      </c>
      <c r="J5847" s="3" t="str">
        <f>HYPERLINK("https://www.boe.es/gazeta/dias/1813/08/14/pdfs/GMR-1813-28.pdf#page=1","Abrir facsímil")</f>
        <v>Abrir facsímil</v>
      </c>
      <c r="K5847" s="3" t="s">
        <v>22</v>
      </c>
    </row>
    <row r="5848" spans="1:11" ht="42" customHeight="1">
      <c r="A5848" s="2" t="s">
        <v>12145</v>
      </c>
      <c r="B5848" s="2" t="s">
        <v>12146</v>
      </c>
      <c r="C5848" s="2" t="s">
        <v>16</v>
      </c>
      <c r="D5848" s="2" t="s">
        <v>17</v>
      </c>
      <c r="E5848" s="5">
        <v>-31549</v>
      </c>
      <c r="F5848" s="3" t="s">
        <v>294</v>
      </c>
      <c r="G5848" s="3" t="s">
        <v>58</v>
      </c>
      <c r="H5848" s="2" t="s">
        <v>20</v>
      </c>
      <c r="I5848" s="2" t="s">
        <v>12147</v>
      </c>
      <c r="J5848" s="3" t="str">
        <f>HYPERLINK("https://www.boe.es/gazeta/dias/1813/08/14/pdfs/GRE-1813-103.pdf#page=2","Abrir facsímil")</f>
        <v>Abrir facsímil</v>
      </c>
      <c r="K5848" s="3" t="s">
        <v>22</v>
      </c>
    </row>
    <row r="5849" spans="1:11" ht="42" customHeight="1">
      <c r="A5849" s="2" t="s">
        <v>12148</v>
      </c>
      <c r="B5849" s="2" t="s">
        <v>12149</v>
      </c>
      <c r="C5849" s="2" t="s">
        <v>16</v>
      </c>
      <c r="D5849" s="2" t="s">
        <v>17</v>
      </c>
      <c r="E5849" s="5">
        <v>-31770</v>
      </c>
      <c r="F5849" s="3" t="s">
        <v>188</v>
      </c>
      <c r="G5849" s="3" t="s">
        <v>82</v>
      </c>
      <c r="H5849" s="2" t="s">
        <v>20</v>
      </c>
      <c r="I5849" s="2" t="s">
        <v>12150</v>
      </c>
      <c r="J5849" s="3" t="str">
        <f>HYPERLINK("https://www.boe.es/gazeta/dias/1813/01/05/pdfs/GRE-1813-3.pdf#page=5","Abrir facsímil")</f>
        <v>Abrir facsímil</v>
      </c>
      <c r="K5849" s="3" t="s">
        <v>22</v>
      </c>
    </row>
    <row r="5850" spans="1:11" ht="42" customHeight="1">
      <c r="A5850" s="2" t="s">
        <v>12148</v>
      </c>
      <c r="B5850" s="2" t="s">
        <v>12149</v>
      </c>
      <c r="C5850" s="2" t="s">
        <v>16</v>
      </c>
      <c r="D5850" s="2" t="s">
        <v>17</v>
      </c>
      <c r="E5850" s="5">
        <v>-31768</v>
      </c>
      <c r="F5850" s="3" t="s">
        <v>188</v>
      </c>
      <c r="G5850" s="3" t="s">
        <v>82</v>
      </c>
      <c r="H5850" s="2" t="s">
        <v>20</v>
      </c>
      <c r="I5850" s="2" t="s">
        <v>12150</v>
      </c>
      <c r="J5850" s="3" t="str">
        <f>HYPERLINK("https://www.boe.es/gazeta/dias/1813/01/07/pdfs/GRE-1813-3.pdf#page=5","Abrir facsímil")</f>
        <v>Abrir facsímil</v>
      </c>
      <c r="K5850" s="3" t="s">
        <v>22</v>
      </c>
    </row>
    <row r="5851" spans="1:11" ht="42" customHeight="1">
      <c r="A5851" s="2" t="s">
        <v>12151</v>
      </c>
      <c r="B5851" s="2" t="s">
        <v>12152</v>
      </c>
      <c r="C5851" s="2" t="s">
        <v>16</v>
      </c>
      <c r="D5851" s="2" t="s">
        <v>17</v>
      </c>
      <c r="E5851" s="5">
        <v>-31465</v>
      </c>
      <c r="F5851" s="3" t="s">
        <v>407</v>
      </c>
      <c r="G5851" s="3" t="s">
        <v>87</v>
      </c>
      <c r="H5851" s="2" t="s">
        <v>20</v>
      </c>
      <c r="I5851" s="2" t="s">
        <v>12153</v>
      </c>
      <c r="J5851" s="3" t="str">
        <f>HYPERLINK("https://www.boe.es/gazeta/dias/1813/11/06/pdfs/GMR-1813-70.pdf#page=7","Abrir facsímil")</f>
        <v>Abrir facsímil</v>
      </c>
      <c r="K5851" s="3" t="s">
        <v>22</v>
      </c>
    </row>
    <row r="5852" spans="1:11" ht="42" customHeight="1">
      <c r="A5852" s="2" t="s">
        <v>12154</v>
      </c>
      <c r="B5852" s="2" t="s">
        <v>12155</v>
      </c>
      <c r="C5852" s="2" t="s">
        <v>16</v>
      </c>
      <c r="D5852" s="2" t="s">
        <v>17</v>
      </c>
      <c r="E5852" s="5">
        <v>-31581</v>
      </c>
      <c r="F5852" s="3" t="s">
        <v>3599</v>
      </c>
      <c r="G5852" s="3" t="s">
        <v>19</v>
      </c>
      <c r="H5852" s="2" t="s">
        <v>20</v>
      </c>
      <c r="I5852" s="2" t="s">
        <v>12156</v>
      </c>
      <c r="J5852" s="3" t="str">
        <f>HYPERLINK("https://www.boe.es/gazeta/dias/1813/07/13/pdfs/GRE-1813-88.pdf#page=4","Abrir facsímil")</f>
        <v>Abrir facsímil</v>
      </c>
      <c r="K5852" s="3" t="s">
        <v>22</v>
      </c>
    </row>
    <row r="5853" spans="1:11" ht="42" customHeight="1">
      <c r="A5853" s="2" t="s">
        <v>12157</v>
      </c>
      <c r="B5853" s="2" t="s">
        <v>12157</v>
      </c>
      <c r="C5853" s="2" t="s">
        <v>16</v>
      </c>
      <c r="D5853" s="2" t="s">
        <v>17</v>
      </c>
      <c r="E5853" s="5">
        <v>-31483</v>
      </c>
      <c r="F5853" s="3" t="s">
        <v>308</v>
      </c>
      <c r="G5853" s="3" t="s">
        <v>82</v>
      </c>
      <c r="H5853" s="2" t="s">
        <v>20</v>
      </c>
      <c r="I5853" s="2" t="s">
        <v>12158</v>
      </c>
      <c r="J5853" s="3" t="str">
        <f>HYPERLINK("https://www.boe.es/gazeta/dias/1813/10/19/pdfs/GRE-1813-136.pdf#page=5","Abrir facsímil")</f>
        <v>Abrir facsímil</v>
      </c>
      <c r="K5853" s="3" t="s">
        <v>22</v>
      </c>
    </row>
    <row r="5854" spans="1:11" ht="42" customHeight="1">
      <c r="A5854" s="2" t="s">
        <v>12159</v>
      </c>
      <c r="B5854" s="2" t="s">
        <v>12159</v>
      </c>
      <c r="C5854" s="2" t="s">
        <v>16</v>
      </c>
      <c r="D5854" s="2" t="s">
        <v>17</v>
      </c>
      <c r="E5854" s="5">
        <v>-31434</v>
      </c>
      <c r="F5854" s="3" t="s">
        <v>948</v>
      </c>
      <c r="G5854" s="3" t="s">
        <v>95</v>
      </c>
      <c r="H5854" s="2" t="s">
        <v>20</v>
      </c>
      <c r="I5854" s="2" t="s">
        <v>12160</v>
      </c>
      <c r="J5854" s="3" t="str">
        <f>HYPERLINK("https://www.boe.es/gazeta/dias/1813/12/07/pdfs/GMR-1813-84.pdf#page=6","Abrir facsímil")</f>
        <v>Abrir facsímil</v>
      </c>
      <c r="K5854" s="3" t="s">
        <v>22</v>
      </c>
    </row>
    <row r="5855" spans="1:11" ht="42" customHeight="1">
      <c r="A5855" s="2" t="s">
        <v>12161</v>
      </c>
      <c r="B5855" s="2" t="s">
        <v>12162</v>
      </c>
      <c r="C5855" s="2" t="s">
        <v>16</v>
      </c>
      <c r="D5855" s="2" t="s">
        <v>17</v>
      </c>
      <c r="E5855" s="5">
        <v>-31483</v>
      </c>
      <c r="F5855" s="3" t="s">
        <v>308</v>
      </c>
      <c r="G5855" s="3" t="s">
        <v>19</v>
      </c>
      <c r="H5855" s="2" t="s">
        <v>20</v>
      </c>
      <c r="I5855" s="2" t="s">
        <v>12163</v>
      </c>
      <c r="J5855" s="3" t="str">
        <f>HYPERLINK("https://www.boe.es/gazeta/dias/1813/10/19/pdfs/GRE-1813-136.pdf#page=4","Abrir facsímil")</f>
        <v>Abrir facsímil</v>
      </c>
      <c r="K5855" s="3" t="s">
        <v>22</v>
      </c>
    </row>
    <row r="5856" spans="1:11" ht="42" customHeight="1">
      <c r="A5856" s="2" t="s">
        <v>12161</v>
      </c>
      <c r="B5856" s="2" t="s">
        <v>12162</v>
      </c>
      <c r="C5856" s="2" t="s">
        <v>16</v>
      </c>
      <c r="D5856" s="2" t="s">
        <v>17</v>
      </c>
      <c r="E5856" s="5">
        <v>-31451</v>
      </c>
      <c r="F5856" s="3" t="s">
        <v>127</v>
      </c>
      <c r="G5856" s="3" t="s">
        <v>7730</v>
      </c>
      <c r="H5856" s="2" t="s">
        <v>20</v>
      </c>
      <c r="I5856" s="2" t="s">
        <v>12164</v>
      </c>
      <c r="J5856" s="3" t="str">
        <f>HYPERLINK("https://www.boe.es/gazeta/dias/1813/11/20/pdfs/GRE-1813-152.pdf#page=6","Abrir facsímil")</f>
        <v>Abrir facsímil</v>
      </c>
      <c r="K5856" s="3" t="s">
        <v>22</v>
      </c>
    </row>
    <row r="5857" spans="1:11" ht="42" customHeight="1">
      <c r="A5857" s="2" t="s">
        <v>12161</v>
      </c>
      <c r="B5857" s="2" t="s">
        <v>12162</v>
      </c>
      <c r="C5857" s="2" t="s">
        <v>16</v>
      </c>
      <c r="D5857" s="2" t="s">
        <v>17</v>
      </c>
      <c r="E5857" s="5">
        <v>-31451</v>
      </c>
      <c r="F5857" s="3" t="s">
        <v>127</v>
      </c>
      <c r="G5857" s="3" t="s">
        <v>87</v>
      </c>
      <c r="H5857" s="2" t="s">
        <v>20</v>
      </c>
      <c r="I5857" s="2" t="s">
        <v>12165</v>
      </c>
      <c r="J5857" s="3" t="str">
        <f>HYPERLINK("https://www.boe.es/gazeta/dias/1813/11/20/pdfs/GRE-1813-152.pdf#page=7","Abrir facsímil")</f>
        <v>Abrir facsímil</v>
      </c>
      <c r="K5857" s="3" t="s">
        <v>22</v>
      </c>
    </row>
    <row r="5858" spans="1:11" ht="42" customHeight="1">
      <c r="A5858" s="2" t="s">
        <v>12166</v>
      </c>
      <c r="B5858" s="2" t="s">
        <v>12167</v>
      </c>
      <c r="C5858" s="2" t="s">
        <v>187</v>
      </c>
      <c r="D5858" s="2" t="s">
        <v>97</v>
      </c>
      <c r="E5858" s="5">
        <v>-31445</v>
      </c>
      <c r="F5858" s="3" t="s">
        <v>299</v>
      </c>
      <c r="G5858" s="3" t="s">
        <v>87</v>
      </c>
      <c r="H5858" s="2" t="s">
        <v>20</v>
      </c>
      <c r="I5858" s="2" t="s">
        <v>12168</v>
      </c>
      <c r="J5858" s="3" t="str">
        <f>HYPERLINK("https://www.boe.es/gazeta/dias/1813/11/26/pdfs/GRE-1813-156E.pdf#page=7","Abrir facsímil")</f>
        <v>Abrir facsímil</v>
      </c>
      <c r="K5858" s="3" t="s">
        <v>22</v>
      </c>
    </row>
    <row r="5859" spans="1:11" ht="42" customHeight="1">
      <c r="A5859" s="2" t="s">
        <v>12169</v>
      </c>
      <c r="B5859" s="2" t="s">
        <v>12170</v>
      </c>
      <c r="C5859" s="2" t="s">
        <v>16</v>
      </c>
      <c r="D5859" s="2" t="s">
        <v>17</v>
      </c>
      <c r="E5859" s="5">
        <v>-31738</v>
      </c>
      <c r="F5859" s="3" t="s">
        <v>556</v>
      </c>
      <c r="G5859" s="3" t="s">
        <v>28</v>
      </c>
      <c r="H5859" s="2" t="s">
        <v>29</v>
      </c>
      <c r="I5859" s="2" t="s">
        <v>12171</v>
      </c>
      <c r="J5859" s="3" t="str">
        <f>HYPERLINK("https://www.boe.es/gazeta/dias/1813/02/06/pdfs/GRE-1813-16.pdf#page=8","Abrir facsímil")</f>
        <v>Abrir facsímil</v>
      </c>
      <c r="K5859" s="3" t="s">
        <v>31</v>
      </c>
    </row>
    <row r="5860" spans="1:11" ht="42" customHeight="1">
      <c r="A5860" s="2" t="s">
        <v>12172</v>
      </c>
      <c r="B5860" s="2" t="s">
        <v>12173</v>
      </c>
      <c r="C5860" s="2" t="s">
        <v>25</v>
      </c>
      <c r="D5860" s="2" t="s">
        <v>26</v>
      </c>
      <c r="E5860" s="5">
        <v>-31752</v>
      </c>
      <c r="F5860" s="3" t="s">
        <v>182</v>
      </c>
      <c r="G5860" s="3" t="s">
        <v>183</v>
      </c>
      <c r="H5860" s="2" t="s">
        <v>20</v>
      </c>
      <c r="I5860" s="2" t="s">
        <v>12174</v>
      </c>
      <c r="J5860" s="3" t="str">
        <f>HYPERLINK("https://www.boe.es/gazeta/dias/1813/01/23/pdfs/GRE-1813-10.pdf#page=8","Abrir facsímil")</f>
        <v>Abrir facsímil</v>
      </c>
      <c r="K5860" s="3" t="s">
        <v>22</v>
      </c>
    </row>
    <row r="5861" spans="1:11" ht="42" customHeight="1">
      <c r="A5861" s="2" t="s">
        <v>12175</v>
      </c>
      <c r="B5861" s="2" t="s">
        <v>12176</v>
      </c>
      <c r="C5861" s="2" t="s">
        <v>277</v>
      </c>
      <c r="D5861" s="2" t="s">
        <v>26</v>
      </c>
      <c r="E5861" s="5">
        <v>-31567</v>
      </c>
      <c r="F5861" s="3" t="s">
        <v>820</v>
      </c>
      <c r="G5861" s="3" t="s">
        <v>71</v>
      </c>
      <c r="H5861" s="2" t="s">
        <v>20</v>
      </c>
      <c r="I5861" s="2" t="s">
        <v>12177</v>
      </c>
      <c r="J5861" s="3" t="str">
        <f>HYPERLINK("https://www.boe.es/gazeta/dias/1813/07/27/pdfs/GMR-1813-21.pdf#page=16","Abrir facsímil")</f>
        <v>Abrir facsímil</v>
      </c>
      <c r="K5861" s="3" t="s">
        <v>22</v>
      </c>
    </row>
    <row r="5862" spans="1:11" ht="42" customHeight="1">
      <c r="A5862" s="2" t="s">
        <v>12178</v>
      </c>
      <c r="B5862" s="2" t="s">
        <v>12179</v>
      </c>
      <c r="C5862" s="2" t="s">
        <v>16</v>
      </c>
      <c r="D5862" s="2" t="s">
        <v>17</v>
      </c>
      <c r="E5862" s="5">
        <v>-31530</v>
      </c>
      <c r="F5862" s="3" t="s">
        <v>133</v>
      </c>
      <c r="G5862" s="3" t="s">
        <v>19</v>
      </c>
      <c r="H5862" s="2" t="s">
        <v>20</v>
      </c>
      <c r="I5862" s="2" t="s">
        <v>12180</v>
      </c>
      <c r="J5862" s="3" t="str">
        <f>HYPERLINK("https://www.boe.es/gazeta/dias/1813/09/02/pdfs/GMR-1813-36.pdf#page=4","Abrir facsímil")</f>
        <v>Abrir facsímil</v>
      </c>
      <c r="K5862" s="3" t="s">
        <v>22</v>
      </c>
    </row>
    <row r="5863" spans="1:11" ht="42" customHeight="1">
      <c r="A5863" s="2" t="s">
        <v>12181</v>
      </c>
      <c r="B5863" s="2" t="s">
        <v>12182</v>
      </c>
      <c r="C5863" s="2" t="s">
        <v>25</v>
      </c>
      <c r="D5863" s="2" t="s">
        <v>26</v>
      </c>
      <c r="E5863" s="5">
        <v>-31483</v>
      </c>
      <c r="F5863" s="3" t="s">
        <v>308</v>
      </c>
      <c r="G5863" s="3" t="s">
        <v>12183</v>
      </c>
      <c r="H5863" s="2" t="s">
        <v>20</v>
      </c>
      <c r="I5863" s="2" t="s">
        <v>12184</v>
      </c>
      <c r="J5863" s="3" t="str">
        <f>HYPERLINK("https://www.boe.es/gazeta/dias/1813/10/19/pdfs/GRE-1813-136.pdf#page=8","Abrir facsímil")</f>
        <v>Abrir facsímil</v>
      </c>
      <c r="K5863" s="3" t="s">
        <v>22</v>
      </c>
    </row>
    <row r="5864" spans="1:11" ht="42" customHeight="1">
      <c r="A5864" s="2" t="s">
        <v>12185</v>
      </c>
      <c r="B5864" s="2" t="s">
        <v>12186</v>
      </c>
      <c r="C5864" s="2" t="s">
        <v>25</v>
      </c>
      <c r="D5864" s="2" t="s">
        <v>26</v>
      </c>
      <c r="E5864" s="5">
        <v>-31735</v>
      </c>
      <c r="F5864" s="3" t="s">
        <v>5472</v>
      </c>
      <c r="G5864" s="3" t="s">
        <v>58</v>
      </c>
      <c r="H5864" s="2" t="s">
        <v>20</v>
      </c>
      <c r="I5864" s="2" t="s">
        <v>12187</v>
      </c>
      <c r="J5864" s="3" t="str">
        <f>HYPERLINK("https://www.boe.es/gazeta/dias/1813/02/09/pdfs/GMD-1813-40.pdf#page=2","Abrir facsímil")</f>
        <v>Abrir facsímil</v>
      </c>
      <c r="K5864" s="3" t="s">
        <v>22</v>
      </c>
    </row>
    <row r="5865" spans="1:11" ht="42" customHeight="1">
      <c r="A5865" s="2" t="s">
        <v>12188</v>
      </c>
      <c r="B5865" s="2" t="s">
        <v>12189</v>
      </c>
      <c r="C5865" s="2" t="s">
        <v>16</v>
      </c>
      <c r="D5865" s="2" t="s">
        <v>17</v>
      </c>
      <c r="E5865" s="5">
        <v>-31542</v>
      </c>
      <c r="F5865" s="3" t="s">
        <v>337</v>
      </c>
      <c r="G5865" s="3" t="s">
        <v>58</v>
      </c>
      <c r="H5865" s="2" t="s">
        <v>20</v>
      </c>
      <c r="I5865" s="2" t="s">
        <v>12190</v>
      </c>
      <c r="J5865" s="3" t="str">
        <f>HYPERLINK("https://www.boe.es/gazeta/dias/1813/08/21/pdfs/GRE-1813-107.pdf#page=2","Abrir facsímil")</f>
        <v>Abrir facsímil</v>
      </c>
      <c r="K5865" s="3" t="s">
        <v>22</v>
      </c>
    </row>
    <row r="5866" spans="1:11" ht="42" customHeight="1">
      <c r="A5866" s="2" t="s">
        <v>12191</v>
      </c>
      <c r="B5866" s="2" t="s">
        <v>12191</v>
      </c>
      <c r="C5866" s="2" t="s">
        <v>16</v>
      </c>
      <c r="D5866" s="2" t="s">
        <v>17</v>
      </c>
      <c r="E5866" s="5">
        <v>-31773</v>
      </c>
      <c r="F5866" s="3" t="s">
        <v>3667</v>
      </c>
      <c r="G5866" s="3" t="s">
        <v>95</v>
      </c>
      <c r="H5866" s="2" t="s">
        <v>20</v>
      </c>
      <c r="I5866" s="2" t="s">
        <v>12192</v>
      </c>
      <c r="J5866" s="3" t="str">
        <f>HYPERLINK("https://www.boe.es/gazeta/dias/1813/01/02/pdfs/GRE-1813-1.pdf#page=6","Abrir facsímil")</f>
        <v>Abrir facsímil</v>
      </c>
      <c r="K5866" s="3" t="s">
        <v>22</v>
      </c>
    </row>
    <row r="5867" spans="1:11" ht="42" customHeight="1">
      <c r="A5867" s="2" t="s">
        <v>12191</v>
      </c>
      <c r="B5867" s="2" t="s">
        <v>12191</v>
      </c>
      <c r="C5867" s="2" t="s">
        <v>16</v>
      </c>
      <c r="D5867" s="2" t="s">
        <v>17</v>
      </c>
      <c r="E5867" s="5">
        <v>-31479</v>
      </c>
      <c r="F5867" s="3" t="s">
        <v>322</v>
      </c>
      <c r="G5867" s="3" t="s">
        <v>65</v>
      </c>
      <c r="H5867" s="2" t="s">
        <v>20</v>
      </c>
      <c r="I5867" s="2" t="s">
        <v>12193</v>
      </c>
      <c r="J5867" s="3" t="str">
        <f>HYPERLINK("https://www.boe.es/gazeta/dias/1813/10/23/pdfs/GMR-1813-63.pdf#page=1","Abrir facsímil")</f>
        <v>Abrir facsímil</v>
      </c>
      <c r="K5867" s="3" t="s">
        <v>22</v>
      </c>
    </row>
    <row r="5868" spans="1:11" ht="42" customHeight="1">
      <c r="A5868" s="2" t="s">
        <v>12191</v>
      </c>
      <c r="B5868" s="2" t="s">
        <v>12191</v>
      </c>
      <c r="C5868" s="2" t="s">
        <v>16</v>
      </c>
      <c r="D5868" s="2" t="s">
        <v>17</v>
      </c>
      <c r="E5868" s="5">
        <v>-31476</v>
      </c>
      <c r="F5868" s="3" t="s">
        <v>158</v>
      </c>
      <c r="G5868" s="3" t="s">
        <v>58</v>
      </c>
      <c r="H5868" s="2" t="s">
        <v>20</v>
      </c>
      <c r="I5868" s="2" t="s">
        <v>12194</v>
      </c>
      <c r="J5868" s="3" t="str">
        <f>HYPERLINK("https://www.boe.es/gazeta/dias/1813/10/26/pdfs/GMR-1813-64.pdf#page=2","Abrir facsímil")</f>
        <v>Abrir facsímil</v>
      </c>
      <c r="K5868" s="3" t="s">
        <v>22</v>
      </c>
    </row>
    <row r="5869" spans="1:11" ht="42" customHeight="1">
      <c r="A5869" s="2" t="s">
        <v>12195</v>
      </c>
      <c r="B5869" s="2" t="s">
        <v>12196</v>
      </c>
      <c r="C5869" s="2" t="s">
        <v>25</v>
      </c>
      <c r="D5869" s="2" t="s">
        <v>26</v>
      </c>
      <c r="E5869" s="5">
        <v>-31752</v>
      </c>
      <c r="F5869" s="3" t="s">
        <v>182</v>
      </c>
      <c r="G5869" s="3" t="s">
        <v>183</v>
      </c>
      <c r="H5869" s="2" t="s">
        <v>20</v>
      </c>
      <c r="I5869" s="2" t="s">
        <v>12197</v>
      </c>
      <c r="J5869" s="3" t="str">
        <f>HYPERLINK("https://www.boe.es/gazeta/dias/1813/01/23/pdfs/GRE-1813-10.pdf#page=8","Abrir facsímil")</f>
        <v>Abrir facsímil</v>
      </c>
      <c r="K5869" s="3" t="s">
        <v>22</v>
      </c>
    </row>
    <row r="5870" spans="1:11" ht="42" customHeight="1">
      <c r="A5870" s="2" t="s">
        <v>12198</v>
      </c>
      <c r="B5870" s="2" t="s">
        <v>12199</v>
      </c>
      <c r="C5870" s="2" t="s">
        <v>16</v>
      </c>
      <c r="D5870" s="2" t="s">
        <v>97</v>
      </c>
      <c r="E5870" s="5">
        <v>-31519</v>
      </c>
      <c r="F5870" s="3" t="s">
        <v>312</v>
      </c>
      <c r="G5870" s="3" t="s">
        <v>28</v>
      </c>
      <c r="H5870" s="2" t="s">
        <v>20</v>
      </c>
      <c r="I5870" s="2" t="s">
        <v>12200</v>
      </c>
      <c r="J5870" s="3" t="str">
        <f>HYPERLINK("https://www.boe.es/gazeta/dias/1813/09/13/pdfs/GRE-1813-118E.pdf#page=8","Abrir facsímil")</f>
        <v>Abrir facsímil</v>
      </c>
      <c r="K5870" s="3" t="s">
        <v>22</v>
      </c>
    </row>
    <row r="5871" spans="1:11" ht="42" customHeight="1">
      <c r="A5871" s="2" t="s">
        <v>12201</v>
      </c>
      <c r="B5871" s="2" t="s">
        <v>12201</v>
      </c>
      <c r="C5871" s="2" t="s">
        <v>16</v>
      </c>
      <c r="D5871" s="2" t="s">
        <v>17</v>
      </c>
      <c r="E5871" s="5">
        <v>-31700</v>
      </c>
      <c r="F5871" s="3" t="s">
        <v>778</v>
      </c>
      <c r="G5871" s="3" t="s">
        <v>779</v>
      </c>
      <c r="H5871" s="2" t="s">
        <v>20</v>
      </c>
      <c r="I5871" s="2" t="s">
        <v>12202</v>
      </c>
      <c r="J5871" s="3" t="str">
        <f>HYPERLINK("https://www.boe.es/gazeta/dias/1813/03/16/pdfs/GMD-1813-75.pdf#page=3","Abrir facsímil")</f>
        <v>Abrir facsímil</v>
      </c>
      <c r="K5871" s="3" t="s">
        <v>22</v>
      </c>
    </row>
    <row r="5872" spans="1:11" ht="42" customHeight="1">
      <c r="A5872" s="2" t="s">
        <v>12203</v>
      </c>
      <c r="B5872" s="2" t="s">
        <v>12203</v>
      </c>
      <c r="C5872" s="2" t="s">
        <v>16</v>
      </c>
      <c r="D5872" s="2" t="s">
        <v>17</v>
      </c>
      <c r="E5872" s="5">
        <v>-31486</v>
      </c>
      <c r="F5872" s="3" t="s">
        <v>1284</v>
      </c>
      <c r="G5872" s="3" t="s">
        <v>2413</v>
      </c>
      <c r="H5872" s="2" t="s">
        <v>20</v>
      </c>
      <c r="I5872" s="2" t="s">
        <v>12204</v>
      </c>
      <c r="J5872" s="3" t="str">
        <f>HYPERLINK("https://www.boe.es/gazeta/dias/1813/10/16/pdfs/GMR-1813-60.pdf#page=5","Abrir facsímil")</f>
        <v>Abrir facsímil</v>
      </c>
      <c r="K5872" s="3" t="s">
        <v>22</v>
      </c>
    </row>
    <row r="5873" spans="1:11" ht="42" customHeight="1">
      <c r="A5873" s="2" t="s">
        <v>12203</v>
      </c>
      <c r="B5873" s="2" t="s">
        <v>12203</v>
      </c>
      <c r="C5873" s="2" t="s">
        <v>16</v>
      </c>
      <c r="D5873" s="2" t="s">
        <v>17</v>
      </c>
      <c r="E5873" s="5">
        <v>-31483</v>
      </c>
      <c r="F5873" s="3" t="s">
        <v>1292</v>
      </c>
      <c r="G5873" s="3" t="s">
        <v>54</v>
      </c>
      <c r="H5873" s="2" t="s">
        <v>20</v>
      </c>
      <c r="I5873" s="2" t="s">
        <v>12205</v>
      </c>
      <c r="J5873" s="3" t="str">
        <f>HYPERLINK("https://www.boe.es/gazeta/dias/1813/10/19/pdfs/GMR-1813-61.pdf#page=3","Abrir facsímil")</f>
        <v>Abrir facsímil</v>
      </c>
      <c r="K5873" s="3" t="s">
        <v>22</v>
      </c>
    </row>
    <row r="5874" spans="1:11" ht="42" customHeight="1">
      <c r="A5874" s="2" t="s">
        <v>12203</v>
      </c>
      <c r="B5874" s="2" t="s">
        <v>12203</v>
      </c>
      <c r="C5874" s="2" t="s">
        <v>16</v>
      </c>
      <c r="D5874" s="2" t="s">
        <v>17</v>
      </c>
      <c r="E5874" s="5">
        <v>-31481</v>
      </c>
      <c r="F5874" s="3" t="s">
        <v>380</v>
      </c>
      <c r="G5874" s="3" t="s">
        <v>54</v>
      </c>
      <c r="H5874" s="2" t="s">
        <v>20</v>
      </c>
      <c r="I5874" s="2" t="s">
        <v>12206</v>
      </c>
      <c r="J5874" s="3" t="str">
        <f>HYPERLINK("https://www.boe.es/gazeta/dias/1813/10/21/pdfs/GRE-1813-137.pdf#page=3","Abrir facsímil")</f>
        <v>Abrir facsímil</v>
      </c>
      <c r="K5874" s="3" t="s">
        <v>22</v>
      </c>
    </row>
    <row r="5875" spans="1:11" ht="42" customHeight="1">
      <c r="A5875" s="2" t="s">
        <v>12207</v>
      </c>
      <c r="B5875" s="2" t="s">
        <v>12207</v>
      </c>
      <c r="C5875" s="2" t="s">
        <v>16</v>
      </c>
      <c r="D5875" s="2" t="s">
        <v>17</v>
      </c>
      <c r="E5875" s="5">
        <v>-31448</v>
      </c>
      <c r="F5875" s="3" t="s">
        <v>325</v>
      </c>
      <c r="G5875" s="3" t="s">
        <v>87</v>
      </c>
      <c r="H5875" s="2" t="s">
        <v>20</v>
      </c>
      <c r="I5875" s="2" t="s">
        <v>12208</v>
      </c>
      <c r="J5875" s="3" t="str">
        <f>HYPERLINK("https://www.boe.es/gazeta/dias/1813/11/23/pdfs/GMR-1813-78.pdf#page=7","Abrir facsímil")</f>
        <v>Abrir facsímil</v>
      </c>
      <c r="K5875" s="3" t="s">
        <v>22</v>
      </c>
    </row>
    <row r="5876" spans="1:11" ht="42" customHeight="1">
      <c r="A5876" s="2" t="s">
        <v>12209</v>
      </c>
      <c r="B5876" s="2" t="s">
        <v>12209</v>
      </c>
      <c r="C5876" s="2" t="s">
        <v>16</v>
      </c>
      <c r="D5876" s="2" t="s">
        <v>17</v>
      </c>
      <c r="E5876" s="5">
        <v>-31731</v>
      </c>
      <c r="F5876" s="3" t="s">
        <v>866</v>
      </c>
      <c r="G5876" s="3" t="s">
        <v>8695</v>
      </c>
      <c r="H5876" s="2" t="s">
        <v>20</v>
      </c>
      <c r="I5876" s="2" t="s">
        <v>12210</v>
      </c>
      <c r="J5876" s="3" t="str">
        <f>HYPERLINK("https://www.boe.es/gazeta/dias/1813/02/13/pdfs/GRE-1813-19.pdf#page=2","Abrir facsímil")</f>
        <v>Abrir facsímil</v>
      </c>
      <c r="K5876" s="3" t="s">
        <v>22</v>
      </c>
    </row>
    <row r="5877" spans="1:11" ht="42" customHeight="1">
      <c r="A5877" s="2" t="s">
        <v>12209</v>
      </c>
      <c r="B5877" s="2" t="s">
        <v>12209</v>
      </c>
      <c r="C5877" s="2" t="s">
        <v>16</v>
      </c>
      <c r="D5877" s="2" t="s">
        <v>17</v>
      </c>
      <c r="E5877" s="5">
        <v>-31731</v>
      </c>
      <c r="F5877" s="3" t="s">
        <v>866</v>
      </c>
      <c r="G5877" s="3" t="s">
        <v>54</v>
      </c>
      <c r="H5877" s="2" t="s">
        <v>20</v>
      </c>
      <c r="I5877" s="2" t="s">
        <v>12211</v>
      </c>
      <c r="J5877" s="3" t="str">
        <f>HYPERLINK("https://www.boe.es/gazeta/dias/1813/02/13/pdfs/GRE-1813-19.pdf#page=3","Abrir facsímil")</f>
        <v>Abrir facsímil</v>
      </c>
      <c r="K5877" s="3" t="s">
        <v>22</v>
      </c>
    </row>
    <row r="5878" spans="1:11" ht="42" customHeight="1">
      <c r="A5878" s="2" t="s">
        <v>12212</v>
      </c>
      <c r="B5878" s="2" t="s">
        <v>12213</v>
      </c>
      <c r="C5878" s="2" t="s">
        <v>16</v>
      </c>
      <c r="D5878" s="2" t="s">
        <v>17</v>
      </c>
      <c r="E5878" s="5">
        <v>-31570</v>
      </c>
      <c r="F5878" s="3" t="s">
        <v>1803</v>
      </c>
      <c r="G5878" s="3" t="s">
        <v>82</v>
      </c>
      <c r="H5878" s="2" t="s">
        <v>20</v>
      </c>
      <c r="I5878" s="2" t="s">
        <v>12214</v>
      </c>
      <c r="J5878" s="3" t="str">
        <f>HYPERLINK("https://www.boe.es/gazeta/dias/1813/07/24/pdfs/GRE-1813-94.pdf#page=5","Abrir facsímil")</f>
        <v>Abrir facsímil</v>
      </c>
      <c r="K5878" s="3" t="s">
        <v>22</v>
      </c>
    </row>
    <row r="5879" spans="1:11" ht="42" customHeight="1">
      <c r="A5879" s="2" t="s">
        <v>12215</v>
      </c>
      <c r="B5879" s="2" t="s">
        <v>12216</v>
      </c>
      <c r="C5879" s="2" t="s">
        <v>25</v>
      </c>
      <c r="D5879" s="2" t="s">
        <v>26</v>
      </c>
      <c r="E5879" s="5">
        <v>-31483</v>
      </c>
      <c r="F5879" s="3" t="s">
        <v>308</v>
      </c>
      <c r="G5879" s="3" t="s">
        <v>82</v>
      </c>
      <c r="H5879" s="2" t="s">
        <v>20</v>
      </c>
      <c r="I5879" s="2" t="s">
        <v>12217</v>
      </c>
      <c r="J5879" s="3" t="str">
        <f>HYPERLINK("https://www.boe.es/gazeta/dias/1813/10/19/pdfs/GRE-1813-136.pdf#page=5","Abrir facsímil")</f>
        <v>Abrir facsímil</v>
      </c>
      <c r="K5879" s="3" t="s">
        <v>22</v>
      </c>
    </row>
    <row r="5880" spans="1:11" ht="42" customHeight="1">
      <c r="A5880" s="2" t="s">
        <v>12215</v>
      </c>
      <c r="B5880" s="2" t="s">
        <v>12216</v>
      </c>
      <c r="C5880" s="2" t="s">
        <v>16</v>
      </c>
      <c r="D5880" s="2" t="s">
        <v>17</v>
      </c>
      <c r="E5880" s="5">
        <v>-31479</v>
      </c>
      <c r="F5880" s="3" t="s">
        <v>2383</v>
      </c>
      <c r="G5880" s="3" t="s">
        <v>87</v>
      </c>
      <c r="H5880" s="2" t="s">
        <v>20</v>
      </c>
      <c r="I5880" s="2" t="s">
        <v>12218</v>
      </c>
      <c r="J5880" s="3" t="str">
        <f>HYPERLINK("https://www.boe.es/gazeta/dias/1813/10/23/pdfs/GRE-1813-138.pdf#page=7","Abrir facsímil")</f>
        <v>Abrir facsímil</v>
      </c>
      <c r="K5880" s="3" t="s">
        <v>22</v>
      </c>
    </row>
    <row r="5881" spans="1:11" ht="42" customHeight="1">
      <c r="A5881" s="2" t="s">
        <v>12219</v>
      </c>
      <c r="B5881" s="2" t="s">
        <v>12219</v>
      </c>
      <c r="C5881" s="2" t="s">
        <v>16</v>
      </c>
      <c r="D5881" s="2" t="s">
        <v>17</v>
      </c>
      <c r="E5881" s="5">
        <v>-31700</v>
      </c>
      <c r="F5881" s="3" t="s">
        <v>778</v>
      </c>
      <c r="G5881" s="3" t="s">
        <v>65</v>
      </c>
      <c r="H5881" s="2" t="s">
        <v>20</v>
      </c>
      <c r="I5881" s="2" t="s">
        <v>12220</v>
      </c>
      <c r="J5881" s="3" t="str">
        <f>HYPERLINK("https://www.boe.es/gazeta/dias/1813/03/16/pdfs/GMD-1813-75.pdf#page=1","Abrir facsímil")</f>
        <v>Abrir facsímil</v>
      </c>
      <c r="K5881" s="3" t="s">
        <v>22</v>
      </c>
    </row>
    <row r="5882" spans="1:11" ht="42" customHeight="1">
      <c r="A5882" s="2" t="s">
        <v>12221</v>
      </c>
      <c r="B5882" s="2" t="s">
        <v>12222</v>
      </c>
      <c r="C5882" s="2" t="s">
        <v>34</v>
      </c>
      <c r="D5882" s="2" t="s">
        <v>35</v>
      </c>
      <c r="E5882" s="5">
        <v>-31430</v>
      </c>
      <c r="F5882" s="3" t="s">
        <v>1161</v>
      </c>
      <c r="G5882" s="3" t="s">
        <v>87</v>
      </c>
      <c r="H5882" s="2" t="s">
        <v>20</v>
      </c>
      <c r="I5882" s="2" t="s">
        <v>12223</v>
      </c>
      <c r="J5882" s="3" t="str">
        <f>HYPERLINK("https://www.boe.es/gazeta/dias/1813/12/11/pdfs/GMR-1813-86.pdf#page=7","Abrir facsímil")</f>
        <v>Abrir facsímil</v>
      </c>
      <c r="K5882" s="3" t="s">
        <v>22</v>
      </c>
    </row>
    <row r="5883" spans="1:11" ht="42" customHeight="1">
      <c r="A5883" s="2" t="s">
        <v>12224</v>
      </c>
      <c r="B5883" s="2" t="s">
        <v>12225</v>
      </c>
      <c r="C5883" s="2" t="s">
        <v>25</v>
      </c>
      <c r="D5883" s="2" t="s">
        <v>26</v>
      </c>
      <c r="E5883" s="5">
        <v>-31738</v>
      </c>
      <c r="F5883" s="3" t="s">
        <v>556</v>
      </c>
      <c r="G5883" s="3" t="s">
        <v>3260</v>
      </c>
      <c r="H5883" s="2" t="s">
        <v>20</v>
      </c>
      <c r="I5883" s="2" t="s">
        <v>12226</v>
      </c>
      <c r="J5883" s="3" t="str">
        <f>HYPERLINK("https://www.boe.es/gazeta/dias/1813/02/06/pdfs/GRE-1813-16.pdf#page=7","Abrir facsímil")</f>
        <v>Abrir facsímil</v>
      </c>
      <c r="K5883" s="3" t="s">
        <v>22</v>
      </c>
    </row>
    <row r="5884" spans="1:11" ht="42" customHeight="1">
      <c r="A5884" s="2" t="s">
        <v>12227</v>
      </c>
      <c r="B5884" s="2" t="s">
        <v>12228</v>
      </c>
      <c r="C5884" s="2" t="s">
        <v>16</v>
      </c>
      <c r="D5884" s="2" t="s">
        <v>17</v>
      </c>
      <c r="E5884" s="5">
        <v>-31619</v>
      </c>
      <c r="F5884" s="3" t="s">
        <v>749</v>
      </c>
      <c r="G5884" s="3" t="s">
        <v>54</v>
      </c>
      <c r="H5884" s="2" t="s">
        <v>20</v>
      </c>
      <c r="I5884" s="2" t="s">
        <v>12229</v>
      </c>
      <c r="J5884" s="3" t="str">
        <f>HYPERLINK("https://www.boe.es/gazeta/dias/1813/06/05/pdfs/GRE-1813-70.pdf#page=3","Abrir facsímil")</f>
        <v>Abrir facsímil</v>
      </c>
      <c r="K5884" s="3" t="s">
        <v>22</v>
      </c>
    </row>
    <row r="5885" spans="1:11" ht="42" customHeight="1">
      <c r="A5885" s="2" t="s">
        <v>12230</v>
      </c>
      <c r="B5885" s="2" t="s">
        <v>12231</v>
      </c>
      <c r="C5885" s="2" t="s">
        <v>16</v>
      </c>
      <c r="D5885" s="2" t="s">
        <v>17</v>
      </c>
      <c r="E5885" s="5">
        <v>-31542</v>
      </c>
      <c r="F5885" s="3" t="s">
        <v>337</v>
      </c>
      <c r="G5885" s="3" t="s">
        <v>95</v>
      </c>
      <c r="H5885" s="2" t="s">
        <v>20</v>
      </c>
      <c r="I5885" s="2" t="s">
        <v>12232</v>
      </c>
      <c r="J5885" s="3" t="str">
        <f>HYPERLINK("https://www.boe.es/gazeta/dias/1813/08/21/pdfs/GRE-1813-107.pdf#page=6","Abrir facsímil")</f>
        <v>Abrir facsímil</v>
      </c>
      <c r="K5885" s="3" t="s">
        <v>22</v>
      </c>
    </row>
    <row r="5886" spans="1:11" ht="42" customHeight="1">
      <c r="A5886" s="2" t="s">
        <v>12233</v>
      </c>
      <c r="B5886" s="2" t="s">
        <v>12234</v>
      </c>
      <c r="C5886" s="2" t="s">
        <v>187</v>
      </c>
      <c r="D5886" s="2" t="s">
        <v>26</v>
      </c>
      <c r="E5886" s="5">
        <v>-31752</v>
      </c>
      <c r="F5886" s="3" t="s">
        <v>182</v>
      </c>
      <c r="G5886" s="3" t="s">
        <v>183</v>
      </c>
      <c r="H5886" s="2" t="s">
        <v>20</v>
      </c>
      <c r="I5886" s="2" t="s">
        <v>12235</v>
      </c>
      <c r="J5886" s="3" t="str">
        <f>HYPERLINK("https://www.boe.es/gazeta/dias/1813/01/23/pdfs/GRE-1813-10.pdf#page=8","Abrir facsímil")</f>
        <v>Abrir facsímil</v>
      </c>
      <c r="K5886" s="3" t="s">
        <v>22</v>
      </c>
    </row>
    <row r="5887" spans="1:11" ht="42" customHeight="1">
      <c r="A5887" s="2" t="s">
        <v>12236</v>
      </c>
      <c r="B5887" s="2" t="s">
        <v>12237</v>
      </c>
      <c r="C5887" s="2" t="s">
        <v>187</v>
      </c>
      <c r="D5887" s="2" t="s">
        <v>26</v>
      </c>
      <c r="E5887" s="5">
        <v>-31745</v>
      </c>
      <c r="F5887" s="3" t="s">
        <v>445</v>
      </c>
      <c r="G5887" s="3" t="s">
        <v>28</v>
      </c>
      <c r="H5887" s="2" t="s">
        <v>20</v>
      </c>
      <c r="I5887" s="2" t="s">
        <v>12238</v>
      </c>
      <c r="J5887" s="3" t="str">
        <f>HYPERLINK("https://www.boe.es/gazeta/dias/1813/01/30/pdfs/GRE-1813-13.pdf#page=8","Abrir facsímil")</f>
        <v>Abrir facsímil</v>
      </c>
      <c r="K5887" s="3" t="s">
        <v>22</v>
      </c>
    </row>
    <row r="5888" spans="1:11" ht="42" customHeight="1">
      <c r="A5888" s="2" t="s">
        <v>12239</v>
      </c>
      <c r="B5888" s="2" t="s">
        <v>12240</v>
      </c>
      <c r="C5888" s="2" t="s">
        <v>16</v>
      </c>
      <c r="D5888" s="2" t="s">
        <v>17</v>
      </c>
      <c r="E5888" s="5">
        <v>-31578</v>
      </c>
      <c r="F5888" s="3" t="s">
        <v>974</v>
      </c>
      <c r="G5888" s="3" t="s">
        <v>313</v>
      </c>
      <c r="H5888" s="2" t="s">
        <v>20</v>
      </c>
      <c r="I5888" s="2" t="s">
        <v>12241</v>
      </c>
      <c r="J5888" s="3" t="str">
        <f>HYPERLINK("https://www.boe.es/gazeta/dias/1813/07/16/pdfs/GMR-1813-18.pdf#page=9","Abrir facsímil")</f>
        <v>Abrir facsímil</v>
      </c>
      <c r="K5888" s="3" t="s">
        <v>22</v>
      </c>
    </row>
    <row r="5889" spans="1:11" ht="42" customHeight="1">
      <c r="A5889" s="2" t="s">
        <v>12242</v>
      </c>
      <c r="B5889" s="2" t="s">
        <v>12243</v>
      </c>
      <c r="C5889" s="2" t="s">
        <v>16</v>
      </c>
      <c r="D5889" s="2" t="s">
        <v>97</v>
      </c>
      <c r="E5889" s="5">
        <v>-31519</v>
      </c>
      <c r="F5889" s="3" t="s">
        <v>312</v>
      </c>
      <c r="G5889" s="3" t="s">
        <v>313</v>
      </c>
      <c r="H5889" s="2" t="s">
        <v>20</v>
      </c>
      <c r="I5889" s="2" t="s">
        <v>12244</v>
      </c>
      <c r="J5889" s="3" t="str">
        <f>HYPERLINK("https://www.boe.es/gazeta/dias/1813/09/13/pdfs/GRE-1813-118E.pdf#page=9","Abrir facsímil")</f>
        <v>Abrir facsímil</v>
      </c>
      <c r="K5889" s="3" t="s">
        <v>22</v>
      </c>
    </row>
    <row r="5890" spans="1:11" ht="42" customHeight="1">
      <c r="A5890" s="2" t="s">
        <v>12245</v>
      </c>
      <c r="B5890" s="2" t="s">
        <v>12246</v>
      </c>
      <c r="C5890" s="2" t="s">
        <v>16</v>
      </c>
      <c r="D5890" s="2" t="s">
        <v>17</v>
      </c>
      <c r="E5890" s="5">
        <v>-31521</v>
      </c>
      <c r="F5890" s="3" t="s">
        <v>1256</v>
      </c>
      <c r="G5890" s="3" t="s">
        <v>87</v>
      </c>
      <c r="H5890" s="2" t="s">
        <v>20</v>
      </c>
      <c r="I5890" s="2" t="s">
        <v>12247</v>
      </c>
      <c r="J5890" s="3" t="str">
        <f>HYPERLINK("https://www.boe.es/gazeta/dias/1813/09/11/pdfs/GRE-1813-116.pdf#page=7","Abrir facsímil")</f>
        <v>Abrir facsímil</v>
      </c>
      <c r="K5890" s="3" t="s">
        <v>22</v>
      </c>
    </row>
    <row r="5891" spans="1:11" ht="42" customHeight="1">
      <c r="A5891" s="2" t="s">
        <v>12248</v>
      </c>
      <c r="B5891" s="2" t="s">
        <v>12249</v>
      </c>
      <c r="C5891" s="2" t="s">
        <v>16</v>
      </c>
      <c r="D5891" s="2" t="s">
        <v>17</v>
      </c>
      <c r="E5891" s="5">
        <v>-31612</v>
      </c>
      <c r="F5891" s="3" t="s">
        <v>5784</v>
      </c>
      <c r="G5891" s="3" t="s">
        <v>87</v>
      </c>
      <c r="H5891" s="2" t="s">
        <v>20</v>
      </c>
      <c r="I5891" s="2" t="s">
        <v>12250</v>
      </c>
      <c r="J5891" s="3" t="str">
        <f>HYPERLINK("https://www.boe.es/gazeta/dias/1813/06/12/pdfs/GRE-1813-73.pdf#page=7","Abrir facsímil")</f>
        <v>Abrir facsímil</v>
      </c>
      <c r="K5891" s="3" t="s">
        <v>22</v>
      </c>
    </row>
    <row r="5892" spans="1:11" ht="42" customHeight="1">
      <c r="A5892" s="2" t="s">
        <v>12251</v>
      </c>
      <c r="B5892" s="2" t="s">
        <v>12251</v>
      </c>
      <c r="C5892" s="2" t="s">
        <v>16</v>
      </c>
      <c r="D5892" s="2" t="s">
        <v>17</v>
      </c>
      <c r="E5892" s="5">
        <v>-31731</v>
      </c>
      <c r="F5892" s="3" t="s">
        <v>866</v>
      </c>
      <c r="G5892" s="3" t="s">
        <v>4688</v>
      </c>
      <c r="H5892" s="2" t="s">
        <v>20</v>
      </c>
      <c r="I5892" s="2" t="s">
        <v>12252</v>
      </c>
      <c r="J5892" s="3" t="str">
        <f>HYPERLINK("https://www.boe.es/gazeta/dias/1813/02/13/pdfs/GRE-1813-19.pdf#page=5","Abrir facsímil")</f>
        <v>Abrir facsímil</v>
      </c>
      <c r="K5892" s="3" t="s">
        <v>22</v>
      </c>
    </row>
    <row r="5893" spans="1:11" ht="42" customHeight="1">
      <c r="A5893" s="2" t="s">
        <v>12253</v>
      </c>
      <c r="B5893" s="2" t="s">
        <v>12253</v>
      </c>
      <c r="C5893" s="2" t="s">
        <v>16</v>
      </c>
      <c r="D5893" s="2" t="s">
        <v>17</v>
      </c>
      <c r="E5893" s="5">
        <v>-31658</v>
      </c>
      <c r="F5893" s="3" t="s">
        <v>1654</v>
      </c>
      <c r="G5893" s="3" t="s">
        <v>54</v>
      </c>
      <c r="H5893" s="2" t="s">
        <v>20</v>
      </c>
      <c r="I5893" s="2" t="s">
        <v>12254</v>
      </c>
      <c r="J5893" s="3" t="str">
        <f>HYPERLINK("https://www.boe.es/gazeta/dias/1813/04/27/pdfs/GMD-1813-117.pdf#page=3","Abrir facsímil")</f>
        <v>Abrir facsímil</v>
      </c>
      <c r="K5893" s="3" t="s">
        <v>22</v>
      </c>
    </row>
    <row r="5894" spans="1:11" ht="42" customHeight="1">
      <c r="A5894" s="2" t="s">
        <v>12255</v>
      </c>
      <c r="B5894" s="2" t="s">
        <v>12255</v>
      </c>
      <c r="C5894" s="2" t="s">
        <v>16</v>
      </c>
      <c r="D5894" s="2" t="s">
        <v>17</v>
      </c>
      <c r="E5894" s="5">
        <v>-31731</v>
      </c>
      <c r="F5894" s="3" t="s">
        <v>866</v>
      </c>
      <c r="G5894" s="3" t="s">
        <v>65</v>
      </c>
      <c r="H5894" s="2" t="s">
        <v>20</v>
      </c>
      <c r="I5894" s="2" t="s">
        <v>12256</v>
      </c>
      <c r="J5894" s="3" t="str">
        <f>HYPERLINK("https://www.boe.es/gazeta/dias/1813/02/13/pdfs/GRE-1813-19.pdf#page=1","Abrir facsímil")</f>
        <v>Abrir facsímil</v>
      </c>
      <c r="K5894" s="3" t="s">
        <v>22</v>
      </c>
    </row>
    <row r="5895" spans="1:11" ht="42" customHeight="1">
      <c r="A5895" s="2" t="s">
        <v>12257</v>
      </c>
      <c r="B5895" s="2" t="s">
        <v>12257</v>
      </c>
      <c r="C5895" s="2" t="s">
        <v>16</v>
      </c>
      <c r="D5895" s="2" t="s">
        <v>17</v>
      </c>
      <c r="E5895" s="5">
        <v>-31728</v>
      </c>
      <c r="F5895" s="3" t="s">
        <v>1434</v>
      </c>
      <c r="G5895" s="3" t="s">
        <v>58</v>
      </c>
      <c r="H5895" s="2" t="s">
        <v>20</v>
      </c>
      <c r="I5895" s="2" t="s">
        <v>12258</v>
      </c>
      <c r="J5895" s="3" t="str">
        <f>HYPERLINK("https://www.boe.es/gazeta/dias/1813/02/16/pdfs/GRE-1813-20.pdf#page=2","Abrir facsímil")</f>
        <v>Abrir facsímil</v>
      </c>
      <c r="K5895" s="3" t="s">
        <v>22</v>
      </c>
    </row>
    <row r="5896" spans="1:11" ht="42" customHeight="1">
      <c r="A5896" s="2" t="s">
        <v>12259</v>
      </c>
      <c r="B5896" s="2" t="s">
        <v>12259</v>
      </c>
      <c r="C5896" s="2" t="s">
        <v>16</v>
      </c>
      <c r="D5896" s="2" t="s">
        <v>17</v>
      </c>
      <c r="E5896" s="5">
        <v>-31731</v>
      </c>
      <c r="F5896" s="3" t="s">
        <v>866</v>
      </c>
      <c r="G5896" s="3" t="s">
        <v>4688</v>
      </c>
      <c r="H5896" s="2" t="s">
        <v>20</v>
      </c>
      <c r="I5896" s="2" t="s">
        <v>12260</v>
      </c>
      <c r="J5896" s="3" t="str">
        <f>HYPERLINK("https://www.boe.es/gazeta/dias/1813/02/13/pdfs/GRE-1813-19.pdf#page=5","Abrir facsímil")</f>
        <v>Abrir facsímil</v>
      </c>
      <c r="K5896" s="3" t="s">
        <v>22</v>
      </c>
    </row>
    <row r="5897" spans="1:11" ht="42" customHeight="1">
      <c r="A5897" s="2" t="s">
        <v>12261</v>
      </c>
      <c r="B5897" s="2" t="s">
        <v>12261</v>
      </c>
      <c r="C5897" s="2" t="s">
        <v>16</v>
      </c>
      <c r="D5897" s="2" t="s">
        <v>17</v>
      </c>
      <c r="E5897" s="5">
        <v>-31731</v>
      </c>
      <c r="F5897" s="3" t="s">
        <v>866</v>
      </c>
      <c r="G5897" s="3" t="s">
        <v>4688</v>
      </c>
      <c r="H5897" s="2" t="s">
        <v>20</v>
      </c>
      <c r="I5897" s="2" t="s">
        <v>12262</v>
      </c>
      <c r="J5897" s="3" t="str">
        <f>HYPERLINK("https://www.boe.es/gazeta/dias/1813/02/13/pdfs/GRE-1813-19.pdf#page=5","Abrir facsímil")</f>
        <v>Abrir facsímil</v>
      </c>
      <c r="K5897" s="3" t="s">
        <v>22</v>
      </c>
    </row>
    <row r="5898" spans="1:11" ht="42" customHeight="1">
      <c r="A5898" s="2" t="s">
        <v>12263</v>
      </c>
      <c r="B5898" s="2" t="s">
        <v>12264</v>
      </c>
      <c r="C5898" s="2" t="s">
        <v>16</v>
      </c>
      <c r="D5898" s="2" t="s">
        <v>17</v>
      </c>
      <c r="E5898" s="5">
        <v>-31546</v>
      </c>
      <c r="F5898" s="3" t="s">
        <v>461</v>
      </c>
      <c r="G5898" s="3" t="s">
        <v>87</v>
      </c>
      <c r="H5898" s="2" t="s">
        <v>20</v>
      </c>
      <c r="I5898" s="2" t="s">
        <v>12265</v>
      </c>
      <c r="J5898" s="3" t="str">
        <f>HYPERLINK("https://www.boe.es/gazeta/dias/1813/08/17/pdfs/GMR-1813-29.pdf#page=7","Abrir facsímil")</f>
        <v>Abrir facsímil</v>
      </c>
      <c r="K5898" s="3" t="s">
        <v>22</v>
      </c>
    </row>
    <row r="5899" spans="1:11" ht="42" customHeight="1">
      <c r="A5899" s="2" t="s">
        <v>12266</v>
      </c>
      <c r="B5899" s="2" t="s">
        <v>12267</v>
      </c>
      <c r="C5899" s="2" t="s">
        <v>25</v>
      </c>
      <c r="D5899" s="2" t="s">
        <v>26</v>
      </c>
      <c r="E5899" s="5">
        <v>-31752</v>
      </c>
      <c r="F5899" s="3" t="s">
        <v>182</v>
      </c>
      <c r="G5899" s="3" t="s">
        <v>183</v>
      </c>
      <c r="H5899" s="2" t="s">
        <v>20</v>
      </c>
      <c r="I5899" s="2" t="s">
        <v>12268</v>
      </c>
      <c r="J5899" s="3" t="str">
        <f>HYPERLINK("https://www.boe.es/gazeta/dias/1813/01/23/pdfs/GRE-1813-10.pdf#page=8","Abrir facsímil")</f>
        <v>Abrir facsímil</v>
      </c>
      <c r="K5899" s="3" t="s">
        <v>22</v>
      </c>
    </row>
    <row r="5900" spans="1:11" ht="42" customHeight="1">
      <c r="A5900" s="2" t="s">
        <v>12269</v>
      </c>
      <c r="B5900" s="2" t="s">
        <v>12269</v>
      </c>
      <c r="C5900" s="2" t="s">
        <v>16</v>
      </c>
      <c r="D5900" s="2" t="s">
        <v>17</v>
      </c>
      <c r="E5900" s="5">
        <v>-31516</v>
      </c>
      <c r="F5900" s="3" t="s">
        <v>1685</v>
      </c>
      <c r="G5900" s="3" t="s">
        <v>2625</v>
      </c>
      <c r="H5900" s="2" t="s">
        <v>20</v>
      </c>
      <c r="I5900" s="2" t="s">
        <v>12270</v>
      </c>
      <c r="J5900" s="3" t="str">
        <f>HYPERLINK("https://www.boe.es/gazeta/dias/1813/09/16/pdfs/GRE-1813-120.pdf#page=8","Abrir facsímil")</f>
        <v>Abrir facsímil</v>
      </c>
      <c r="K5900" s="3" t="s">
        <v>22</v>
      </c>
    </row>
    <row r="5901" spans="1:11" ht="42" customHeight="1">
      <c r="A5901" s="2" t="s">
        <v>12271</v>
      </c>
      <c r="B5901" s="2" t="s">
        <v>12271</v>
      </c>
      <c r="C5901" s="2" t="s">
        <v>16</v>
      </c>
      <c r="D5901" s="2" t="s">
        <v>17</v>
      </c>
      <c r="E5901" s="5">
        <v>-31516</v>
      </c>
      <c r="F5901" s="3" t="s">
        <v>1685</v>
      </c>
      <c r="G5901" s="3" t="s">
        <v>2625</v>
      </c>
      <c r="H5901" s="2" t="s">
        <v>20</v>
      </c>
      <c r="I5901" s="2" t="s">
        <v>12272</v>
      </c>
      <c r="J5901" s="3" t="str">
        <f>HYPERLINK("https://www.boe.es/gazeta/dias/1813/09/16/pdfs/GRE-1813-120.pdf#page=8","Abrir facsímil")</f>
        <v>Abrir facsímil</v>
      </c>
      <c r="K5901" s="3" t="s">
        <v>22</v>
      </c>
    </row>
    <row r="5902" spans="1:11" ht="42" customHeight="1">
      <c r="A5902" s="2" t="s">
        <v>12273</v>
      </c>
      <c r="B5902" s="2" t="s">
        <v>12274</v>
      </c>
      <c r="C5902" s="2" t="s">
        <v>16</v>
      </c>
      <c r="D5902" s="2" t="s">
        <v>17</v>
      </c>
      <c r="E5902" s="5">
        <v>-31585</v>
      </c>
      <c r="F5902" s="3" t="s">
        <v>177</v>
      </c>
      <c r="G5902" s="3" t="s">
        <v>71</v>
      </c>
      <c r="H5902" s="2" t="s">
        <v>20</v>
      </c>
      <c r="I5902" s="2" t="s">
        <v>12275</v>
      </c>
      <c r="J5902" s="3" t="str">
        <f>HYPERLINK("https://www.boe.es/gazeta/dias/1813/07/09/pdfs/GMR-1813-16.pdf#page=16","Abrir facsímil")</f>
        <v>Abrir facsímil</v>
      </c>
      <c r="K5902" s="3" t="s">
        <v>22</v>
      </c>
    </row>
    <row r="5903" spans="1:11" ht="42" customHeight="1">
      <c r="A5903" s="2" t="s">
        <v>12276</v>
      </c>
      <c r="B5903" s="2" t="s">
        <v>12277</v>
      </c>
      <c r="C5903" s="2" t="s">
        <v>16</v>
      </c>
      <c r="D5903" s="2" t="s">
        <v>17</v>
      </c>
      <c r="E5903" s="5">
        <v>-31609</v>
      </c>
      <c r="F5903" s="3" t="s">
        <v>711</v>
      </c>
      <c r="G5903" s="3" t="s">
        <v>3485</v>
      </c>
      <c r="H5903" s="2" t="s">
        <v>20</v>
      </c>
      <c r="I5903" s="2" t="s">
        <v>12278</v>
      </c>
      <c r="J5903" s="3" t="str">
        <f>HYPERLINK("https://www.boe.es/gazeta/dias/1813/06/15/pdfs/GMR-1813-6.pdf#page=8","Abrir facsímil")</f>
        <v>Abrir facsímil</v>
      </c>
      <c r="K5903" s="3" t="s">
        <v>22</v>
      </c>
    </row>
    <row r="5904" spans="1:11" ht="42" customHeight="1">
      <c r="A5904" s="2" t="s">
        <v>12276</v>
      </c>
      <c r="B5904" s="2" t="s">
        <v>12277</v>
      </c>
      <c r="C5904" s="2" t="s">
        <v>25</v>
      </c>
      <c r="D5904" s="2" t="s">
        <v>26</v>
      </c>
      <c r="E5904" s="5">
        <v>-31460</v>
      </c>
      <c r="F5904" s="3" t="s">
        <v>1468</v>
      </c>
      <c r="G5904" s="3" t="s">
        <v>6053</v>
      </c>
      <c r="H5904" s="2" t="s">
        <v>20</v>
      </c>
      <c r="I5904" s="2" t="s">
        <v>12279</v>
      </c>
      <c r="J5904" s="3" t="str">
        <f>HYPERLINK("https://www.boe.es/gazeta/dias/1813/11/11/pdfs/GRE-1813-147.pdf#page=8","Abrir facsímil")</f>
        <v>Abrir facsímil</v>
      </c>
      <c r="K5904" s="3" t="s">
        <v>22</v>
      </c>
    </row>
    <row r="5905" spans="1:11" ht="42" customHeight="1">
      <c r="A5905" s="2" t="s">
        <v>12280</v>
      </c>
      <c r="B5905" s="2" t="s">
        <v>12281</v>
      </c>
      <c r="C5905" s="2" t="s">
        <v>16</v>
      </c>
      <c r="D5905" s="2" t="s">
        <v>17</v>
      </c>
      <c r="E5905" s="5">
        <v>-31490</v>
      </c>
      <c r="F5905" s="3" t="s">
        <v>3271</v>
      </c>
      <c r="G5905" s="3" t="s">
        <v>95</v>
      </c>
      <c r="H5905" s="2" t="s">
        <v>20</v>
      </c>
      <c r="I5905" s="2" t="s">
        <v>12282</v>
      </c>
      <c r="J5905" s="3" t="str">
        <f>HYPERLINK("https://www.boe.es/gazeta/dias/1813/10/12/pdfs/GRE-1813-133.pdf#page=6","Abrir facsímil")</f>
        <v>Abrir facsímil</v>
      </c>
      <c r="K5905" s="3" t="s">
        <v>22</v>
      </c>
    </row>
    <row r="5906" spans="1:11" ht="42" customHeight="1">
      <c r="A5906" s="2" t="s">
        <v>12280</v>
      </c>
      <c r="B5906" s="2" t="s">
        <v>12281</v>
      </c>
      <c r="C5906" s="2" t="s">
        <v>109</v>
      </c>
      <c r="D5906" s="2" t="s">
        <v>26</v>
      </c>
      <c r="E5906" s="5">
        <v>-31420</v>
      </c>
      <c r="F5906" s="3" t="s">
        <v>210</v>
      </c>
      <c r="G5906" s="3" t="s">
        <v>12283</v>
      </c>
      <c r="H5906" s="2" t="s">
        <v>20</v>
      </c>
      <c r="I5906" s="2" t="s">
        <v>12284</v>
      </c>
      <c r="J5906" s="3" t="str">
        <f>HYPERLINK("https://www.boe.es/gazeta/dias/1813/12/21/pdfs/GRE-1813-167.pdf#page=8","Abrir facsímil")</f>
        <v>Abrir facsímil</v>
      </c>
      <c r="K5906" s="3" t="s">
        <v>22</v>
      </c>
    </row>
    <row r="5907" spans="1:11" ht="42" customHeight="1">
      <c r="A5907" s="2" t="s">
        <v>12280</v>
      </c>
      <c r="B5907" s="2" t="s">
        <v>12281</v>
      </c>
      <c r="C5907" s="2" t="s">
        <v>34</v>
      </c>
      <c r="D5907" s="2" t="s">
        <v>35</v>
      </c>
      <c r="E5907" s="5">
        <v>-31418</v>
      </c>
      <c r="F5907" s="3" t="s">
        <v>147</v>
      </c>
      <c r="G5907" s="3" t="s">
        <v>28</v>
      </c>
      <c r="H5907" s="2" t="s">
        <v>20</v>
      </c>
      <c r="I5907" s="2" t="s">
        <v>12285</v>
      </c>
      <c r="J5907" s="3" t="str">
        <f>HYPERLINK("https://www.boe.es/gazeta/dias/1813/12/23/pdfs/GRE-1813-168.pdf#page=8","Abrir facsímil")</f>
        <v>Abrir facsímil</v>
      </c>
      <c r="K5907" s="3" t="s">
        <v>22</v>
      </c>
    </row>
    <row r="5908" spans="1:11" ht="42" customHeight="1">
      <c r="A5908" s="2" t="s">
        <v>12286</v>
      </c>
      <c r="B5908" s="2" t="s">
        <v>12286</v>
      </c>
      <c r="C5908" s="2" t="s">
        <v>16</v>
      </c>
      <c r="D5908" s="2" t="s">
        <v>17</v>
      </c>
      <c r="E5908" s="5">
        <v>-31546</v>
      </c>
      <c r="F5908" s="3" t="s">
        <v>2057</v>
      </c>
      <c r="G5908" s="3" t="s">
        <v>95</v>
      </c>
      <c r="H5908" s="2" t="s">
        <v>20</v>
      </c>
      <c r="I5908" s="2" t="s">
        <v>12287</v>
      </c>
      <c r="J5908" s="3" t="str">
        <f>HYPERLINK("https://www.boe.es/gazeta/dias/1813/08/17/pdfs/GRE-1813-105.pdf#page=6","Abrir facsímil")</f>
        <v>Abrir facsímil</v>
      </c>
      <c r="K5908" s="3" t="s">
        <v>22</v>
      </c>
    </row>
    <row r="5909" spans="1:11" ht="42" customHeight="1">
      <c r="A5909" s="2" t="s">
        <v>12288</v>
      </c>
      <c r="B5909" s="2" t="s">
        <v>12288</v>
      </c>
      <c r="C5909" s="2" t="s">
        <v>16</v>
      </c>
      <c r="D5909" s="2" t="s">
        <v>17</v>
      </c>
      <c r="E5909" s="5">
        <v>-31476</v>
      </c>
      <c r="F5909" s="3" t="s">
        <v>229</v>
      </c>
      <c r="G5909" s="3" t="s">
        <v>19</v>
      </c>
      <c r="H5909" s="2" t="s">
        <v>20</v>
      </c>
      <c r="I5909" s="2" t="s">
        <v>12289</v>
      </c>
      <c r="J5909" s="3" t="str">
        <f>HYPERLINK("https://www.boe.es/gazeta/dias/1813/10/26/pdfs/GRE-1813-140.pdf#page=4","Abrir facsímil")</f>
        <v>Abrir facsímil</v>
      </c>
      <c r="K5909" s="3" t="s">
        <v>22</v>
      </c>
    </row>
    <row r="5910" spans="1:11" ht="42" customHeight="1">
      <c r="A5910" s="2" t="s">
        <v>12290</v>
      </c>
      <c r="B5910" s="2" t="s">
        <v>12290</v>
      </c>
      <c r="C5910" s="2" t="s">
        <v>16</v>
      </c>
      <c r="D5910" s="2" t="s">
        <v>17</v>
      </c>
      <c r="E5910" s="5">
        <v>-31476</v>
      </c>
      <c r="F5910" s="3" t="s">
        <v>229</v>
      </c>
      <c r="G5910" s="3" t="s">
        <v>19</v>
      </c>
      <c r="H5910" s="2" t="s">
        <v>20</v>
      </c>
      <c r="I5910" s="2" t="s">
        <v>12291</v>
      </c>
      <c r="J5910" s="3" t="str">
        <f>HYPERLINK("https://www.boe.es/gazeta/dias/1813/10/26/pdfs/GRE-1813-140.pdf#page=4","Abrir facsímil")</f>
        <v>Abrir facsímil</v>
      </c>
      <c r="K5910" s="3" t="s">
        <v>22</v>
      </c>
    </row>
    <row r="5911" spans="1:11" ht="42" customHeight="1">
      <c r="A5911" s="2" t="s">
        <v>12292</v>
      </c>
      <c r="B5911" s="2" t="s">
        <v>12292</v>
      </c>
      <c r="C5911" s="2" t="s">
        <v>16</v>
      </c>
      <c r="D5911" s="2" t="s">
        <v>17</v>
      </c>
      <c r="E5911" s="5">
        <v>-31476</v>
      </c>
      <c r="F5911" s="3" t="s">
        <v>229</v>
      </c>
      <c r="G5911" s="3" t="s">
        <v>54</v>
      </c>
      <c r="H5911" s="2" t="s">
        <v>20</v>
      </c>
      <c r="I5911" s="2" t="s">
        <v>12293</v>
      </c>
      <c r="J5911" s="3" t="str">
        <f>HYPERLINK("https://www.boe.es/gazeta/dias/1813/10/26/pdfs/GRE-1813-140.pdf#page=3","Abrir facsímil")</f>
        <v>Abrir facsímil</v>
      </c>
      <c r="K5911" s="3" t="s">
        <v>22</v>
      </c>
    </row>
    <row r="5912" spans="1:11" ht="42" customHeight="1">
      <c r="A5912" s="2" t="s">
        <v>12294</v>
      </c>
      <c r="B5912" s="2" t="s">
        <v>12294</v>
      </c>
      <c r="C5912" s="2" t="s">
        <v>109</v>
      </c>
      <c r="D5912" s="2" t="s">
        <v>26</v>
      </c>
      <c r="E5912" s="5">
        <v>-31546</v>
      </c>
      <c r="F5912" s="3" t="s">
        <v>461</v>
      </c>
      <c r="G5912" s="3" t="s">
        <v>82</v>
      </c>
      <c r="H5912" s="2" t="s">
        <v>20</v>
      </c>
      <c r="I5912" s="2" t="s">
        <v>12295</v>
      </c>
      <c r="J5912" s="3" t="str">
        <f>HYPERLINK("https://www.boe.es/gazeta/dias/1813/08/17/pdfs/GMR-1813-29.pdf#page=5","Abrir facsímil")</f>
        <v>Abrir facsímil</v>
      </c>
      <c r="K5912" s="3" t="s">
        <v>22</v>
      </c>
    </row>
    <row r="5913" spans="1:11" ht="42" customHeight="1">
      <c r="A5913" s="2" t="s">
        <v>12296</v>
      </c>
      <c r="B5913" s="2" t="s">
        <v>12296</v>
      </c>
      <c r="C5913" s="2" t="s">
        <v>34</v>
      </c>
      <c r="D5913" s="2" t="s">
        <v>35</v>
      </c>
      <c r="E5913" s="5">
        <v>-31542</v>
      </c>
      <c r="F5913" s="3" t="s">
        <v>347</v>
      </c>
      <c r="G5913" s="3" t="s">
        <v>95</v>
      </c>
      <c r="H5913" s="2" t="s">
        <v>20</v>
      </c>
      <c r="I5913" s="2" t="s">
        <v>12297</v>
      </c>
      <c r="J5913" s="3" t="str">
        <f>HYPERLINK("https://www.boe.es/gazeta/dias/1813/08/21/pdfs/GMR-1813-31.pdf#page=6","Abrir facsímil")</f>
        <v>Abrir facsímil</v>
      </c>
      <c r="K5913" s="3" t="s">
        <v>22</v>
      </c>
    </row>
    <row r="5914" spans="1:11" ht="42" customHeight="1">
      <c r="A5914" s="2" t="s">
        <v>12296</v>
      </c>
      <c r="B5914" s="2" t="s">
        <v>12296</v>
      </c>
      <c r="C5914" s="2" t="s">
        <v>16</v>
      </c>
      <c r="D5914" s="2" t="s">
        <v>17</v>
      </c>
      <c r="E5914" s="5">
        <v>-31434</v>
      </c>
      <c r="F5914" s="3" t="s">
        <v>948</v>
      </c>
      <c r="G5914" s="3" t="s">
        <v>95</v>
      </c>
      <c r="H5914" s="2" t="s">
        <v>20</v>
      </c>
      <c r="I5914" s="2" t="s">
        <v>12298</v>
      </c>
      <c r="J5914" s="3" t="str">
        <f>HYPERLINK("https://www.boe.es/gazeta/dias/1813/12/07/pdfs/GMR-1813-84.pdf#page=6","Abrir facsímil")</f>
        <v>Abrir facsímil</v>
      </c>
      <c r="K5914" s="3" t="s">
        <v>22</v>
      </c>
    </row>
    <row r="5915" spans="1:11" ht="42" customHeight="1">
      <c r="A5915" s="2" t="s">
        <v>12299</v>
      </c>
      <c r="B5915" s="2" t="s">
        <v>12299</v>
      </c>
      <c r="C5915" s="2" t="s">
        <v>16</v>
      </c>
      <c r="D5915" s="2" t="s">
        <v>17</v>
      </c>
      <c r="E5915" s="5">
        <v>-31542</v>
      </c>
      <c r="F5915" s="3" t="s">
        <v>347</v>
      </c>
      <c r="G5915" s="3" t="s">
        <v>54</v>
      </c>
      <c r="H5915" s="2" t="s">
        <v>20</v>
      </c>
      <c r="I5915" s="2" t="s">
        <v>12300</v>
      </c>
      <c r="J5915" s="3" t="str">
        <f>HYPERLINK("https://www.boe.es/gazeta/dias/1813/08/21/pdfs/GMR-1813-31.pdf#page=3","Abrir facsímil")</f>
        <v>Abrir facsímil</v>
      </c>
      <c r="K5915" s="3" t="s">
        <v>22</v>
      </c>
    </row>
    <row r="5916" spans="1:11" ht="42" customHeight="1">
      <c r="A5916" s="2" t="s">
        <v>12301</v>
      </c>
      <c r="B5916" s="2" t="s">
        <v>12302</v>
      </c>
      <c r="C5916" s="2" t="s">
        <v>16</v>
      </c>
      <c r="D5916" s="2" t="s">
        <v>17</v>
      </c>
      <c r="E5916" s="5">
        <v>-31626</v>
      </c>
      <c r="F5916" s="3" t="s">
        <v>64</v>
      </c>
      <c r="G5916" s="3" t="s">
        <v>3978</v>
      </c>
      <c r="H5916" s="2" t="s">
        <v>20</v>
      </c>
      <c r="I5916" s="2" t="s">
        <v>12303</v>
      </c>
      <c r="J5916" s="3" t="str">
        <f>HYPERLINK("https://www.boe.es/gazeta/dias/1813/05/29/pdfs/GRE-1813-66.pdf#page=4","Abrir facsímil")</f>
        <v>Abrir facsímil</v>
      </c>
      <c r="K5916" s="3" t="s">
        <v>22</v>
      </c>
    </row>
    <row r="5917" spans="1:11" ht="42" customHeight="1">
      <c r="A5917" s="2" t="s">
        <v>12304</v>
      </c>
      <c r="B5917" s="2" t="s">
        <v>12305</v>
      </c>
      <c r="C5917" s="2" t="s">
        <v>16</v>
      </c>
      <c r="D5917" s="2" t="s">
        <v>17</v>
      </c>
      <c r="E5917" s="5">
        <v>-31714</v>
      </c>
      <c r="F5917" s="3" t="s">
        <v>479</v>
      </c>
      <c r="G5917" s="3" t="s">
        <v>480</v>
      </c>
      <c r="H5917" s="2" t="s">
        <v>20</v>
      </c>
      <c r="I5917" s="2" t="s">
        <v>12306</v>
      </c>
      <c r="J5917" s="3" t="str">
        <f>HYPERLINK("https://www.boe.es/gazeta/dias/1813/03/02/pdfs/GRE-1813-27.pdf#page=5","Abrir facsímil")</f>
        <v>Abrir facsímil</v>
      </c>
      <c r="K5917" s="3" t="s">
        <v>22</v>
      </c>
    </row>
    <row r="5918" spans="1:11" ht="42" customHeight="1">
      <c r="A5918" s="2" t="s">
        <v>12307</v>
      </c>
      <c r="B5918" s="2" t="s">
        <v>12308</v>
      </c>
      <c r="C5918" s="2" t="s">
        <v>16</v>
      </c>
      <c r="D5918" s="2" t="s">
        <v>17</v>
      </c>
      <c r="E5918" s="5">
        <v>-31684</v>
      </c>
      <c r="F5918" s="3" t="s">
        <v>427</v>
      </c>
      <c r="G5918" s="3" t="s">
        <v>1123</v>
      </c>
      <c r="H5918" s="2" t="s">
        <v>20</v>
      </c>
      <c r="I5918" s="2" t="s">
        <v>12309</v>
      </c>
      <c r="J5918" s="3" t="str">
        <f>HYPERLINK("https://www.boe.es/gazeta/dias/1813/04/01/pdfs/GRE-1813-40.pdf#page=8","Abrir facsímil")</f>
        <v>Abrir facsímil</v>
      </c>
      <c r="K5918" s="3" t="s">
        <v>22</v>
      </c>
    </row>
    <row r="5919" spans="1:11" ht="42" customHeight="1">
      <c r="A5919" s="2" t="s">
        <v>12310</v>
      </c>
      <c r="B5919" s="2" t="s">
        <v>12311</v>
      </c>
      <c r="C5919" s="2" t="s">
        <v>16</v>
      </c>
      <c r="D5919" s="2" t="s">
        <v>17</v>
      </c>
      <c r="E5919" s="5">
        <v>-31570</v>
      </c>
      <c r="F5919" s="3" t="s">
        <v>1803</v>
      </c>
      <c r="G5919" s="3" t="s">
        <v>54</v>
      </c>
      <c r="H5919" s="2" t="s">
        <v>20</v>
      </c>
      <c r="I5919" s="2" t="s">
        <v>12312</v>
      </c>
      <c r="J5919" s="3" t="str">
        <f>HYPERLINK("https://www.boe.es/gazeta/dias/1813/07/24/pdfs/GRE-1813-94.pdf#page=3","Abrir facsímil")</f>
        <v>Abrir facsímil</v>
      </c>
      <c r="K5919" s="3" t="s">
        <v>22</v>
      </c>
    </row>
    <row r="5920" spans="1:11" ht="42" customHeight="1">
      <c r="A5920" s="2" t="s">
        <v>12313</v>
      </c>
      <c r="B5920" s="2" t="s">
        <v>12314</v>
      </c>
      <c r="C5920" s="2" t="s">
        <v>16</v>
      </c>
      <c r="D5920" s="2" t="s">
        <v>97</v>
      </c>
      <c r="E5920" s="5">
        <v>-31519</v>
      </c>
      <c r="F5920" s="3" t="s">
        <v>312</v>
      </c>
      <c r="G5920" s="3" t="s">
        <v>313</v>
      </c>
      <c r="H5920" s="2" t="s">
        <v>20</v>
      </c>
      <c r="I5920" s="2" t="s">
        <v>12315</v>
      </c>
      <c r="J5920" s="3" t="str">
        <f>HYPERLINK("https://www.boe.es/gazeta/dias/1813/09/13/pdfs/GRE-1813-118E.pdf#page=9","Abrir facsímil")</f>
        <v>Abrir facsímil</v>
      </c>
      <c r="K5920" s="3" t="s">
        <v>22</v>
      </c>
    </row>
    <row r="5921" spans="1:11" ht="42" customHeight="1">
      <c r="A5921" s="2" t="s">
        <v>12313</v>
      </c>
      <c r="B5921" s="2" t="s">
        <v>12314</v>
      </c>
      <c r="C5921" s="2" t="s">
        <v>16</v>
      </c>
      <c r="D5921" s="2" t="s">
        <v>17</v>
      </c>
      <c r="E5921" s="5">
        <v>-31507</v>
      </c>
      <c r="F5921" s="3" t="s">
        <v>61</v>
      </c>
      <c r="G5921" s="3" t="s">
        <v>28</v>
      </c>
      <c r="H5921" s="2" t="s">
        <v>20</v>
      </c>
      <c r="I5921" s="2" t="s">
        <v>12316</v>
      </c>
      <c r="J5921" s="3" t="str">
        <f>HYPERLINK("https://www.boe.es/gazeta/dias/1813/09/25/pdfs/GMR-1813-48.pdf#page=8","Abrir facsímil")</f>
        <v>Abrir facsímil</v>
      </c>
      <c r="K5921" s="3" t="s">
        <v>22</v>
      </c>
    </row>
    <row r="5922" spans="1:11" ht="42" customHeight="1">
      <c r="A5922" s="2" t="s">
        <v>12317</v>
      </c>
      <c r="B5922" s="2" t="s">
        <v>12318</v>
      </c>
      <c r="C5922" s="2" t="s">
        <v>25</v>
      </c>
      <c r="D5922" s="2" t="s">
        <v>26</v>
      </c>
      <c r="E5922" s="5">
        <v>-31745</v>
      </c>
      <c r="F5922" s="3" t="s">
        <v>445</v>
      </c>
      <c r="G5922" s="3" t="s">
        <v>475</v>
      </c>
      <c r="H5922" s="2" t="s">
        <v>20</v>
      </c>
      <c r="I5922" s="2" t="s">
        <v>12319</v>
      </c>
      <c r="J5922" s="3" t="str">
        <f>HYPERLINK("https://www.boe.es/gazeta/dias/1813/01/30/pdfs/GRE-1813-13.pdf#page=7","Abrir facsímil")</f>
        <v>Abrir facsímil</v>
      </c>
      <c r="K5922" s="3" t="s">
        <v>22</v>
      </c>
    </row>
    <row r="5923" spans="1:11" ht="42" customHeight="1">
      <c r="A5923" s="2" t="s">
        <v>12320</v>
      </c>
      <c r="B5923" s="2" t="s">
        <v>12321</v>
      </c>
      <c r="C5923" s="2" t="s">
        <v>25</v>
      </c>
      <c r="D5923" s="2" t="s">
        <v>26</v>
      </c>
      <c r="E5923" s="5">
        <v>-31626</v>
      </c>
      <c r="F5923" s="3" t="s">
        <v>64</v>
      </c>
      <c r="G5923" s="3" t="s">
        <v>87</v>
      </c>
      <c r="H5923" s="2" t="s">
        <v>20</v>
      </c>
      <c r="I5923" s="2" t="s">
        <v>12322</v>
      </c>
      <c r="J5923" s="3" t="str">
        <f>HYPERLINK("https://www.boe.es/gazeta/dias/1813/05/29/pdfs/GRE-1813-66.pdf#page=7","Abrir facsímil")</f>
        <v>Abrir facsímil</v>
      </c>
      <c r="K5923" s="3" t="s">
        <v>22</v>
      </c>
    </row>
    <row r="5924" spans="1:11" ht="42" customHeight="1">
      <c r="A5924" s="2" t="s">
        <v>12323</v>
      </c>
      <c r="B5924" s="2" t="s">
        <v>12323</v>
      </c>
      <c r="C5924" s="2" t="s">
        <v>34</v>
      </c>
      <c r="D5924" s="2" t="s">
        <v>35</v>
      </c>
      <c r="E5924" s="5">
        <v>-31672</v>
      </c>
      <c r="F5924" s="3" t="s">
        <v>3964</v>
      </c>
      <c r="G5924" s="3" t="s">
        <v>65</v>
      </c>
      <c r="H5924" s="2" t="s">
        <v>20</v>
      </c>
      <c r="I5924" s="2" t="s">
        <v>12324</v>
      </c>
      <c r="J5924" s="3" t="str">
        <f>HYPERLINK("https://www.boe.es/gazeta/dias/1813/04/13/pdfs/GMD-1813-103.pdf#page=1","Abrir facsímil")</f>
        <v>Abrir facsímil</v>
      </c>
      <c r="K5924" s="3" t="s">
        <v>22</v>
      </c>
    </row>
    <row r="5925" spans="1:11" ht="42" customHeight="1">
      <c r="A5925" s="2" t="s">
        <v>12325</v>
      </c>
      <c r="B5925" s="2" t="s">
        <v>12325</v>
      </c>
      <c r="C5925" s="2" t="s">
        <v>16</v>
      </c>
      <c r="D5925" s="2" t="s">
        <v>17</v>
      </c>
      <c r="E5925" s="5">
        <v>-31700</v>
      </c>
      <c r="F5925" s="3" t="s">
        <v>778</v>
      </c>
      <c r="G5925" s="3" t="s">
        <v>779</v>
      </c>
      <c r="H5925" s="2" t="s">
        <v>20</v>
      </c>
      <c r="I5925" s="2" t="s">
        <v>12326</v>
      </c>
      <c r="J5925" s="3" t="str">
        <f>HYPERLINK("https://www.boe.es/gazeta/dias/1813/03/16/pdfs/GMD-1813-75.pdf#page=3","Abrir facsímil")</f>
        <v>Abrir facsímil</v>
      </c>
      <c r="K5925" s="3" t="s">
        <v>22</v>
      </c>
    </row>
    <row r="5926" spans="1:11" ht="42" customHeight="1">
      <c r="A5926" s="2" t="s">
        <v>12325</v>
      </c>
      <c r="B5926" s="2" t="s">
        <v>12325</v>
      </c>
      <c r="C5926" s="2" t="s">
        <v>16</v>
      </c>
      <c r="D5926" s="2" t="s">
        <v>17</v>
      </c>
      <c r="E5926" s="5">
        <v>-31600</v>
      </c>
      <c r="F5926" s="3" t="s">
        <v>2121</v>
      </c>
      <c r="G5926" s="3" t="s">
        <v>54</v>
      </c>
      <c r="H5926" s="2" t="s">
        <v>20</v>
      </c>
      <c r="I5926" s="2" t="s">
        <v>12327</v>
      </c>
      <c r="J5926" s="3" t="str">
        <f>HYPERLINK("https://www.boe.es/gazeta/dias/1813/06/24/pdfs/GRE-1813-78.pdf#page=3","Abrir facsímil")</f>
        <v>Abrir facsímil</v>
      </c>
      <c r="K5926" s="3" t="s">
        <v>22</v>
      </c>
    </row>
    <row r="5927" spans="1:11" ht="42" customHeight="1">
      <c r="A5927" s="2" t="s">
        <v>12325</v>
      </c>
      <c r="B5927" s="2" t="s">
        <v>12325</v>
      </c>
      <c r="C5927" s="2" t="s">
        <v>435</v>
      </c>
      <c r="D5927" s="2" t="s">
        <v>26</v>
      </c>
      <c r="E5927" s="5">
        <v>-31591</v>
      </c>
      <c r="F5927" s="3" t="s">
        <v>2123</v>
      </c>
      <c r="G5927" s="3" t="s">
        <v>54</v>
      </c>
      <c r="H5927" s="2" t="s">
        <v>20</v>
      </c>
      <c r="I5927" s="2" t="s">
        <v>12328</v>
      </c>
      <c r="J5927" s="3" t="str">
        <f>HYPERLINK("https://www.boe.es/gazeta/dias/1813/07/03/pdfs/GRE-1813-83.pdf#page=3","Abrir facsímil")</f>
        <v>Abrir facsímil</v>
      </c>
      <c r="K5927" s="3" t="s">
        <v>22</v>
      </c>
    </row>
    <row r="5928" spans="1:11" ht="42" customHeight="1">
      <c r="A5928" s="2" t="s">
        <v>12325</v>
      </c>
      <c r="B5928" s="2" t="s">
        <v>12325</v>
      </c>
      <c r="C5928" s="2" t="s">
        <v>16</v>
      </c>
      <c r="D5928" s="2" t="s">
        <v>17</v>
      </c>
      <c r="E5928" s="5">
        <v>-31500</v>
      </c>
      <c r="F5928" s="3" t="s">
        <v>938</v>
      </c>
      <c r="G5928" s="3" t="s">
        <v>19</v>
      </c>
      <c r="H5928" s="2" t="s">
        <v>20</v>
      </c>
      <c r="I5928" s="2" t="s">
        <v>12329</v>
      </c>
      <c r="J5928" s="3" t="str">
        <f>HYPERLINK("https://www.boe.es/gazeta/dias/1813/10/02/pdfs/GMR-1813-52.pdf#page=4","Abrir facsímil")</f>
        <v>Abrir facsímil</v>
      </c>
      <c r="K5928" s="3" t="s">
        <v>22</v>
      </c>
    </row>
    <row r="5929" spans="1:11" ht="42" customHeight="1">
      <c r="A5929" s="2" t="s">
        <v>12325</v>
      </c>
      <c r="B5929" s="2" t="s">
        <v>12325</v>
      </c>
      <c r="C5929" s="2" t="s">
        <v>16</v>
      </c>
      <c r="D5929" s="2" t="s">
        <v>97</v>
      </c>
      <c r="E5929" s="5">
        <v>-31499</v>
      </c>
      <c r="F5929" s="3" t="s">
        <v>220</v>
      </c>
      <c r="G5929" s="3" t="s">
        <v>207</v>
      </c>
      <c r="H5929" s="2" t="s">
        <v>20</v>
      </c>
      <c r="I5929" s="2" t="s">
        <v>12330</v>
      </c>
      <c r="J5929" s="3" t="str">
        <f>HYPERLINK("https://www.boe.es/gazeta/dias/1813/10/03/pdfs/GMR-1813-53E.pdf#page=10","Abrir facsímil")</f>
        <v>Abrir facsímil</v>
      </c>
      <c r="K5929" s="3" t="s">
        <v>22</v>
      </c>
    </row>
    <row r="5930" spans="1:11" ht="42" customHeight="1">
      <c r="A5930" s="2" t="s">
        <v>12331</v>
      </c>
      <c r="B5930" s="2" t="s">
        <v>12332</v>
      </c>
      <c r="C5930" s="2" t="s">
        <v>16</v>
      </c>
      <c r="D5930" s="2" t="s">
        <v>97</v>
      </c>
      <c r="E5930" s="5">
        <v>-31519</v>
      </c>
      <c r="F5930" s="3" t="s">
        <v>312</v>
      </c>
      <c r="G5930" s="3" t="s">
        <v>28</v>
      </c>
      <c r="H5930" s="2" t="s">
        <v>20</v>
      </c>
      <c r="I5930" s="2" t="s">
        <v>12333</v>
      </c>
      <c r="J5930" s="3" t="str">
        <f>HYPERLINK("https://www.boe.es/gazeta/dias/1813/09/13/pdfs/GRE-1813-118E.pdf#page=8","Abrir facsímil")</f>
        <v>Abrir facsímil</v>
      </c>
      <c r="K5930" s="3" t="s">
        <v>22</v>
      </c>
    </row>
    <row r="5931" spans="1:11" ht="42" customHeight="1">
      <c r="A5931" s="2" t="s">
        <v>12334</v>
      </c>
      <c r="B5931" s="2" t="s">
        <v>12335</v>
      </c>
      <c r="C5931" s="2" t="s">
        <v>6059</v>
      </c>
      <c r="D5931" s="2" t="s">
        <v>35</v>
      </c>
      <c r="E5931" s="5">
        <v>-31689</v>
      </c>
      <c r="F5931" s="3" t="s">
        <v>48</v>
      </c>
      <c r="G5931" s="3" t="s">
        <v>49</v>
      </c>
      <c r="H5931" s="2" t="s">
        <v>20</v>
      </c>
      <c r="I5931" s="2" t="s">
        <v>12336</v>
      </c>
      <c r="J5931" s="3" t="str">
        <f>HYPERLINK("https://www.boe.es/gazeta/dias/1813/03/27/pdfs/GRE-1813-38.pdf#page=7","Abrir facsímil")</f>
        <v>Abrir facsímil</v>
      </c>
      <c r="K5931" s="3" t="s">
        <v>22</v>
      </c>
    </row>
    <row r="5932" spans="1:11" ht="42" customHeight="1">
      <c r="A5932" s="2" t="s">
        <v>12337</v>
      </c>
      <c r="B5932" s="2" t="s">
        <v>12338</v>
      </c>
      <c r="C5932" s="2" t="s">
        <v>187</v>
      </c>
      <c r="D5932" s="2" t="s">
        <v>26</v>
      </c>
      <c r="E5932" s="5">
        <v>-31752</v>
      </c>
      <c r="F5932" s="3" t="s">
        <v>182</v>
      </c>
      <c r="G5932" s="3" t="s">
        <v>183</v>
      </c>
      <c r="H5932" s="2" t="s">
        <v>20</v>
      </c>
      <c r="I5932" s="2" t="s">
        <v>12339</v>
      </c>
      <c r="J5932" s="3" t="str">
        <f>HYPERLINK("https://www.boe.es/gazeta/dias/1813/01/23/pdfs/GRE-1813-10.pdf#page=8","Abrir facsímil")</f>
        <v>Abrir facsímil</v>
      </c>
      <c r="K5932" s="3" t="s">
        <v>22</v>
      </c>
    </row>
    <row r="5933" spans="1:11" ht="42" customHeight="1">
      <c r="A5933" s="2" t="s">
        <v>12340</v>
      </c>
      <c r="B5933" s="2" t="s">
        <v>12340</v>
      </c>
      <c r="C5933" s="2" t="s">
        <v>16</v>
      </c>
      <c r="D5933" s="2" t="s">
        <v>17</v>
      </c>
      <c r="E5933" s="5">
        <v>-31733</v>
      </c>
      <c r="F5933" s="3" t="s">
        <v>3036</v>
      </c>
      <c r="G5933" s="3" t="s">
        <v>7278</v>
      </c>
      <c r="H5933" s="2" t="s">
        <v>20</v>
      </c>
      <c r="I5933" s="2" t="s">
        <v>12341</v>
      </c>
      <c r="J5933" s="3" t="str">
        <f>HYPERLINK("https://www.boe.es/gazeta/dias/1813/02/11/pdfs/GRE-1813-18.pdf#page=4","Abrir facsímil")</f>
        <v>Abrir facsímil</v>
      </c>
      <c r="K5933" s="3" t="s">
        <v>22</v>
      </c>
    </row>
    <row r="5934" spans="1:11" ht="42" customHeight="1">
      <c r="A5934" s="2" t="s">
        <v>12342</v>
      </c>
      <c r="B5934" s="2" t="s">
        <v>12342</v>
      </c>
      <c r="C5934" s="2" t="s">
        <v>16</v>
      </c>
      <c r="D5934" s="2" t="s">
        <v>17</v>
      </c>
      <c r="E5934" s="5">
        <v>-31430</v>
      </c>
      <c r="F5934" s="3" t="s">
        <v>1731</v>
      </c>
      <c r="G5934" s="3" t="s">
        <v>65</v>
      </c>
      <c r="H5934" s="2" t="s">
        <v>20</v>
      </c>
      <c r="I5934" s="2" t="s">
        <v>12343</v>
      </c>
      <c r="J5934" s="3" t="str">
        <f>HYPERLINK("https://www.boe.es/gazeta/dias/1813/12/11/pdfs/GRE-1813-163.pdf#page=1","Abrir facsímil")</f>
        <v>Abrir facsímil</v>
      </c>
      <c r="K5934" s="3" t="s">
        <v>22</v>
      </c>
    </row>
    <row r="5935" spans="1:11" ht="42" customHeight="1">
      <c r="A5935" s="2" t="s">
        <v>12344</v>
      </c>
      <c r="B5935" s="2" t="s">
        <v>12344</v>
      </c>
      <c r="C5935" s="2" t="s">
        <v>16</v>
      </c>
      <c r="D5935" s="2" t="s">
        <v>17</v>
      </c>
      <c r="E5935" s="5">
        <v>-31497</v>
      </c>
      <c r="F5935" s="3" t="s">
        <v>223</v>
      </c>
      <c r="G5935" s="3" t="s">
        <v>82</v>
      </c>
      <c r="H5935" s="2" t="s">
        <v>20</v>
      </c>
      <c r="I5935" s="2" t="s">
        <v>12345</v>
      </c>
      <c r="J5935" s="3" t="str">
        <f>HYPERLINK("https://www.boe.es/gazeta/dias/1813/10/05/pdfs/GRE-1813-130.pdf#page=5","Abrir facsímil")</f>
        <v>Abrir facsímil</v>
      </c>
      <c r="K5935" s="3" t="s">
        <v>22</v>
      </c>
    </row>
    <row r="5936" spans="1:11" ht="42" customHeight="1">
      <c r="A5936" s="2" t="s">
        <v>12346</v>
      </c>
      <c r="B5936" s="2" t="s">
        <v>12347</v>
      </c>
      <c r="C5936" s="2" t="s">
        <v>25</v>
      </c>
      <c r="D5936" s="2" t="s">
        <v>26</v>
      </c>
      <c r="E5936" s="5">
        <v>-31578</v>
      </c>
      <c r="F5936" s="3" t="s">
        <v>974</v>
      </c>
      <c r="G5936" s="3" t="s">
        <v>258</v>
      </c>
      <c r="H5936" s="2" t="s">
        <v>29</v>
      </c>
      <c r="I5936" s="2" t="s">
        <v>12348</v>
      </c>
      <c r="J5936" s="3" t="str">
        <f>HYPERLINK("https://www.boe.es/gazeta/dias/1813/07/16/pdfs/GMR-1813-18.pdf#page=12","Abrir facsímil")</f>
        <v>Abrir facsímil</v>
      </c>
      <c r="K5936" s="3" t="s">
        <v>31</v>
      </c>
    </row>
    <row r="5937" spans="1:11" ht="42" customHeight="1">
      <c r="A5937" s="2" t="s">
        <v>12349</v>
      </c>
      <c r="B5937" s="2" t="s">
        <v>12350</v>
      </c>
      <c r="C5937" s="2" t="s">
        <v>34</v>
      </c>
      <c r="D5937" s="2" t="s">
        <v>35</v>
      </c>
      <c r="E5937" s="5">
        <v>-31709</v>
      </c>
      <c r="F5937" s="3" t="s">
        <v>36</v>
      </c>
      <c r="G5937" s="3" t="s">
        <v>303</v>
      </c>
      <c r="H5937" s="2" t="s">
        <v>29</v>
      </c>
      <c r="I5937" s="2" t="s">
        <v>12351</v>
      </c>
      <c r="J5937" s="3" t="str">
        <f>HYPERLINK("https://www.boe.es/gazeta/dias/1813/03/07/pdfs/GMD-1813-66.pdf#page=3","Abrir facsímil")</f>
        <v>Abrir facsímil</v>
      </c>
      <c r="K5937" s="3" t="s">
        <v>31</v>
      </c>
    </row>
    <row r="5938" spans="1:11" ht="42" customHeight="1">
      <c r="A5938" s="2" t="s">
        <v>12352</v>
      </c>
      <c r="B5938" s="2" t="s">
        <v>12353</v>
      </c>
      <c r="C5938" s="2" t="s">
        <v>16</v>
      </c>
      <c r="D5938" s="2" t="s">
        <v>17</v>
      </c>
      <c r="E5938" s="5">
        <v>-31458</v>
      </c>
      <c r="F5938" s="3" t="s">
        <v>1171</v>
      </c>
      <c r="G5938" s="3" t="s">
        <v>28</v>
      </c>
      <c r="H5938" s="2" t="s">
        <v>29</v>
      </c>
      <c r="I5938" s="2" t="s">
        <v>12354</v>
      </c>
      <c r="J5938" s="3" t="str">
        <f>HYPERLINK("https://www.boe.es/gazeta/dias/1813/11/13/pdfs/GRE-1813-149.pdf#page=8","Abrir facsímil")</f>
        <v>Abrir facsímil</v>
      </c>
      <c r="K5938" s="3" t="s">
        <v>31</v>
      </c>
    </row>
    <row r="5939" spans="1:11" ht="42" customHeight="1">
      <c r="A5939" s="2" t="s">
        <v>12355</v>
      </c>
      <c r="B5939" s="2" t="s">
        <v>12355</v>
      </c>
      <c r="C5939" s="2" t="s">
        <v>16</v>
      </c>
      <c r="D5939" s="2" t="s">
        <v>17</v>
      </c>
      <c r="E5939" s="5">
        <v>-31458</v>
      </c>
      <c r="F5939" s="3" t="s">
        <v>1171</v>
      </c>
      <c r="G5939" s="3" t="s">
        <v>8629</v>
      </c>
      <c r="H5939" s="2" t="s">
        <v>20</v>
      </c>
      <c r="I5939" s="2" t="s">
        <v>12356</v>
      </c>
      <c r="J5939" s="3" t="str">
        <f>HYPERLINK("https://www.boe.es/gazeta/dias/1813/11/13/pdfs/GRE-1813-149.pdf#page=5","Abrir facsímil")</f>
        <v>Abrir facsímil</v>
      </c>
      <c r="K5939" s="3" t="s">
        <v>22</v>
      </c>
    </row>
    <row r="5940" spans="1:11" ht="42" customHeight="1">
      <c r="A5940" s="2" t="s">
        <v>12357</v>
      </c>
      <c r="B5940" s="2" t="s">
        <v>12358</v>
      </c>
      <c r="C5940" s="2" t="s">
        <v>16</v>
      </c>
      <c r="D5940" s="2" t="s">
        <v>17</v>
      </c>
      <c r="E5940" s="5">
        <v>-31486</v>
      </c>
      <c r="F5940" s="3" t="s">
        <v>1284</v>
      </c>
      <c r="G5940" s="3" t="s">
        <v>28</v>
      </c>
      <c r="H5940" s="2" t="s">
        <v>29</v>
      </c>
      <c r="I5940" s="2" t="s">
        <v>12359</v>
      </c>
      <c r="J5940" s="3" t="str">
        <f>HYPERLINK("https://www.boe.es/gazeta/dias/1813/10/16/pdfs/GMR-1813-60.pdf#page=8","Abrir facsímil")</f>
        <v>Abrir facsímil</v>
      </c>
      <c r="K5940" s="3" t="s">
        <v>31</v>
      </c>
    </row>
    <row r="5941" spans="1:11" ht="42" customHeight="1">
      <c r="A5941" s="2" t="s">
        <v>12360</v>
      </c>
      <c r="B5941" s="2" t="s">
        <v>12360</v>
      </c>
      <c r="C5941" s="2" t="s">
        <v>16</v>
      </c>
      <c r="D5941" s="2" t="s">
        <v>17</v>
      </c>
      <c r="E5941" s="5">
        <v>-31570</v>
      </c>
      <c r="F5941" s="3" t="s">
        <v>1803</v>
      </c>
      <c r="G5941" s="3" t="s">
        <v>95</v>
      </c>
      <c r="H5941" s="2" t="s">
        <v>20</v>
      </c>
      <c r="I5941" s="2" t="s">
        <v>12361</v>
      </c>
      <c r="J5941" s="3" t="str">
        <f>HYPERLINK("https://www.boe.es/gazeta/dias/1813/07/24/pdfs/GRE-1813-94.pdf#page=6","Abrir facsímil")</f>
        <v>Abrir facsímil</v>
      </c>
      <c r="K5941" s="3" t="s">
        <v>22</v>
      </c>
    </row>
    <row r="5942" spans="1:11" ht="42" customHeight="1">
      <c r="A5942" s="2" t="s">
        <v>12362</v>
      </c>
      <c r="B5942" s="2" t="s">
        <v>12363</v>
      </c>
      <c r="C5942" s="2" t="s">
        <v>16</v>
      </c>
      <c r="D5942" s="2" t="s">
        <v>17</v>
      </c>
      <c r="E5942" s="5">
        <v>-31559</v>
      </c>
      <c r="F5942" s="3" t="s">
        <v>1485</v>
      </c>
      <c r="G5942" s="3" t="s">
        <v>1486</v>
      </c>
      <c r="H5942" s="2" t="s">
        <v>20</v>
      </c>
      <c r="I5942" s="2" t="s">
        <v>12364</v>
      </c>
      <c r="J5942" s="3" t="str">
        <f>HYPERLINK("https://www.boe.es/gazeta/dias/1813/08/04/pdfs/GRE-1813-113.pdf#page=8","Abrir facsímil")</f>
        <v>Abrir facsímil</v>
      </c>
      <c r="K5942" s="3" t="s">
        <v>22</v>
      </c>
    </row>
    <row r="5943" spans="1:11" ht="42" customHeight="1">
      <c r="A5943" s="2" t="s">
        <v>12362</v>
      </c>
      <c r="B5943" s="2" t="s">
        <v>12363</v>
      </c>
      <c r="C5943" s="2" t="s">
        <v>16</v>
      </c>
      <c r="D5943" s="2" t="s">
        <v>17</v>
      </c>
      <c r="E5943" s="5">
        <v>-31528</v>
      </c>
      <c r="F5943" s="3" t="s">
        <v>1485</v>
      </c>
      <c r="G5943" s="3" t="s">
        <v>1486</v>
      </c>
      <c r="H5943" s="2" t="s">
        <v>20</v>
      </c>
      <c r="I5943" s="2" t="s">
        <v>12364</v>
      </c>
      <c r="J5943" s="3" t="str">
        <f>HYPERLINK("https://www.boe.es/gazeta/dias/1813/09/04/pdfs/GRE-1813-113.pdf#page=8","Abrir facsímil")</f>
        <v>Abrir facsímil</v>
      </c>
      <c r="K5943" s="3" t="s">
        <v>22</v>
      </c>
    </row>
    <row r="5944" spans="1:11" ht="42" customHeight="1">
      <c r="A5944" s="2" t="s">
        <v>12365</v>
      </c>
      <c r="B5944" s="2" t="s">
        <v>12366</v>
      </c>
      <c r="C5944" s="2" t="s">
        <v>25</v>
      </c>
      <c r="D5944" s="2" t="s">
        <v>26</v>
      </c>
      <c r="E5944" s="5">
        <v>-31551</v>
      </c>
      <c r="F5944" s="3" t="s">
        <v>4349</v>
      </c>
      <c r="G5944" s="3" t="s">
        <v>87</v>
      </c>
      <c r="H5944" s="2" t="s">
        <v>20</v>
      </c>
      <c r="I5944" s="2" t="s">
        <v>12367</v>
      </c>
      <c r="J5944" s="3" t="str">
        <f>HYPERLINK("https://www.boe.es/gazeta/dias/1813/08/12/pdfs/GRE-1813-102.pdf#page=7","Abrir facsímil")</f>
        <v>Abrir facsímil</v>
      </c>
      <c r="K5944" s="3" t="s">
        <v>22</v>
      </c>
    </row>
    <row r="5945" spans="1:11" ht="42" customHeight="1">
      <c r="A5945" s="2" t="s">
        <v>12368</v>
      </c>
      <c r="B5945" s="2" t="s">
        <v>12368</v>
      </c>
      <c r="C5945" s="2" t="s">
        <v>16</v>
      </c>
      <c r="D5945" s="2" t="s">
        <v>17</v>
      </c>
      <c r="E5945" s="5">
        <v>-31677</v>
      </c>
      <c r="F5945" s="3" t="s">
        <v>76</v>
      </c>
      <c r="G5945" s="3" t="s">
        <v>65</v>
      </c>
      <c r="H5945" s="2" t="s">
        <v>20</v>
      </c>
      <c r="I5945" s="2" t="s">
        <v>12369</v>
      </c>
      <c r="J5945" s="3" t="str">
        <f>HYPERLINK("https://www.boe.es/gazeta/dias/1813/04/08/pdfs/GRE-1813-43.pdf#page=1","Abrir facsímil")</f>
        <v>Abrir facsímil</v>
      </c>
      <c r="K5945" s="3" t="s">
        <v>22</v>
      </c>
    </row>
    <row r="5946" spans="1:11" ht="42" customHeight="1">
      <c r="A5946" s="2" t="s">
        <v>12370</v>
      </c>
      <c r="B5946" s="2" t="s">
        <v>12370</v>
      </c>
      <c r="C5946" s="2" t="s">
        <v>34</v>
      </c>
      <c r="D5946" s="2" t="s">
        <v>35</v>
      </c>
      <c r="E5946" s="5">
        <v>-31709</v>
      </c>
      <c r="F5946" s="3" t="s">
        <v>36</v>
      </c>
      <c r="G5946" s="3" t="s">
        <v>303</v>
      </c>
      <c r="H5946" s="2" t="s">
        <v>20</v>
      </c>
      <c r="I5946" s="2" t="s">
        <v>12371</v>
      </c>
      <c r="J5946" s="3" t="str">
        <f>HYPERLINK("https://www.boe.es/gazeta/dias/1813/03/07/pdfs/GMD-1813-66.pdf#page=3","Abrir facsímil")</f>
        <v>Abrir facsímil</v>
      </c>
      <c r="K5946" s="3" t="s">
        <v>22</v>
      </c>
    </row>
    <row r="5947" spans="1:11" ht="42" customHeight="1">
      <c r="A5947" s="2" t="s">
        <v>12372</v>
      </c>
      <c r="B5947" s="2" t="s">
        <v>12373</v>
      </c>
      <c r="C5947" s="2" t="s">
        <v>16</v>
      </c>
      <c r="D5947" s="2" t="s">
        <v>97</v>
      </c>
      <c r="E5947" s="5">
        <v>-31445</v>
      </c>
      <c r="F5947" s="3" t="s">
        <v>299</v>
      </c>
      <c r="G5947" s="3" t="s">
        <v>87</v>
      </c>
      <c r="H5947" s="2" t="s">
        <v>20</v>
      </c>
      <c r="I5947" s="2" t="s">
        <v>12374</v>
      </c>
      <c r="J5947" s="3" t="str">
        <f>HYPERLINK("https://www.boe.es/gazeta/dias/1813/11/26/pdfs/GRE-1813-156E.pdf#page=7","Abrir facsímil")</f>
        <v>Abrir facsímil</v>
      </c>
      <c r="K5947" s="3" t="s">
        <v>22</v>
      </c>
    </row>
    <row r="5948" spans="1:11" ht="42" customHeight="1">
      <c r="A5948" s="2" t="s">
        <v>12372</v>
      </c>
      <c r="B5948" s="2" t="s">
        <v>12373</v>
      </c>
      <c r="C5948" s="2" t="s">
        <v>16</v>
      </c>
      <c r="D5948" s="2" t="s">
        <v>17</v>
      </c>
      <c r="E5948" s="5">
        <v>-31432</v>
      </c>
      <c r="F5948" s="3" t="s">
        <v>702</v>
      </c>
      <c r="G5948" s="3" t="s">
        <v>87</v>
      </c>
      <c r="H5948" s="2" t="s">
        <v>20</v>
      </c>
      <c r="I5948" s="2" t="s">
        <v>12375</v>
      </c>
      <c r="J5948" s="3" t="str">
        <f>HYPERLINK("https://www.boe.es/gazeta/dias/1813/12/09/pdfs/GMR-1813-85.pdf#page=7","Abrir facsímil")</f>
        <v>Abrir facsímil</v>
      </c>
      <c r="K5948" s="3" t="s">
        <v>22</v>
      </c>
    </row>
    <row r="5949" spans="1:11" ht="42" customHeight="1">
      <c r="A5949" s="2" t="s">
        <v>12376</v>
      </c>
      <c r="B5949" s="2" t="s">
        <v>12377</v>
      </c>
      <c r="C5949" s="2" t="s">
        <v>16</v>
      </c>
      <c r="D5949" s="2" t="s">
        <v>17</v>
      </c>
      <c r="E5949" s="5">
        <v>-31598</v>
      </c>
      <c r="F5949" s="3" t="s">
        <v>286</v>
      </c>
      <c r="G5949" s="3" t="s">
        <v>19</v>
      </c>
      <c r="H5949" s="2" t="s">
        <v>20</v>
      </c>
      <c r="I5949" s="2" t="s">
        <v>12378</v>
      </c>
      <c r="J5949" s="3" t="str">
        <f>HYPERLINK("https://www.boe.es/gazeta/dias/1813/06/26/pdfs/GRE-1813-79.pdf#page=4","Abrir facsímil")</f>
        <v>Abrir facsímil</v>
      </c>
      <c r="K5949" s="3" t="s">
        <v>22</v>
      </c>
    </row>
    <row r="5950" spans="1:11" ht="42" customHeight="1">
      <c r="A5950" s="2" t="s">
        <v>12379</v>
      </c>
      <c r="B5950" s="2" t="s">
        <v>12380</v>
      </c>
      <c r="C5950" s="2" t="s">
        <v>34</v>
      </c>
      <c r="D5950" s="2" t="s">
        <v>35</v>
      </c>
      <c r="E5950" s="5">
        <v>-31430</v>
      </c>
      <c r="F5950" s="3" t="s">
        <v>1161</v>
      </c>
      <c r="G5950" s="3" t="s">
        <v>87</v>
      </c>
      <c r="H5950" s="2" t="s">
        <v>20</v>
      </c>
      <c r="I5950" s="2" t="s">
        <v>12381</v>
      </c>
      <c r="J5950" s="3" t="str">
        <f>HYPERLINK("https://www.boe.es/gazeta/dias/1813/12/11/pdfs/GMR-1813-86.pdf#page=7","Abrir facsímil")</f>
        <v>Abrir facsímil</v>
      </c>
      <c r="K5950" s="3" t="s">
        <v>22</v>
      </c>
    </row>
    <row r="5951" spans="1:11" ht="42" customHeight="1">
      <c r="A5951" s="2" t="s">
        <v>12382</v>
      </c>
      <c r="B5951" s="2" t="s">
        <v>12383</v>
      </c>
      <c r="C5951" s="2" t="s">
        <v>16</v>
      </c>
      <c r="D5951" s="2" t="s">
        <v>17</v>
      </c>
      <c r="E5951" s="5">
        <v>-31570</v>
      </c>
      <c r="F5951" s="3" t="s">
        <v>1803</v>
      </c>
      <c r="G5951" s="3" t="s">
        <v>82</v>
      </c>
      <c r="H5951" s="2" t="s">
        <v>20</v>
      </c>
      <c r="I5951" s="2" t="s">
        <v>12384</v>
      </c>
      <c r="J5951" s="3" t="str">
        <f>HYPERLINK("https://www.boe.es/gazeta/dias/1813/07/24/pdfs/GRE-1813-94.pdf#page=5","Abrir facsímil")</f>
        <v>Abrir facsímil</v>
      </c>
      <c r="K5951" s="3" t="s">
        <v>22</v>
      </c>
    </row>
    <row r="5952" spans="1:11" ht="42" customHeight="1">
      <c r="A5952" s="2" t="s">
        <v>12385</v>
      </c>
      <c r="B5952" s="2" t="s">
        <v>12386</v>
      </c>
      <c r="C5952" s="2" t="s">
        <v>25</v>
      </c>
      <c r="D5952" s="2" t="s">
        <v>26</v>
      </c>
      <c r="E5952" s="5">
        <v>-31551</v>
      </c>
      <c r="F5952" s="3" t="s">
        <v>4349</v>
      </c>
      <c r="G5952" s="3" t="s">
        <v>95</v>
      </c>
      <c r="H5952" s="2" t="s">
        <v>20</v>
      </c>
      <c r="I5952" s="2" t="s">
        <v>12387</v>
      </c>
      <c r="J5952" s="3" t="str">
        <f>HYPERLINK("https://www.boe.es/gazeta/dias/1813/08/12/pdfs/GRE-1813-102.pdf#page=6","Abrir facsímil")</f>
        <v>Abrir facsímil</v>
      </c>
      <c r="K5952" s="3" t="s">
        <v>22</v>
      </c>
    </row>
    <row r="5953" spans="1:11" ht="42" customHeight="1">
      <c r="A5953" s="2" t="s">
        <v>12388</v>
      </c>
      <c r="B5953" s="2" t="s">
        <v>12389</v>
      </c>
      <c r="C5953" s="2" t="s">
        <v>16</v>
      </c>
      <c r="D5953" s="2" t="s">
        <v>17</v>
      </c>
      <c r="E5953" s="5">
        <v>-31458</v>
      </c>
      <c r="F5953" s="3" t="s">
        <v>1171</v>
      </c>
      <c r="G5953" s="3" t="s">
        <v>28</v>
      </c>
      <c r="H5953" s="2" t="s">
        <v>20</v>
      </c>
      <c r="I5953" s="2" t="s">
        <v>12390</v>
      </c>
      <c r="J5953" s="3" t="str">
        <f>HYPERLINK("https://www.boe.es/gazeta/dias/1813/11/13/pdfs/GRE-1813-149.pdf#page=8","Abrir facsímil")</f>
        <v>Abrir facsímil</v>
      </c>
      <c r="K5953" s="3" t="s">
        <v>22</v>
      </c>
    </row>
    <row r="5954" spans="1:11" ht="42" customHeight="1">
      <c r="A5954" s="2" t="s">
        <v>12391</v>
      </c>
      <c r="B5954" s="2" t="s">
        <v>12391</v>
      </c>
      <c r="C5954" s="2" t="s">
        <v>16</v>
      </c>
      <c r="D5954" s="2" t="s">
        <v>17</v>
      </c>
      <c r="E5954" s="5">
        <v>-31592</v>
      </c>
      <c r="F5954" s="3" t="s">
        <v>175</v>
      </c>
      <c r="G5954" s="3" t="s">
        <v>54</v>
      </c>
      <c r="H5954" s="2" t="s">
        <v>20</v>
      </c>
      <c r="I5954" s="2" t="s">
        <v>12392</v>
      </c>
      <c r="J5954" s="3" t="str">
        <f>HYPERLINK("https://www.boe.es/gazeta/dias/1813/07/02/pdfs/GRE-1813-82.pdf#page=3","Abrir facsímil")</f>
        <v>Abrir facsímil</v>
      </c>
      <c r="K5954" s="3" t="s">
        <v>22</v>
      </c>
    </row>
    <row r="5955" spans="1:11" ht="42" customHeight="1">
      <c r="A5955" s="2" t="s">
        <v>12391</v>
      </c>
      <c r="B5955" s="2" t="s">
        <v>12391</v>
      </c>
      <c r="C5955" s="2" t="s">
        <v>16</v>
      </c>
      <c r="D5955" s="2" t="s">
        <v>17</v>
      </c>
      <c r="E5955" s="5">
        <v>-31585</v>
      </c>
      <c r="F5955" s="3" t="s">
        <v>177</v>
      </c>
      <c r="G5955" s="3" t="s">
        <v>28</v>
      </c>
      <c r="H5955" s="2" t="s">
        <v>20</v>
      </c>
      <c r="I5955" s="2" t="s">
        <v>12393</v>
      </c>
      <c r="J5955" s="3" t="str">
        <f>HYPERLINK("https://www.boe.es/gazeta/dias/1813/07/09/pdfs/GMR-1813-16.pdf#page=8","Abrir facsímil")</f>
        <v>Abrir facsímil</v>
      </c>
      <c r="K5955" s="3" t="s">
        <v>22</v>
      </c>
    </row>
    <row r="5956" spans="1:11" ht="42" customHeight="1">
      <c r="A5956" s="2" t="s">
        <v>12391</v>
      </c>
      <c r="B5956" s="2" t="s">
        <v>12391</v>
      </c>
      <c r="C5956" s="2" t="s">
        <v>16</v>
      </c>
      <c r="D5956" s="2" t="s">
        <v>17</v>
      </c>
      <c r="E5956" s="5">
        <v>-31582</v>
      </c>
      <c r="F5956" s="3" t="s">
        <v>907</v>
      </c>
      <c r="G5956" s="3" t="s">
        <v>19</v>
      </c>
      <c r="H5956" s="2" t="s">
        <v>20</v>
      </c>
      <c r="I5956" s="2" t="s">
        <v>12394</v>
      </c>
      <c r="J5956" s="3" t="str">
        <f>HYPERLINK("https://www.boe.es/gazeta/dias/1813/07/12/pdfs/GRE-1813-87.pdf#page=4","Abrir facsímil")</f>
        <v>Abrir facsímil</v>
      </c>
      <c r="K5956" s="3" t="s">
        <v>22</v>
      </c>
    </row>
    <row r="5957" spans="1:11" ht="42" customHeight="1">
      <c r="A5957" s="2" t="s">
        <v>12391</v>
      </c>
      <c r="B5957" s="2" t="s">
        <v>12391</v>
      </c>
      <c r="C5957" s="2" t="s">
        <v>16</v>
      </c>
      <c r="D5957" s="2" t="s">
        <v>17</v>
      </c>
      <c r="E5957" s="5">
        <v>-31571</v>
      </c>
      <c r="F5957" s="3" t="s">
        <v>788</v>
      </c>
      <c r="G5957" s="3" t="s">
        <v>910</v>
      </c>
      <c r="H5957" s="2" t="s">
        <v>20</v>
      </c>
      <c r="I5957" s="2" t="s">
        <v>12395</v>
      </c>
      <c r="J5957" s="3" t="str">
        <f>HYPERLINK("https://www.boe.es/gazeta/dias/1813/07/23/pdfs/GMR-1813-20.pdf#page=10","Abrir facsímil")</f>
        <v>Abrir facsímil</v>
      </c>
      <c r="K5957" s="3" t="s">
        <v>22</v>
      </c>
    </row>
    <row r="5958" spans="1:11" ht="42" customHeight="1">
      <c r="A5958" s="2" t="s">
        <v>12396</v>
      </c>
      <c r="B5958" s="2" t="s">
        <v>12397</v>
      </c>
      <c r="C5958" s="2" t="s">
        <v>25</v>
      </c>
      <c r="D5958" s="2" t="s">
        <v>26</v>
      </c>
      <c r="E5958" s="5">
        <v>-31549</v>
      </c>
      <c r="F5958" s="3" t="s">
        <v>294</v>
      </c>
      <c r="G5958" s="3" t="s">
        <v>54</v>
      </c>
      <c r="H5958" s="2" t="s">
        <v>20</v>
      </c>
      <c r="I5958" s="2" t="s">
        <v>12398</v>
      </c>
      <c r="J5958" s="3" t="str">
        <f>HYPERLINK("https://www.boe.es/gazeta/dias/1813/08/14/pdfs/GRE-1813-103.pdf#page=3","Abrir facsímil")</f>
        <v>Abrir facsímil</v>
      </c>
      <c r="K5958" s="3" t="s">
        <v>22</v>
      </c>
    </row>
    <row r="5959" spans="1:11" ht="42" customHeight="1">
      <c r="A5959" s="2" t="s">
        <v>12399</v>
      </c>
      <c r="B5959" s="2" t="s">
        <v>12400</v>
      </c>
      <c r="C5959" s="2" t="s">
        <v>16</v>
      </c>
      <c r="D5959" s="2" t="s">
        <v>17</v>
      </c>
      <c r="E5959" s="5">
        <v>-31642</v>
      </c>
      <c r="F5959" s="3" t="s">
        <v>582</v>
      </c>
      <c r="G5959" s="3" t="s">
        <v>1229</v>
      </c>
      <c r="H5959" s="2" t="s">
        <v>29</v>
      </c>
      <c r="I5959" s="2" t="s">
        <v>12401</v>
      </c>
      <c r="J5959" s="3" t="str">
        <f>HYPERLINK("https://www.boe.es/gazeta/dias/1813/05/13/pdfs/GRE-1813-59.pdf#page=5","Abrir facsímil")</f>
        <v>Abrir facsímil</v>
      </c>
      <c r="K5959" s="3" t="s">
        <v>31</v>
      </c>
    </row>
    <row r="5960" spans="1:11" ht="42" customHeight="1">
      <c r="A5960" s="2" t="s">
        <v>12402</v>
      </c>
      <c r="B5960" s="2" t="s">
        <v>12403</v>
      </c>
      <c r="C5960" s="2" t="s">
        <v>16</v>
      </c>
      <c r="D5960" s="2" t="s">
        <v>17</v>
      </c>
      <c r="E5960" s="5">
        <v>-31633</v>
      </c>
      <c r="F5960" s="3" t="s">
        <v>875</v>
      </c>
      <c r="G5960" s="3" t="s">
        <v>9870</v>
      </c>
      <c r="H5960" s="2" t="s">
        <v>20</v>
      </c>
      <c r="I5960" s="2" t="s">
        <v>12404</v>
      </c>
      <c r="J5960" s="3" t="str">
        <f>HYPERLINK("https://www.boe.es/gazeta/dias/1813/05/22/pdfs/GRE-1813-63.pdf#page=3","Abrir facsímil")</f>
        <v>Abrir facsímil</v>
      </c>
      <c r="K5960" s="3" t="s">
        <v>22</v>
      </c>
    </row>
    <row r="5961" spans="1:11" ht="42" customHeight="1">
      <c r="A5961" s="2" t="s">
        <v>12405</v>
      </c>
      <c r="B5961" s="2" t="s">
        <v>12406</v>
      </c>
      <c r="C5961" s="2" t="s">
        <v>16</v>
      </c>
      <c r="D5961" s="2" t="s">
        <v>17</v>
      </c>
      <c r="E5961" s="5">
        <v>-31432</v>
      </c>
      <c r="F5961" s="3" t="s">
        <v>803</v>
      </c>
      <c r="G5961" s="3" t="s">
        <v>95</v>
      </c>
      <c r="H5961" s="2" t="s">
        <v>20</v>
      </c>
      <c r="I5961" s="2" t="s">
        <v>12407</v>
      </c>
      <c r="J5961" s="3" t="str">
        <f>HYPERLINK("https://www.boe.es/gazeta/dias/1813/12/09/pdfs/GRE-1813-162.pdf#page=6","Abrir facsímil")</f>
        <v>Abrir facsímil</v>
      </c>
      <c r="K5961" s="3" t="s">
        <v>22</v>
      </c>
    </row>
    <row r="5962" spans="1:11" ht="42" customHeight="1">
      <c r="A5962" s="2" t="s">
        <v>12408</v>
      </c>
      <c r="B5962" s="2" t="s">
        <v>12409</v>
      </c>
      <c r="C5962" s="2" t="s">
        <v>34</v>
      </c>
      <c r="D5962" s="2" t="s">
        <v>35</v>
      </c>
      <c r="E5962" s="5">
        <v>-31581</v>
      </c>
      <c r="F5962" s="3" t="s">
        <v>1321</v>
      </c>
      <c r="G5962" s="3" t="s">
        <v>71</v>
      </c>
      <c r="H5962" s="2" t="s">
        <v>20</v>
      </c>
      <c r="I5962" s="2" t="s">
        <v>12410</v>
      </c>
      <c r="J5962" s="3" t="str">
        <f>HYPERLINK("https://www.boe.es/gazeta/dias/1813/07/13/pdfs/GMR-1813-17.pdf#page=16","Abrir facsímil")</f>
        <v>Abrir facsímil</v>
      </c>
      <c r="K5962" s="3" t="s">
        <v>22</v>
      </c>
    </row>
    <row r="5963" spans="1:11" ht="42" customHeight="1">
      <c r="A5963" s="2" t="s">
        <v>12411</v>
      </c>
      <c r="B5963" s="2" t="s">
        <v>12412</v>
      </c>
      <c r="C5963" s="2" t="s">
        <v>435</v>
      </c>
      <c r="D5963" s="2" t="s">
        <v>26</v>
      </c>
      <c r="E5963" s="5">
        <v>-31472</v>
      </c>
      <c r="F5963" s="3" t="s">
        <v>143</v>
      </c>
      <c r="G5963" s="3" t="s">
        <v>998</v>
      </c>
      <c r="H5963" s="2" t="s">
        <v>20</v>
      </c>
      <c r="I5963" s="2" t="s">
        <v>12413</v>
      </c>
      <c r="J5963" s="3" t="str">
        <f>HYPERLINK("https://www.boe.es/gazeta/dias/1813/10/30/pdfs/GMR-1813-66.pdf#page=6","Abrir facsímil")</f>
        <v>Abrir facsímil</v>
      </c>
      <c r="K5963" s="3" t="s">
        <v>22</v>
      </c>
    </row>
    <row r="5964" spans="1:11" ht="42" customHeight="1">
      <c r="A5964" s="2" t="s">
        <v>12411</v>
      </c>
      <c r="B5964" s="2" t="s">
        <v>12412</v>
      </c>
      <c r="C5964" s="2" t="s">
        <v>25</v>
      </c>
      <c r="D5964" s="2" t="s">
        <v>26</v>
      </c>
      <c r="E5964" s="5">
        <v>-31453</v>
      </c>
      <c r="F5964" s="3" t="s">
        <v>887</v>
      </c>
      <c r="G5964" s="3" t="s">
        <v>929</v>
      </c>
      <c r="H5964" s="2" t="s">
        <v>20</v>
      </c>
      <c r="I5964" s="2" t="s">
        <v>12414</v>
      </c>
      <c r="J5964" s="3" t="str">
        <f>HYPERLINK("https://www.boe.es/gazeta/dias/1813/11/18/pdfs/GMR-1813-76.pdf#page=11","Abrir facsímil")</f>
        <v>Abrir facsímil</v>
      </c>
      <c r="K5964" s="3" t="s">
        <v>22</v>
      </c>
    </row>
    <row r="5965" spans="1:11" ht="42" customHeight="1">
      <c r="A5965" s="2" t="s">
        <v>12415</v>
      </c>
      <c r="B5965" s="2" t="s">
        <v>12415</v>
      </c>
      <c r="C5965" s="2" t="s">
        <v>16</v>
      </c>
      <c r="D5965" s="2" t="s">
        <v>17</v>
      </c>
      <c r="E5965" s="5">
        <v>-31411</v>
      </c>
      <c r="F5965" s="3" t="s">
        <v>2306</v>
      </c>
      <c r="G5965" s="3" t="s">
        <v>58</v>
      </c>
      <c r="H5965" s="2" t="s">
        <v>20</v>
      </c>
      <c r="I5965" s="2" t="s">
        <v>12416</v>
      </c>
      <c r="J5965" s="3" t="str">
        <f>HYPERLINK("https://www.boe.es/gazeta/dias/1813/12/30/pdfs/GMR-1813-94.pdf#page=2","Abrir facsímil")</f>
        <v>Abrir facsímil</v>
      </c>
      <c r="K5965" s="3" t="s">
        <v>22</v>
      </c>
    </row>
    <row r="5966" spans="1:11" ht="42" customHeight="1">
      <c r="A5966" s="2" t="s">
        <v>12417</v>
      </c>
      <c r="B5966" s="2" t="s">
        <v>12417</v>
      </c>
      <c r="C5966" s="2" t="s">
        <v>16</v>
      </c>
      <c r="D5966" s="2" t="s">
        <v>17</v>
      </c>
      <c r="E5966" s="5">
        <v>-31578</v>
      </c>
      <c r="F5966" s="3" t="s">
        <v>974</v>
      </c>
      <c r="G5966" s="3" t="s">
        <v>2367</v>
      </c>
      <c r="H5966" s="2" t="s">
        <v>20</v>
      </c>
      <c r="I5966" s="2" t="s">
        <v>12418</v>
      </c>
      <c r="J5966" s="3" t="str">
        <f>HYPERLINK("https://www.boe.es/gazeta/dias/1813/07/16/pdfs/GMR-1813-18.pdf#page=6","Abrir facsímil")</f>
        <v>Abrir facsímil</v>
      </c>
      <c r="K5966" s="3" t="s">
        <v>22</v>
      </c>
    </row>
    <row r="5967" spans="1:11" ht="42" customHeight="1">
      <c r="A5967" s="2" t="s">
        <v>12419</v>
      </c>
      <c r="B5967" s="2" t="s">
        <v>12419</v>
      </c>
      <c r="C5967" s="2" t="s">
        <v>16</v>
      </c>
      <c r="D5967" s="2" t="s">
        <v>17</v>
      </c>
      <c r="E5967" s="5">
        <v>-31427</v>
      </c>
      <c r="F5967" s="3" t="s">
        <v>489</v>
      </c>
      <c r="G5967" s="3" t="s">
        <v>54</v>
      </c>
      <c r="H5967" s="2" t="s">
        <v>20</v>
      </c>
      <c r="I5967" s="2" t="s">
        <v>12420</v>
      </c>
      <c r="J5967" s="3" t="str">
        <f>HYPERLINK("https://www.boe.es/gazeta/dias/1813/12/14/pdfs/GMR-1813-87.pdf#page=3","Abrir facsímil")</f>
        <v>Abrir facsímil</v>
      </c>
      <c r="K5967" s="3" t="s">
        <v>22</v>
      </c>
    </row>
    <row r="5968" spans="1:11" ht="42" customHeight="1">
      <c r="A5968" s="2" t="s">
        <v>12421</v>
      </c>
      <c r="B5968" s="2" t="s">
        <v>12421</v>
      </c>
      <c r="C5968" s="2" t="s">
        <v>16</v>
      </c>
      <c r="D5968" s="2" t="s">
        <v>17</v>
      </c>
      <c r="E5968" s="5">
        <v>-31588</v>
      </c>
      <c r="F5968" s="3" t="s">
        <v>2402</v>
      </c>
      <c r="G5968" s="3" t="s">
        <v>65</v>
      </c>
      <c r="H5968" s="2" t="s">
        <v>20</v>
      </c>
      <c r="I5968" s="2" t="s">
        <v>12422</v>
      </c>
      <c r="J5968" s="3" t="str">
        <f>HYPERLINK("https://www.boe.es/gazeta/dias/1813/07/06/pdfs/GRE-1813-84.pdf#page=1","Abrir facsímil")</f>
        <v>Abrir facsímil</v>
      </c>
      <c r="K5968" s="3" t="s">
        <v>22</v>
      </c>
    </row>
    <row r="5969" spans="1:11" ht="42" customHeight="1">
      <c r="A5969" s="2" t="s">
        <v>12423</v>
      </c>
      <c r="B5969" s="2" t="s">
        <v>12423</v>
      </c>
      <c r="C5969" s="2" t="s">
        <v>16</v>
      </c>
      <c r="D5969" s="2" t="s">
        <v>17</v>
      </c>
      <c r="E5969" s="5">
        <v>-31537</v>
      </c>
      <c r="F5969" s="3" t="s">
        <v>138</v>
      </c>
      <c r="G5969" s="3" t="s">
        <v>821</v>
      </c>
      <c r="H5969" s="2" t="s">
        <v>20</v>
      </c>
      <c r="I5969" s="2" t="s">
        <v>12424</v>
      </c>
      <c r="J5969" s="3" t="str">
        <f>HYPERLINK("https://www.boe.es/gazeta/dias/1813/08/26/pdfs/GMR-1813-33.pdf#page=13","Abrir facsímil")</f>
        <v>Abrir facsímil</v>
      </c>
      <c r="K5969" s="3" t="s">
        <v>22</v>
      </c>
    </row>
    <row r="5970" spans="1:11" ht="42" customHeight="1">
      <c r="A5970" s="2" t="s">
        <v>12425</v>
      </c>
      <c r="B5970" s="2" t="s">
        <v>12425</v>
      </c>
      <c r="C5970" s="2" t="s">
        <v>16</v>
      </c>
      <c r="D5970" s="2" t="s">
        <v>97</v>
      </c>
      <c r="E5970" s="5">
        <v>-31548</v>
      </c>
      <c r="F5970" s="3" t="s">
        <v>1680</v>
      </c>
      <c r="G5970" s="3" t="s">
        <v>87</v>
      </c>
      <c r="H5970" s="2" t="s">
        <v>20</v>
      </c>
      <c r="I5970" s="2" t="s">
        <v>12426</v>
      </c>
      <c r="J5970" s="3" t="str">
        <f>HYPERLINK("https://www.boe.es/gazeta/dias/1813/08/15/pdfs/GRE-1813-104E.pdf#page=7","Abrir facsímil")</f>
        <v>Abrir facsímil</v>
      </c>
      <c r="K5970" s="3" t="s">
        <v>22</v>
      </c>
    </row>
    <row r="5971" spans="1:11" ht="42" customHeight="1">
      <c r="A5971" s="2" t="s">
        <v>12427</v>
      </c>
      <c r="B5971" s="2" t="s">
        <v>12428</v>
      </c>
      <c r="C5971" s="2" t="s">
        <v>16</v>
      </c>
      <c r="D5971" s="2" t="s">
        <v>17</v>
      </c>
      <c r="E5971" s="5">
        <v>-31623</v>
      </c>
      <c r="F5971" s="3" t="s">
        <v>267</v>
      </c>
      <c r="G5971" s="3" t="s">
        <v>676</v>
      </c>
      <c r="H5971" s="2" t="s">
        <v>29</v>
      </c>
      <c r="I5971" s="2" t="s">
        <v>12429</v>
      </c>
      <c r="J5971" s="3" t="str">
        <f>HYPERLINK("https://www.boe.es/gazeta/dias/1813/06/01/pdfs/GRE-1813-67.pdf#page=4","Abrir facsímil")</f>
        <v>Abrir facsímil</v>
      </c>
      <c r="K5971" s="3" t="s">
        <v>31</v>
      </c>
    </row>
    <row r="5972" spans="1:11" ht="42" customHeight="1">
      <c r="A5972" s="2" t="s">
        <v>12430</v>
      </c>
      <c r="B5972" s="2" t="s">
        <v>12431</v>
      </c>
      <c r="C5972" s="2" t="s">
        <v>16</v>
      </c>
      <c r="D5972" s="2" t="s">
        <v>17</v>
      </c>
      <c r="E5972" s="5">
        <v>-31500</v>
      </c>
      <c r="F5972" s="3" t="s">
        <v>5349</v>
      </c>
      <c r="G5972" s="3" t="s">
        <v>28</v>
      </c>
      <c r="H5972" s="2" t="s">
        <v>20</v>
      </c>
      <c r="I5972" s="2" t="s">
        <v>12432</v>
      </c>
      <c r="J5972" s="3" t="str">
        <f>HYPERLINK("https://www.boe.es/gazeta/dias/1813/10/02/pdfs/GRE-1813-129.pdf#page=8","Abrir facsímil")</f>
        <v>Abrir facsímil</v>
      </c>
      <c r="K5972" s="3" t="s">
        <v>22</v>
      </c>
    </row>
    <row r="5973" spans="1:11" ht="42" customHeight="1">
      <c r="A5973" s="2" t="s">
        <v>12433</v>
      </c>
      <c r="B5973" s="2" t="s">
        <v>12434</v>
      </c>
      <c r="C5973" s="2" t="s">
        <v>25</v>
      </c>
      <c r="D5973" s="2" t="s">
        <v>26</v>
      </c>
      <c r="E5973" s="5">
        <v>-31605</v>
      </c>
      <c r="F5973" s="3" t="s">
        <v>884</v>
      </c>
      <c r="G5973" s="3" t="s">
        <v>28</v>
      </c>
      <c r="H5973" s="2" t="s">
        <v>20</v>
      </c>
      <c r="I5973" s="2" t="s">
        <v>12435</v>
      </c>
      <c r="J5973" s="3" t="str">
        <f>HYPERLINK("https://www.boe.es/gazeta/dias/1813/06/19/pdfs/GRE-1813-76.pdf#page=8","Abrir facsímil")</f>
        <v>Abrir facsímil</v>
      </c>
      <c r="K5973" s="3" t="s">
        <v>22</v>
      </c>
    </row>
    <row r="5974" spans="1:11" ht="42" customHeight="1">
      <c r="A5974" s="2" t="s">
        <v>12436</v>
      </c>
      <c r="B5974" s="2" t="s">
        <v>12436</v>
      </c>
      <c r="C5974" s="2" t="s">
        <v>16</v>
      </c>
      <c r="D5974" s="2" t="s">
        <v>17</v>
      </c>
      <c r="E5974" s="5">
        <v>-31539</v>
      </c>
      <c r="F5974" s="3" t="s">
        <v>1316</v>
      </c>
      <c r="G5974" s="3" t="s">
        <v>1123</v>
      </c>
      <c r="H5974" s="2" t="s">
        <v>20</v>
      </c>
      <c r="I5974" s="2" t="s">
        <v>12437</v>
      </c>
      <c r="J5974" s="3" t="str">
        <f>HYPERLINK("https://www.boe.es/gazeta/dias/1813/08/24/pdfs/GMR-1813-32.pdf#page=6","Abrir facsímil")</f>
        <v>Abrir facsímil</v>
      </c>
      <c r="K5974" s="3" t="s">
        <v>22</v>
      </c>
    </row>
    <row r="5975" spans="1:11" ht="42" customHeight="1">
      <c r="A5975" s="2" t="s">
        <v>12436</v>
      </c>
      <c r="B5975" s="2" t="s">
        <v>12436</v>
      </c>
      <c r="C5975" s="2" t="s">
        <v>16</v>
      </c>
      <c r="D5975" s="2" t="s">
        <v>17</v>
      </c>
      <c r="E5975" s="5">
        <v>-31532</v>
      </c>
      <c r="F5975" s="3" t="s">
        <v>215</v>
      </c>
      <c r="G5975" s="3" t="s">
        <v>87</v>
      </c>
      <c r="H5975" s="2" t="s">
        <v>20</v>
      </c>
      <c r="I5975" s="2" t="s">
        <v>12438</v>
      </c>
      <c r="J5975" s="3" t="str">
        <f>HYPERLINK("https://www.boe.es/gazeta/dias/1813/08/31/pdfs/GRE-1813-111.pdf#page=7","Abrir facsímil")</f>
        <v>Abrir facsímil</v>
      </c>
      <c r="K5975" s="3" t="s">
        <v>22</v>
      </c>
    </row>
    <row r="5976" spans="1:11" ht="42" customHeight="1">
      <c r="A5976" s="2" t="s">
        <v>12439</v>
      </c>
      <c r="B5976" s="2" t="s">
        <v>12440</v>
      </c>
      <c r="C5976" s="2" t="s">
        <v>16</v>
      </c>
      <c r="D5976" s="2" t="s">
        <v>17</v>
      </c>
      <c r="E5976" s="5">
        <v>-31711</v>
      </c>
      <c r="F5976" s="3" t="s">
        <v>385</v>
      </c>
      <c r="G5976" s="3" t="s">
        <v>95</v>
      </c>
      <c r="H5976" s="2" t="s">
        <v>20</v>
      </c>
      <c r="I5976" s="2" t="s">
        <v>12441</v>
      </c>
      <c r="J5976" s="3" t="str">
        <f>HYPERLINK("https://www.boe.es/gazeta/dias/1813/03/05/pdfs/GRE-1813-99.pdf#page=6","Abrir facsímil")</f>
        <v>Abrir facsímil</v>
      </c>
      <c r="K5976" s="3" t="s">
        <v>22</v>
      </c>
    </row>
    <row r="5977" spans="1:11" ht="42" customHeight="1">
      <c r="A5977" s="2" t="s">
        <v>12439</v>
      </c>
      <c r="B5977" s="2" t="s">
        <v>12440</v>
      </c>
      <c r="C5977" s="2" t="s">
        <v>69</v>
      </c>
      <c r="D5977" s="2" t="s">
        <v>26</v>
      </c>
      <c r="E5977" s="5">
        <v>-31595</v>
      </c>
      <c r="F5977" s="3" t="s">
        <v>70</v>
      </c>
      <c r="G5977" s="3" t="s">
        <v>71</v>
      </c>
      <c r="H5977" s="2" t="s">
        <v>20</v>
      </c>
      <c r="I5977" s="2" t="s">
        <v>12442</v>
      </c>
      <c r="J5977" s="3" t="str">
        <f>HYPERLINK("https://www.boe.es/gazeta/dias/1813/06/29/pdfs/GMR-1813-13.pdf#page=16","Abrir facsímil")</f>
        <v>Abrir facsímil</v>
      </c>
      <c r="K5977" s="3" t="s">
        <v>22</v>
      </c>
    </row>
    <row r="5978" spans="1:11" ht="42" customHeight="1">
      <c r="A5978" s="2" t="s">
        <v>12439</v>
      </c>
      <c r="B5978" s="2" t="s">
        <v>12440</v>
      </c>
      <c r="C5978" s="2" t="s">
        <v>16</v>
      </c>
      <c r="D5978" s="2" t="s">
        <v>17</v>
      </c>
      <c r="E5978" s="5">
        <v>-31567</v>
      </c>
      <c r="F5978" s="3" t="s">
        <v>820</v>
      </c>
      <c r="G5978" s="3" t="s">
        <v>7681</v>
      </c>
      <c r="H5978" s="2" t="s">
        <v>20</v>
      </c>
      <c r="I5978" s="2" t="s">
        <v>12443</v>
      </c>
      <c r="J5978" s="3" t="str">
        <f>HYPERLINK("https://www.boe.es/gazeta/dias/1813/07/27/pdfs/GMR-1813-21.pdf#page=11","Abrir facsímil")</f>
        <v>Abrir facsímil</v>
      </c>
      <c r="K5978" s="3" t="s">
        <v>22</v>
      </c>
    </row>
    <row r="5979" spans="1:11" ht="42" customHeight="1">
      <c r="A5979" s="2" t="s">
        <v>12439</v>
      </c>
      <c r="B5979" s="2" t="s">
        <v>12440</v>
      </c>
      <c r="C5979" s="2" t="s">
        <v>16</v>
      </c>
      <c r="D5979" s="2" t="s">
        <v>17</v>
      </c>
      <c r="E5979" s="5">
        <v>-31560</v>
      </c>
      <c r="F5979" s="3" t="s">
        <v>1233</v>
      </c>
      <c r="G5979" s="3" t="s">
        <v>87</v>
      </c>
      <c r="H5979" s="2" t="s">
        <v>20</v>
      </c>
      <c r="I5979" s="2" t="s">
        <v>12444</v>
      </c>
      <c r="J5979" s="3" t="str">
        <f>HYPERLINK("https://www.boe.es/gazeta/dias/1813/08/03/pdfs/GMR-1813-23.pdf#page=7","Abrir facsímil")</f>
        <v>Abrir facsímil</v>
      </c>
      <c r="K5979" s="3" t="s">
        <v>22</v>
      </c>
    </row>
    <row r="5980" spans="1:11" ht="42" customHeight="1">
      <c r="A5980" s="2" t="s">
        <v>12439</v>
      </c>
      <c r="B5980" s="2" t="s">
        <v>12440</v>
      </c>
      <c r="C5980" s="2" t="s">
        <v>16</v>
      </c>
      <c r="D5980" s="2" t="s">
        <v>17</v>
      </c>
      <c r="E5980" s="5">
        <v>-31558</v>
      </c>
      <c r="F5980" s="3" t="s">
        <v>385</v>
      </c>
      <c r="G5980" s="3" t="s">
        <v>95</v>
      </c>
      <c r="H5980" s="2" t="s">
        <v>20</v>
      </c>
      <c r="I5980" s="2" t="s">
        <v>12441</v>
      </c>
      <c r="J5980" s="3" t="str">
        <f>HYPERLINK("https://www.boe.es/gazeta/dias/1813/08/05/pdfs/GRE-1813-99.pdf#page=6","Abrir facsímil")</f>
        <v>Abrir facsímil</v>
      </c>
      <c r="K5980" s="3" t="s">
        <v>22</v>
      </c>
    </row>
    <row r="5981" spans="1:11" ht="42" customHeight="1">
      <c r="A5981" s="2" t="s">
        <v>12445</v>
      </c>
      <c r="B5981" s="2" t="s">
        <v>12446</v>
      </c>
      <c r="C5981" s="2" t="s">
        <v>16</v>
      </c>
      <c r="D5981" s="2" t="s">
        <v>17</v>
      </c>
      <c r="E5981" s="5">
        <v>-31553</v>
      </c>
      <c r="F5981" s="3" t="s">
        <v>592</v>
      </c>
      <c r="G5981" s="3" t="s">
        <v>28</v>
      </c>
      <c r="H5981" s="2" t="s">
        <v>29</v>
      </c>
      <c r="I5981" s="2" t="s">
        <v>12447</v>
      </c>
      <c r="J5981" s="3" t="str">
        <f>HYPERLINK("https://www.boe.es/gazeta/dias/1813/08/10/pdfs/GRE-1813-101.pdf#page=8","Abrir facsímil")</f>
        <v>Abrir facsímil</v>
      </c>
      <c r="K5981" s="3" t="s">
        <v>31</v>
      </c>
    </row>
    <row r="5982" spans="1:11" ht="42" customHeight="1">
      <c r="A5982" s="2" t="s">
        <v>12448</v>
      </c>
      <c r="B5982" s="2" t="s">
        <v>12448</v>
      </c>
      <c r="C5982" s="2" t="s">
        <v>16</v>
      </c>
      <c r="D5982" s="2" t="s">
        <v>17</v>
      </c>
      <c r="E5982" s="5">
        <v>-31521</v>
      </c>
      <c r="F5982" s="3" t="s">
        <v>1282</v>
      </c>
      <c r="G5982" s="3" t="s">
        <v>65</v>
      </c>
      <c r="H5982" s="2" t="s">
        <v>20</v>
      </c>
      <c r="I5982" s="2" t="s">
        <v>12449</v>
      </c>
      <c r="J5982" s="3" t="str">
        <f>HYPERLINK("https://www.boe.es/gazeta/dias/1813/09/11/pdfs/GMR-1813-41.pdf#page=1","Abrir facsímil")</f>
        <v>Abrir facsímil</v>
      </c>
      <c r="K5982" s="3" t="s">
        <v>22</v>
      </c>
    </row>
    <row r="5983" spans="1:11" ht="42" customHeight="1">
      <c r="A5983" s="2" t="s">
        <v>12450</v>
      </c>
      <c r="B5983" s="2" t="s">
        <v>12450</v>
      </c>
      <c r="C5983" s="2" t="s">
        <v>16</v>
      </c>
      <c r="D5983" s="2" t="s">
        <v>17</v>
      </c>
      <c r="E5983" s="5">
        <v>-31710</v>
      </c>
      <c r="F5983" s="3" t="s">
        <v>4744</v>
      </c>
      <c r="G5983" s="3" t="s">
        <v>54</v>
      </c>
      <c r="H5983" s="2" t="s">
        <v>20</v>
      </c>
      <c r="I5983" s="2" t="s">
        <v>12451</v>
      </c>
      <c r="J5983" s="3" t="str">
        <f>HYPERLINK("https://www.boe.es/gazeta/dias/1813/03/06/pdfs/GMD-1813-65.pdf#page=3","Abrir facsímil")</f>
        <v>Abrir facsímil</v>
      </c>
      <c r="K5983" s="3" t="s">
        <v>22</v>
      </c>
    </row>
    <row r="5984" spans="1:11" ht="42" customHeight="1">
      <c r="A5984" s="2" t="s">
        <v>12452</v>
      </c>
      <c r="B5984" s="2" t="s">
        <v>12452</v>
      </c>
      <c r="C5984" s="2" t="s">
        <v>69</v>
      </c>
      <c r="D5984" s="2" t="s">
        <v>26</v>
      </c>
      <c r="E5984" s="5">
        <v>-31764</v>
      </c>
      <c r="F5984" s="3" t="s">
        <v>2677</v>
      </c>
      <c r="G5984" s="3" t="s">
        <v>54</v>
      </c>
      <c r="H5984" s="2" t="s">
        <v>20</v>
      </c>
      <c r="I5984" s="2" t="s">
        <v>12453</v>
      </c>
      <c r="J5984" s="3" t="str">
        <f>HYPERLINK("https://www.boe.es/gazeta/dias/1813/01/11/pdfs/GMD-1813-11.pdf#page=3","Abrir facsímil")</f>
        <v>Abrir facsímil</v>
      </c>
      <c r="K5984" s="3" t="s">
        <v>22</v>
      </c>
    </row>
    <row r="5985" spans="1:11" ht="42" customHeight="1">
      <c r="A5985" s="2" t="s">
        <v>12452</v>
      </c>
      <c r="B5985" s="2" t="s">
        <v>12452</v>
      </c>
      <c r="C5985" s="2" t="s">
        <v>16</v>
      </c>
      <c r="D5985" s="2" t="s">
        <v>17</v>
      </c>
      <c r="E5985" s="5">
        <v>-31736</v>
      </c>
      <c r="F5985" s="3" t="s">
        <v>1936</v>
      </c>
      <c r="G5985" s="3" t="s">
        <v>58</v>
      </c>
      <c r="H5985" s="2" t="s">
        <v>20</v>
      </c>
      <c r="I5985" s="2" t="s">
        <v>12454</v>
      </c>
      <c r="J5985" s="3" t="str">
        <f>HYPERLINK("https://www.boe.es/gazeta/dias/1813/02/08/pdfs/GMD-1813-39.pdf#page=2","Abrir facsímil")</f>
        <v>Abrir facsímil</v>
      </c>
      <c r="K5985" s="3" t="s">
        <v>22</v>
      </c>
    </row>
    <row r="5986" spans="1:11" ht="42" customHeight="1">
      <c r="A5986" s="2" t="s">
        <v>12455</v>
      </c>
      <c r="B5986" s="2" t="s">
        <v>12455</v>
      </c>
      <c r="C5986" s="2" t="s">
        <v>25</v>
      </c>
      <c r="D5986" s="2" t="s">
        <v>26</v>
      </c>
      <c r="E5986" s="5">
        <v>-31710</v>
      </c>
      <c r="F5986" s="3" t="s">
        <v>4744</v>
      </c>
      <c r="G5986" s="3" t="s">
        <v>58</v>
      </c>
      <c r="H5986" s="2" t="s">
        <v>20</v>
      </c>
      <c r="I5986" s="2" t="s">
        <v>12456</v>
      </c>
      <c r="J5986" s="3" t="str">
        <f>HYPERLINK("https://www.boe.es/gazeta/dias/1813/03/06/pdfs/GMD-1813-65.pdf#page=2","Abrir facsímil")</f>
        <v>Abrir facsímil</v>
      </c>
      <c r="K5986" s="3" t="s">
        <v>22</v>
      </c>
    </row>
    <row r="5987" spans="1:11" ht="42" customHeight="1">
      <c r="A5987" s="2" t="s">
        <v>12455</v>
      </c>
      <c r="B5987" s="2" t="s">
        <v>12455</v>
      </c>
      <c r="C5987" s="2" t="s">
        <v>25</v>
      </c>
      <c r="D5987" s="2" t="s">
        <v>26</v>
      </c>
      <c r="E5987" s="5">
        <v>-31710</v>
      </c>
      <c r="F5987" s="3" t="s">
        <v>4744</v>
      </c>
      <c r="G5987" s="3" t="s">
        <v>54</v>
      </c>
      <c r="H5987" s="2" t="s">
        <v>20</v>
      </c>
      <c r="I5987" s="2" t="s">
        <v>12457</v>
      </c>
      <c r="J5987" s="3" t="str">
        <f>HYPERLINK("https://www.boe.es/gazeta/dias/1813/03/06/pdfs/GMD-1813-65.pdf#page=3","Abrir facsímil")</f>
        <v>Abrir facsímil</v>
      </c>
      <c r="K5987" s="3" t="s">
        <v>22</v>
      </c>
    </row>
    <row r="5988" spans="1:11" ht="42" customHeight="1">
      <c r="A5988" s="2" t="s">
        <v>12458</v>
      </c>
      <c r="B5988" s="2" t="s">
        <v>12458</v>
      </c>
      <c r="C5988" s="2" t="s">
        <v>16</v>
      </c>
      <c r="D5988" s="2" t="s">
        <v>17</v>
      </c>
      <c r="E5988" s="5">
        <v>-31693</v>
      </c>
      <c r="F5988" s="3" t="s">
        <v>3950</v>
      </c>
      <c r="G5988" s="3" t="s">
        <v>12459</v>
      </c>
      <c r="H5988" s="2" t="s">
        <v>20</v>
      </c>
      <c r="I5988" s="2" t="s">
        <v>12460</v>
      </c>
      <c r="J5988" s="3" t="str">
        <f>HYPERLINK("https://www.boe.es/gazeta/dias/1813/03/23/pdfs/GRE-1813-36.pdf#page=7","Abrir facsímil")</f>
        <v>Abrir facsímil</v>
      </c>
      <c r="K5988" s="3" t="s">
        <v>22</v>
      </c>
    </row>
    <row r="5989" spans="1:11" ht="42" customHeight="1">
      <c r="A5989" s="2" t="s">
        <v>12458</v>
      </c>
      <c r="B5989" s="2" t="s">
        <v>12458</v>
      </c>
      <c r="C5989" s="2" t="s">
        <v>16</v>
      </c>
      <c r="D5989" s="2" t="s">
        <v>17</v>
      </c>
      <c r="E5989" s="5">
        <v>-31682</v>
      </c>
      <c r="F5989" s="3" t="s">
        <v>5159</v>
      </c>
      <c r="G5989" s="3" t="s">
        <v>9545</v>
      </c>
      <c r="H5989" s="2" t="s">
        <v>20</v>
      </c>
      <c r="I5989" s="2" t="s">
        <v>12461</v>
      </c>
      <c r="J5989" s="3" t="str">
        <f>HYPERLINK("https://www.boe.es/gazeta/dias/1813/04/03/pdfs/GRE-1813-41.pdf#page=6","Abrir facsímil")</f>
        <v>Abrir facsímil</v>
      </c>
      <c r="K5989" s="3" t="s">
        <v>22</v>
      </c>
    </row>
    <row r="5990" spans="1:11" ht="42" customHeight="1">
      <c r="A5990" s="2" t="s">
        <v>12458</v>
      </c>
      <c r="B5990" s="2" t="s">
        <v>12458</v>
      </c>
      <c r="C5990" s="2" t="s">
        <v>16</v>
      </c>
      <c r="D5990" s="2" t="s">
        <v>17</v>
      </c>
      <c r="E5990" s="5">
        <v>-31476</v>
      </c>
      <c r="F5990" s="3" t="s">
        <v>158</v>
      </c>
      <c r="G5990" s="3" t="s">
        <v>65</v>
      </c>
      <c r="H5990" s="2" t="s">
        <v>20</v>
      </c>
      <c r="I5990" s="2" t="s">
        <v>12462</v>
      </c>
      <c r="J5990" s="3" t="str">
        <f>HYPERLINK("https://www.boe.es/gazeta/dias/1813/10/26/pdfs/GMR-1813-64.pdf#page=1","Abrir facsímil")</f>
        <v>Abrir facsímil</v>
      </c>
      <c r="K5990" s="3" t="s">
        <v>22</v>
      </c>
    </row>
    <row r="5991" spans="1:11" ht="42" customHeight="1">
      <c r="A5991" s="2" t="s">
        <v>12458</v>
      </c>
      <c r="B5991" s="2" t="s">
        <v>12458</v>
      </c>
      <c r="C5991" s="2" t="s">
        <v>16</v>
      </c>
      <c r="D5991" s="2" t="s">
        <v>17</v>
      </c>
      <c r="E5991" s="5">
        <v>-31439</v>
      </c>
      <c r="F5991" s="3" t="s">
        <v>3821</v>
      </c>
      <c r="G5991" s="3" t="s">
        <v>65</v>
      </c>
      <c r="H5991" s="2" t="s">
        <v>20</v>
      </c>
      <c r="I5991" s="2" t="s">
        <v>12463</v>
      </c>
      <c r="J5991" s="3" t="str">
        <f>HYPERLINK("https://www.boe.es/gazeta/dias/1813/12/02/pdfs/GRE-1813-159.pdf#page=1","Abrir facsímil")</f>
        <v>Abrir facsímil</v>
      </c>
      <c r="K5991" s="3" t="s">
        <v>22</v>
      </c>
    </row>
    <row r="5992" spans="1:11" ht="42" customHeight="1">
      <c r="A5992" s="2" t="s">
        <v>12464</v>
      </c>
      <c r="B5992" s="2" t="s">
        <v>12465</v>
      </c>
      <c r="C5992" s="2" t="s">
        <v>16</v>
      </c>
      <c r="D5992" s="2" t="s">
        <v>17</v>
      </c>
      <c r="E5992" s="5">
        <v>-31770</v>
      </c>
      <c r="F5992" s="3" t="s">
        <v>188</v>
      </c>
      <c r="G5992" s="3" t="s">
        <v>28</v>
      </c>
      <c r="H5992" s="2" t="s">
        <v>20</v>
      </c>
      <c r="I5992" s="2" t="s">
        <v>12466</v>
      </c>
      <c r="J5992" s="3" t="str">
        <f>HYPERLINK("https://www.boe.es/gazeta/dias/1813/01/05/pdfs/GRE-1813-3.pdf#page=8","Abrir facsímil")</f>
        <v>Abrir facsímil</v>
      </c>
      <c r="K5992" s="3" t="s">
        <v>22</v>
      </c>
    </row>
    <row r="5993" spans="1:11" ht="42" customHeight="1">
      <c r="A5993" s="2" t="s">
        <v>12464</v>
      </c>
      <c r="B5993" s="2" t="s">
        <v>12465</v>
      </c>
      <c r="C5993" s="2" t="s">
        <v>16</v>
      </c>
      <c r="D5993" s="2" t="s">
        <v>17</v>
      </c>
      <c r="E5993" s="5">
        <v>-31768</v>
      </c>
      <c r="F5993" s="3" t="s">
        <v>188</v>
      </c>
      <c r="G5993" s="3" t="s">
        <v>28</v>
      </c>
      <c r="H5993" s="2" t="s">
        <v>20</v>
      </c>
      <c r="I5993" s="2" t="s">
        <v>12466</v>
      </c>
      <c r="J5993" s="3" t="str">
        <f>HYPERLINK("https://www.boe.es/gazeta/dias/1813/01/07/pdfs/GRE-1813-3.pdf#page=8","Abrir facsímil")</f>
        <v>Abrir facsímil</v>
      </c>
      <c r="K5993" s="3" t="s">
        <v>22</v>
      </c>
    </row>
    <row r="5994" spans="1:11" ht="42" customHeight="1">
      <c r="A5994" s="2" t="s">
        <v>12467</v>
      </c>
      <c r="B5994" s="2" t="s">
        <v>12468</v>
      </c>
      <c r="C5994" s="2" t="s">
        <v>16</v>
      </c>
      <c r="D5994" s="2" t="s">
        <v>17</v>
      </c>
      <c r="E5994" s="5">
        <v>-31770</v>
      </c>
      <c r="F5994" s="3" t="s">
        <v>188</v>
      </c>
      <c r="G5994" s="3" t="s">
        <v>28</v>
      </c>
      <c r="H5994" s="2" t="s">
        <v>20</v>
      </c>
      <c r="I5994" s="2" t="s">
        <v>12469</v>
      </c>
      <c r="J5994" s="3" t="str">
        <f>HYPERLINK("https://www.boe.es/gazeta/dias/1813/01/05/pdfs/GRE-1813-3.pdf#page=8","Abrir facsímil")</f>
        <v>Abrir facsímil</v>
      </c>
      <c r="K5994" s="3" t="s">
        <v>22</v>
      </c>
    </row>
    <row r="5995" spans="1:11" ht="42" customHeight="1">
      <c r="A5995" s="2" t="s">
        <v>12467</v>
      </c>
      <c r="B5995" s="2" t="s">
        <v>12468</v>
      </c>
      <c r="C5995" s="2" t="s">
        <v>16</v>
      </c>
      <c r="D5995" s="2" t="s">
        <v>17</v>
      </c>
      <c r="E5995" s="5">
        <v>-31768</v>
      </c>
      <c r="F5995" s="3" t="s">
        <v>188</v>
      </c>
      <c r="G5995" s="3" t="s">
        <v>28</v>
      </c>
      <c r="H5995" s="2" t="s">
        <v>20</v>
      </c>
      <c r="I5995" s="2" t="s">
        <v>12469</v>
      </c>
      <c r="J5995" s="3" t="str">
        <f>HYPERLINK("https://www.boe.es/gazeta/dias/1813/01/07/pdfs/GRE-1813-3.pdf#page=8","Abrir facsímil")</f>
        <v>Abrir facsímil</v>
      </c>
      <c r="K5995" s="3" t="s">
        <v>22</v>
      </c>
    </row>
    <row r="5996" spans="1:11" ht="42" customHeight="1">
      <c r="A5996" s="2" t="s">
        <v>12470</v>
      </c>
      <c r="B5996" s="2" t="s">
        <v>12471</v>
      </c>
      <c r="C5996" s="2" t="s">
        <v>34</v>
      </c>
      <c r="D5996" s="2" t="s">
        <v>35</v>
      </c>
      <c r="E5996" s="5">
        <v>-31567</v>
      </c>
      <c r="F5996" s="3" t="s">
        <v>820</v>
      </c>
      <c r="G5996" s="3" t="s">
        <v>313</v>
      </c>
      <c r="H5996" s="2" t="s">
        <v>20</v>
      </c>
      <c r="I5996" s="2" t="s">
        <v>12472</v>
      </c>
      <c r="J5996" s="3" t="str">
        <f>HYPERLINK("https://www.boe.es/gazeta/dias/1813/07/27/pdfs/GMR-1813-21.pdf#page=9","Abrir facsímil")</f>
        <v>Abrir facsímil</v>
      </c>
      <c r="K5996" s="3" t="s">
        <v>22</v>
      </c>
    </row>
    <row r="5997" spans="1:11" ht="42" customHeight="1">
      <c r="A5997" s="2" t="s">
        <v>12473</v>
      </c>
      <c r="B5997" s="2" t="s">
        <v>12474</v>
      </c>
      <c r="C5997" s="2" t="s">
        <v>25</v>
      </c>
      <c r="D5997" s="2" t="s">
        <v>26</v>
      </c>
      <c r="E5997" s="5">
        <v>-31511</v>
      </c>
      <c r="F5997" s="3" t="s">
        <v>935</v>
      </c>
      <c r="G5997" s="3" t="s">
        <v>1304</v>
      </c>
      <c r="H5997" s="2" t="s">
        <v>20</v>
      </c>
      <c r="I5997" s="2" t="s">
        <v>12475</v>
      </c>
      <c r="J5997" s="3" t="str">
        <f>HYPERLINK("https://www.boe.es/gazeta/dias/1813/09/21/pdfs/GMR-1813-46.pdf#page=12","Abrir facsímil")</f>
        <v>Abrir facsímil</v>
      </c>
      <c r="K5997" s="3" t="s">
        <v>22</v>
      </c>
    </row>
    <row r="5998" spans="1:11" ht="42" customHeight="1">
      <c r="A5998" s="2" t="s">
        <v>12476</v>
      </c>
      <c r="B5998" s="2" t="s">
        <v>12476</v>
      </c>
      <c r="C5998" s="2" t="s">
        <v>16</v>
      </c>
      <c r="D5998" s="2" t="s">
        <v>17</v>
      </c>
      <c r="E5998" s="5">
        <v>-31476</v>
      </c>
      <c r="F5998" s="3" t="s">
        <v>158</v>
      </c>
      <c r="G5998" s="3" t="s">
        <v>65</v>
      </c>
      <c r="H5998" s="2" t="s">
        <v>20</v>
      </c>
      <c r="I5998" s="2" t="s">
        <v>12477</v>
      </c>
      <c r="J5998" s="3" t="str">
        <f>HYPERLINK("https://www.boe.es/gazeta/dias/1813/10/26/pdfs/GMR-1813-64.pdf#page=1","Abrir facsímil")</f>
        <v>Abrir facsímil</v>
      </c>
      <c r="K5998" s="3" t="s">
        <v>22</v>
      </c>
    </row>
    <row r="5999" spans="1:11" ht="42" customHeight="1">
      <c r="A5999" s="2" t="s">
        <v>12478</v>
      </c>
      <c r="B5999" s="2" t="s">
        <v>12478</v>
      </c>
      <c r="C5999" s="2" t="s">
        <v>16</v>
      </c>
      <c r="D5999" s="2" t="s">
        <v>17</v>
      </c>
      <c r="E5999" s="5">
        <v>-31532</v>
      </c>
      <c r="F5999" s="3" t="s">
        <v>215</v>
      </c>
      <c r="G5999" s="3" t="s">
        <v>54</v>
      </c>
      <c r="H5999" s="2" t="s">
        <v>20</v>
      </c>
      <c r="I5999" s="2" t="s">
        <v>12479</v>
      </c>
      <c r="J5999" s="3" t="str">
        <f>HYPERLINK("https://www.boe.es/gazeta/dias/1813/08/31/pdfs/GRE-1813-111.pdf#page=3","Abrir facsímil")</f>
        <v>Abrir facsímil</v>
      </c>
      <c r="K5999" s="3" t="s">
        <v>22</v>
      </c>
    </row>
    <row r="6000" spans="1:11" ht="42" customHeight="1">
      <c r="A6000" s="2" t="s">
        <v>12480</v>
      </c>
      <c r="B6000" s="2" t="s">
        <v>12480</v>
      </c>
      <c r="C6000" s="2" t="s">
        <v>16</v>
      </c>
      <c r="D6000" s="2" t="s">
        <v>17</v>
      </c>
      <c r="E6000" s="5">
        <v>-31756</v>
      </c>
      <c r="F6000" s="3" t="s">
        <v>951</v>
      </c>
      <c r="G6000" s="3" t="s">
        <v>952</v>
      </c>
      <c r="H6000" s="2" t="s">
        <v>20</v>
      </c>
      <c r="I6000" s="2" t="s">
        <v>12481</v>
      </c>
      <c r="J6000" s="3" t="str">
        <f>HYPERLINK("https://www.boe.es/gazeta/dias/1813/01/19/pdfs/GRE-1813-8.pdf#page=5","Abrir facsímil")</f>
        <v>Abrir facsímil</v>
      </c>
      <c r="K6000" s="3" t="s">
        <v>22</v>
      </c>
    </row>
    <row r="6001" spans="1:11" ht="42" customHeight="1">
      <c r="A6001" s="2" t="s">
        <v>12482</v>
      </c>
      <c r="B6001" s="2" t="s">
        <v>12483</v>
      </c>
      <c r="C6001" s="2" t="s">
        <v>25</v>
      </c>
      <c r="D6001" s="2" t="s">
        <v>26</v>
      </c>
      <c r="E6001" s="5">
        <v>-31677</v>
      </c>
      <c r="F6001" s="3" t="s">
        <v>76</v>
      </c>
      <c r="G6001" s="3" t="s">
        <v>28</v>
      </c>
      <c r="H6001" s="2" t="s">
        <v>20</v>
      </c>
      <c r="I6001" s="2" t="s">
        <v>12484</v>
      </c>
      <c r="J6001" s="3" t="str">
        <f>HYPERLINK("https://www.boe.es/gazeta/dias/1813/04/08/pdfs/GRE-1813-43.pdf#page=8","Abrir facsímil")</f>
        <v>Abrir facsímil</v>
      </c>
      <c r="K6001" s="3" t="s">
        <v>22</v>
      </c>
    </row>
    <row r="6002" spans="1:11" ht="42" customHeight="1">
      <c r="A6002" s="2" t="s">
        <v>12485</v>
      </c>
      <c r="B6002" s="2" t="s">
        <v>12486</v>
      </c>
      <c r="C6002" s="2" t="s">
        <v>16</v>
      </c>
      <c r="D6002" s="2" t="s">
        <v>17</v>
      </c>
      <c r="E6002" s="5">
        <v>-31439</v>
      </c>
      <c r="F6002" s="3" t="s">
        <v>1298</v>
      </c>
      <c r="G6002" s="3" t="s">
        <v>87</v>
      </c>
      <c r="H6002" s="2" t="s">
        <v>20</v>
      </c>
      <c r="I6002" s="2" t="s">
        <v>12487</v>
      </c>
      <c r="J6002" s="3" t="str">
        <f>HYPERLINK("https://www.boe.es/gazeta/dias/1813/12/02/pdfs/GMR-1813-82.pdf#page=7","Abrir facsímil")</f>
        <v>Abrir facsímil</v>
      </c>
      <c r="K6002" s="3" t="s">
        <v>22</v>
      </c>
    </row>
    <row r="6003" spans="1:11" ht="42" customHeight="1">
      <c r="A6003" s="2" t="s">
        <v>12488</v>
      </c>
      <c r="B6003" s="2" t="s">
        <v>12489</v>
      </c>
      <c r="C6003" s="2" t="s">
        <v>16</v>
      </c>
      <c r="D6003" s="2" t="s">
        <v>97</v>
      </c>
      <c r="E6003" s="5">
        <v>-31479</v>
      </c>
      <c r="F6003" s="3" t="s">
        <v>290</v>
      </c>
      <c r="G6003" s="3" t="s">
        <v>95</v>
      </c>
      <c r="H6003" s="2" t="s">
        <v>20</v>
      </c>
      <c r="I6003" s="2" t="s">
        <v>12490</v>
      </c>
      <c r="J6003" s="3" t="str">
        <f>HYPERLINK("https://www.boe.es/gazeta/dias/1813/10/23/pdfs/GRE-1813-139E.pdf#page=6","Abrir facsímil")</f>
        <v>Abrir facsímil</v>
      </c>
      <c r="K6003" s="3" t="s">
        <v>22</v>
      </c>
    </row>
    <row r="6004" spans="1:11" ht="42" customHeight="1">
      <c r="A6004" s="2" t="s">
        <v>12491</v>
      </c>
      <c r="B6004" s="2" t="s">
        <v>12492</v>
      </c>
      <c r="C6004" s="2" t="s">
        <v>16</v>
      </c>
      <c r="D6004" s="2" t="s">
        <v>17</v>
      </c>
      <c r="E6004" s="5">
        <v>-31465</v>
      </c>
      <c r="F6004" s="3" t="s">
        <v>407</v>
      </c>
      <c r="G6004" s="3" t="s">
        <v>82</v>
      </c>
      <c r="H6004" s="2" t="s">
        <v>20</v>
      </c>
      <c r="I6004" s="2" t="s">
        <v>12493</v>
      </c>
      <c r="J6004" s="3" t="str">
        <f>HYPERLINK("https://www.boe.es/gazeta/dias/1813/11/06/pdfs/GMR-1813-70.pdf#page=5","Abrir facsímil")</f>
        <v>Abrir facsímil</v>
      </c>
      <c r="K6004" s="3" t="s">
        <v>22</v>
      </c>
    </row>
    <row r="6005" spans="1:11" ht="42" customHeight="1">
      <c r="A6005" s="2" t="s">
        <v>12494</v>
      </c>
      <c r="B6005" s="2" t="s">
        <v>12495</v>
      </c>
      <c r="C6005" s="2" t="s">
        <v>25</v>
      </c>
      <c r="D6005" s="2" t="s">
        <v>26</v>
      </c>
      <c r="E6005" s="5">
        <v>-31460</v>
      </c>
      <c r="F6005" s="3" t="s">
        <v>599</v>
      </c>
      <c r="G6005" s="3" t="s">
        <v>28</v>
      </c>
      <c r="H6005" s="2" t="s">
        <v>20</v>
      </c>
      <c r="I6005" s="2" t="s">
        <v>12496</v>
      </c>
      <c r="J6005" s="3" t="str">
        <f>HYPERLINK("https://www.boe.es/gazeta/dias/1813/11/11/pdfs/GMR-1813-72.pdf#page=8","Abrir facsímil")</f>
        <v>Abrir facsímil</v>
      </c>
      <c r="K6005" s="3" t="s">
        <v>22</v>
      </c>
    </row>
    <row r="6006" spans="1:11" ht="42" customHeight="1">
      <c r="A6006" s="2" t="s">
        <v>12497</v>
      </c>
      <c r="B6006" s="2" t="s">
        <v>12498</v>
      </c>
      <c r="C6006" s="2" t="s">
        <v>435</v>
      </c>
      <c r="D6006" s="2" t="s">
        <v>97</v>
      </c>
      <c r="E6006" s="5">
        <v>-31479</v>
      </c>
      <c r="F6006" s="3" t="s">
        <v>290</v>
      </c>
      <c r="G6006" s="3" t="s">
        <v>258</v>
      </c>
      <c r="H6006" s="2" t="s">
        <v>20</v>
      </c>
      <c r="I6006" s="2" t="s">
        <v>12499</v>
      </c>
      <c r="J6006" s="3" t="str">
        <f>HYPERLINK("https://www.boe.es/gazeta/dias/1813/10/23/pdfs/GRE-1813-139E.pdf#page=12","Abrir facsímil")</f>
        <v>Abrir facsímil</v>
      </c>
      <c r="K6006" s="3" t="s">
        <v>22</v>
      </c>
    </row>
    <row r="6007" spans="1:11" ht="42" customHeight="1">
      <c r="A6007" s="2" t="s">
        <v>12500</v>
      </c>
      <c r="B6007" s="2" t="s">
        <v>12501</v>
      </c>
      <c r="C6007" s="2" t="s">
        <v>16</v>
      </c>
      <c r="D6007" s="2" t="s">
        <v>17</v>
      </c>
      <c r="E6007" s="5">
        <v>-31626</v>
      </c>
      <c r="F6007" s="3" t="s">
        <v>64</v>
      </c>
      <c r="G6007" s="3" t="s">
        <v>87</v>
      </c>
      <c r="H6007" s="2" t="s">
        <v>20</v>
      </c>
      <c r="I6007" s="2" t="s">
        <v>12502</v>
      </c>
      <c r="J6007" s="3" t="str">
        <f>HYPERLINK("https://www.boe.es/gazeta/dias/1813/05/29/pdfs/GRE-1813-66.pdf#page=7","Abrir facsímil")</f>
        <v>Abrir facsímil</v>
      </c>
      <c r="K6007" s="3" t="s">
        <v>22</v>
      </c>
    </row>
    <row r="6008" spans="1:11" ht="42" customHeight="1">
      <c r="A6008" s="2" t="s">
        <v>12503</v>
      </c>
      <c r="B6008" s="2" t="s">
        <v>12503</v>
      </c>
      <c r="C6008" s="2" t="s">
        <v>16</v>
      </c>
      <c r="D6008" s="2" t="s">
        <v>17</v>
      </c>
      <c r="E6008" s="5">
        <v>-31710</v>
      </c>
      <c r="F6008" s="3" t="s">
        <v>4744</v>
      </c>
      <c r="G6008" s="3" t="s">
        <v>19</v>
      </c>
      <c r="H6008" s="2" t="s">
        <v>20</v>
      </c>
      <c r="I6008" s="2" t="s">
        <v>12504</v>
      </c>
      <c r="J6008" s="3" t="str">
        <f>HYPERLINK("https://www.boe.es/gazeta/dias/1813/03/06/pdfs/GMD-1813-65.pdf#page=4","Abrir facsímil")</f>
        <v>Abrir facsímil</v>
      </c>
      <c r="K6008" s="3" t="s">
        <v>22</v>
      </c>
    </row>
    <row r="6009" spans="1:11" ht="42" customHeight="1">
      <c r="A6009" s="2" t="s">
        <v>12505</v>
      </c>
      <c r="B6009" s="2" t="s">
        <v>12505</v>
      </c>
      <c r="C6009" s="2" t="s">
        <v>16</v>
      </c>
      <c r="D6009" s="2" t="s">
        <v>17</v>
      </c>
      <c r="E6009" s="5">
        <v>-31437</v>
      </c>
      <c r="F6009" s="3" t="s">
        <v>680</v>
      </c>
      <c r="G6009" s="3" t="s">
        <v>19</v>
      </c>
      <c r="H6009" s="2" t="s">
        <v>20</v>
      </c>
      <c r="I6009" s="2" t="s">
        <v>12506</v>
      </c>
      <c r="J6009" s="3" t="str">
        <f>HYPERLINK("https://www.boe.es/gazeta/dias/1813/12/04/pdfs/GMR-1813-83.pdf#page=4","Abrir facsímil")</f>
        <v>Abrir facsímil</v>
      </c>
      <c r="K6009" s="3" t="s">
        <v>22</v>
      </c>
    </row>
    <row r="6010" spans="1:11" ht="42" customHeight="1">
      <c r="A6010" s="2" t="s">
        <v>12507</v>
      </c>
      <c r="B6010" s="2" t="s">
        <v>12508</v>
      </c>
      <c r="C6010" s="2" t="s">
        <v>16</v>
      </c>
      <c r="D6010" s="2" t="s">
        <v>17</v>
      </c>
      <c r="E6010" s="5">
        <v>-31486</v>
      </c>
      <c r="F6010" s="3" t="s">
        <v>597</v>
      </c>
      <c r="G6010" s="3" t="s">
        <v>54</v>
      </c>
      <c r="H6010" s="2" t="s">
        <v>20</v>
      </c>
      <c r="I6010" s="2" t="s">
        <v>12509</v>
      </c>
      <c r="J6010" s="3" t="str">
        <f>HYPERLINK("https://www.boe.es/gazeta/dias/1813/10/16/pdfs/GRE-1813-135.pdf#page=3","Abrir facsímil")</f>
        <v>Abrir facsímil</v>
      </c>
      <c r="K6010" s="3" t="s">
        <v>22</v>
      </c>
    </row>
    <row r="6011" spans="1:11" ht="42" customHeight="1">
      <c r="A6011" s="2" t="s">
        <v>12510</v>
      </c>
      <c r="B6011" s="2" t="s">
        <v>12511</v>
      </c>
      <c r="C6011" s="2" t="s">
        <v>34</v>
      </c>
      <c r="D6011" s="2" t="s">
        <v>35</v>
      </c>
      <c r="E6011" s="5">
        <v>-31719</v>
      </c>
      <c r="F6011" s="3" t="s">
        <v>251</v>
      </c>
      <c r="G6011" s="3" t="s">
        <v>19</v>
      </c>
      <c r="H6011" s="2" t="s">
        <v>20</v>
      </c>
      <c r="I6011" s="2" t="s">
        <v>12512</v>
      </c>
      <c r="J6011" s="3" t="str">
        <f>HYPERLINK("https://www.boe.es/gazeta/dias/1813/02/25/pdfs/GMD-1813-56.pdf#page=4","Abrir facsímil")</f>
        <v>Abrir facsímil</v>
      </c>
      <c r="K6011" s="3" t="s">
        <v>22</v>
      </c>
    </row>
    <row r="6012" spans="1:11" ht="42" customHeight="1">
      <c r="A6012" s="2" t="s">
        <v>12513</v>
      </c>
      <c r="B6012" s="2" t="s">
        <v>12514</v>
      </c>
      <c r="C6012" s="2" t="s">
        <v>34</v>
      </c>
      <c r="D6012" s="2" t="s">
        <v>35</v>
      </c>
      <c r="E6012" s="5">
        <v>-31680</v>
      </c>
      <c r="F6012" s="3" t="s">
        <v>4851</v>
      </c>
      <c r="G6012" s="3" t="s">
        <v>4852</v>
      </c>
      <c r="H6012" s="2" t="s">
        <v>20</v>
      </c>
      <c r="I6012" s="2" t="s">
        <v>12515</v>
      </c>
      <c r="J6012" s="3" t="str">
        <f>HYPERLINK("https://www.boe.es/gazeta/dias/1813/04/05/pdfs/GMD-1813-95.pdf#page=4","Abrir facsímil")</f>
        <v>Abrir facsímil</v>
      </c>
      <c r="K6012" s="3" t="s">
        <v>22</v>
      </c>
    </row>
    <row r="6013" spans="1:11" ht="42" customHeight="1">
      <c r="A6013" s="2" t="s">
        <v>12516</v>
      </c>
      <c r="B6013" s="2" t="s">
        <v>12517</v>
      </c>
      <c r="C6013" s="2" t="s">
        <v>16</v>
      </c>
      <c r="D6013" s="2" t="s">
        <v>17</v>
      </c>
      <c r="E6013" s="5">
        <v>-31767</v>
      </c>
      <c r="F6013" s="3" t="s">
        <v>1915</v>
      </c>
      <c r="G6013" s="3" t="s">
        <v>19</v>
      </c>
      <c r="H6013" s="2" t="s">
        <v>20</v>
      </c>
      <c r="I6013" s="2" t="s">
        <v>12518</v>
      </c>
      <c r="J6013" s="3" t="str">
        <f>HYPERLINK("https://www.boe.es/gazeta/dias/1813/01/08/pdfs/GMD-1813-8.pdf#page=4","Abrir facsímil")</f>
        <v>Abrir facsímil</v>
      </c>
      <c r="K6013" s="3" t="s">
        <v>22</v>
      </c>
    </row>
    <row r="6014" spans="1:11" ht="42" customHeight="1">
      <c r="A6014" s="2" t="s">
        <v>12519</v>
      </c>
      <c r="B6014" s="2" t="s">
        <v>12520</v>
      </c>
      <c r="C6014" s="2" t="s">
        <v>16</v>
      </c>
      <c r="D6014" s="2" t="s">
        <v>17</v>
      </c>
      <c r="E6014" s="5">
        <v>-31759</v>
      </c>
      <c r="F6014" s="3" t="s">
        <v>419</v>
      </c>
      <c r="G6014" s="3" t="s">
        <v>420</v>
      </c>
      <c r="H6014" s="2" t="s">
        <v>20</v>
      </c>
      <c r="I6014" s="2" t="s">
        <v>12521</v>
      </c>
      <c r="J6014" s="3" t="str">
        <f>HYPERLINK("https://www.boe.es/gazeta/dias/1813/01/16/pdfs/GRE-1813-7.pdf#page=8","Abrir facsímil")</f>
        <v>Abrir facsímil</v>
      </c>
      <c r="K6014" s="3" t="s">
        <v>22</v>
      </c>
    </row>
    <row r="6015" spans="1:11" ht="42" customHeight="1">
      <c r="A6015" s="2" t="s">
        <v>12522</v>
      </c>
      <c r="B6015" s="2" t="s">
        <v>12523</v>
      </c>
      <c r="C6015" s="2" t="s">
        <v>16</v>
      </c>
      <c r="D6015" s="2" t="s">
        <v>17</v>
      </c>
      <c r="E6015" s="5">
        <v>-31709</v>
      </c>
      <c r="F6015" s="3" t="s">
        <v>36</v>
      </c>
      <c r="G6015" s="3" t="s">
        <v>19</v>
      </c>
      <c r="H6015" s="2" t="s">
        <v>20</v>
      </c>
      <c r="I6015" s="2" t="s">
        <v>12524</v>
      </c>
      <c r="J6015" s="3" t="str">
        <f>HYPERLINK("https://www.boe.es/gazeta/dias/1813/03/07/pdfs/GMD-1813-66.pdf#page=4","Abrir facsímil")</f>
        <v>Abrir facsímil</v>
      </c>
      <c r="K6015" s="3" t="s">
        <v>22</v>
      </c>
    </row>
    <row r="6016" spans="1:11" ht="42" customHeight="1">
      <c r="A6016" s="2" t="s">
        <v>12522</v>
      </c>
      <c r="B6016" s="2" t="s">
        <v>12523</v>
      </c>
      <c r="C6016" s="2" t="s">
        <v>16</v>
      </c>
      <c r="D6016" s="2" t="s">
        <v>17</v>
      </c>
      <c r="E6016" s="5">
        <v>-31546</v>
      </c>
      <c r="F6016" s="3" t="s">
        <v>2057</v>
      </c>
      <c r="G6016" s="3" t="s">
        <v>82</v>
      </c>
      <c r="H6016" s="2" t="s">
        <v>20</v>
      </c>
      <c r="I6016" s="2" t="s">
        <v>12525</v>
      </c>
      <c r="J6016" s="3" t="str">
        <f>HYPERLINK("https://www.boe.es/gazeta/dias/1813/08/17/pdfs/GRE-1813-105.pdf#page=5","Abrir facsímil")</f>
        <v>Abrir facsímil</v>
      </c>
      <c r="K6016" s="3" t="s">
        <v>22</v>
      </c>
    </row>
    <row r="6017" spans="1:11" ht="42" customHeight="1">
      <c r="A6017" s="2" t="s">
        <v>12522</v>
      </c>
      <c r="B6017" s="2" t="s">
        <v>12523</v>
      </c>
      <c r="C6017" s="2" t="s">
        <v>16</v>
      </c>
      <c r="D6017" s="2" t="s">
        <v>17</v>
      </c>
      <c r="E6017" s="5">
        <v>-31507</v>
      </c>
      <c r="F6017" s="3" t="s">
        <v>61</v>
      </c>
      <c r="G6017" s="3" t="s">
        <v>791</v>
      </c>
      <c r="H6017" s="2" t="s">
        <v>20</v>
      </c>
      <c r="I6017" s="2" t="s">
        <v>12526</v>
      </c>
      <c r="J6017" s="3" t="str">
        <f>HYPERLINK("https://www.boe.es/gazeta/dias/1813/09/25/pdfs/GMR-1813-48.pdf#page=7","Abrir facsímil")</f>
        <v>Abrir facsímil</v>
      </c>
      <c r="K6017" s="3" t="s">
        <v>22</v>
      </c>
    </row>
    <row r="6018" spans="1:11" ht="42" customHeight="1">
      <c r="A6018" s="2" t="s">
        <v>12527</v>
      </c>
      <c r="B6018" s="2" t="s">
        <v>12528</v>
      </c>
      <c r="C6018" s="2" t="s">
        <v>16</v>
      </c>
      <c r="D6018" s="2" t="s">
        <v>97</v>
      </c>
      <c r="E6018" s="5">
        <v>-31479</v>
      </c>
      <c r="F6018" s="3" t="s">
        <v>290</v>
      </c>
      <c r="G6018" s="3" t="s">
        <v>3006</v>
      </c>
      <c r="H6018" s="2" t="s">
        <v>20</v>
      </c>
      <c r="I6018" s="2" t="s">
        <v>12529</v>
      </c>
      <c r="J6018" s="3" t="str">
        <f>HYPERLINK("https://www.boe.es/gazeta/dias/1813/10/23/pdfs/GRE-1813-139E.pdf#page=15","Abrir facsímil")</f>
        <v>Abrir facsímil</v>
      </c>
      <c r="K6018" s="3" t="s">
        <v>22</v>
      </c>
    </row>
    <row r="6019" spans="1:11" ht="42" customHeight="1">
      <c r="A6019" s="2" t="s">
        <v>12530</v>
      </c>
      <c r="B6019" s="2" t="s">
        <v>12531</v>
      </c>
      <c r="C6019" s="2" t="s">
        <v>16</v>
      </c>
      <c r="D6019" s="2" t="s">
        <v>97</v>
      </c>
      <c r="E6019" s="5">
        <v>-31519</v>
      </c>
      <c r="F6019" s="3" t="s">
        <v>312</v>
      </c>
      <c r="G6019" s="3" t="s">
        <v>87</v>
      </c>
      <c r="H6019" s="2" t="s">
        <v>20</v>
      </c>
      <c r="I6019" s="2" t="s">
        <v>12532</v>
      </c>
      <c r="J6019" s="3" t="str">
        <f>HYPERLINK("https://www.boe.es/gazeta/dias/1813/09/13/pdfs/GRE-1813-118E.pdf#page=7","Abrir facsímil")</f>
        <v>Abrir facsímil</v>
      </c>
      <c r="K6019" s="3" t="s">
        <v>22</v>
      </c>
    </row>
    <row r="6020" spans="1:11" ht="42" customHeight="1">
      <c r="A6020" s="2" t="s">
        <v>12533</v>
      </c>
      <c r="B6020" s="2" t="s">
        <v>12534</v>
      </c>
      <c r="C6020" s="2" t="s">
        <v>16</v>
      </c>
      <c r="D6020" s="2" t="s">
        <v>17</v>
      </c>
      <c r="E6020" s="5">
        <v>-31521</v>
      </c>
      <c r="F6020" s="3" t="s">
        <v>1282</v>
      </c>
      <c r="G6020" s="3" t="s">
        <v>87</v>
      </c>
      <c r="H6020" s="2" t="s">
        <v>20</v>
      </c>
      <c r="I6020" s="2" t="s">
        <v>12535</v>
      </c>
      <c r="J6020" s="3" t="str">
        <f>HYPERLINK("https://www.boe.es/gazeta/dias/1813/09/11/pdfs/GMR-1813-41.pdf#page=7","Abrir facsímil")</f>
        <v>Abrir facsímil</v>
      </c>
      <c r="K6020" s="3" t="s">
        <v>22</v>
      </c>
    </row>
    <row r="6021" spans="1:11" ht="42" customHeight="1">
      <c r="A6021" s="2" t="s">
        <v>12533</v>
      </c>
      <c r="B6021" s="2" t="s">
        <v>12534</v>
      </c>
      <c r="C6021" s="2" t="s">
        <v>16</v>
      </c>
      <c r="D6021" s="2" t="s">
        <v>17</v>
      </c>
      <c r="E6021" s="5">
        <v>-31511</v>
      </c>
      <c r="F6021" s="3" t="s">
        <v>935</v>
      </c>
      <c r="G6021" s="3" t="s">
        <v>178</v>
      </c>
      <c r="H6021" s="2" t="s">
        <v>20</v>
      </c>
      <c r="I6021" s="2" t="s">
        <v>12536</v>
      </c>
      <c r="J6021" s="3" t="str">
        <f>HYPERLINK("https://www.boe.es/gazeta/dias/1813/09/21/pdfs/GMR-1813-46.pdf#page=11","Abrir facsímil")</f>
        <v>Abrir facsímil</v>
      </c>
      <c r="K6021" s="3" t="s">
        <v>22</v>
      </c>
    </row>
    <row r="6022" spans="1:11" ht="42" customHeight="1">
      <c r="A6022" s="2" t="s">
        <v>12537</v>
      </c>
      <c r="B6022" s="2" t="s">
        <v>12538</v>
      </c>
      <c r="C6022" s="2" t="s">
        <v>25</v>
      </c>
      <c r="D6022" s="2" t="s">
        <v>97</v>
      </c>
      <c r="E6022" s="5">
        <v>-31519</v>
      </c>
      <c r="F6022" s="3" t="s">
        <v>312</v>
      </c>
      <c r="G6022" s="3" t="s">
        <v>28</v>
      </c>
      <c r="H6022" s="2" t="s">
        <v>20</v>
      </c>
      <c r="I6022" s="2" t="s">
        <v>12539</v>
      </c>
      <c r="J6022" s="3" t="str">
        <f>HYPERLINK("https://www.boe.es/gazeta/dias/1813/09/13/pdfs/GRE-1813-118E.pdf#page=8","Abrir facsímil")</f>
        <v>Abrir facsímil</v>
      </c>
      <c r="K6022" s="3" t="s">
        <v>22</v>
      </c>
    </row>
    <row r="6023" spans="1:11" ht="42" customHeight="1">
      <c r="A6023" s="2" t="s">
        <v>12537</v>
      </c>
      <c r="B6023" s="2" t="s">
        <v>12538</v>
      </c>
      <c r="C6023" s="2" t="s">
        <v>25</v>
      </c>
      <c r="D6023" s="2" t="s">
        <v>26</v>
      </c>
      <c r="E6023" s="5">
        <v>-31507</v>
      </c>
      <c r="F6023" s="3" t="s">
        <v>61</v>
      </c>
      <c r="G6023" s="3" t="s">
        <v>28</v>
      </c>
      <c r="H6023" s="2" t="s">
        <v>20</v>
      </c>
      <c r="I6023" s="2" t="s">
        <v>12540</v>
      </c>
      <c r="J6023" s="3" t="str">
        <f>HYPERLINK("https://www.boe.es/gazeta/dias/1813/09/25/pdfs/GMR-1813-48.pdf#page=8","Abrir facsímil")</f>
        <v>Abrir facsímil</v>
      </c>
      <c r="K6023" s="3" t="s">
        <v>22</v>
      </c>
    </row>
    <row r="6024" spans="1:11" ht="42" customHeight="1">
      <c r="A6024" s="2" t="s">
        <v>12541</v>
      </c>
      <c r="B6024" s="2" t="s">
        <v>12541</v>
      </c>
      <c r="C6024" s="2" t="s">
        <v>16</v>
      </c>
      <c r="D6024" s="2" t="s">
        <v>17</v>
      </c>
      <c r="E6024" s="5">
        <v>-31711</v>
      </c>
      <c r="F6024" s="3" t="s">
        <v>385</v>
      </c>
      <c r="G6024" s="3" t="s">
        <v>28</v>
      </c>
      <c r="H6024" s="2" t="s">
        <v>20</v>
      </c>
      <c r="I6024" s="2" t="s">
        <v>12542</v>
      </c>
      <c r="J6024" s="3" t="str">
        <f>HYPERLINK("https://www.boe.es/gazeta/dias/1813/03/05/pdfs/GRE-1813-99.pdf#page=8","Abrir facsímil")</f>
        <v>Abrir facsímil</v>
      </c>
      <c r="K6024" s="3" t="s">
        <v>22</v>
      </c>
    </row>
    <row r="6025" spans="1:11" ht="42" customHeight="1">
      <c r="A6025" s="2" t="s">
        <v>12541</v>
      </c>
      <c r="B6025" s="2" t="s">
        <v>12541</v>
      </c>
      <c r="C6025" s="2" t="s">
        <v>16</v>
      </c>
      <c r="D6025" s="2" t="s">
        <v>17</v>
      </c>
      <c r="E6025" s="5">
        <v>-31574</v>
      </c>
      <c r="F6025" s="3" t="s">
        <v>1343</v>
      </c>
      <c r="G6025" s="3" t="s">
        <v>82</v>
      </c>
      <c r="H6025" s="2" t="s">
        <v>20</v>
      </c>
      <c r="I6025" s="2" t="s">
        <v>12543</v>
      </c>
      <c r="J6025" s="3" t="str">
        <f>HYPERLINK("https://www.boe.es/gazeta/dias/1813/07/20/pdfs/GMR-1813-19.pdf#page=5","Abrir facsímil")</f>
        <v>Abrir facsímil</v>
      </c>
      <c r="K6025" s="3" t="s">
        <v>22</v>
      </c>
    </row>
    <row r="6026" spans="1:11" ht="42" customHeight="1">
      <c r="A6026" s="2" t="s">
        <v>12541</v>
      </c>
      <c r="B6026" s="2" t="s">
        <v>12541</v>
      </c>
      <c r="C6026" s="2" t="s">
        <v>16</v>
      </c>
      <c r="D6026" s="2" t="s">
        <v>17</v>
      </c>
      <c r="E6026" s="5">
        <v>-31559</v>
      </c>
      <c r="F6026" s="3" t="s">
        <v>1485</v>
      </c>
      <c r="G6026" s="3" t="s">
        <v>19</v>
      </c>
      <c r="H6026" s="2" t="s">
        <v>20</v>
      </c>
      <c r="I6026" s="2" t="s">
        <v>12544</v>
      </c>
      <c r="J6026" s="3" t="str">
        <f>HYPERLINK("https://www.boe.es/gazeta/dias/1813/08/04/pdfs/GRE-1813-113.pdf#page=4","Abrir facsímil")</f>
        <v>Abrir facsímil</v>
      </c>
      <c r="K6026" s="3" t="s">
        <v>22</v>
      </c>
    </row>
    <row r="6027" spans="1:11" ht="42" customHeight="1">
      <c r="A6027" s="2" t="s">
        <v>12541</v>
      </c>
      <c r="B6027" s="2" t="s">
        <v>12541</v>
      </c>
      <c r="C6027" s="2" t="s">
        <v>16</v>
      </c>
      <c r="D6027" s="2" t="s">
        <v>17</v>
      </c>
      <c r="E6027" s="5">
        <v>-31558</v>
      </c>
      <c r="F6027" s="3" t="s">
        <v>385</v>
      </c>
      <c r="G6027" s="3" t="s">
        <v>28</v>
      </c>
      <c r="H6027" s="2" t="s">
        <v>20</v>
      </c>
      <c r="I6027" s="2" t="s">
        <v>12542</v>
      </c>
      <c r="J6027" s="3" t="str">
        <f>HYPERLINK("https://www.boe.es/gazeta/dias/1813/08/05/pdfs/GRE-1813-99.pdf#page=8","Abrir facsímil")</f>
        <v>Abrir facsímil</v>
      </c>
      <c r="K6027" s="3" t="s">
        <v>22</v>
      </c>
    </row>
    <row r="6028" spans="1:11" ht="42" customHeight="1">
      <c r="A6028" s="2" t="s">
        <v>12541</v>
      </c>
      <c r="B6028" s="2" t="s">
        <v>12541</v>
      </c>
      <c r="C6028" s="2" t="s">
        <v>16</v>
      </c>
      <c r="D6028" s="2" t="s">
        <v>17</v>
      </c>
      <c r="E6028" s="5">
        <v>-31556</v>
      </c>
      <c r="F6028" s="3" t="s">
        <v>976</v>
      </c>
      <c r="G6028" s="3" t="s">
        <v>6442</v>
      </c>
      <c r="H6028" s="2" t="s">
        <v>20</v>
      </c>
      <c r="I6028" s="2" t="s">
        <v>12545</v>
      </c>
      <c r="J6028" s="3" t="str">
        <f>HYPERLINK("https://www.boe.es/gazeta/dias/1813/08/07/pdfs/GRE-1813-100.pdf#page=7","Abrir facsímil")</f>
        <v>Abrir facsímil</v>
      </c>
      <c r="K6028" s="3" t="s">
        <v>22</v>
      </c>
    </row>
    <row r="6029" spans="1:11" ht="42" customHeight="1">
      <c r="A6029" s="2" t="s">
        <v>12546</v>
      </c>
      <c r="B6029" s="2" t="s">
        <v>12546</v>
      </c>
      <c r="C6029" s="2" t="s">
        <v>16</v>
      </c>
      <c r="D6029" s="2" t="s">
        <v>17</v>
      </c>
      <c r="E6029" s="5">
        <v>-31537</v>
      </c>
      <c r="F6029" s="3" t="s">
        <v>5241</v>
      </c>
      <c r="G6029" s="3" t="s">
        <v>19</v>
      </c>
      <c r="H6029" s="2" t="s">
        <v>20</v>
      </c>
      <c r="I6029" s="2" t="s">
        <v>12547</v>
      </c>
      <c r="J6029" s="3" t="str">
        <f>HYPERLINK("https://www.boe.es/gazeta/dias/1813/08/26/pdfs/GRE-1813-109.pdf#page=4","Abrir facsímil")</f>
        <v>Abrir facsímil</v>
      </c>
      <c r="K6029" s="3" t="s">
        <v>22</v>
      </c>
    </row>
    <row r="6030" spans="1:11" ht="42" customHeight="1">
      <c r="A6030" s="2" t="s">
        <v>12541</v>
      </c>
      <c r="B6030" s="2" t="s">
        <v>12541</v>
      </c>
      <c r="C6030" s="2" t="s">
        <v>16</v>
      </c>
      <c r="D6030" s="2" t="s">
        <v>17</v>
      </c>
      <c r="E6030" s="5">
        <v>-31535</v>
      </c>
      <c r="F6030" s="3" t="s">
        <v>894</v>
      </c>
      <c r="G6030" s="3" t="s">
        <v>3375</v>
      </c>
      <c r="H6030" s="2" t="s">
        <v>20</v>
      </c>
      <c r="I6030" s="2" t="s">
        <v>12548</v>
      </c>
      <c r="J6030" s="3" t="str">
        <f>HYPERLINK("https://www.boe.es/gazeta/dias/1813/08/28/pdfs/GMR-1813-34.pdf#page=4","Abrir facsímil")</f>
        <v>Abrir facsímil</v>
      </c>
      <c r="K6030" s="3" t="s">
        <v>22</v>
      </c>
    </row>
    <row r="6031" spans="1:11" ht="42" customHeight="1">
      <c r="A6031" s="2" t="s">
        <v>12549</v>
      </c>
      <c r="B6031" s="2" t="s">
        <v>12549</v>
      </c>
      <c r="C6031" s="2" t="s">
        <v>16</v>
      </c>
      <c r="D6031" s="2" t="s">
        <v>17</v>
      </c>
      <c r="E6031" s="5">
        <v>-31530</v>
      </c>
      <c r="F6031" s="3" t="s">
        <v>133</v>
      </c>
      <c r="G6031" s="3" t="s">
        <v>95</v>
      </c>
      <c r="H6031" s="2" t="s">
        <v>20</v>
      </c>
      <c r="I6031" s="2" t="s">
        <v>12550</v>
      </c>
      <c r="J6031" s="3" t="str">
        <f>HYPERLINK("https://www.boe.es/gazeta/dias/1813/09/02/pdfs/GMR-1813-36.pdf#page=6","Abrir facsímil")</f>
        <v>Abrir facsímil</v>
      </c>
      <c r="K6031" s="3" t="s">
        <v>22</v>
      </c>
    </row>
    <row r="6032" spans="1:11" ht="42" customHeight="1">
      <c r="A6032" s="2" t="s">
        <v>12541</v>
      </c>
      <c r="B6032" s="2" t="s">
        <v>12541</v>
      </c>
      <c r="C6032" s="2" t="s">
        <v>16</v>
      </c>
      <c r="D6032" s="2" t="s">
        <v>17</v>
      </c>
      <c r="E6032" s="5">
        <v>-31528</v>
      </c>
      <c r="F6032" s="3" t="s">
        <v>1485</v>
      </c>
      <c r="G6032" s="3" t="s">
        <v>19</v>
      </c>
      <c r="H6032" s="2" t="s">
        <v>20</v>
      </c>
      <c r="I6032" s="2" t="s">
        <v>12544</v>
      </c>
      <c r="J6032" s="3" t="str">
        <f>HYPERLINK("https://www.boe.es/gazeta/dias/1813/09/04/pdfs/GRE-1813-113.pdf#page=4","Abrir facsímil")</f>
        <v>Abrir facsímil</v>
      </c>
      <c r="K6032" s="3" t="s">
        <v>22</v>
      </c>
    </row>
    <row r="6033" spans="1:11" ht="42" customHeight="1">
      <c r="A6033" s="2" t="s">
        <v>12541</v>
      </c>
      <c r="B6033" s="2" t="s">
        <v>12541</v>
      </c>
      <c r="C6033" s="2" t="s">
        <v>16</v>
      </c>
      <c r="D6033" s="2" t="s">
        <v>17</v>
      </c>
      <c r="E6033" s="5">
        <v>-31518</v>
      </c>
      <c r="F6033" s="3" t="s">
        <v>155</v>
      </c>
      <c r="G6033" s="3" t="s">
        <v>58</v>
      </c>
      <c r="H6033" s="2" t="s">
        <v>20</v>
      </c>
      <c r="I6033" s="2" t="s">
        <v>12551</v>
      </c>
      <c r="J6033" s="3" t="str">
        <f>HYPERLINK("https://www.boe.es/gazeta/dias/1813/09/14/pdfs/GRE-1813-119.pdf#page=2","Abrir facsímil")</f>
        <v>Abrir facsímil</v>
      </c>
      <c r="K6033" s="3" t="s">
        <v>22</v>
      </c>
    </row>
    <row r="6034" spans="1:11" ht="42" customHeight="1">
      <c r="A6034" s="2" t="s">
        <v>12541</v>
      </c>
      <c r="B6034" s="2" t="s">
        <v>12541</v>
      </c>
      <c r="C6034" s="2" t="s">
        <v>16</v>
      </c>
      <c r="D6034" s="2" t="s">
        <v>17</v>
      </c>
      <c r="E6034" s="5">
        <v>-31493</v>
      </c>
      <c r="F6034" s="3" t="s">
        <v>1996</v>
      </c>
      <c r="G6034" s="3" t="s">
        <v>19</v>
      </c>
      <c r="H6034" s="2" t="s">
        <v>20</v>
      </c>
      <c r="I6034" s="2" t="s">
        <v>12552</v>
      </c>
      <c r="J6034" s="3" t="str">
        <f>HYPERLINK("https://www.boe.es/gazeta/dias/1813/10/09/pdfs/GRE-1813-132.pdf#page=4","Abrir facsímil")</f>
        <v>Abrir facsímil</v>
      </c>
      <c r="K6034" s="3" t="s">
        <v>22</v>
      </c>
    </row>
    <row r="6035" spans="1:11" ht="42" customHeight="1">
      <c r="A6035" s="2" t="s">
        <v>12541</v>
      </c>
      <c r="B6035" s="2" t="s">
        <v>12541</v>
      </c>
      <c r="C6035" s="2" t="s">
        <v>16</v>
      </c>
      <c r="D6035" s="2" t="s">
        <v>17</v>
      </c>
      <c r="E6035" s="5">
        <v>-31467</v>
      </c>
      <c r="F6035" s="3" t="s">
        <v>1464</v>
      </c>
      <c r="G6035" s="3" t="s">
        <v>95</v>
      </c>
      <c r="H6035" s="2" t="s">
        <v>20</v>
      </c>
      <c r="I6035" s="2" t="s">
        <v>12553</v>
      </c>
      <c r="J6035" s="3" t="str">
        <f>HYPERLINK("https://www.boe.es/gazeta/dias/1813/11/04/pdfs/GRE-1813-144.pdf#page=6","Abrir facsímil")</f>
        <v>Abrir facsímil</v>
      </c>
      <c r="K6035" s="3" t="s">
        <v>22</v>
      </c>
    </row>
    <row r="6036" spans="1:11" ht="42" customHeight="1">
      <c r="A6036" s="2" t="s">
        <v>12541</v>
      </c>
      <c r="B6036" s="2" t="s">
        <v>12541</v>
      </c>
      <c r="C6036" s="2" t="s">
        <v>16</v>
      </c>
      <c r="D6036" s="2" t="s">
        <v>17</v>
      </c>
      <c r="E6036" s="5">
        <v>-31432</v>
      </c>
      <c r="F6036" s="3" t="s">
        <v>702</v>
      </c>
      <c r="G6036" s="3" t="s">
        <v>54</v>
      </c>
      <c r="H6036" s="2" t="s">
        <v>20</v>
      </c>
      <c r="I6036" s="2" t="s">
        <v>12554</v>
      </c>
      <c r="J6036" s="3" t="str">
        <f>HYPERLINK("https://www.boe.es/gazeta/dias/1813/12/09/pdfs/GMR-1813-85.pdf#page=3","Abrir facsímil")</f>
        <v>Abrir facsímil</v>
      </c>
      <c r="K6036" s="3" t="s">
        <v>22</v>
      </c>
    </row>
    <row r="6037" spans="1:11" ht="42" customHeight="1">
      <c r="A6037" s="2" t="s">
        <v>12541</v>
      </c>
      <c r="B6037" s="2" t="s">
        <v>12541</v>
      </c>
      <c r="C6037" s="2" t="s">
        <v>16</v>
      </c>
      <c r="D6037" s="2" t="s">
        <v>17</v>
      </c>
      <c r="E6037" s="5">
        <v>-31411</v>
      </c>
      <c r="F6037" s="3" t="s">
        <v>2306</v>
      </c>
      <c r="G6037" s="3" t="s">
        <v>87</v>
      </c>
      <c r="H6037" s="2" t="s">
        <v>20</v>
      </c>
      <c r="I6037" s="2" t="s">
        <v>12555</v>
      </c>
      <c r="J6037" s="3" t="str">
        <f>HYPERLINK("https://www.boe.es/gazeta/dias/1813/12/30/pdfs/GMR-1813-94.pdf#page=7","Abrir facsímil")</f>
        <v>Abrir facsímil</v>
      </c>
      <c r="K6037" s="3" t="s">
        <v>22</v>
      </c>
    </row>
    <row r="6038" spans="1:11" ht="42" customHeight="1">
      <c r="A6038" s="2" t="s">
        <v>12541</v>
      </c>
      <c r="B6038" s="2" t="s">
        <v>12541</v>
      </c>
      <c r="C6038" s="2" t="s">
        <v>16</v>
      </c>
      <c r="D6038" s="2" t="s">
        <v>17</v>
      </c>
      <c r="E6038" s="5">
        <v>-31411</v>
      </c>
      <c r="F6038" s="3" t="s">
        <v>3702</v>
      </c>
      <c r="G6038" s="3" t="s">
        <v>95</v>
      </c>
      <c r="H6038" s="2" t="s">
        <v>20</v>
      </c>
      <c r="I6038" s="2" t="s">
        <v>12556</v>
      </c>
      <c r="J6038" s="3" t="str">
        <f>HYPERLINK("https://www.boe.es/gazeta/dias/1813/12/30/pdfs/GRE-1813-171.pdf#page=6","Abrir facsímil")</f>
        <v>Abrir facsímil</v>
      </c>
      <c r="K6038" s="3" t="s">
        <v>22</v>
      </c>
    </row>
    <row r="6039" spans="1:11" ht="42" customHeight="1">
      <c r="A6039" s="2" t="s">
        <v>12557</v>
      </c>
      <c r="B6039" s="2" t="s">
        <v>12557</v>
      </c>
      <c r="C6039" s="2" t="s">
        <v>16</v>
      </c>
      <c r="D6039" s="2" t="s">
        <v>17</v>
      </c>
      <c r="E6039" s="5">
        <v>-31766</v>
      </c>
      <c r="F6039" s="3" t="s">
        <v>1356</v>
      </c>
      <c r="G6039" s="3" t="s">
        <v>95</v>
      </c>
      <c r="H6039" s="2" t="s">
        <v>20</v>
      </c>
      <c r="I6039" s="2" t="s">
        <v>12558</v>
      </c>
      <c r="J6039" s="3" t="str">
        <f>HYPERLINK("https://www.boe.es/gazeta/dias/1813/01/09/pdfs/GRE-1813-4.pdf#page=6","Abrir facsímil")</f>
        <v>Abrir facsímil</v>
      </c>
      <c r="K6039" s="3" t="s">
        <v>22</v>
      </c>
    </row>
    <row r="6040" spans="1:11" ht="42" customHeight="1">
      <c r="A6040" s="2" t="s">
        <v>12559</v>
      </c>
      <c r="B6040" s="2" t="s">
        <v>12559</v>
      </c>
      <c r="C6040" s="2" t="s">
        <v>16</v>
      </c>
      <c r="D6040" s="2" t="s">
        <v>17</v>
      </c>
      <c r="E6040" s="5">
        <v>-31521</v>
      </c>
      <c r="F6040" s="3" t="s">
        <v>1256</v>
      </c>
      <c r="G6040" s="3" t="s">
        <v>19</v>
      </c>
      <c r="H6040" s="2" t="s">
        <v>20</v>
      </c>
      <c r="I6040" s="2" t="s">
        <v>12560</v>
      </c>
      <c r="J6040" s="3" t="str">
        <f>HYPERLINK("https://www.boe.es/gazeta/dias/1813/09/11/pdfs/GRE-1813-116.pdf#page=4","Abrir facsímil")</f>
        <v>Abrir facsímil</v>
      </c>
      <c r="K6040" s="3" t="s">
        <v>22</v>
      </c>
    </row>
    <row r="6041" spans="1:11" ht="42" customHeight="1">
      <c r="A6041" s="2" t="s">
        <v>12561</v>
      </c>
      <c r="B6041" s="2" t="s">
        <v>12562</v>
      </c>
      <c r="C6041" s="2" t="s">
        <v>16</v>
      </c>
      <c r="D6041" s="2" t="s">
        <v>17</v>
      </c>
      <c r="E6041" s="5">
        <v>-31619</v>
      </c>
      <c r="F6041" s="3" t="s">
        <v>1350</v>
      </c>
      <c r="G6041" s="3" t="s">
        <v>54</v>
      </c>
      <c r="H6041" s="2" t="s">
        <v>20</v>
      </c>
      <c r="I6041" s="2" t="s">
        <v>12563</v>
      </c>
      <c r="J6041" s="3" t="str">
        <f>HYPERLINK("https://www.boe.es/gazeta/dias/1813/06/05/pdfs/GMR-1813-2.pdf#page=3","Abrir facsímil")</f>
        <v>Abrir facsímil</v>
      </c>
      <c r="K6041" s="3" t="s">
        <v>22</v>
      </c>
    </row>
    <row r="6042" spans="1:11" ht="42" customHeight="1">
      <c r="A6042" s="2" t="s">
        <v>12564</v>
      </c>
      <c r="B6042" s="2" t="s">
        <v>12565</v>
      </c>
      <c r="C6042" s="2" t="s">
        <v>16</v>
      </c>
      <c r="D6042" s="2" t="s">
        <v>17</v>
      </c>
      <c r="E6042" s="5">
        <v>-31709</v>
      </c>
      <c r="F6042" s="3" t="s">
        <v>36</v>
      </c>
      <c r="G6042" s="3" t="s">
        <v>19</v>
      </c>
      <c r="H6042" s="2" t="s">
        <v>20</v>
      </c>
      <c r="I6042" s="2" t="s">
        <v>12566</v>
      </c>
      <c r="J6042" s="3" t="str">
        <f>HYPERLINK("https://www.boe.es/gazeta/dias/1813/03/07/pdfs/GMD-1813-66.pdf#page=4","Abrir facsímil")</f>
        <v>Abrir facsímil</v>
      </c>
      <c r="K6042" s="3" t="s">
        <v>22</v>
      </c>
    </row>
    <row r="6043" spans="1:11" ht="42" customHeight="1">
      <c r="A6043" s="2" t="s">
        <v>12567</v>
      </c>
      <c r="B6043" s="2" t="s">
        <v>12567</v>
      </c>
      <c r="C6043" s="2" t="s">
        <v>16</v>
      </c>
      <c r="D6043" s="2" t="s">
        <v>17</v>
      </c>
      <c r="E6043" s="5">
        <v>-31636</v>
      </c>
      <c r="F6043" s="3" t="s">
        <v>1673</v>
      </c>
      <c r="G6043" s="3" t="s">
        <v>58</v>
      </c>
      <c r="H6043" s="2" t="s">
        <v>20</v>
      </c>
      <c r="I6043" s="2" t="s">
        <v>12568</v>
      </c>
      <c r="J6043" s="3" t="str">
        <f>HYPERLINK("https://www.boe.es/gazeta/dias/1813/05/19/pdfs/GMD-1813-139.pdf#page=2","Abrir facsímil")</f>
        <v>Abrir facsímil</v>
      </c>
      <c r="K6043" s="3" t="s">
        <v>22</v>
      </c>
    </row>
    <row r="6044" spans="1:11" ht="42" customHeight="1">
      <c r="A6044" s="2" t="s">
        <v>12569</v>
      </c>
      <c r="B6044" s="2" t="s">
        <v>12569</v>
      </c>
      <c r="C6044" s="2" t="s">
        <v>16</v>
      </c>
      <c r="D6044" s="2" t="s">
        <v>17</v>
      </c>
      <c r="E6044" s="5">
        <v>-31640</v>
      </c>
      <c r="F6044" s="3" t="s">
        <v>3174</v>
      </c>
      <c r="G6044" s="3" t="s">
        <v>65</v>
      </c>
      <c r="H6044" s="2" t="s">
        <v>20</v>
      </c>
      <c r="I6044" s="2" t="s">
        <v>12570</v>
      </c>
      <c r="J6044" s="3" t="str">
        <f>HYPERLINK("https://www.boe.es/gazeta/dias/1813/05/15/pdfs/GMD-1813-135.pdf#page=1","Abrir facsímil")</f>
        <v>Abrir facsímil</v>
      </c>
      <c r="K6044" s="3" t="s">
        <v>22</v>
      </c>
    </row>
    <row r="6045" spans="1:11" ht="42" customHeight="1">
      <c r="A6045" s="2" t="s">
        <v>12569</v>
      </c>
      <c r="B6045" s="2" t="s">
        <v>12569</v>
      </c>
      <c r="C6045" s="2" t="s">
        <v>16</v>
      </c>
      <c r="D6045" s="2" t="s">
        <v>17</v>
      </c>
      <c r="E6045" s="5">
        <v>-31636</v>
      </c>
      <c r="F6045" s="3" t="s">
        <v>1673</v>
      </c>
      <c r="G6045" s="3" t="s">
        <v>65</v>
      </c>
      <c r="H6045" s="2" t="s">
        <v>20</v>
      </c>
      <c r="I6045" s="2" t="s">
        <v>12571</v>
      </c>
      <c r="J6045" s="3" t="str">
        <f>HYPERLINK("https://www.boe.es/gazeta/dias/1813/05/19/pdfs/GMD-1813-139.pdf#page=1","Abrir facsímil")</f>
        <v>Abrir facsímil</v>
      </c>
      <c r="K6045" s="3" t="s">
        <v>22</v>
      </c>
    </row>
    <row r="6046" spans="1:11" ht="42" customHeight="1">
      <c r="A6046" s="2" t="s">
        <v>12572</v>
      </c>
      <c r="B6046" s="2" t="s">
        <v>12572</v>
      </c>
      <c r="C6046" s="2" t="s">
        <v>435</v>
      </c>
      <c r="D6046" s="2" t="s">
        <v>26</v>
      </c>
      <c r="E6046" s="5">
        <v>-31560</v>
      </c>
      <c r="F6046" s="3" t="s">
        <v>590</v>
      </c>
      <c r="G6046" s="3" t="s">
        <v>87</v>
      </c>
      <c r="H6046" s="2" t="s">
        <v>20</v>
      </c>
      <c r="I6046" s="2" t="s">
        <v>12573</v>
      </c>
      <c r="J6046" s="3" t="str">
        <f>HYPERLINK("https://www.boe.es/gazeta/dias/1813/08/03/pdfs/GRE-1813-98.pdf#page=7","Abrir facsímil")</f>
        <v>Abrir facsímil</v>
      </c>
      <c r="K6046" s="3" t="s">
        <v>22</v>
      </c>
    </row>
    <row r="6047" spans="1:11" ht="42" customHeight="1">
      <c r="A6047" s="2" t="s">
        <v>12574</v>
      </c>
      <c r="B6047" s="2" t="s">
        <v>12575</v>
      </c>
      <c r="C6047" s="2" t="s">
        <v>34</v>
      </c>
      <c r="D6047" s="2" t="s">
        <v>35</v>
      </c>
      <c r="E6047" s="5">
        <v>-31709</v>
      </c>
      <c r="F6047" s="3" t="s">
        <v>36</v>
      </c>
      <c r="G6047" s="3" t="s">
        <v>19</v>
      </c>
      <c r="H6047" s="2" t="s">
        <v>20</v>
      </c>
      <c r="I6047" s="2" t="s">
        <v>12576</v>
      </c>
      <c r="J6047" s="3" t="str">
        <f>HYPERLINK("https://www.boe.es/gazeta/dias/1813/03/07/pdfs/GMD-1813-66.pdf#page=4","Abrir facsímil")</f>
        <v>Abrir facsímil</v>
      </c>
      <c r="K6047" s="3" t="s">
        <v>22</v>
      </c>
    </row>
    <row r="6048" spans="1:11" ht="42" customHeight="1">
      <c r="A6048" s="2" t="s">
        <v>12577</v>
      </c>
      <c r="B6048" s="2" t="s">
        <v>12578</v>
      </c>
      <c r="C6048" s="2" t="s">
        <v>109</v>
      </c>
      <c r="D6048" s="2" t="s">
        <v>26</v>
      </c>
      <c r="E6048" s="5">
        <v>-31689</v>
      </c>
      <c r="F6048" s="3" t="s">
        <v>48</v>
      </c>
      <c r="G6048" s="3" t="s">
        <v>162</v>
      </c>
      <c r="H6048" s="2" t="s">
        <v>20</v>
      </c>
      <c r="I6048" s="2" t="s">
        <v>12579</v>
      </c>
      <c r="J6048" s="3" t="str">
        <f>HYPERLINK("https://www.boe.es/gazeta/dias/1813/03/27/pdfs/GRE-1813-38.pdf#page=8","Abrir facsímil")</f>
        <v>Abrir facsímil</v>
      </c>
      <c r="K6048" s="3" t="s">
        <v>22</v>
      </c>
    </row>
    <row r="6049" spans="1:11" ht="42" customHeight="1">
      <c r="A6049" s="2" t="s">
        <v>12580</v>
      </c>
      <c r="B6049" s="2" t="s">
        <v>12580</v>
      </c>
      <c r="C6049" s="2" t="s">
        <v>16</v>
      </c>
      <c r="D6049" s="2" t="s">
        <v>17</v>
      </c>
      <c r="E6049" s="5">
        <v>-31773</v>
      </c>
      <c r="F6049" s="3" t="s">
        <v>3667</v>
      </c>
      <c r="G6049" s="3" t="s">
        <v>58</v>
      </c>
      <c r="H6049" s="2" t="s">
        <v>20</v>
      </c>
      <c r="I6049" s="2" t="s">
        <v>12581</v>
      </c>
      <c r="J6049" s="3" t="str">
        <f>HYPERLINK("https://www.boe.es/gazeta/dias/1813/01/02/pdfs/GRE-1813-1.pdf#page=2","Abrir facsímil")</f>
        <v>Abrir facsímil</v>
      </c>
      <c r="K6049" s="3" t="s">
        <v>22</v>
      </c>
    </row>
    <row r="6050" spans="1:11" ht="42" customHeight="1">
      <c r="A6050" s="2" t="s">
        <v>12582</v>
      </c>
      <c r="B6050" s="2" t="s">
        <v>12583</v>
      </c>
      <c r="C6050" s="2" t="s">
        <v>34</v>
      </c>
      <c r="D6050" s="2" t="s">
        <v>35</v>
      </c>
      <c r="E6050" s="5">
        <v>-31430</v>
      </c>
      <c r="F6050" s="3" t="s">
        <v>1161</v>
      </c>
      <c r="G6050" s="3" t="s">
        <v>87</v>
      </c>
      <c r="H6050" s="2" t="s">
        <v>20</v>
      </c>
      <c r="I6050" s="2" t="s">
        <v>12584</v>
      </c>
      <c r="J6050" s="3" t="str">
        <f>HYPERLINK("https://www.boe.es/gazeta/dias/1813/12/11/pdfs/GMR-1813-86.pdf#page=7","Abrir facsímil")</f>
        <v>Abrir facsímil</v>
      </c>
      <c r="K6050" s="3" t="s">
        <v>22</v>
      </c>
    </row>
    <row r="6051" spans="1:11" ht="42" customHeight="1">
      <c r="A6051" s="2" t="s">
        <v>12585</v>
      </c>
      <c r="B6051" s="2" t="s">
        <v>12586</v>
      </c>
      <c r="C6051" s="2" t="s">
        <v>25</v>
      </c>
      <c r="D6051" s="2" t="s">
        <v>26</v>
      </c>
      <c r="E6051" s="5">
        <v>-31460</v>
      </c>
      <c r="F6051" s="3" t="s">
        <v>599</v>
      </c>
      <c r="G6051" s="3" t="s">
        <v>1492</v>
      </c>
      <c r="H6051" s="2" t="s">
        <v>20</v>
      </c>
      <c r="I6051" s="2" t="s">
        <v>12587</v>
      </c>
      <c r="J6051" s="3" t="str">
        <f>HYPERLINK("https://www.boe.es/gazeta/dias/1813/11/11/pdfs/GMR-1813-72.pdf#page=4","Abrir facsímil")</f>
        <v>Abrir facsímil</v>
      </c>
      <c r="K6051" s="3" t="s">
        <v>22</v>
      </c>
    </row>
    <row r="6052" spans="1:11" ht="42" customHeight="1">
      <c r="A6052" s="2" t="s">
        <v>12585</v>
      </c>
      <c r="B6052" s="2" t="s">
        <v>12586</v>
      </c>
      <c r="C6052" s="2" t="s">
        <v>25</v>
      </c>
      <c r="D6052" s="2" t="s">
        <v>26</v>
      </c>
      <c r="E6052" s="5">
        <v>-31453</v>
      </c>
      <c r="F6052" s="3" t="s">
        <v>695</v>
      </c>
      <c r="G6052" s="3" t="s">
        <v>95</v>
      </c>
      <c r="H6052" s="2" t="s">
        <v>20</v>
      </c>
      <c r="I6052" s="2" t="s">
        <v>12588</v>
      </c>
      <c r="J6052" s="3" t="str">
        <f>HYPERLINK("https://www.boe.es/gazeta/dias/1813/11/18/pdfs/GRE-1813-151.pdf#page=6","Abrir facsímil")</f>
        <v>Abrir facsímil</v>
      </c>
      <c r="K6052" s="3" t="s">
        <v>22</v>
      </c>
    </row>
    <row r="6053" spans="1:11" ht="42" customHeight="1">
      <c r="A6053" s="2" t="s">
        <v>12589</v>
      </c>
      <c r="B6053" s="2" t="s">
        <v>12590</v>
      </c>
      <c r="C6053" s="2" t="s">
        <v>25</v>
      </c>
      <c r="D6053" s="2" t="s">
        <v>26</v>
      </c>
      <c r="E6053" s="5">
        <v>-31472</v>
      </c>
      <c r="F6053" s="3" t="s">
        <v>143</v>
      </c>
      <c r="G6053" s="3" t="s">
        <v>87</v>
      </c>
      <c r="H6053" s="2" t="s">
        <v>20</v>
      </c>
      <c r="I6053" s="2" t="s">
        <v>12591</v>
      </c>
      <c r="J6053" s="3" t="str">
        <f>HYPERLINK("https://www.boe.es/gazeta/dias/1813/10/30/pdfs/GMR-1813-66.pdf#page=7","Abrir facsímil")</f>
        <v>Abrir facsímil</v>
      </c>
      <c r="K6053" s="3" t="s">
        <v>22</v>
      </c>
    </row>
    <row r="6054" spans="1:11" ht="42" customHeight="1">
      <c r="A6054" s="2" t="s">
        <v>12592</v>
      </c>
      <c r="B6054" s="2" t="s">
        <v>12593</v>
      </c>
      <c r="C6054" s="2" t="s">
        <v>16</v>
      </c>
      <c r="D6054" s="2" t="s">
        <v>17</v>
      </c>
      <c r="E6054" s="5">
        <v>-31637</v>
      </c>
      <c r="F6054" s="3" t="s">
        <v>234</v>
      </c>
      <c r="G6054" s="3" t="s">
        <v>19</v>
      </c>
      <c r="H6054" s="2" t="s">
        <v>20</v>
      </c>
      <c r="I6054" s="2" t="s">
        <v>12594</v>
      </c>
      <c r="J6054" s="3" t="str">
        <f>HYPERLINK("https://www.boe.es/gazeta/dias/1813/05/18/pdfs/GRE-1813-61.pdf#page=4","Abrir facsímil")</f>
        <v>Abrir facsímil</v>
      </c>
      <c r="K6054" s="3" t="s">
        <v>22</v>
      </c>
    </row>
    <row r="6055" spans="1:11" ht="42" customHeight="1">
      <c r="A6055" s="2" t="s">
        <v>12595</v>
      </c>
      <c r="B6055" s="2" t="s">
        <v>12596</v>
      </c>
      <c r="C6055" s="2" t="s">
        <v>25</v>
      </c>
      <c r="D6055" s="2" t="s">
        <v>26</v>
      </c>
      <c r="E6055" s="5">
        <v>-31752</v>
      </c>
      <c r="F6055" s="3" t="s">
        <v>182</v>
      </c>
      <c r="G6055" s="3" t="s">
        <v>183</v>
      </c>
      <c r="H6055" s="2" t="s">
        <v>20</v>
      </c>
      <c r="I6055" s="2" t="s">
        <v>12597</v>
      </c>
      <c r="J6055" s="3" t="str">
        <f>HYPERLINK("https://www.boe.es/gazeta/dias/1813/01/23/pdfs/GRE-1813-10.pdf#page=8","Abrir facsímil")</f>
        <v>Abrir facsímil</v>
      </c>
      <c r="K6055" s="3" t="s">
        <v>22</v>
      </c>
    </row>
    <row r="6056" spans="1:11" ht="42" customHeight="1">
      <c r="A6056" s="2" t="s">
        <v>12598</v>
      </c>
      <c r="B6056" s="2" t="s">
        <v>12598</v>
      </c>
      <c r="C6056" s="2" t="s">
        <v>34</v>
      </c>
      <c r="D6056" s="2" t="s">
        <v>35</v>
      </c>
      <c r="E6056" s="5">
        <v>-31698</v>
      </c>
      <c r="F6056" s="3" t="s">
        <v>12599</v>
      </c>
      <c r="G6056" s="3" t="s">
        <v>58</v>
      </c>
      <c r="H6056" s="2" t="s">
        <v>20</v>
      </c>
      <c r="I6056" s="2" t="s">
        <v>12600</v>
      </c>
      <c r="J6056" s="3" t="str">
        <f>HYPERLINK("https://www.boe.es/gazeta/dias/1813/03/18/pdfs/GMD-1813-77.pdf#page=2","Abrir facsímil")</f>
        <v>Abrir facsímil</v>
      </c>
      <c r="K6056" s="3" t="s">
        <v>22</v>
      </c>
    </row>
    <row r="6057" spans="1:11" ht="42" customHeight="1">
      <c r="A6057" s="2" t="s">
        <v>12601</v>
      </c>
      <c r="B6057" s="2" t="s">
        <v>12601</v>
      </c>
      <c r="C6057" s="2" t="s">
        <v>25</v>
      </c>
      <c r="D6057" s="2" t="s">
        <v>26</v>
      </c>
      <c r="E6057" s="5">
        <v>-31542</v>
      </c>
      <c r="F6057" s="3" t="s">
        <v>347</v>
      </c>
      <c r="G6057" s="3" t="s">
        <v>19</v>
      </c>
      <c r="H6057" s="2" t="s">
        <v>20</v>
      </c>
      <c r="I6057" s="2" t="s">
        <v>12602</v>
      </c>
      <c r="J6057" s="3" t="str">
        <f>HYPERLINK("https://www.boe.es/gazeta/dias/1813/08/21/pdfs/GMR-1813-31.pdf#page=4","Abrir facsímil")</f>
        <v>Abrir facsímil</v>
      </c>
      <c r="K6057" s="3" t="s">
        <v>22</v>
      </c>
    </row>
    <row r="6058" spans="1:11" ht="42" customHeight="1">
      <c r="A6058" s="2" t="s">
        <v>12603</v>
      </c>
      <c r="B6058" s="2" t="s">
        <v>12604</v>
      </c>
      <c r="C6058" s="2" t="s">
        <v>69</v>
      </c>
      <c r="D6058" s="2" t="s">
        <v>26</v>
      </c>
      <c r="E6058" s="5">
        <v>-31521</v>
      </c>
      <c r="F6058" s="3" t="s">
        <v>1282</v>
      </c>
      <c r="G6058" s="3" t="s">
        <v>258</v>
      </c>
      <c r="H6058" s="2" t="s">
        <v>20</v>
      </c>
      <c r="I6058" s="2" t="s">
        <v>12605</v>
      </c>
      <c r="J6058" s="3" t="str">
        <f>HYPERLINK("https://www.boe.es/gazeta/dias/1813/09/11/pdfs/GMR-1813-41.pdf#page=12","Abrir facsímil")</f>
        <v>Abrir facsímil</v>
      </c>
      <c r="K6058" s="3" t="s">
        <v>22</v>
      </c>
    </row>
    <row r="6059" spans="1:11" ht="42" customHeight="1">
      <c r="A6059" s="2" t="s">
        <v>12606</v>
      </c>
      <c r="B6059" s="2" t="s">
        <v>12606</v>
      </c>
      <c r="C6059" s="2" t="s">
        <v>16</v>
      </c>
      <c r="D6059" s="2" t="s">
        <v>17</v>
      </c>
      <c r="E6059" s="5">
        <v>-31567</v>
      </c>
      <c r="F6059" s="3" t="s">
        <v>1471</v>
      </c>
      <c r="G6059" s="3" t="s">
        <v>19</v>
      </c>
      <c r="H6059" s="2" t="s">
        <v>20</v>
      </c>
      <c r="I6059" s="2" t="s">
        <v>12607</v>
      </c>
      <c r="J6059" s="3" t="str">
        <f>HYPERLINK("https://www.boe.es/gazeta/dias/1813/07/27/pdfs/GRE-1813-95.pdf#page=4","Abrir facsímil")</f>
        <v>Abrir facsímil</v>
      </c>
      <c r="K6059" s="3" t="s">
        <v>22</v>
      </c>
    </row>
    <row r="6060" spans="1:11" ht="42" customHeight="1">
      <c r="A6060" s="2" t="s">
        <v>12608</v>
      </c>
      <c r="B6060" s="2" t="s">
        <v>12609</v>
      </c>
      <c r="C6060" s="2" t="s">
        <v>16</v>
      </c>
      <c r="D6060" s="2" t="s">
        <v>17</v>
      </c>
      <c r="E6060" s="5">
        <v>-31565</v>
      </c>
      <c r="F6060" s="3" t="s">
        <v>306</v>
      </c>
      <c r="G6060" s="3" t="s">
        <v>28</v>
      </c>
      <c r="H6060" s="2" t="s">
        <v>29</v>
      </c>
      <c r="I6060" s="2" t="s">
        <v>12610</v>
      </c>
      <c r="J6060" s="3" t="str">
        <f>HYPERLINK("https://www.boe.es/gazeta/dias/1813/07/29/pdfs/GRE-1813-96.pdf#page=8","Abrir facsímil")</f>
        <v>Abrir facsímil</v>
      </c>
      <c r="K6060" s="3" t="s">
        <v>31</v>
      </c>
    </row>
    <row r="6061" spans="1:11" ht="42" customHeight="1">
      <c r="A6061" s="2" t="s">
        <v>12611</v>
      </c>
      <c r="B6061" s="2" t="s">
        <v>12612</v>
      </c>
      <c r="C6061" s="2" t="s">
        <v>16</v>
      </c>
      <c r="D6061" s="2" t="s">
        <v>97</v>
      </c>
      <c r="E6061" s="5">
        <v>-31519</v>
      </c>
      <c r="F6061" s="3" t="s">
        <v>312</v>
      </c>
      <c r="G6061" s="3" t="s">
        <v>313</v>
      </c>
      <c r="H6061" s="2" t="s">
        <v>20</v>
      </c>
      <c r="I6061" s="2" t="s">
        <v>12613</v>
      </c>
      <c r="J6061" s="3" t="str">
        <f>HYPERLINK("https://www.boe.es/gazeta/dias/1813/09/13/pdfs/GRE-1813-118E.pdf#page=9","Abrir facsímil")</f>
        <v>Abrir facsímil</v>
      </c>
      <c r="K6061" s="3" t="s">
        <v>22</v>
      </c>
    </row>
    <row r="6062" spans="1:11" ht="42" customHeight="1">
      <c r="A6062" s="2" t="s">
        <v>12614</v>
      </c>
      <c r="B6062" s="2" t="s">
        <v>12615</v>
      </c>
      <c r="C6062" s="2" t="s">
        <v>25</v>
      </c>
      <c r="D6062" s="2" t="s">
        <v>26</v>
      </c>
      <c r="E6062" s="5">
        <v>-31507</v>
      </c>
      <c r="F6062" s="3" t="s">
        <v>61</v>
      </c>
      <c r="G6062" s="3" t="s">
        <v>28</v>
      </c>
      <c r="H6062" s="2" t="s">
        <v>20</v>
      </c>
      <c r="I6062" s="2" t="s">
        <v>12616</v>
      </c>
      <c r="J6062" s="3" t="str">
        <f>HYPERLINK("https://www.boe.es/gazeta/dias/1813/09/25/pdfs/GMR-1813-48.pdf#page=8","Abrir facsímil")</f>
        <v>Abrir facsímil</v>
      </c>
      <c r="K6062" s="3" t="s">
        <v>22</v>
      </c>
    </row>
    <row r="6063" spans="1:11" ht="42" customHeight="1">
      <c r="A6063" s="2" t="s">
        <v>12617</v>
      </c>
      <c r="B6063" s="2" t="s">
        <v>12617</v>
      </c>
      <c r="C6063" s="2" t="s">
        <v>109</v>
      </c>
      <c r="D6063" s="2" t="s">
        <v>26</v>
      </c>
      <c r="E6063" s="5">
        <v>-31719</v>
      </c>
      <c r="F6063" s="3" t="s">
        <v>1770</v>
      </c>
      <c r="G6063" s="3" t="s">
        <v>2633</v>
      </c>
      <c r="H6063" s="2" t="s">
        <v>20</v>
      </c>
      <c r="I6063" s="2" t="s">
        <v>12618</v>
      </c>
      <c r="J6063" s="3" t="str">
        <f>HYPERLINK("https://www.boe.es/gazeta/dias/1813/02/25/pdfs/GRE-1813-24.pdf#page=4","Abrir facsímil")</f>
        <v>Abrir facsímil</v>
      </c>
      <c r="K6063" s="3" t="s">
        <v>22</v>
      </c>
    </row>
    <row r="6064" spans="1:11" ht="42" customHeight="1">
      <c r="A6064" s="2" t="s">
        <v>12617</v>
      </c>
      <c r="B6064" s="2" t="s">
        <v>12617</v>
      </c>
      <c r="C6064" s="2" t="s">
        <v>16</v>
      </c>
      <c r="D6064" s="2" t="s">
        <v>17</v>
      </c>
      <c r="E6064" s="5">
        <v>-31691</v>
      </c>
      <c r="F6064" s="3" t="s">
        <v>1542</v>
      </c>
      <c r="G6064" s="3" t="s">
        <v>95</v>
      </c>
      <c r="H6064" s="2" t="s">
        <v>20</v>
      </c>
      <c r="I6064" s="2" t="s">
        <v>12619</v>
      </c>
      <c r="J6064" s="3" t="str">
        <f>HYPERLINK("https://www.boe.es/gazeta/dias/1813/03/25/pdfs/GRE-1813-37.pdf#page=6","Abrir facsímil")</f>
        <v>Abrir facsímil</v>
      </c>
      <c r="K6064" s="3" t="s">
        <v>22</v>
      </c>
    </row>
    <row r="6065" spans="1:11" ht="42" customHeight="1">
      <c r="A6065" s="2" t="s">
        <v>12617</v>
      </c>
      <c r="B6065" s="2" t="s">
        <v>12617</v>
      </c>
      <c r="C6065" s="2" t="s">
        <v>16</v>
      </c>
      <c r="D6065" s="2" t="s">
        <v>17</v>
      </c>
      <c r="E6065" s="5">
        <v>-31560</v>
      </c>
      <c r="F6065" s="3" t="s">
        <v>590</v>
      </c>
      <c r="G6065" s="3" t="s">
        <v>54</v>
      </c>
      <c r="H6065" s="2" t="s">
        <v>20</v>
      </c>
      <c r="I6065" s="2" t="s">
        <v>12620</v>
      </c>
      <c r="J6065" s="3" t="str">
        <f>HYPERLINK("https://www.boe.es/gazeta/dias/1813/08/03/pdfs/GRE-1813-98.pdf#page=3","Abrir facsímil")</f>
        <v>Abrir facsímil</v>
      </c>
      <c r="K6065" s="3" t="s">
        <v>22</v>
      </c>
    </row>
    <row r="6066" spans="1:11" ht="42" customHeight="1">
      <c r="A6066" s="2" t="s">
        <v>12617</v>
      </c>
      <c r="B6066" s="2" t="s">
        <v>12617</v>
      </c>
      <c r="C6066" s="2" t="s">
        <v>16</v>
      </c>
      <c r="D6066" s="2" t="s">
        <v>17</v>
      </c>
      <c r="E6066" s="5">
        <v>-31507</v>
      </c>
      <c r="F6066" s="3" t="s">
        <v>61</v>
      </c>
      <c r="G6066" s="3" t="s">
        <v>791</v>
      </c>
      <c r="H6066" s="2" t="s">
        <v>20</v>
      </c>
      <c r="I6066" s="2" t="s">
        <v>12621</v>
      </c>
      <c r="J6066" s="3" t="str">
        <f>HYPERLINK("https://www.boe.es/gazeta/dias/1813/09/25/pdfs/GMR-1813-48.pdf#page=7","Abrir facsímil")</f>
        <v>Abrir facsímil</v>
      </c>
      <c r="K6066" s="3" t="s">
        <v>22</v>
      </c>
    </row>
    <row r="6067" spans="1:11" ht="42" customHeight="1">
      <c r="A6067" s="2" t="s">
        <v>12622</v>
      </c>
      <c r="B6067" s="2" t="s">
        <v>12623</v>
      </c>
      <c r="C6067" s="2" t="s">
        <v>16</v>
      </c>
      <c r="D6067" s="2" t="s">
        <v>17</v>
      </c>
      <c r="E6067" s="5">
        <v>-31451</v>
      </c>
      <c r="F6067" s="3" t="s">
        <v>127</v>
      </c>
      <c r="G6067" s="3" t="s">
        <v>28</v>
      </c>
      <c r="H6067" s="2" t="s">
        <v>20</v>
      </c>
      <c r="I6067" s="2" t="s">
        <v>12624</v>
      </c>
      <c r="J6067" s="3" t="str">
        <f>HYPERLINK("https://www.boe.es/gazeta/dias/1813/11/20/pdfs/GRE-1813-152.pdf#page=8","Abrir facsímil")</f>
        <v>Abrir facsímil</v>
      </c>
      <c r="K6067" s="3" t="s">
        <v>22</v>
      </c>
    </row>
    <row r="6068" spans="1:11" ht="42" customHeight="1">
      <c r="A6068" s="2" t="s">
        <v>12625</v>
      </c>
      <c r="B6068" s="2" t="s">
        <v>12626</v>
      </c>
      <c r="C6068" s="2" t="s">
        <v>16</v>
      </c>
      <c r="D6068" s="2" t="s">
        <v>97</v>
      </c>
      <c r="E6068" s="5">
        <v>-31670</v>
      </c>
      <c r="F6068" s="3" t="s">
        <v>98</v>
      </c>
      <c r="G6068" s="3" t="s">
        <v>772</v>
      </c>
      <c r="H6068" s="2" t="s">
        <v>20</v>
      </c>
      <c r="I6068" s="2" t="s">
        <v>12627</v>
      </c>
      <c r="J6068" s="3" t="str">
        <f>HYPERLINK("https://www.boe.es/gazeta/dias/1813/04/15/pdfs/GRE-1813-47E.pdf#page=3","Abrir facsímil")</f>
        <v>Abrir facsímil</v>
      </c>
      <c r="K6068" s="3" t="s">
        <v>22</v>
      </c>
    </row>
    <row r="6069" spans="1:11" ht="42" customHeight="1">
      <c r="A6069" s="2" t="s">
        <v>12628</v>
      </c>
      <c r="B6069" s="2" t="s">
        <v>12629</v>
      </c>
      <c r="C6069" s="2" t="s">
        <v>16</v>
      </c>
      <c r="D6069" s="2" t="s">
        <v>17</v>
      </c>
      <c r="E6069" s="5">
        <v>-31628</v>
      </c>
      <c r="F6069" s="3" t="s">
        <v>358</v>
      </c>
      <c r="G6069" s="3" t="s">
        <v>359</v>
      </c>
      <c r="H6069" s="2" t="s">
        <v>20</v>
      </c>
      <c r="I6069" s="2" t="s">
        <v>12630</v>
      </c>
      <c r="J6069" s="3" t="str">
        <f>HYPERLINK("https://www.boe.es/gazeta/dias/1813/05/27/pdfs/GRE-1813-65.pdf#page=6","Abrir facsímil")</f>
        <v>Abrir facsímil</v>
      </c>
      <c r="K6069" s="3" t="s">
        <v>22</v>
      </c>
    </row>
    <row r="6070" spans="1:11" ht="42" customHeight="1">
      <c r="A6070" s="2" t="s">
        <v>12631</v>
      </c>
      <c r="B6070" s="2" t="s">
        <v>12632</v>
      </c>
      <c r="C6070" s="2" t="s">
        <v>16</v>
      </c>
      <c r="D6070" s="2" t="s">
        <v>17</v>
      </c>
      <c r="E6070" s="5">
        <v>-31481</v>
      </c>
      <c r="F6070" s="3" t="s">
        <v>40</v>
      </c>
      <c r="G6070" s="3" t="s">
        <v>87</v>
      </c>
      <c r="H6070" s="2" t="s">
        <v>20</v>
      </c>
      <c r="I6070" s="2" t="s">
        <v>12633</v>
      </c>
      <c r="J6070" s="3" t="str">
        <f>HYPERLINK("https://www.boe.es/gazeta/dias/1813/10/21/pdfs/GMR-1813-62.pdf#page=7","Abrir facsímil")</f>
        <v>Abrir facsímil</v>
      </c>
      <c r="K6070" s="3" t="s">
        <v>22</v>
      </c>
    </row>
    <row r="6071" spans="1:11" ht="42" customHeight="1">
      <c r="A6071" s="2" t="s">
        <v>12634</v>
      </c>
      <c r="B6071" s="2" t="s">
        <v>12635</v>
      </c>
      <c r="C6071" s="2" t="s">
        <v>16</v>
      </c>
      <c r="D6071" s="2" t="s">
        <v>17</v>
      </c>
      <c r="E6071" s="5">
        <v>-31439</v>
      </c>
      <c r="F6071" s="3" t="s">
        <v>1298</v>
      </c>
      <c r="G6071" s="3" t="s">
        <v>95</v>
      </c>
      <c r="H6071" s="2" t="s">
        <v>20</v>
      </c>
      <c r="I6071" s="2" t="s">
        <v>12636</v>
      </c>
      <c r="J6071" s="3" t="str">
        <f>HYPERLINK("https://www.boe.es/gazeta/dias/1813/12/02/pdfs/GMR-1813-82.pdf#page=6","Abrir facsímil")</f>
        <v>Abrir facsímil</v>
      </c>
      <c r="K6071" s="3" t="s">
        <v>22</v>
      </c>
    </row>
    <row r="6072" spans="1:11" ht="42" customHeight="1">
      <c r="A6072" s="2" t="s">
        <v>12637</v>
      </c>
      <c r="B6072" s="2" t="s">
        <v>12638</v>
      </c>
      <c r="C6072" s="2" t="s">
        <v>25</v>
      </c>
      <c r="D6072" s="2" t="s">
        <v>26</v>
      </c>
      <c r="E6072" s="5">
        <v>-31752</v>
      </c>
      <c r="F6072" s="3" t="s">
        <v>182</v>
      </c>
      <c r="G6072" s="3" t="s">
        <v>183</v>
      </c>
      <c r="H6072" s="2" t="s">
        <v>20</v>
      </c>
      <c r="I6072" s="2" t="s">
        <v>12639</v>
      </c>
      <c r="J6072" s="3" t="str">
        <f>HYPERLINK("https://www.boe.es/gazeta/dias/1813/01/23/pdfs/GRE-1813-10.pdf#page=8","Abrir facsímil")</f>
        <v>Abrir facsímil</v>
      </c>
      <c r="K6072" s="3" t="s">
        <v>22</v>
      </c>
    </row>
    <row r="6073" spans="1:11" ht="42" customHeight="1">
      <c r="A6073" s="2" t="s">
        <v>12640</v>
      </c>
      <c r="B6073" s="2" t="s">
        <v>12640</v>
      </c>
      <c r="C6073" s="2" t="s">
        <v>16</v>
      </c>
      <c r="D6073" s="2" t="s">
        <v>17</v>
      </c>
      <c r="E6073" s="5">
        <v>-31462</v>
      </c>
      <c r="F6073" s="3" t="s">
        <v>1028</v>
      </c>
      <c r="G6073" s="3" t="s">
        <v>19</v>
      </c>
      <c r="H6073" s="2" t="s">
        <v>20</v>
      </c>
      <c r="I6073" s="2" t="s">
        <v>12641</v>
      </c>
      <c r="J6073" s="3" t="str">
        <f>HYPERLINK("https://www.boe.es/gazeta/dias/1813/11/09/pdfs/GMR-1813-71.pdf#page=4","Abrir facsímil")</f>
        <v>Abrir facsímil</v>
      </c>
      <c r="K6073" s="3" t="s">
        <v>22</v>
      </c>
    </row>
    <row r="6074" spans="1:11" ht="42" customHeight="1">
      <c r="A6074" s="2" t="s">
        <v>12642</v>
      </c>
      <c r="B6074" s="2" t="s">
        <v>12642</v>
      </c>
      <c r="C6074" s="2" t="s">
        <v>16</v>
      </c>
      <c r="D6074" s="2" t="s">
        <v>17</v>
      </c>
      <c r="E6074" s="5">
        <v>-31521</v>
      </c>
      <c r="F6074" s="3" t="s">
        <v>1256</v>
      </c>
      <c r="G6074" s="3" t="s">
        <v>4080</v>
      </c>
      <c r="H6074" s="2" t="s">
        <v>20</v>
      </c>
      <c r="I6074" s="2" t="s">
        <v>12643</v>
      </c>
      <c r="J6074" s="3" t="str">
        <f>HYPERLINK("https://www.boe.es/gazeta/dias/1813/09/11/pdfs/GRE-1813-116.pdf#page=1","Abrir facsímil")</f>
        <v>Abrir facsímil</v>
      </c>
      <c r="K6074" s="3" t="s">
        <v>22</v>
      </c>
    </row>
    <row r="6075" spans="1:11" ht="42" customHeight="1">
      <c r="A6075" s="2" t="s">
        <v>12644</v>
      </c>
      <c r="B6075" s="2" t="s">
        <v>12644</v>
      </c>
      <c r="C6075" s="2" t="s">
        <v>16</v>
      </c>
      <c r="D6075" s="2" t="s">
        <v>17</v>
      </c>
      <c r="E6075" s="5">
        <v>-31460</v>
      </c>
      <c r="F6075" s="3" t="s">
        <v>599</v>
      </c>
      <c r="G6075" s="3" t="s">
        <v>65</v>
      </c>
      <c r="H6075" s="2" t="s">
        <v>20</v>
      </c>
      <c r="I6075" s="2" t="s">
        <v>12645</v>
      </c>
      <c r="J6075" s="3" t="str">
        <f>HYPERLINK("https://www.boe.es/gazeta/dias/1813/11/11/pdfs/GMR-1813-72.pdf#page=1","Abrir facsímil")</f>
        <v>Abrir facsímil</v>
      </c>
      <c r="K6075" s="3" t="s">
        <v>22</v>
      </c>
    </row>
    <row r="6076" spans="1:11" ht="42" customHeight="1">
      <c r="A6076" s="2" t="s">
        <v>12644</v>
      </c>
      <c r="B6076" s="2" t="s">
        <v>12644</v>
      </c>
      <c r="C6076" s="2" t="s">
        <v>16</v>
      </c>
      <c r="D6076" s="2" t="s">
        <v>17</v>
      </c>
      <c r="E6076" s="5">
        <v>-31460</v>
      </c>
      <c r="F6076" s="3" t="s">
        <v>599</v>
      </c>
      <c r="G6076" s="3" t="s">
        <v>58</v>
      </c>
      <c r="H6076" s="2" t="s">
        <v>20</v>
      </c>
      <c r="I6076" s="2" t="s">
        <v>12646</v>
      </c>
      <c r="J6076" s="3" t="str">
        <f>HYPERLINK("https://www.boe.es/gazeta/dias/1813/11/11/pdfs/GMR-1813-72.pdf#page=2","Abrir facsímil")</f>
        <v>Abrir facsímil</v>
      </c>
      <c r="K6076" s="3" t="s">
        <v>22</v>
      </c>
    </row>
    <row r="6077" spans="1:11" ht="42" customHeight="1">
      <c r="A6077" s="2" t="s">
        <v>12644</v>
      </c>
      <c r="B6077" s="2" t="s">
        <v>12644</v>
      </c>
      <c r="C6077" s="2" t="s">
        <v>16</v>
      </c>
      <c r="D6077" s="2" t="s">
        <v>17</v>
      </c>
      <c r="E6077" s="5">
        <v>-31458</v>
      </c>
      <c r="F6077" s="3" t="s">
        <v>2315</v>
      </c>
      <c r="G6077" s="3" t="s">
        <v>54</v>
      </c>
      <c r="H6077" s="2" t="s">
        <v>20</v>
      </c>
      <c r="I6077" s="2" t="s">
        <v>12647</v>
      </c>
      <c r="J6077" s="3" t="str">
        <f>HYPERLINK("https://www.boe.es/gazeta/dias/1813/11/13/pdfs/GMR-1813-73.pdf#page=3","Abrir facsímil")</f>
        <v>Abrir facsímil</v>
      </c>
      <c r="K6077" s="3" t="s">
        <v>22</v>
      </c>
    </row>
    <row r="6078" spans="1:11" ht="42" customHeight="1">
      <c r="A6078" s="2" t="s">
        <v>12644</v>
      </c>
      <c r="B6078" s="2" t="s">
        <v>12644</v>
      </c>
      <c r="C6078" s="2" t="s">
        <v>16</v>
      </c>
      <c r="D6078" s="2" t="s">
        <v>17</v>
      </c>
      <c r="E6078" s="5">
        <v>-31455</v>
      </c>
      <c r="F6078" s="3" t="s">
        <v>693</v>
      </c>
      <c r="G6078" s="3" t="s">
        <v>82</v>
      </c>
      <c r="H6078" s="2" t="s">
        <v>20</v>
      </c>
      <c r="I6078" s="2" t="s">
        <v>12648</v>
      </c>
      <c r="J6078" s="3" t="str">
        <f>HYPERLINK("https://www.boe.es/gazeta/dias/1813/11/16/pdfs/GRE-1813-150.pdf#page=5","Abrir facsímil")</f>
        <v>Abrir facsímil</v>
      </c>
      <c r="K6078" s="3" t="s">
        <v>22</v>
      </c>
    </row>
    <row r="6079" spans="1:11" ht="42" customHeight="1">
      <c r="A6079" s="2" t="s">
        <v>12644</v>
      </c>
      <c r="B6079" s="2" t="s">
        <v>12644</v>
      </c>
      <c r="C6079" s="2" t="s">
        <v>16</v>
      </c>
      <c r="D6079" s="2" t="s">
        <v>17</v>
      </c>
      <c r="E6079" s="5">
        <v>-31453</v>
      </c>
      <c r="F6079" s="3" t="s">
        <v>695</v>
      </c>
      <c r="G6079" s="3" t="s">
        <v>58</v>
      </c>
      <c r="H6079" s="2" t="s">
        <v>20</v>
      </c>
      <c r="I6079" s="2" t="s">
        <v>12649</v>
      </c>
      <c r="J6079" s="3" t="str">
        <f>HYPERLINK("https://www.boe.es/gazeta/dias/1813/11/18/pdfs/GRE-1813-151.pdf#page=2","Abrir facsímil")</f>
        <v>Abrir facsímil</v>
      </c>
      <c r="K6079" s="3" t="s">
        <v>22</v>
      </c>
    </row>
    <row r="6080" spans="1:11" ht="42" customHeight="1">
      <c r="A6080" s="2" t="s">
        <v>12644</v>
      </c>
      <c r="B6080" s="2" t="s">
        <v>12644</v>
      </c>
      <c r="C6080" s="2" t="s">
        <v>16</v>
      </c>
      <c r="D6080" s="2" t="s">
        <v>17</v>
      </c>
      <c r="E6080" s="5">
        <v>-31446</v>
      </c>
      <c r="F6080" s="3" t="s">
        <v>103</v>
      </c>
      <c r="G6080" s="3" t="s">
        <v>54</v>
      </c>
      <c r="H6080" s="2" t="s">
        <v>20</v>
      </c>
      <c r="I6080" s="2" t="s">
        <v>12650</v>
      </c>
      <c r="J6080" s="3" t="str">
        <f>HYPERLINK("https://www.boe.es/gazeta/dias/1813/11/25/pdfs/GMR-1813-79.pdf#page=3","Abrir facsímil")</f>
        <v>Abrir facsímil</v>
      </c>
      <c r="K6080" s="3" t="s">
        <v>22</v>
      </c>
    </row>
    <row r="6081" spans="1:11" ht="42" customHeight="1">
      <c r="A6081" s="2" t="s">
        <v>12651</v>
      </c>
      <c r="B6081" s="2" t="s">
        <v>12651</v>
      </c>
      <c r="C6081" s="2" t="s">
        <v>34</v>
      </c>
      <c r="D6081" s="2" t="s">
        <v>35</v>
      </c>
      <c r="E6081" s="5">
        <v>-31430</v>
      </c>
      <c r="F6081" s="3" t="s">
        <v>1161</v>
      </c>
      <c r="G6081" s="3" t="s">
        <v>87</v>
      </c>
      <c r="H6081" s="2" t="s">
        <v>20</v>
      </c>
      <c r="I6081" s="2" t="s">
        <v>12652</v>
      </c>
      <c r="J6081" s="3" t="str">
        <f>HYPERLINK("https://www.boe.es/gazeta/dias/1813/12/11/pdfs/GMR-1813-86.pdf#page=7","Abrir facsímil")</f>
        <v>Abrir facsímil</v>
      </c>
      <c r="K6081" s="3" t="s">
        <v>22</v>
      </c>
    </row>
    <row r="6082" spans="1:11" ht="42" customHeight="1">
      <c r="A6082" s="2" t="s">
        <v>12653</v>
      </c>
      <c r="B6082" s="2" t="s">
        <v>12653</v>
      </c>
      <c r="C6082" s="2" t="s">
        <v>187</v>
      </c>
      <c r="D6082" s="2" t="s">
        <v>26</v>
      </c>
      <c r="E6082" s="5">
        <v>-31706</v>
      </c>
      <c r="F6082" s="3" t="s">
        <v>2256</v>
      </c>
      <c r="G6082" s="3" t="s">
        <v>19</v>
      </c>
      <c r="H6082" s="2" t="s">
        <v>20</v>
      </c>
      <c r="I6082" s="2" t="s">
        <v>12654</v>
      </c>
      <c r="J6082" s="3" t="str">
        <f>HYPERLINK("https://www.boe.es/gazeta/dias/1813/03/10/pdfs/GMD-1813-69.pdf#page=4","Abrir facsímil")</f>
        <v>Abrir facsímil</v>
      </c>
      <c r="K6082" s="3" t="s">
        <v>22</v>
      </c>
    </row>
    <row r="6083" spans="1:11" ht="42" customHeight="1">
      <c r="A6083" s="2" t="s">
        <v>12655</v>
      </c>
      <c r="B6083" s="2" t="s">
        <v>12655</v>
      </c>
      <c r="C6083" s="2" t="s">
        <v>34</v>
      </c>
      <c r="D6083" s="2" t="s">
        <v>35</v>
      </c>
      <c r="E6083" s="5">
        <v>-31709</v>
      </c>
      <c r="F6083" s="3" t="s">
        <v>36</v>
      </c>
      <c r="G6083" s="3" t="s">
        <v>303</v>
      </c>
      <c r="H6083" s="2" t="s">
        <v>20</v>
      </c>
      <c r="I6083" s="2" t="s">
        <v>12656</v>
      </c>
      <c r="J6083" s="3" t="str">
        <f>HYPERLINK("https://www.boe.es/gazeta/dias/1813/03/07/pdfs/GMD-1813-66.pdf#page=3","Abrir facsímil")</f>
        <v>Abrir facsímil</v>
      </c>
      <c r="K6083" s="3" t="s">
        <v>22</v>
      </c>
    </row>
    <row r="6084" spans="1:11" ht="42" customHeight="1">
      <c r="A6084" s="2" t="s">
        <v>12655</v>
      </c>
      <c r="B6084" s="2" t="s">
        <v>12655</v>
      </c>
      <c r="C6084" s="2" t="s">
        <v>34</v>
      </c>
      <c r="D6084" s="2" t="s">
        <v>35</v>
      </c>
      <c r="E6084" s="5">
        <v>-31709</v>
      </c>
      <c r="F6084" s="3" t="s">
        <v>36</v>
      </c>
      <c r="G6084" s="3" t="s">
        <v>19</v>
      </c>
      <c r="H6084" s="2" t="s">
        <v>20</v>
      </c>
      <c r="I6084" s="2" t="s">
        <v>12657</v>
      </c>
      <c r="J6084" s="3" t="str">
        <f>HYPERLINK("https://www.boe.es/gazeta/dias/1813/03/07/pdfs/GMD-1813-66.pdf#page=4","Abrir facsímil")</f>
        <v>Abrir facsímil</v>
      </c>
      <c r="K6084" s="3" t="s">
        <v>22</v>
      </c>
    </row>
    <row r="6085" spans="1:11" ht="42" customHeight="1">
      <c r="A6085" s="2" t="s">
        <v>12655</v>
      </c>
      <c r="B6085" s="2" t="s">
        <v>12655</v>
      </c>
      <c r="C6085" s="2" t="s">
        <v>34</v>
      </c>
      <c r="D6085" s="2" t="s">
        <v>35</v>
      </c>
      <c r="E6085" s="5">
        <v>-31663</v>
      </c>
      <c r="F6085" s="3" t="s">
        <v>871</v>
      </c>
      <c r="G6085" s="3" t="s">
        <v>19</v>
      </c>
      <c r="H6085" s="2" t="s">
        <v>20</v>
      </c>
      <c r="I6085" s="2" t="s">
        <v>12658</v>
      </c>
      <c r="J6085" s="3" t="str">
        <f>HYPERLINK("https://www.boe.es/gazeta/dias/1813/04/22/pdfs/GMD-1813-112.pdf#page=4","Abrir facsímil")</f>
        <v>Abrir facsímil</v>
      </c>
      <c r="K6085" s="3" t="s">
        <v>22</v>
      </c>
    </row>
    <row r="6086" spans="1:11" ht="42" customHeight="1">
      <c r="A6086" s="2" t="s">
        <v>12655</v>
      </c>
      <c r="B6086" s="2" t="s">
        <v>12655</v>
      </c>
      <c r="C6086" s="2" t="s">
        <v>16</v>
      </c>
      <c r="D6086" s="2" t="s">
        <v>17</v>
      </c>
      <c r="E6086" s="5">
        <v>-31525</v>
      </c>
      <c r="F6086" s="3" t="s">
        <v>1131</v>
      </c>
      <c r="G6086" s="3" t="s">
        <v>54</v>
      </c>
      <c r="H6086" s="2" t="s">
        <v>20</v>
      </c>
      <c r="I6086" s="2" t="s">
        <v>12659</v>
      </c>
      <c r="J6086" s="3" t="str">
        <f>HYPERLINK("https://www.boe.es/gazeta/dias/1813/09/07/pdfs/GRE-1813-114.pdf#page=3","Abrir facsímil")</f>
        <v>Abrir facsímil</v>
      </c>
      <c r="K6086" s="3" t="s">
        <v>22</v>
      </c>
    </row>
    <row r="6087" spans="1:11" ht="42" customHeight="1">
      <c r="A6087" s="2" t="s">
        <v>12655</v>
      </c>
      <c r="B6087" s="2" t="s">
        <v>12655</v>
      </c>
      <c r="C6087" s="2" t="s">
        <v>16</v>
      </c>
      <c r="D6087" s="2" t="s">
        <v>17</v>
      </c>
      <c r="E6087" s="5">
        <v>-31481</v>
      </c>
      <c r="F6087" s="3" t="s">
        <v>40</v>
      </c>
      <c r="G6087" s="3" t="s">
        <v>95</v>
      </c>
      <c r="H6087" s="2" t="s">
        <v>20</v>
      </c>
      <c r="I6087" s="2" t="s">
        <v>12660</v>
      </c>
      <c r="J6087" s="3" t="str">
        <f>HYPERLINK("https://www.boe.es/gazeta/dias/1813/10/21/pdfs/GMR-1813-62.pdf#page=6","Abrir facsímil")</f>
        <v>Abrir facsímil</v>
      </c>
      <c r="K6087" s="3" t="s">
        <v>22</v>
      </c>
    </row>
    <row r="6088" spans="1:11" ht="42" customHeight="1">
      <c r="A6088" s="2" t="s">
        <v>12655</v>
      </c>
      <c r="B6088" s="2" t="s">
        <v>12655</v>
      </c>
      <c r="C6088" s="2" t="s">
        <v>16</v>
      </c>
      <c r="D6088" s="2" t="s">
        <v>17</v>
      </c>
      <c r="E6088" s="5">
        <v>-31481</v>
      </c>
      <c r="F6088" s="3" t="s">
        <v>40</v>
      </c>
      <c r="G6088" s="3" t="s">
        <v>87</v>
      </c>
      <c r="H6088" s="2" t="s">
        <v>20</v>
      </c>
      <c r="I6088" s="2" t="s">
        <v>12661</v>
      </c>
      <c r="J6088" s="3" t="str">
        <f>HYPERLINK("https://www.boe.es/gazeta/dias/1813/10/21/pdfs/GMR-1813-62.pdf#page=7","Abrir facsímil")</f>
        <v>Abrir facsímil</v>
      </c>
      <c r="K6088" s="3" t="s">
        <v>22</v>
      </c>
    </row>
    <row r="6089" spans="1:11" ht="42" customHeight="1">
      <c r="A6089" s="2" t="s">
        <v>12655</v>
      </c>
      <c r="B6089" s="2" t="s">
        <v>12655</v>
      </c>
      <c r="C6089" s="2" t="s">
        <v>16</v>
      </c>
      <c r="D6089" s="2" t="s">
        <v>97</v>
      </c>
      <c r="E6089" s="5">
        <v>-31479</v>
      </c>
      <c r="F6089" s="3" t="s">
        <v>290</v>
      </c>
      <c r="G6089" s="3" t="s">
        <v>65</v>
      </c>
      <c r="H6089" s="2" t="s">
        <v>20</v>
      </c>
      <c r="I6089" s="2" t="s">
        <v>12662</v>
      </c>
      <c r="J6089" s="3" t="str">
        <f>HYPERLINK("https://www.boe.es/gazeta/dias/1813/10/23/pdfs/GRE-1813-139E.pdf#page=1","Abrir facsímil")</f>
        <v>Abrir facsímil</v>
      </c>
      <c r="K6089" s="3" t="s">
        <v>22</v>
      </c>
    </row>
    <row r="6090" spans="1:11" ht="42" customHeight="1">
      <c r="A6090" s="2" t="s">
        <v>12655</v>
      </c>
      <c r="B6090" s="2" t="s">
        <v>12655</v>
      </c>
      <c r="C6090" s="2" t="s">
        <v>16</v>
      </c>
      <c r="D6090" s="2" t="s">
        <v>97</v>
      </c>
      <c r="E6090" s="5">
        <v>-31479</v>
      </c>
      <c r="F6090" s="3" t="s">
        <v>290</v>
      </c>
      <c r="G6090" s="3" t="s">
        <v>1474</v>
      </c>
      <c r="H6090" s="2" t="s">
        <v>20</v>
      </c>
      <c r="I6090" s="2" t="s">
        <v>12663</v>
      </c>
      <c r="J6090" s="3" t="str">
        <f>HYPERLINK("https://www.boe.es/gazeta/dias/1813/10/23/pdfs/GRE-1813-139E.pdf#page=14","Abrir facsímil")</f>
        <v>Abrir facsímil</v>
      </c>
      <c r="K6090" s="3" t="s">
        <v>22</v>
      </c>
    </row>
    <row r="6091" spans="1:11" ht="42" customHeight="1">
      <c r="A6091" s="2" t="s">
        <v>12655</v>
      </c>
      <c r="B6091" s="2" t="s">
        <v>12655</v>
      </c>
      <c r="C6091" s="2" t="s">
        <v>109</v>
      </c>
      <c r="D6091" s="2" t="s">
        <v>26</v>
      </c>
      <c r="E6091" s="5">
        <v>-31462</v>
      </c>
      <c r="F6091" s="3" t="s">
        <v>1028</v>
      </c>
      <c r="G6091" s="3" t="s">
        <v>313</v>
      </c>
      <c r="H6091" s="2" t="s">
        <v>20</v>
      </c>
      <c r="I6091" s="2" t="s">
        <v>12664</v>
      </c>
      <c r="J6091" s="3" t="str">
        <f>HYPERLINK("https://www.boe.es/gazeta/dias/1813/11/09/pdfs/GMR-1813-71.pdf#page=9","Abrir facsímil")</f>
        <v>Abrir facsímil</v>
      </c>
      <c r="K6091" s="3" t="s">
        <v>22</v>
      </c>
    </row>
    <row r="6092" spans="1:11" ht="42" customHeight="1">
      <c r="A6092" s="2" t="s">
        <v>12655</v>
      </c>
      <c r="B6092" s="2" t="s">
        <v>12655</v>
      </c>
      <c r="C6092" s="2" t="s">
        <v>16</v>
      </c>
      <c r="D6092" s="2" t="s">
        <v>17</v>
      </c>
      <c r="E6092" s="5">
        <v>-31458</v>
      </c>
      <c r="F6092" s="3" t="s">
        <v>2315</v>
      </c>
      <c r="G6092" s="3" t="s">
        <v>2975</v>
      </c>
      <c r="H6092" s="2" t="s">
        <v>20</v>
      </c>
      <c r="I6092" s="2" t="s">
        <v>12665</v>
      </c>
      <c r="J6092" s="3" t="str">
        <f>HYPERLINK("https://www.boe.es/gazeta/dias/1813/11/13/pdfs/GMR-1813-73.pdf#page=6","Abrir facsímil")</f>
        <v>Abrir facsímil</v>
      </c>
      <c r="K6092" s="3" t="s">
        <v>22</v>
      </c>
    </row>
    <row r="6093" spans="1:11" ht="42" customHeight="1">
      <c r="A6093" s="2" t="s">
        <v>12655</v>
      </c>
      <c r="B6093" s="2" t="s">
        <v>12655</v>
      </c>
      <c r="C6093" s="2" t="s">
        <v>187</v>
      </c>
      <c r="D6093" s="2" t="s">
        <v>26</v>
      </c>
      <c r="E6093" s="5">
        <v>-31411</v>
      </c>
      <c r="F6093" s="3" t="s">
        <v>2306</v>
      </c>
      <c r="G6093" s="3" t="s">
        <v>28</v>
      </c>
      <c r="H6093" s="2" t="s">
        <v>20</v>
      </c>
      <c r="I6093" s="2" t="s">
        <v>12666</v>
      </c>
      <c r="J6093" s="3" t="str">
        <f>HYPERLINK("https://www.boe.es/gazeta/dias/1813/12/30/pdfs/GMR-1813-94.pdf#page=8","Abrir facsímil")</f>
        <v>Abrir facsímil</v>
      </c>
      <c r="K6093" s="3" t="s">
        <v>22</v>
      </c>
    </row>
    <row r="6094" spans="1:11" ht="42" customHeight="1">
      <c r="A6094" s="2" t="s">
        <v>12667</v>
      </c>
      <c r="B6094" s="2" t="s">
        <v>12668</v>
      </c>
      <c r="C6094" s="2" t="s">
        <v>34</v>
      </c>
      <c r="D6094" s="2" t="s">
        <v>35</v>
      </c>
      <c r="E6094" s="5">
        <v>-31504</v>
      </c>
      <c r="F6094" s="3" t="s">
        <v>1361</v>
      </c>
      <c r="G6094" s="3" t="s">
        <v>28</v>
      </c>
      <c r="H6094" s="2" t="s">
        <v>29</v>
      </c>
      <c r="I6094" s="2" t="s">
        <v>12669</v>
      </c>
      <c r="J6094" s="3" t="str">
        <f>HYPERLINK("https://www.boe.es/gazeta/dias/1813/09/28/pdfs/GMR-1813-50.pdf#page=8","Abrir facsímil")</f>
        <v>Abrir facsímil</v>
      </c>
      <c r="K6094" s="3" t="s">
        <v>31</v>
      </c>
    </row>
    <row r="6095" spans="1:11" ht="42" customHeight="1">
      <c r="A6095" s="2" t="s">
        <v>12670</v>
      </c>
      <c r="B6095" s="2" t="s">
        <v>12670</v>
      </c>
      <c r="C6095" s="2" t="s">
        <v>16</v>
      </c>
      <c r="D6095" s="2" t="s">
        <v>17</v>
      </c>
      <c r="E6095" s="5">
        <v>-31567</v>
      </c>
      <c r="F6095" s="3" t="s">
        <v>820</v>
      </c>
      <c r="G6095" s="3" t="s">
        <v>7681</v>
      </c>
      <c r="H6095" s="2" t="s">
        <v>20</v>
      </c>
      <c r="I6095" s="2" t="s">
        <v>12671</v>
      </c>
      <c r="J6095" s="3" t="str">
        <f>HYPERLINK("https://www.boe.es/gazeta/dias/1813/07/27/pdfs/GMR-1813-21.pdf#page=11","Abrir facsímil")</f>
        <v>Abrir facsímil</v>
      </c>
      <c r="K6095" s="3" t="s">
        <v>22</v>
      </c>
    </row>
    <row r="6096" spans="1:11" ht="42" customHeight="1">
      <c r="A6096" s="2" t="s">
        <v>12672</v>
      </c>
      <c r="B6096" s="2" t="s">
        <v>12672</v>
      </c>
      <c r="C6096" s="2" t="s">
        <v>16</v>
      </c>
      <c r="D6096" s="2" t="s">
        <v>17</v>
      </c>
      <c r="E6096" s="5">
        <v>-31469</v>
      </c>
      <c r="F6096" s="3" t="s">
        <v>1452</v>
      </c>
      <c r="G6096" s="3" t="s">
        <v>82</v>
      </c>
      <c r="H6096" s="2" t="s">
        <v>20</v>
      </c>
      <c r="I6096" s="2" t="s">
        <v>12673</v>
      </c>
      <c r="J6096" s="3" t="str">
        <f>HYPERLINK("https://www.boe.es/gazeta/dias/1813/11/02/pdfs/GRE-1813-143.pdf#page=5","Abrir facsímil")</f>
        <v>Abrir facsímil</v>
      </c>
      <c r="K6096" s="3" t="s">
        <v>22</v>
      </c>
    </row>
    <row r="6097" spans="1:11" ht="42" customHeight="1">
      <c r="A6097" s="2" t="s">
        <v>12674</v>
      </c>
      <c r="B6097" s="2" t="s">
        <v>12675</v>
      </c>
      <c r="C6097" s="2" t="s">
        <v>34</v>
      </c>
      <c r="D6097" s="2" t="s">
        <v>35</v>
      </c>
      <c r="E6097" s="5">
        <v>-31681</v>
      </c>
      <c r="F6097" s="3" t="s">
        <v>925</v>
      </c>
      <c r="G6097" s="3" t="s">
        <v>19</v>
      </c>
      <c r="H6097" s="2" t="s">
        <v>20</v>
      </c>
      <c r="I6097" s="2" t="s">
        <v>12676</v>
      </c>
      <c r="J6097" s="3" t="str">
        <f>HYPERLINK("https://www.boe.es/gazeta/dias/1813/04/04/pdfs/GMD-1813-94.pdf#page=4","Abrir facsímil")</f>
        <v>Abrir facsímil</v>
      </c>
      <c r="K6097" s="3" t="s">
        <v>22</v>
      </c>
    </row>
    <row r="6098" spans="1:11" ht="42" customHeight="1">
      <c r="A6098" s="2" t="s">
        <v>12677</v>
      </c>
      <c r="B6098" s="2" t="s">
        <v>12677</v>
      </c>
      <c r="C6098" s="2" t="s">
        <v>16</v>
      </c>
      <c r="D6098" s="2" t="s">
        <v>17</v>
      </c>
      <c r="E6098" s="5">
        <v>-31592</v>
      </c>
      <c r="F6098" s="3" t="s">
        <v>1538</v>
      </c>
      <c r="G6098" s="3" t="s">
        <v>54</v>
      </c>
      <c r="H6098" s="2" t="s">
        <v>20</v>
      </c>
      <c r="I6098" s="2" t="s">
        <v>12678</v>
      </c>
      <c r="J6098" s="3" t="str">
        <f>HYPERLINK("https://www.boe.es/gazeta/dias/1813/07/02/pdfs/GMR-1813-14.pdf#page=3","Abrir facsímil")</f>
        <v>Abrir facsímil</v>
      </c>
      <c r="K6098" s="3" t="s">
        <v>22</v>
      </c>
    </row>
    <row r="6099" spans="1:11" ht="42" customHeight="1">
      <c r="A6099" s="2" t="s">
        <v>12679</v>
      </c>
      <c r="B6099" s="2" t="s">
        <v>12679</v>
      </c>
      <c r="C6099" s="2" t="s">
        <v>34</v>
      </c>
      <c r="D6099" s="2" t="s">
        <v>35</v>
      </c>
      <c r="E6099" s="5">
        <v>-31738</v>
      </c>
      <c r="F6099" s="3" t="s">
        <v>2045</v>
      </c>
      <c r="G6099" s="3" t="s">
        <v>54</v>
      </c>
      <c r="H6099" s="2" t="s">
        <v>20</v>
      </c>
      <c r="I6099" s="2" t="s">
        <v>12680</v>
      </c>
      <c r="J6099" s="3" t="str">
        <f>HYPERLINK("https://www.boe.es/gazeta/dias/1813/02/06/pdfs/GMD-1813-37.pdf#page=3","Abrir facsímil")</f>
        <v>Abrir facsímil</v>
      </c>
      <c r="K6099" s="3" t="s">
        <v>22</v>
      </c>
    </row>
    <row r="6100" spans="1:11" ht="42" customHeight="1">
      <c r="A6100" s="2" t="s">
        <v>12681</v>
      </c>
      <c r="B6100" s="2" t="s">
        <v>12681</v>
      </c>
      <c r="C6100" s="2" t="s">
        <v>277</v>
      </c>
      <c r="D6100" s="2" t="s">
        <v>26</v>
      </c>
      <c r="E6100" s="5">
        <v>-31738</v>
      </c>
      <c r="F6100" s="3" t="s">
        <v>2045</v>
      </c>
      <c r="G6100" s="3" t="s">
        <v>54</v>
      </c>
      <c r="H6100" s="2" t="s">
        <v>20</v>
      </c>
      <c r="I6100" s="2" t="s">
        <v>12682</v>
      </c>
      <c r="J6100" s="3" t="str">
        <f>HYPERLINK("https://www.boe.es/gazeta/dias/1813/02/06/pdfs/GMD-1813-37.pdf#page=3","Abrir facsímil")</f>
        <v>Abrir facsímil</v>
      </c>
      <c r="K6100" s="3" t="s">
        <v>22</v>
      </c>
    </row>
    <row r="6101" spans="1:11" ht="42" customHeight="1">
      <c r="A6101" s="2" t="s">
        <v>12683</v>
      </c>
      <c r="B6101" s="2" t="s">
        <v>12683</v>
      </c>
      <c r="C6101" s="2" t="s">
        <v>16</v>
      </c>
      <c r="D6101" s="2" t="s">
        <v>17</v>
      </c>
      <c r="E6101" s="5">
        <v>-31465</v>
      </c>
      <c r="F6101" s="3" t="s">
        <v>2930</v>
      </c>
      <c r="G6101" s="3" t="s">
        <v>95</v>
      </c>
      <c r="H6101" s="2" t="s">
        <v>20</v>
      </c>
      <c r="I6101" s="2" t="s">
        <v>12684</v>
      </c>
      <c r="J6101" s="3" t="str">
        <f>HYPERLINK("https://www.boe.es/gazeta/dias/1813/11/06/pdfs/GRE-1813-145.pdf#page=6","Abrir facsímil")</f>
        <v>Abrir facsímil</v>
      </c>
      <c r="K6101" s="3" t="s">
        <v>22</v>
      </c>
    </row>
    <row r="6102" spans="1:11" ht="42" customHeight="1">
      <c r="A6102" s="2" t="s">
        <v>12685</v>
      </c>
      <c r="B6102" s="2" t="s">
        <v>12685</v>
      </c>
      <c r="C6102" s="2" t="s">
        <v>25</v>
      </c>
      <c r="D6102" s="2" t="s">
        <v>26</v>
      </c>
      <c r="E6102" s="5">
        <v>-31675</v>
      </c>
      <c r="F6102" s="3" t="s">
        <v>27</v>
      </c>
      <c r="G6102" s="3" t="s">
        <v>82</v>
      </c>
      <c r="H6102" s="2" t="s">
        <v>20</v>
      </c>
      <c r="I6102" s="2" t="s">
        <v>12686</v>
      </c>
      <c r="J6102" s="3" t="str">
        <f>HYPERLINK("https://www.boe.es/gazeta/dias/1813/04/10/pdfs/GRE-1813-44.pdf#page=5","Abrir facsímil")</f>
        <v>Abrir facsímil</v>
      </c>
      <c r="K6102" s="3" t="s">
        <v>22</v>
      </c>
    </row>
    <row r="6103" spans="1:11" ht="42" customHeight="1">
      <c r="A6103" s="2" t="s">
        <v>12687</v>
      </c>
      <c r="B6103" s="2" t="s">
        <v>12687</v>
      </c>
      <c r="C6103" s="2" t="s">
        <v>16</v>
      </c>
      <c r="D6103" s="2" t="s">
        <v>17</v>
      </c>
      <c r="E6103" s="5">
        <v>-31731</v>
      </c>
      <c r="F6103" s="3" t="s">
        <v>866</v>
      </c>
      <c r="G6103" s="3" t="s">
        <v>8695</v>
      </c>
      <c r="H6103" s="2" t="s">
        <v>20</v>
      </c>
      <c r="I6103" s="2" t="s">
        <v>12688</v>
      </c>
      <c r="J6103" s="3" t="str">
        <f>HYPERLINK("https://www.boe.es/gazeta/dias/1813/02/13/pdfs/GRE-1813-19.pdf#page=2","Abrir facsímil")</f>
        <v>Abrir facsímil</v>
      </c>
      <c r="K6103" s="3" t="s">
        <v>22</v>
      </c>
    </row>
    <row r="6104" spans="1:11" ht="42" customHeight="1">
      <c r="A6104" s="2" t="s">
        <v>12689</v>
      </c>
      <c r="B6104" s="2" t="s">
        <v>12690</v>
      </c>
      <c r="C6104" s="2" t="s">
        <v>16</v>
      </c>
      <c r="D6104" s="2" t="s">
        <v>17</v>
      </c>
      <c r="E6104" s="5">
        <v>-31544</v>
      </c>
      <c r="F6104" s="3" t="s">
        <v>200</v>
      </c>
      <c r="G6104" s="3" t="s">
        <v>3017</v>
      </c>
      <c r="H6104" s="2" t="s">
        <v>20</v>
      </c>
      <c r="I6104" s="2" t="s">
        <v>12691</v>
      </c>
      <c r="J6104" s="3" t="str">
        <f>HYPERLINK("https://www.boe.es/gazeta/dias/1813/08/19/pdfs/GRE-1813-106.pdf#page=4","Abrir facsímil")</f>
        <v>Abrir facsímil</v>
      </c>
      <c r="K6104" s="3" t="s">
        <v>22</v>
      </c>
    </row>
    <row r="6105" spans="1:11" ht="42" customHeight="1">
      <c r="A6105" s="2" t="s">
        <v>12692</v>
      </c>
      <c r="B6105" s="2" t="s">
        <v>12692</v>
      </c>
      <c r="C6105" s="2" t="s">
        <v>16</v>
      </c>
      <c r="D6105" s="2" t="s">
        <v>17</v>
      </c>
      <c r="E6105" s="5">
        <v>-31739</v>
      </c>
      <c r="F6105" s="3" t="s">
        <v>784</v>
      </c>
      <c r="G6105" s="3" t="s">
        <v>65</v>
      </c>
      <c r="H6105" s="2" t="s">
        <v>20</v>
      </c>
      <c r="I6105" s="2" t="s">
        <v>12693</v>
      </c>
      <c r="J6105" s="3" t="str">
        <f>HYPERLINK("https://www.boe.es/gazeta/dias/1813/02/05/pdfs/GMD-1813-36.pdf#page=1","Abrir facsímil")</f>
        <v>Abrir facsímil</v>
      </c>
      <c r="K6105" s="3" t="s">
        <v>22</v>
      </c>
    </row>
    <row r="6106" spans="1:11" ht="42" customHeight="1">
      <c r="A6106" s="2" t="s">
        <v>12694</v>
      </c>
      <c r="B6106" s="2" t="s">
        <v>12695</v>
      </c>
      <c r="C6106" s="2" t="s">
        <v>16</v>
      </c>
      <c r="D6106" s="2" t="s">
        <v>17</v>
      </c>
      <c r="E6106" s="5">
        <v>-31574</v>
      </c>
      <c r="F6106" s="3" t="s">
        <v>509</v>
      </c>
      <c r="G6106" s="3" t="s">
        <v>65</v>
      </c>
      <c r="H6106" s="2" t="s">
        <v>20</v>
      </c>
      <c r="I6106" s="2" t="s">
        <v>12696</v>
      </c>
      <c r="J6106" s="3" t="str">
        <f>HYPERLINK("https://www.boe.es/gazeta/dias/1813/07/20/pdfs/GRE-1813-92.pdf#page=1","Abrir facsímil")</f>
        <v>Abrir facsímil</v>
      </c>
      <c r="K6106" s="3" t="s">
        <v>22</v>
      </c>
    </row>
    <row r="6107" spans="1:11" ht="42" customHeight="1">
      <c r="A6107" s="2" t="s">
        <v>12697</v>
      </c>
      <c r="B6107" s="2" t="s">
        <v>12698</v>
      </c>
      <c r="C6107" s="2" t="s">
        <v>16</v>
      </c>
      <c r="D6107" s="2" t="s">
        <v>17</v>
      </c>
      <c r="E6107" s="5">
        <v>-31647</v>
      </c>
      <c r="F6107" s="3" t="s">
        <v>1972</v>
      </c>
      <c r="G6107" s="3" t="s">
        <v>1973</v>
      </c>
      <c r="H6107" s="2" t="s">
        <v>20</v>
      </c>
      <c r="I6107" s="2" t="s">
        <v>12699</v>
      </c>
      <c r="J6107" s="3" t="str">
        <f>HYPERLINK("https://www.boe.es/gazeta/dias/1813/05/08/pdfs/GRE-1813-57.pdf#page=2","Abrir facsímil")</f>
        <v>Abrir facsímil</v>
      </c>
      <c r="K6107" s="3" t="s">
        <v>22</v>
      </c>
    </row>
    <row r="6108" spans="1:11" ht="42" customHeight="1">
      <c r="A6108" s="2" t="s">
        <v>12700</v>
      </c>
      <c r="B6108" s="2" t="s">
        <v>12700</v>
      </c>
      <c r="C6108" s="2" t="s">
        <v>16</v>
      </c>
      <c r="D6108" s="2" t="s">
        <v>17</v>
      </c>
      <c r="E6108" s="5">
        <v>-31773</v>
      </c>
      <c r="F6108" s="3" t="s">
        <v>3667</v>
      </c>
      <c r="G6108" s="3" t="s">
        <v>58</v>
      </c>
      <c r="H6108" s="2" t="s">
        <v>20</v>
      </c>
      <c r="I6108" s="2" t="s">
        <v>12701</v>
      </c>
      <c r="J6108" s="3" t="str">
        <f>HYPERLINK("https://www.boe.es/gazeta/dias/1813/01/02/pdfs/GRE-1813-1.pdf#page=2","Abrir facsímil")</f>
        <v>Abrir facsímil</v>
      </c>
      <c r="K6108" s="3" t="s">
        <v>22</v>
      </c>
    </row>
    <row r="6109" spans="1:11" ht="42" customHeight="1">
      <c r="A6109" s="2" t="s">
        <v>12700</v>
      </c>
      <c r="B6109" s="2" t="s">
        <v>12700</v>
      </c>
      <c r="C6109" s="2" t="s">
        <v>16</v>
      </c>
      <c r="D6109" s="2" t="s">
        <v>17</v>
      </c>
      <c r="E6109" s="5">
        <v>-31770</v>
      </c>
      <c r="F6109" s="3" t="s">
        <v>1738</v>
      </c>
      <c r="G6109" s="3" t="s">
        <v>11219</v>
      </c>
      <c r="H6109" s="2" t="s">
        <v>20</v>
      </c>
      <c r="I6109" s="2" t="s">
        <v>12702</v>
      </c>
      <c r="J6109" s="3" t="str">
        <f>HYPERLINK("https://www.boe.es/gazeta/dias/1813/01/05/pdfs/GRE-1813-2.pdf#page=5","Abrir facsímil")</f>
        <v>Abrir facsímil</v>
      </c>
      <c r="K6109" s="3" t="s">
        <v>22</v>
      </c>
    </row>
    <row r="6110" spans="1:11" ht="42" customHeight="1">
      <c r="A6110" s="2" t="s">
        <v>12703</v>
      </c>
      <c r="B6110" s="2" t="s">
        <v>12704</v>
      </c>
      <c r="C6110" s="2" t="s">
        <v>16</v>
      </c>
      <c r="D6110" s="2" t="s">
        <v>17</v>
      </c>
      <c r="E6110" s="5">
        <v>-31701</v>
      </c>
      <c r="F6110" s="3" t="s">
        <v>1561</v>
      </c>
      <c r="G6110" s="3" t="s">
        <v>65</v>
      </c>
      <c r="H6110" s="2" t="s">
        <v>20</v>
      </c>
      <c r="I6110" s="2" t="s">
        <v>12705</v>
      </c>
      <c r="J6110" s="3" t="str">
        <f>HYPERLINK("https://www.boe.es/gazeta/dias/1813/03/15/pdfs/GMD-1813-74.pdf#page=1","Abrir facsímil")</f>
        <v>Abrir facsímil</v>
      </c>
      <c r="K6110" s="3" t="s">
        <v>22</v>
      </c>
    </row>
    <row r="6111" spans="1:11" ht="42" customHeight="1">
      <c r="A6111" s="2" t="s">
        <v>12706</v>
      </c>
      <c r="B6111" s="2" t="s">
        <v>12707</v>
      </c>
      <c r="C6111" s="2" t="s">
        <v>16</v>
      </c>
      <c r="D6111" s="2" t="s">
        <v>17</v>
      </c>
      <c r="E6111" s="5">
        <v>-31544</v>
      </c>
      <c r="F6111" s="3" t="s">
        <v>44</v>
      </c>
      <c r="G6111" s="3" t="s">
        <v>95</v>
      </c>
      <c r="H6111" s="2" t="s">
        <v>20</v>
      </c>
      <c r="I6111" s="2" t="s">
        <v>12708</v>
      </c>
      <c r="J6111" s="3" t="str">
        <f>HYPERLINK("https://www.boe.es/gazeta/dias/1813/08/19/pdfs/GMR-1813-30.pdf#page=6","Abrir facsímil")</f>
        <v>Abrir facsímil</v>
      </c>
      <c r="K6111" s="3" t="s">
        <v>22</v>
      </c>
    </row>
    <row r="6112" spans="1:11" ht="42" customHeight="1">
      <c r="A6112" s="2" t="s">
        <v>12709</v>
      </c>
      <c r="B6112" s="2" t="s">
        <v>12710</v>
      </c>
      <c r="C6112" s="2" t="s">
        <v>34</v>
      </c>
      <c r="D6112" s="2" t="s">
        <v>35</v>
      </c>
      <c r="E6112" s="5">
        <v>-31709</v>
      </c>
      <c r="F6112" s="3" t="s">
        <v>36</v>
      </c>
      <c r="G6112" s="3" t="s">
        <v>303</v>
      </c>
      <c r="H6112" s="2" t="s">
        <v>20</v>
      </c>
      <c r="I6112" s="2" t="s">
        <v>12711</v>
      </c>
      <c r="J6112" s="3" t="str">
        <f>HYPERLINK("https://www.boe.es/gazeta/dias/1813/03/07/pdfs/GMD-1813-66.pdf#page=3","Abrir facsímil")</f>
        <v>Abrir facsímil</v>
      </c>
      <c r="K6112" s="3" t="s">
        <v>22</v>
      </c>
    </row>
    <row r="6113" spans="1:11" ht="42" customHeight="1">
      <c r="A6113" s="2" t="s">
        <v>12712</v>
      </c>
      <c r="B6113" s="2" t="s">
        <v>12713</v>
      </c>
      <c r="C6113" s="2" t="s">
        <v>34</v>
      </c>
      <c r="D6113" s="2" t="s">
        <v>35</v>
      </c>
      <c r="E6113" s="5">
        <v>-31581</v>
      </c>
      <c r="F6113" s="3" t="s">
        <v>1321</v>
      </c>
      <c r="G6113" s="3" t="s">
        <v>71</v>
      </c>
      <c r="H6113" s="2" t="s">
        <v>20</v>
      </c>
      <c r="I6113" s="2" t="s">
        <v>12714</v>
      </c>
      <c r="J6113" s="3" t="str">
        <f>HYPERLINK("https://www.boe.es/gazeta/dias/1813/07/13/pdfs/GMR-1813-17.pdf#page=16","Abrir facsímil")</f>
        <v>Abrir facsímil</v>
      </c>
      <c r="K6113" s="3" t="s">
        <v>22</v>
      </c>
    </row>
    <row r="6114" spans="1:11" ht="42" customHeight="1">
      <c r="A6114" s="2" t="s">
        <v>12712</v>
      </c>
      <c r="B6114" s="2" t="s">
        <v>12713</v>
      </c>
      <c r="C6114" s="2" t="s">
        <v>16</v>
      </c>
      <c r="D6114" s="2" t="s">
        <v>17</v>
      </c>
      <c r="E6114" s="5">
        <v>-31567</v>
      </c>
      <c r="F6114" s="3" t="s">
        <v>820</v>
      </c>
      <c r="G6114" s="3" t="s">
        <v>71</v>
      </c>
      <c r="H6114" s="2" t="s">
        <v>20</v>
      </c>
      <c r="I6114" s="2" t="s">
        <v>12715</v>
      </c>
      <c r="J6114" s="3" t="str">
        <f>HYPERLINK("https://www.boe.es/gazeta/dias/1813/07/27/pdfs/GMR-1813-21.pdf#page=16","Abrir facsímil")</f>
        <v>Abrir facsímil</v>
      </c>
      <c r="K6114" s="3" t="s">
        <v>22</v>
      </c>
    </row>
    <row r="6115" spans="1:11" ht="42" customHeight="1">
      <c r="A6115" s="2" t="s">
        <v>12716</v>
      </c>
      <c r="B6115" s="2" t="s">
        <v>12717</v>
      </c>
      <c r="C6115" s="2" t="s">
        <v>25</v>
      </c>
      <c r="D6115" s="2" t="s">
        <v>26</v>
      </c>
      <c r="E6115" s="5">
        <v>-31453</v>
      </c>
      <c r="F6115" s="3" t="s">
        <v>887</v>
      </c>
      <c r="G6115" s="3" t="s">
        <v>4559</v>
      </c>
      <c r="H6115" s="2" t="s">
        <v>20</v>
      </c>
      <c r="I6115" s="2" t="s">
        <v>12718</v>
      </c>
      <c r="J6115" s="3" t="str">
        <f>HYPERLINK("https://www.boe.es/gazeta/dias/1813/11/18/pdfs/GMR-1813-76.pdf#page=12","Abrir facsímil")</f>
        <v>Abrir facsímil</v>
      </c>
      <c r="K6115" s="3" t="s">
        <v>22</v>
      </c>
    </row>
    <row r="6116" spans="1:11" ht="42" customHeight="1">
      <c r="A6116" s="2" t="s">
        <v>12719</v>
      </c>
      <c r="B6116" s="2" t="s">
        <v>12720</v>
      </c>
      <c r="C6116" s="2" t="s">
        <v>34</v>
      </c>
      <c r="D6116" s="2" t="s">
        <v>35</v>
      </c>
      <c r="E6116" s="5">
        <v>-31567</v>
      </c>
      <c r="F6116" s="3" t="s">
        <v>820</v>
      </c>
      <c r="G6116" s="3" t="s">
        <v>313</v>
      </c>
      <c r="H6116" s="2" t="s">
        <v>20</v>
      </c>
      <c r="I6116" s="2" t="s">
        <v>12721</v>
      </c>
      <c r="J6116" s="3" t="str">
        <f>HYPERLINK("https://www.boe.es/gazeta/dias/1813/07/27/pdfs/GMR-1813-21.pdf#page=9","Abrir facsímil")</f>
        <v>Abrir facsímil</v>
      </c>
      <c r="K6116" s="3" t="s">
        <v>22</v>
      </c>
    </row>
    <row r="6117" spans="1:11" ht="42" customHeight="1">
      <c r="A6117" s="2" t="s">
        <v>12722</v>
      </c>
      <c r="B6117" s="2" t="s">
        <v>12723</v>
      </c>
      <c r="C6117" s="2" t="s">
        <v>16</v>
      </c>
      <c r="D6117" s="2" t="s">
        <v>17</v>
      </c>
      <c r="E6117" s="5">
        <v>-31448</v>
      </c>
      <c r="F6117" s="3" t="s">
        <v>325</v>
      </c>
      <c r="G6117" s="3" t="s">
        <v>178</v>
      </c>
      <c r="H6117" s="2" t="s">
        <v>20</v>
      </c>
      <c r="I6117" s="2" t="s">
        <v>12724</v>
      </c>
      <c r="J6117" s="3" t="str">
        <f>HYPERLINK("https://www.boe.es/gazeta/dias/1813/11/23/pdfs/GMR-1813-78.pdf#page=11","Abrir facsímil")</f>
        <v>Abrir facsímil</v>
      </c>
      <c r="K6117" s="3" t="s">
        <v>22</v>
      </c>
    </row>
    <row r="6118" spans="1:11" ht="42" customHeight="1">
      <c r="A6118" s="2" t="s">
        <v>12725</v>
      </c>
      <c r="B6118" s="2" t="s">
        <v>12726</v>
      </c>
      <c r="C6118" s="2" t="s">
        <v>34</v>
      </c>
      <c r="D6118" s="2" t="s">
        <v>35</v>
      </c>
      <c r="E6118" s="5">
        <v>-31675</v>
      </c>
      <c r="F6118" s="3" t="s">
        <v>2552</v>
      </c>
      <c r="G6118" s="3" t="s">
        <v>19</v>
      </c>
      <c r="H6118" s="2" t="s">
        <v>20</v>
      </c>
      <c r="I6118" s="2" t="s">
        <v>12727</v>
      </c>
      <c r="J6118" s="3" t="str">
        <f>HYPERLINK("https://www.boe.es/gazeta/dias/1813/04/10/pdfs/GMD-1813-100.pdf#page=4","Abrir facsímil")</f>
        <v>Abrir facsímil</v>
      </c>
      <c r="K6118" s="3" t="s">
        <v>22</v>
      </c>
    </row>
    <row r="6119" spans="1:11" ht="42" customHeight="1">
      <c r="A6119" s="2" t="s">
        <v>12728</v>
      </c>
      <c r="B6119" s="2" t="s">
        <v>12729</v>
      </c>
      <c r="C6119" s="2" t="s">
        <v>25</v>
      </c>
      <c r="D6119" s="2" t="s">
        <v>26</v>
      </c>
      <c r="E6119" s="5">
        <v>-31481</v>
      </c>
      <c r="F6119" s="3" t="s">
        <v>40</v>
      </c>
      <c r="G6119" s="3" t="s">
        <v>28</v>
      </c>
      <c r="H6119" s="2" t="s">
        <v>20</v>
      </c>
      <c r="I6119" s="2" t="s">
        <v>12730</v>
      </c>
      <c r="J6119" s="3" t="str">
        <f>HYPERLINK("https://www.boe.es/gazeta/dias/1813/10/21/pdfs/GMR-1813-62.pdf#page=8","Abrir facsímil")</f>
        <v>Abrir facsímil</v>
      </c>
      <c r="K6119" s="3" t="s">
        <v>22</v>
      </c>
    </row>
    <row r="6120" spans="1:11" ht="42" customHeight="1">
      <c r="A6120" s="2" t="s">
        <v>12731</v>
      </c>
      <c r="B6120" s="2" t="s">
        <v>12731</v>
      </c>
      <c r="C6120" s="2" t="s">
        <v>16</v>
      </c>
      <c r="D6120" s="2" t="s">
        <v>17</v>
      </c>
      <c r="E6120" s="5">
        <v>-31770</v>
      </c>
      <c r="F6120" s="3" t="s">
        <v>641</v>
      </c>
      <c r="G6120" s="3" t="s">
        <v>58</v>
      </c>
      <c r="H6120" s="2" t="s">
        <v>20</v>
      </c>
      <c r="I6120" s="2" t="s">
        <v>12732</v>
      </c>
      <c r="J6120" s="3" t="str">
        <f>HYPERLINK("https://www.boe.es/gazeta/dias/1813/01/05/pdfs/GMD-1813-5.pdf#page=2","Abrir facsímil")</f>
        <v>Abrir facsímil</v>
      </c>
      <c r="K6120" s="3" t="s">
        <v>22</v>
      </c>
    </row>
    <row r="6121" spans="1:11" ht="42" customHeight="1">
      <c r="A6121" s="2" t="s">
        <v>12733</v>
      </c>
      <c r="B6121" s="2" t="s">
        <v>12734</v>
      </c>
      <c r="C6121" s="2" t="s">
        <v>34</v>
      </c>
      <c r="D6121" s="2" t="s">
        <v>35</v>
      </c>
      <c r="E6121" s="5">
        <v>-31709</v>
      </c>
      <c r="F6121" s="3" t="s">
        <v>36</v>
      </c>
      <c r="G6121" s="3" t="s">
        <v>19</v>
      </c>
      <c r="H6121" s="2" t="s">
        <v>20</v>
      </c>
      <c r="I6121" s="2" t="s">
        <v>12735</v>
      </c>
      <c r="J6121" s="3" t="str">
        <f>HYPERLINK("https://www.boe.es/gazeta/dias/1813/03/07/pdfs/GMD-1813-66.pdf#page=4","Abrir facsímil")</f>
        <v>Abrir facsímil</v>
      </c>
      <c r="K6121" s="3" t="s">
        <v>22</v>
      </c>
    </row>
    <row r="6122" spans="1:11" ht="42" customHeight="1">
      <c r="A6122" s="2" t="s">
        <v>12736</v>
      </c>
      <c r="B6122" s="2" t="s">
        <v>12737</v>
      </c>
      <c r="C6122" s="2" t="s">
        <v>277</v>
      </c>
      <c r="D6122" s="2" t="s">
        <v>26</v>
      </c>
      <c r="E6122" s="5">
        <v>-31719</v>
      </c>
      <c r="F6122" s="3" t="s">
        <v>251</v>
      </c>
      <c r="G6122" s="3" t="s">
        <v>19</v>
      </c>
      <c r="H6122" s="2" t="s">
        <v>20</v>
      </c>
      <c r="I6122" s="2" t="s">
        <v>12738</v>
      </c>
      <c r="J6122" s="3" t="str">
        <f>HYPERLINK("https://www.boe.es/gazeta/dias/1813/02/25/pdfs/GMD-1813-56.pdf#page=4","Abrir facsímil")</f>
        <v>Abrir facsímil</v>
      </c>
      <c r="K6122" s="3" t="s">
        <v>22</v>
      </c>
    </row>
    <row r="6123" spans="1:11" ht="42" customHeight="1">
      <c r="A6123" s="2" t="s">
        <v>12739</v>
      </c>
      <c r="B6123" s="2" t="s">
        <v>12740</v>
      </c>
      <c r="C6123" s="2" t="s">
        <v>34</v>
      </c>
      <c r="D6123" s="2" t="s">
        <v>35</v>
      </c>
      <c r="E6123" s="5">
        <v>-31709</v>
      </c>
      <c r="F6123" s="3" t="s">
        <v>36</v>
      </c>
      <c r="G6123" s="3" t="s">
        <v>303</v>
      </c>
      <c r="H6123" s="2" t="s">
        <v>20</v>
      </c>
      <c r="I6123" s="2" t="s">
        <v>12741</v>
      </c>
      <c r="J6123" s="3" t="str">
        <f>HYPERLINK("https://www.boe.es/gazeta/dias/1813/03/07/pdfs/GMD-1813-66.pdf#page=3","Abrir facsímil")</f>
        <v>Abrir facsímil</v>
      </c>
      <c r="K6123" s="3" t="s">
        <v>22</v>
      </c>
    </row>
    <row r="6124" spans="1:11" ht="42" customHeight="1">
      <c r="A6124" s="2" t="s">
        <v>12742</v>
      </c>
      <c r="B6124" s="2" t="s">
        <v>12743</v>
      </c>
      <c r="C6124" s="2" t="s">
        <v>16</v>
      </c>
      <c r="D6124" s="2" t="s">
        <v>97</v>
      </c>
      <c r="E6124" s="5">
        <v>-31670</v>
      </c>
      <c r="F6124" s="3" t="s">
        <v>98</v>
      </c>
      <c r="G6124" s="3" t="s">
        <v>772</v>
      </c>
      <c r="H6124" s="2" t="s">
        <v>20</v>
      </c>
      <c r="I6124" s="2" t="s">
        <v>12744</v>
      </c>
      <c r="J6124" s="3" t="str">
        <f>HYPERLINK("https://www.boe.es/gazeta/dias/1813/04/15/pdfs/GRE-1813-47E.pdf#page=3","Abrir facsímil")</f>
        <v>Abrir facsímil</v>
      </c>
      <c r="K6124" s="3" t="s">
        <v>22</v>
      </c>
    </row>
    <row r="6125" spans="1:11" ht="42" customHeight="1">
      <c r="A6125" s="2" t="s">
        <v>12745</v>
      </c>
      <c r="B6125" s="2" t="s">
        <v>12746</v>
      </c>
      <c r="C6125" s="2" t="s">
        <v>16</v>
      </c>
      <c r="D6125" s="2" t="s">
        <v>17</v>
      </c>
      <c r="E6125" s="5">
        <v>-31747</v>
      </c>
      <c r="F6125" s="3" t="s">
        <v>86</v>
      </c>
      <c r="G6125" s="3" t="s">
        <v>3232</v>
      </c>
      <c r="H6125" s="2" t="s">
        <v>20</v>
      </c>
      <c r="I6125" s="2" t="s">
        <v>12747</v>
      </c>
      <c r="J6125" s="3" t="str">
        <f>HYPERLINK("https://www.boe.es/gazeta/dias/1813/01/28/pdfs/GRE-1813-12.pdf#page=6","Abrir facsímil")</f>
        <v>Abrir facsímil</v>
      </c>
      <c r="K6125" s="3" t="s">
        <v>22</v>
      </c>
    </row>
    <row r="6126" spans="1:11" ht="42" customHeight="1">
      <c r="A6126" s="2" t="s">
        <v>12748</v>
      </c>
      <c r="B6126" s="2" t="s">
        <v>12749</v>
      </c>
      <c r="C6126" s="2" t="s">
        <v>25</v>
      </c>
      <c r="D6126" s="2" t="s">
        <v>26</v>
      </c>
      <c r="E6126" s="5">
        <v>-31425</v>
      </c>
      <c r="F6126" s="3" t="s">
        <v>1669</v>
      </c>
      <c r="G6126" s="3" t="s">
        <v>1670</v>
      </c>
      <c r="H6126" s="2" t="s">
        <v>20</v>
      </c>
      <c r="I6126" s="2" t="s">
        <v>12750</v>
      </c>
      <c r="J6126" s="3" t="str">
        <f>HYPERLINK("https://www.boe.es/gazeta/dias/1813/12/16/pdfs/GRE-1813-165.pdf#page=7","Abrir facsímil")</f>
        <v>Abrir facsímil</v>
      </c>
      <c r="K6126" s="3" t="s">
        <v>22</v>
      </c>
    </row>
    <row r="6127" spans="1:11" ht="42" customHeight="1">
      <c r="A6127" s="2" t="s">
        <v>12751</v>
      </c>
      <c r="B6127" s="2" t="s">
        <v>12751</v>
      </c>
      <c r="C6127" s="2" t="s">
        <v>16</v>
      </c>
      <c r="D6127" s="2" t="s">
        <v>17</v>
      </c>
      <c r="E6127" s="5">
        <v>-31565</v>
      </c>
      <c r="F6127" s="3" t="s">
        <v>306</v>
      </c>
      <c r="G6127" s="3" t="s">
        <v>82</v>
      </c>
      <c r="H6127" s="2" t="s">
        <v>20</v>
      </c>
      <c r="I6127" s="2" t="s">
        <v>12752</v>
      </c>
      <c r="J6127" s="3" t="str">
        <f>HYPERLINK("https://www.boe.es/gazeta/dias/1813/07/29/pdfs/GRE-1813-96.pdf#page=5","Abrir facsímil")</f>
        <v>Abrir facsímil</v>
      </c>
      <c r="K6127" s="3" t="s">
        <v>22</v>
      </c>
    </row>
    <row r="6128" spans="1:11" ht="42" customHeight="1">
      <c r="A6128" s="2" t="s">
        <v>12753</v>
      </c>
      <c r="B6128" s="2" t="s">
        <v>12754</v>
      </c>
      <c r="C6128" s="2" t="s">
        <v>16</v>
      </c>
      <c r="D6128" s="2" t="s">
        <v>17</v>
      </c>
      <c r="E6128" s="5">
        <v>-31581</v>
      </c>
      <c r="F6128" s="3" t="s">
        <v>1321</v>
      </c>
      <c r="G6128" s="3" t="s">
        <v>71</v>
      </c>
      <c r="H6128" s="2" t="s">
        <v>20</v>
      </c>
      <c r="I6128" s="2" t="s">
        <v>12755</v>
      </c>
      <c r="J6128" s="3" t="str">
        <f>HYPERLINK("https://www.boe.es/gazeta/dias/1813/07/13/pdfs/GMR-1813-17.pdf#page=16","Abrir facsímil")</f>
        <v>Abrir facsímil</v>
      </c>
      <c r="K6128" s="3" t="s">
        <v>22</v>
      </c>
    </row>
    <row r="6129" spans="1:11" ht="42" customHeight="1">
      <c r="A6129" s="2" t="s">
        <v>12756</v>
      </c>
      <c r="B6129" s="2" t="s">
        <v>12757</v>
      </c>
      <c r="C6129" s="2" t="s">
        <v>25</v>
      </c>
      <c r="D6129" s="2" t="s">
        <v>26</v>
      </c>
      <c r="E6129" s="5">
        <v>-31745</v>
      </c>
      <c r="F6129" s="3" t="s">
        <v>445</v>
      </c>
      <c r="G6129" s="3" t="s">
        <v>28</v>
      </c>
      <c r="H6129" s="2" t="s">
        <v>20</v>
      </c>
      <c r="I6129" s="2" t="s">
        <v>12758</v>
      </c>
      <c r="J6129" s="3" t="str">
        <f>HYPERLINK("https://www.boe.es/gazeta/dias/1813/01/30/pdfs/GRE-1813-13.pdf#page=8","Abrir facsímil")</f>
        <v>Abrir facsímil</v>
      </c>
      <c r="K6129" s="3" t="s">
        <v>22</v>
      </c>
    </row>
    <row r="6130" spans="1:11" ht="42" customHeight="1">
      <c r="A6130" s="2" t="s">
        <v>12759</v>
      </c>
      <c r="B6130" s="2" t="s">
        <v>12760</v>
      </c>
      <c r="C6130" s="2" t="s">
        <v>34</v>
      </c>
      <c r="D6130" s="2" t="s">
        <v>35</v>
      </c>
      <c r="E6130" s="5">
        <v>-31749</v>
      </c>
      <c r="F6130" s="3" t="s">
        <v>3765</v>
      </c>
      <c r="G6130" s="3" t="s">
        <v>58</v>
      </c>
      <c r="H6130" s="2" t="s">
        <v>20</v>
      </c>
      <c r="I6130" s="2" t="s">
        <v>12761</v>
      </c>
      <c r="J6130" s="3" t="str">
        <f>HYPERLINK("https://www.boe.es/gazeta/dias/1813/01/26/pdfs/GMD-1813-26.pdf#page=2","Abrir facsímil")</f>
        <v>Abrir facsímil</v>
      </c>
      <c r="K6130" s="3" t="s">
        <v>22</v>
      </c>
    </row>
    <row r="6131" spans="1:11" ht="42" customHeight="1">
      <c r="A6131" s="2" t="s">
        <v>12762</v>
      </c>
      <c r="B6131" s="2" t="s">
        <v>12763</v>
      </c>
      <c r="C6131" s="2" t="s">
        <v>16</v>
      </c>
      <c r="D6131" s="2" t="s">
        <v>17</v>
      </c>
      <c r="E6131" s="5">
        <v>-31602</v>
      </c>
      <c r="F6131" s="3" t="s">
        <v>2117</v>
      </c>
      <c r="G6131" s="3" t="s">
        <v>258</v>
      </c>
      <c r="H6131" s="2" t="s">
        <v>20</v>
      </c>
      <c r="I6131" s="2" t="s">
        <v>12764</v>
      </c>
      <c r="J6131" s="3" t="str">
        <f>HYPERLINK("https://www.boe.es/gazeta/dias/1813/06/22/pdfs/GMR-1813-9.pdf#page=12","Abrir facsímil")</f>
        <v>Abrir facsímil</v>
      </c>
      <c r="K6131" s="3" t="s">
        <v>22</v>
      </c>
    </row>
    <row r="6132" spans="1:11" ht="42" customHeight="1">
      <c r="A6132" s="2" t="s">
        <v>12765</v>
      </c>
      <c r="B6132" s="2" t="s">
        <v>12766</v>
      </c>
      <c r="C6132" s="2" t="s">
        <v>25</v>
      </c>
      <c r="D6132" s="2" t="s">
        <v>26</v>
      </c>
      <c r="E6132" s="5">
        <v>-31551</v>
      </c>
      <c r="F6132" s="3" t="s">
        <v>4349</v>
      </c>
      <c r="G6132" s="3" t="s">
        <v>87</v>
      </c>
      <c r="H6132" s="2" t="s">
        <v>20</v>
      </c>
      <c r="I6132" s="2" t="s">
        <v>12767</v>
      </c>
      <c r="J6132" s="3" t="str">
        <f>HYPERLINK("https://www.boe.es/gazeta/dias/1813/08/12/pdfs/GRE-1813-102.pdf#page=7","Abrir facsímil")</f>
        <v>Abrir facsímil</v>
      </c>
      <c r="K6132" s="3" t="s">
        <v>22</v>
      </c>
    </row>
    <row r="6133" spans="1:11" ht="42" customHeight="1">
      <c r="A6133" s="2" t="s">
        <v>12765</v>
      </c>
      <c r="B6133" s="2" t="s">
        <v>12766</v>
      </c>
      <c r="C6133" s="2" t="s">
        <v>16</v>
      </c>
      <c r="D6133" s="2" t="s">
        <v>17</v>
      </c>
      <c r="E6133" s="5">
        <v>-31532</v>
      </c>
      <c r="F6133" s="3" t="s">
        <v>215</v>
      </c>
      <c r="G6133" s="3" t="s">
        <v>95</v>
      </c>
      <c r="H6133" s="2" t="s">
        <v>20</v>
      </c>
      <c r="I6133" s="2" t="s">
        <v>12768</v>
      </c>
      <c r="J6133" s="3" t="str">
        <f>HYPERLINK("https://www.boe.es/gazeta/dias/1813/08/31/pdfs/GRE-1813-111.pdf#page=6","Abrir facsímil")</f>
        <v>Abrir facsímil</v>
      </c>
      <c r="K6133" s="3" t="s">
        <v>22</v>
      </c>
    </row>
    <row r="6134" spans="1:11" ht="42" customHeight="1">
      <c r="A6134" s="2" t="s">
        <v>12769</v>
      </c>
      <c r="B6134" s="2" t="s">
        <v>12770</v>
      </c>
      <c r="C6134" s="2" t="s">
        <v>25</v>
      </c>
      <c r="D6134" s="2" t="s">
        <v>26</v>
      </c>
      <c r="E6134" s="5">
        <v>-31544</v>
      </c>
      <c r="F6134" s="3" t="s">
        <v>44</v>
      </c>
      <c r="G6134" s="3" t="s">
        <v>49</v>
      </c>
      <c r="H6134" s="2" t="s">
        <v>20</v>
      </c>
      <c r="I6134" s="2" t="s">
        <v>12771</v>
      </c>
      <c r="J6134" s="3" t="str">
        <f>HYPERLINK("https://www.boe.es/gazeta/dias/1813/08/19/pdfs/GMR-1813-30.pdf#page=5","Abrir facsímil")</f>
        <v>Abrir facsímil</v>
      </c>
      <c r="K6134" s="3" t="s">
        <v>22</v>
      </c>
    </row>
    <row r="6135" spans="1:11" ht="42" customHeight="1">
      <c r="A6135" s="2" t="s">
        <v>12772</v>
      </c>
      <c r="B6135" s="2" t="s">
        <v>12773</v>
      </c>
      <c r="C6135" s="2" t="s">
        <v>25</v>
      </c>
      <c r="D6135" s="2" t="s">
        <v>26</v>
      </c>
      <c r="E6135" s="5">
        <v>-31677</v>
      </c>
      <c r="F6135" s="3" t="s">
        <v>76</v>
      </c>
      <c r="G6135" s="3" t="s">
        <v>28</v>
      </c>
      <c r="H6135" s="2" t="s">
        <v>20</v>
      </c>
      <c r="I6135" s="2" t="s">
        <v>12774</v>
      </c>
      <c r="J6135" s="3" t="str">
        <f>HYPERLINK("https://www.boe.es/gazeta/dias/1813/04/08/pdfs/GRE-1813-43.pdf#page=8","Abrir facsímil")</f>
        <v>Abrir facsímil</v>
      </c>
      <c r="K6135" s="3" t="s">
        <v>22</v>
      </c>
    </row>
    <row r="6136" spans="1:11" ht="42" customHeight="1">
      <c r="A6136" s="2" t="s">
        <v>12775</v>
      </c>
      <c r="B6136" s="2" t="s">
        <v>12776</v>
      </c>
      <c r="C6136" s="2" t="s">
        <v>25</v>
      </c>
      <c r="D6136" s="2" t="s">
        <v>26</v>
      </c>
      <c r="E6136" s="5">
        <v>-31605</v>
      </c>
      <c r="F6136" s="3" t="s">
        <v>884</v>
      </c>
      <c r="G6136" s="3" t="s">
        <v>28</v>
      </c>
      <c r="H6136" s="2" t="s">
        <v>20</v>
      </c>
      <c r="I6136" s="2" t="s">
        <v>12777</v>
      </c>
      <c r="J6136" s="3" t="str">
        <f>HYPERLINK("https://www.boe.es/gazeta/dias/1813/06/19/pdfs/GRE-1813-76.pdf#page=8","Abrir facsímil")</f>
        <v>Abrir facsímil</v>
      </c>
      <c r="K6136" s="3" t="s">
        <v>22</v>
      </c>
    </row>
    <row r="6137" spans="1:11" ht="42" customHeight="1">
      <c r="A6137" s="2" t="s">
        <v>12778</v>
      </c>
      <c r="B6137" s="2" t="s">
        <v>12779</v>
      </c>
      <c r="C6137" s="2" t="s">
        <v>277</v>
      </c>
      <c r="D6137" s="2" t="s">
        <v>26</v>
      </c>
      <c r="E6137" s="5">
        <v>-31434</v>
      </c>
      <c r="F6137" s="3" t="s">
        <v>948</v>
      </c>
      <c r="G6137" s="3" t="s">
        <v>87</v>
      </c>
      <c r="H6137" s="2" t="s">
        <v>20</v>
      </c>
      <c r="I6137" s="2" t="s">
        <v>12780</v>
      </c>
      <c r="J6137" s="3" t="str">
        <f>HYPERLINK("https://www.boe.es/gazeta/dias/1813/12/07/pdfs/GMR-1813-84.pdf#page=7","Abrir facsímil")</f>
        <v>Abrir facsímil</v>
      </c>
      <c r="K6137" s="3" t="s">
        <v>22</v>
      </c>
    </row>
    <row r="6138" spans="1:11" ht="42" customHeight="1">
      <c r="A6138" s="2" t="s">
        <v>12781</v>
      </c>
      <c r="B6138" s="2" t="s">
        <v>12782</v>
      </c>
      <c r="C6138" s="2" t="s">
        <v>34</v>
      </c>
      <c r="D6138" s="2" t="s">
        <v>35</v>
      </c>
      <c r="E6138" s="5">
        <v>-31709</v>
      </c>
      <c r="F6138" s="3" t="s">
        <v>36</v>
      </c>
      <c r="G6138" s="3" t="s">
        <v>19</v>
      </c>
      <c r="H6138" s="2" t="s">
        <v>20</v>
      </c>
      <c r="I6138" s="2" t="s">
        <v>12783</v>
      </c>
      <c r="J6138" s="3" t="str">
        <f>HYPERLINK("https://www.boe.es/gazeta/dias/1813/03/07/pdfs/GMD-1813-66.pdf#page=4","Abrir facsímil")</f>
        <v>Abrir facsímil</v>
      </c>
      <c r="K6138" s="3" t="s">
        <v>22</v>
      </c>
    </row>
    <row r="6139" spans="1:11" ht="42" customHeight="1">
      <c r="A6139" s="2" t="s">
        <v>12784</v>
      </c>
      <c r="B6139" s="2" t="s">
        <v>12785</v>
      </c>
      <c r="C6139" s="2" t="s">
        <v>25</v>
      </c>
      <c r="D6139" s="2" t="s">
        <v>26</v>
      </c>
      <c r="E6139" s="5">
        <v>-31530</v>
      </c>
      <c r="F6139" s="3" t="s">
        <v>133</v>
      </c>
      <c r="G6139" s="3" t="s">
        <v>95</v>
      </c>
      <c r="H6139" s="2" t="s">
        <v>20</v>
      </c>
      <c r="I6139" s="2" t="s">
        <v>12786</v>
      </c>
      <c r="J6139" s="3" t="str">
        <f>HYPERLINK("https://www.boe.es/gazeta/dias/1813/09/02/pdfs/GMR-1813-36.pdf#page=6","Abrir facsímil")</f>
        <v>Abrir facsímil</v>
      </c>
      <c r="K6139" s="3" t="s">
        <v>22</v>
      </c>
    </row>
    <row r="6140" spans="1:11" ht="42" customHeight="1">
      <c r="A6140" s="2" t="s">
        <v>12787</v>
      </c>
      <c r="B6140" s="2" t="s">
        <v>12788</v>
      </c>
      <c r="C6140" s="2" t="s">
        <v>34</v>
      </c>
      <c r="D6140" s="2" t="s">
        <v>35</v>
      </c>
      <c r="E6140" s="5">
        <v>-31469</v>
      </c>
      <c r="F6140" s="3" t="s">
        <v>1311</v>
      </c>
      <c r="G6140" s="3" t="s">
        <v>28</v>
      </c>
      <c r="H6140" s="2" t="s">
        <v>20</v>
      </c>
      <c r="I6140" s="2" t="s">
        <v>12789</v>
      </c>
      <c r="J6140" s="3" t="str">
        <f>HYPERLINK("https://www.boe.es/gazeta/dias/1813/11/02/pdfs/GMR-1813-67.pdf#page=8","Abrir facsímil")</f>
        <v>Abrir facsímil</v>
      </c>
      <c r="K6140" s="3" t="s">
        <v>22</v>
      </c>
    </row>
    <row r="6141" spans="1:11" ht="42" customHeight="1">
      <c r="A6141" s="2" t="s">
        <v>12787</v>
      </c>
      <c r="B6141" s="2" t="s">
        <v>12788</v>
      </c>
      <c r="C6141" s="2" t="s">
        <v>34</v>
      </c>
      <c r="D6141" s="2" t="s">
        <v>35</v>
      </c>
      <c r="E6141" s="5">
        <v>-31444</v>
      </c>
      <c r="F6141" s="3" t="s">
        <v>389</v>
      </c>
      <c r="G6141" s="3" t="s">
        <v>28</v>
      </c>
      <c r="H6141" s="2" t="s">
        <v>20</v>
      </c>
      <c r="I6141" s="2" t="s">
        <v>12790</v>
      </c>
      <c r="J6141" s="3" t="str">
        <f>HYPERLINK("https://www.boe.es/gazeta/dias/1813/11/27/pdfs/GMR-1813-80.pdf#page=8","Abrir facsímil")</f>
        <v>Abrir facsímil</v>
      </c>
      <c r="K6141" s="3" t="s">
        <v>22</v>
      </c>
    </row>
    <row r="6142" spans="1:11" ht="42" customHeight="1">
      <c r="A6142" s="2" t="s">
        <v>12791</v>
      </c>
      <c r="B6142" s="2" t="s">
        <v>12792</v>
      </c>
      <c r="C6142" s="2" t="s">
        <v>16</v>
      </c>
      <c r="D6142" s="2" t="s">
        <v>17</v>
      </c>
      <c r="E6142" s="5">
        <v>-31709</v>
      </c>
      <c r="F6142" s="3" t="s">
        <v>36</v>
      </c>
      <c r="G6142" s="3" t="s">
        <v>19</v>
      </c>
      <c r="H6142" s="2" t="s">
        <v>20</v>
      </c>
      <c r="I6142" s="2" t="s">
        <v>12793</v>
      </c>
      <c r="J6142" s="3" t="str">
        <f>HYPERLINK("https://www.boe.es/gazeta/dias/1813/03/07/pdfs/GMD-1813-66.pdf#page=4","Abrir facsímil")</f>
        <v>Abrir facsímil</v>
      </c>
      <c r="K6142" s="3" t="s">
        <v>22</v>
      </c>
    </row>
    <row r="6143" spans="1:11" ht="42" customHeight="1">
      <c r="A6143" s="2" t="s">
        <v>12794</v>
      </c>
      <c r="B6143" s="2" t="s">
        <v>12794</v>
      </c>
      <c r="C6143" s="2" t="s">
        <v>16</v>
      </c>
      <c r="D6143" s="2" t="s">
        <v>17</v>
      </c>
      <c r="E6143" s="5">
        <v>-31654</v>
      </c>
      <c r="F6143" s="3" t="s">
        <v>1519</v>
      </c>
      <c r="G6143" s="3" t="s">
        <v>54</v>
      </c>
      <c r="H6143" s="2" t="s">
        <v>20</v>
      </c>
      <c r="I6143" s="2" t="s">
        <v>12795</v>
      </c>
      <c r="J6143" s="3" t="str">
        <f>HYPERLINK("https://www.boe.es/gazeta/dias/1813/05/01/pdfs/GRE-1813-54.pdf#page=3","Abrir facsímil")</f>
        <v>Abrir facsímil</v>
      </c>
      <c r="K6143" s="3" t="s">
        <v>22</v>
      </c>
    </row>
    <row r="6144" spans="1:11" ht="42" customHeight="1">
      <c r="A6144" s="2" t="s">
        <v>12796</v>
      </c>
      <c r="B6144" s="2" t="s">
        <v>12797</v>
      </c>
      <c r="C6144" s="2" t="s">
        <v>16</v>
      </c>
      <c r="D6144" s="2" t="s">
        <v>17</v>
      </c>
      <c r="E6144" s="5">
        <v>-31437</v>
      </c>
      <c r="F6144" s="3" t="s">
        <v>680</v>
      </c>
      <c r="G6144" s="3" t="s">
        <v>65</v>
      </c>
      <c r="H6144" s="2" t="s">
        <v>20</v>
      </c>
      <c r="I6144" s="2" t="s">
        <v>12798</v>
      </c>
      <c r="J6144" s="3" t="str">
        <f>HYPERLINK("https://www.boe.es/gazeta/dias/1813/12/04/pdfs/GMR-1813-83.pdf#page=1","Abrir facsímil")</f>
        <v>Abrir facsímil</v>
      </c>
      <c r="K6144" s="3" t="s">
        <v>22</v>
      </c>
    </row>
    <row r="6145" spans="1:11" ht="42" customHeight="1">
      <c r="A6145" s="2" t="s">
        <v>12799</v>
      </c>
      <c r="B6145" s="2" t="s">
        <v>12800</v>
      </c>
      <c r="C6145" s="2" t="s">
        <v>25</v>
      </c>
      <c r="D6145" s="2" t="s">
        <v>26</v>
      </c>
      <c r="E6145" s="5">
        <v>-31677</v>
      </c>
      <c r="F6145" s="3" t="s">
        <v>76</v>
      </c>
      <c r="G6145" s="3" t="s">
        <v>28</v>
      </c>
      <c r="H6145" s="2" t="s">
        <v>20</v>
      </c>
      <c r="I6145" s="2" t="s">
        <v>12801</v>
      </c>
      <c r="J6145" s="3" t="str">
        <f>HYPERLINK("https://www.boe.es/gazeta/dias/1813/04/08/pdfs/GRE-1813-43.pdf#page=8","Abrir facsímil")</f>
        <v>Abrir facsímil</v>
      </c>
      <c r="K6145" s="3" t="s">
        <v>22</v>
      </c>
    </row>
    <row r="6146" spans="1:11" ht="42" customHeight="1">
      <c r="A6146" s="2" t="s">
        <v>12802</v>
      </c>
      <c r="B6146" s="2" t="s">
        <v>12802</v>
      </c>
      <c r="C6146" s="2" t="s">
        <v>16</v>
      </c>
      <c r="D6146" s="2" t="s">
        <v>17</v>
      </c>
      <c r="E6146" s="5">
        <v>-31539</v>
      </c>
      <c r="F6146" s="3" t="s">
        <v>1220</v>
      </c>
      <c r="G6146" s="3" t="s">
        <v>87</v>
      </c>
      <c r="H6146" s="2" t="s">
        <v>20</v>
      </c>
      <c r="I6146" s="2" t="s">
        <v>12803</v>
      </c>
      <c r="J6146" s="3" t="str">
        <f>HYPERLINK("https://www.boe.es/gazeta/dias/1813/08/24/pdfs/GRE-1813-108.pdf#page=7","Abrir facsímil")</f>
        <v>Abrir facsímil</v>
      </c>
      <c r="K6146" s="3" t="s">
        <v>22</v>
      </c>
    </row>
    <row r="6147" spans="1:11" ht="42" customHeight="1">
      <c r="A6147" s="2" t="s">
        <v>12804</v>
      </c>
      <c r="B6147" s="2" t="s">
        <v>12804</v>
      </c>
      <c r="C6147" s="2" t="s">
        <v>16</v>
      </c>
      <c r="D6147" s="2" t="s">
        <v>17</v>
      </c>
      <c r="E6147" s="5">
        <v>-31476</v>
      </c>
      <c r="F6147" s="3" t="s">
        <v>158</v>
      </c>
      <c r="G6147" s="3" t="s">
        <v>65</v>
      </c>
      <c r="H6147" s="2" t="s">
        <v>20</v>
      </c>
      <c r="I6147" s="2" t="s">
        <v>12805</v>
      </c>
      <c r="J6147" s="3" t="str">
        <f>HYPERLINK("https://www.boe.es/gazeta/dias/1813/10/26/pdfs/GMR-1813-64.pdf#page=1","Abrir facsímil")</f>
        <v>Abrir facsímil</v>
      </c>
      <c r="K6147" s="3" t="s">
        <v>22</v>
      </c>
    </row>
    <row r="6148" spans="1:11" ht="42" customHeight="1">
      <c r="A6148" s="2" t="s">
        <v>12806</v>
      </c>
      <c r="B6148" s="2" t="s">
        <v>12806</v>
      </c>
      <c r="C6148" s="2" t="s">
        <v>16</v>
      </c>
      <c r="D6148" s="2" t="s">
        <v>17</v>
      </c>
      <c r="E6148" s="5">
        <v>-31687</v>
      </c>
      <c r="F6148" s="3" t="s">
        <v>2723</v>
      </c>
      <c r="G6148" s="3" t="s">
        <v>54</v>
      </c>
      <c r="H6148" s="2" t="s">
        <v>20</v>
      </c>
      <c r="I6148" s="2" t="s">
        <v>12807</v>
      </c>
      <c r="J6148" s="3" t="str">
        <f>HYPERLINK("https://www.boe.es/gazeta/dias/1813/03/29/pdfs/GMD-1813-88.pdf#page=3","Abrir facsímil")</f>
        <v>Abrir facsímil</v>
      </c>
      <c r="K6148" s="3" t="s">
        <v>22</v>
      </c>
    </row>
    <row r="6149" spans="1:11" ht="42" customHeight="1">
      <c r="A6149" s="2" t="s">
        <v>12808</v>
      </c>
      <c r="B6149" s="2" t="s">
        <v>12809</v>
      </c>
      <c r="C6149" s="2" t="s">
        <v>25</v>
      </c>
      <c r="D6149" s="2" t="s">
        <v>26</v>
      </c>
      <c r="E6149" s="5">
        <v>-31745</v>
      </c>
      <c r="F6149" s="3" t="s">
        <v>445</v>
      </c>
      <c r="G6149" s="3" t="s">
        <v>28</v>
      </c>
      <c r="H6149" s="2" t="s">
        <v>20</v>
      </c>
      <c r="I6149" s="2" t="s">
        <v>12810</v>
      </c>
      <c r="J6149" s="3" t="str">
        <f>HYPERLINK("https://www.boe.es/gazeta/dias/1813/01/30/pdfs/GRE-1813-13.pdf#page=8","Abrir facsímil")</f>
        <v>Abrir facsímil</v>
      </c>
      <c r="K6149" s="3" t="s">
        <v>22</v>
      </c>
    </row>
    <row r="6150" spans="1:11" ht="42" customHeight="1">
      <c r="A6150" s="2" t="s">
        <v>12811</v>
      </c>
      <c r="B6150" s="2" t="s">
        <v>12812</v>
      </c>
      <c r="C6150" s="2" t="s">
        <v>34</v>
      </c>
      <c r="D6150" s="2" t="s">
        <v>35</v>
      </c>
      <c r="E6150" s="5">
        <v>-31709</v>
      </c>
      <c r="F6150" s="3" t="s">
        <v>36</v>
      </c>
      <c r="G6150" s="3" t="s">
        <v>303</v>
      </c>
      <c r="H6150" s="2" t="s">
        <v>20</v>
      </c>
      <c r="I6150" s="2" t="s">
        <v>12813</v>
      </c>
      <c r="J6150" s="3" t="str">
        <f>HYPERLINK("https://www.boe.es/gazeta/dias/1813/03/07/pdfs/GMD-1813-66.pdf#page=3","Abrir facsímil")</f>
        <v>Abrir facsímil</v>
      </c>
      <c r="K6150" s="3" t="s">
        <v>22</v>
      </c>
    </row>
    <row r="6151" spans="1:11" ht="42" customHeight="1">
      <c r="A6151" s="2" t="s">
        <v>12814</v>
      </c>
      <c r="B6151" s="2" t="s">
        <v>12815</v>
      </c>
      <c r="C6151" s="2" t="s">
        <v>34</v>
      </c>
      <c r="D6151" s="2" t="s">
        <v>35</v>
      </c>
      <c r="E6151" s="5">
        <v>-31709</v>
      </c>
      <c r="F6151" s="3" t="s">
        <v>36</v>
      </c>
      <c r="G6151" s="3" t="s">
        <v>19</v>
      </c>
      <c r="H6151" s="2" t="s">
        <v>20</v>
      </c>
      <c r="I6151" s="2" t="s">
        <v>12816</v>
      </c>
      <c r="J6151" s="3" t="str">
        <f>HYPERLINK("https://www.boe.es/gazeta/dias/1813/03/07/pdfs/GMD-1813-66.pdf#page=4","Abrir facsímil")</f>
        <v>Abrir facsímil</v>
      </c>
      <c r="K6151" s="3" t="s">
        <v>22</v>
      </c>
    </row>
    <row r="6152" spans="1:11" ht="42" customHeight="1">
      <c r="A6152" s="2" t="s">
        <v>12817</v>
      </c>
      <c r="B6152" s="2" t="s">
        <v>12817</v>
      </c>
      <c r="C6152" s="2" t="s">
        <v>16</v>
      </c>
      <c r="D6152" s="2" t="s">
        <v>17</v>
      </c>
      <c r="E6152" s="5">
        <v>-31465</v>
      </c>
      <c r="F6152" s="3" t="s">
        <v>2930</v>
      </c>
      <c r="G6152" s="3" t="s">
        <v>28</v>
      </c>
      <c r="H6152" s="2" t="s">
        <v>20</v>
      </c>
      <c r="I6152" s="2" t="s">
        <v>12818</v>
      </c>
      <c r="J6152" s="3" t="str">
        <f>HYPERLINK("https://www.boe.es/gazeta/dias/1813/11/06/pdfs/GRE-1813-145.pdf#page=8","Abrir facsímil")</f>
        <v>Abrir facsímil</v>
      </c>
      <c r="K6152" s="3" t="s">
        <v>22</v>
      </c>
    </row>
    <row r="6153" spans="1:11" ht="42" customHeight="1">
      <c r="A6153" s="2" t="s">
        <v>12819</v>
      </c>
      <c r="B6153" s="2" t="s">
        <v>12820</v>
      </c>
      <c r="C6153" s="2" t="s">
        <v>34</v>
      </c>
      <c r="D6153" s="2" t="s">
        <v>35</v>
      </c>
      <c r="E6153" s="5">
        <v>-31649</v>
      </c>
      <c r="F6153" s="3" t="s">
        <v>3961</v>
      </c>
      <c r="G6153" s="3" t="s">
        <v>54</v>
      </c>
      <c r="H6153" s="2" t="s">
        <v>20</v>
      </c>
      <c r="I6153" s="2" t="s">
        <v>12821</v>
      </c>
      <c r="J6153" s="3" t="str">
        <f>HYPERLINK("https://www.boe.es/gazeta/dias/1813/05/06/pdfs/GMD-1813-126.pdf#page=3","Abrir facsímil")</f>
        <v>Abrir facsímil</v>
      </c>
      <c r="K6153" s="3" t="s">
        <v>22</v>
      </c>
    </row>
    <row r="6154" spans="1:11" ht="42" customHeight="1">
      <c r="A6154" s="2" t="s">
        <v>12822</v>
      </c>
      <c r="B6154" s="2" t="s">
        <v>12823</v>
      </c>
      <c r="C6154" s="2" t="s">
        <v>34</v>
      </c>
      <c r="D6154" s="2" t="s">
        <v>35</v>
      </c>
      <c r="E6154" s="5">
        <v>-31658</v>
      </c>
      <c r="F6154" s="3" t="s">
        <v>1113</v>
      </c>
      <c r="G6154" s="3" t="s">
        <v>28</v>
      </c>
      <c r="H6154" s="2" t="s">
        <v>20</v>
      </c>
      <c r="I6154" s="2" t="s">
        <v>12824</v>
      </c>
      <c r="J6154" s="3" t="str">
        <f>HYPERLINK("https://www.boe.es/gazeta/dias/1813/04/27/pdfs/GRE-1813-52.pdf#page=8","Abrir facsímil")</f>
        <v>Abrir facsímil</v>
      </c>
      <c r="K6154" s="3" t="s">
        <v>22</v>
      </c>
    </row>
    <row r="6155" spans="1:11" ht="42" customHeight="1">
      <c r="A6155" s="2" t="s">
        <v>12825</v>
      </c>
      <c r="B6155" s="2" t="s">
        <v>12826</v>
      </c>
      <c r="C6155" s="2" t="s">
        <v>34</v>
      </c>
      <c r="D6155" s="2" t="s">
        <v>35</v>
      </c>
      <c r="E6155" s="5">
        <v>-31665</v>
      </c>
      <c r="F6155" s="3" t="s">
        <v>396</v>
      </c>
      <c r="G6155" s="3" t="s">
        <v>95</v>
      </c>
      <c r="H6155" s="2" t="s">
        <v>20</v>
      </c>
      <c r="I6155" s="2" t="s">
        <v>12827</v>
      </c>
      <c r="J6155" s="3" t="str">
        <f>HYPERLINK("https://www.boe.es/gazeta/dias/1813/04/20/pdfs/GRE-1813-49.pdf#page=6","Abrir facsímil")</f>
        <v>Abrir facsímil</v>
      </c>
      <c r="K6155" s="3" t="s">
        <v>22</v>
      </c>
    </row>
    <row r="6156" spans="1:11" ht="42" customHeight="1">
      <c r="A6156" s="2" t="s">
        <v>12828</v>
      </c>
      <c r="B6156" s="2" t="s">
        <v>12828</v>
      </c>
      <c r="C6156" s="2" t="s">
        <v>16</v>
      </c>
      <c r="D6156" s="2" t="s">
        <v>17</v>
      </c>
      <c r="E6156" s="5">
        <v>-31705</v>
      </c>
      <c r="F6156" s="3" t="s">
        <v>4455</v>
      </c>
      <c r="G6156" s="3" t="s">
        <v>65</v>
      </c>
      <c r="H6156" s="2" t="s">
        <v>20</v>
      </c>
      <c r="I6156" s="2" t="s">
        <v>12829</v>
      </c>
      <c r="J6156" s="3" t="str">
        <f>HYPERLINK("https://www.boe.es/gazeta/dias/1813/03/11/pdfs/GMD-1813-70.pdf#page=1","Abrir facsímil")</f>
        <v>Abrir facsímil</v>
      </c>
      <c r="K6156" s="3" t="s">
        <v>22</v>
      </c>
    </row>
    <row r="6157" spans="1:11" ht="42" customHeight="1">
      <c r="A6157" s="2" t="s">
        <v>12830</v>
      </c>
      <c r="B6157" s="2" t="s">
        <v>12830</v>
      </c>
      <c r="C6157" s="2" t="s">
        <v>16</v>
      </c>
      <c r="D6157" s="2" t="s">
        <v>17</v>
      </c>
      <c r="E6157" s="5">
        <v>-31446</v>
      </c>
      <c r="F6157" s="3" t="s">
        <v>1078</v>
      </c>
      <c r="G6157" s="3" t="s">
        <v>54</v>
      </c>
      <c r="H6157" s="2" t="s">
        <v>20</v>
      </c>
      <c r="I6157" s="2" t="s">
        <v>12831</v>
      </c>
      <c r="J6157" s="3" t="str">
        <f>HYPERLINK("https://www.boe.es/gazeta/dias/1813/11/25/pdfs/GRE-1813-154.pdf#page=3","Abrir facsímil")</f>
        <v>Abrir facsímil</v>
      </c>
      <c r="K6157" s="3" t="s">
        <v>22</v>
      </c>
    </row>
    <row r="6158" spans="1:11" ht="42" customHeight="1">
      <c r="A6158" s="2" t="s">
        <v>12832</v>
      </c>
      <c r="B6158" s="2" t="s">
        <v>12832</v>
      </c>
      <c r="C6158" s="2" t="s">
        <v>16</v>
      </c>
      <c r="D6158" s="2" t="s">
        <v>17</v>
      </c>
      <c r="E6158" s="5">
        <v>-31766</v>
      </c>
      <c r="F6158" s="3" t="s">
        <v>1356</v>
      </c>
      <c r="G6158" s="3" t="s">
        <v>1357</v>
      </c>
      <c r="H6158" s="2" t="s">
        <v>20</v>
      </c>
      <c r="I6158" s="2" t="s">
        <v>12833</v>
      </c>
      <c r="J6158" s="3" t="str">
        <f>HYPERLINK("https://www.boe.es/gazeta/dias/1813/01/09/pdfs/GRE-1813-4.pdf#page=3","Abrir facsímil")</f>
        <v>Abrir facsímil</v>
      </c>
      <c r="K6158" s="3" t="s">
        <v>22</v>
      </c>
    </row>
    <row r="6159" spans="1:11" ht="42" customHeight="1">
      <c r="A6159" s="2" t="s">
        <v>12834</v>
      </c>
      <c r="B6159" s="2" t="s">
        <v>12834</v>
      </c>
      <c r="C6159" s="2" t="s">
        <v>16</v>
      </c>
      <c r="D6159" s="2" t="s">
        <v>17</v>
      </c>
      <c r="E6159" s="5">
        <v>-31630</v>
      </c>
      <c r="F6159" s="3" t="s">
        <v>1324</v>
      </c>
      <c r="G6159" s="3" t="s">
        <v>3731</v>
      </c>
      <c r="H6159" s="2" t="s">
        <v>20</v>
      </c>
      <c r="I6159" s="2" t="s">
        <v>12835</v>
      </c>
      <c r="J6159" s="3" t="str">
        <f>HYPERLINK("https://www.boe.es/gazeta/dias/1813/05/25/pdfs/GRE-1813-64.pdf#page=7","Abrir facsímil")</f>
        <v>Abrir facsímil</v>
      </c>
      <c r="K6159" s="3" t="s">
        <v>22</v>
      </c>
    </row>
    <row r="6160" spans="1:11" ht="42" customHeight="1">
      <c r="A6160" s="2" t="s">
        <v>12836</v>
      </c>
      <c r="B6160" s="2" t="s">
        <v>12837</v>
      </c>
      <c r="C6160" s="2" t="s">
        <v>16</v>
      </c>
      <c r="D6160" s="2" t="s">
        <v>17</v>
      </c>
      <c r="E6160" s="5">
        <v>-31481</v>
      </c>
      <c r="F6160" s="3" t="s">
        <v>40</v>
      </c>
      <c r="G6160" s="3" t="s">
        <v>87</v>
      </c>
      <c r="H6160" s="2" t="s">
        <v>20</v>
      </c>
      <c r="I6160" s="2" t="s">
        <v>12838</v>
      </c>
      <c r="J6160" s="3" t="str">
        <f>HYPERLINK("https://www.boe.es/gazeta/dias/1813/10/21/pdfs/GMR-1813-62.pdf#page=7","Abrir facsímil")</f>
        <v>Abrir facsímil</v>
      </c>
      <c r="K6160" s="3" t="s">
        <v>22</v>
      </c>
    </row>
    <row r="6161" spans="1:11" ht="42" customHeight="1">
      <c r="A6161" s="2" t="s">
        <v>12836</v>
      </c>
      <c r="B6161" s="2" t="s">
        <v>12837</v>
      </c>
      <c r="C6161" s="2" t="s">
        <v>16</v>
      </c>
      <c r="D6161" s="2" t="s">
        <v>97</v>
      </c>
      <c r="E6161" s="5">
        <v>-31479</v>
      </c>
      <c r="F6161" s="3" t="s">
        <v>290</v>
      </c>
      <c r="G6161" s="3" t="s">
        <v>3006</v>
      </c>
      <c r="H6161" s="2" t="s">
        <v>20</v>
      </c>
      <c r="I6161" s="2" t="s">
        <v>12839</v>
      </c>
      <c r="J6161" s="3" t="str">
        <f>HYPERLINK("https://www.boe.es/gazeta/dias/1813/10/23/pdfs/GRE-1813-139E.pdf#page=15","Abrir facsímil")</f>
        <v>Abrir facsímil</v>
      </c>
      <c r="K6161" s="3" t="s">
        <v>22</v>
      </c>
    </row>
    <row r="6162" spans="1:11" ht="42" customHeight="1">
      <c r="A6162" s="2" t="s">
        <v>12840</v>
      </c>
      <c r="B6162" s="2" t="s">
        <v>12840</v>
      </c>
      <c r="C6162" s="2" t="s">
        <v>16</v>
      </c>
      <c r="D6162" s="2" t="s">
        <v>17</v>
      </c>
      <c r="E6162" s="5">
        <v>-31773</v>
      </c>
      <c r="F6162" s="3" t="s">
        <v>3667</v>
      </c>
      <c r="G6162" s="3" t="s">
        <v>58</v>
      </c>
      <c r="H6162" s="2" t="s">
        <v>20</v>
      </c>
      <c r="I6162" s="2" t="s">
        <v>12841</v>
      </c>
      <c r="J6162" s="3" t="str">
        <f>HYPERLINK("https://www.boe.es/gazeta/dias/1813/01/02/pdfs/GRE-1813-1.pdf#page=2","Abrir facsímil")</f>
        <v>Abrir facsímil</v>
      </c>
      <c r="K6162" s="3" t="s">
        <v>22</v>
      </c>
    </row>
    <row r="6163" spans="1:11" ht="42" customHeight="1">
      <c r="A6163" s="2" t="s">
        <v>12840</v>
      </c>
      <c r="B6163" s="2" t="s">
        <v>12840</v>
      </c>
      <c r="C6163" s="2" t="s">
        <v>16</v>
      </c>
      <c r="D6163" s="2" t="s">
        <v>17</v>
      </c>
      <c r="E6163" s="5">
        <v>-31752</v>
      </c>
      <c r="F6163" s="3" t="s">
        <v>182</v>
      </c>
      <c r="G6163" s="3" t="s">
        <v>553</v>
      </c>
      <c r="H6163" s="2" t="s">
        <v>20</v>
      </c>
      <c r="I6163" s="2" t="s">
        <v>12842</v>
      </c>
      <c r="J6163" s="3" t="str">
        <f>HYPERLINK("https://www.boe.es/gazeta/dias/1813/01/23/pdfs/GRE-1813-10.pdf#page=4","Abrir facsímil")</f>
        <v>Abrir facsímil</v>
      </c>
      <c r="K6163" s="3" t="s">
        <v>22</v>
      </c>
    </row>
    <row r="6164" spans="1:11" ht="42" customHeight="1">
      <c r="A6164" s="2" t="s">
        <v>12840</v>
      </c>
      <c r="B6164" s="2" t="s">
        <v>12840</v>
      </c>
      <c r="C6164" s="2" t="s">
        <v>16</v>
      </c>
      <c r="D6164" s="2" t="s">
        <v>17</v>
      </c>
      <c r="E6164" s="5">
        <v>-31728</v>
      </c>
      <c r="F6164" s="3" t="s">
        <v>1434</v>
      </c>
      <c r="G6164" s="3" t="s">
        <v>65</v>
      </c>
      <c r="H6164" s="2" t="s">
        <v>20</v>
      </c>
      <c r="I6164" s="2" t="s">
        <v>12843</v>
      </c>
      <c r="J6164" s="3" t="str">
        <f>HYPERLINK("https://www.boe.es/gazeta/dias/1813/02/16/pdfs/GRE-1813-20.pdf#page=1","Abrir facsímil")</f>
        <v>Abrir facsímil</v>
      </c>
      <c r="K6164" s="3" t="s">
        <v>22</v>
      </c>
    </row>
    <row r="6165" spans="1:11" ht="42" customHeight="1">
      <c r="A6165" s="2" t="s">
        <v>12844</v>
      </c>
      <c r="B6165" s="2" t="s">
        <v>12844</v>
      </c>
      <c r="C6165" s="2" t="s">
        <v>16</v>
      </c>
      <c r="D6165" s="2" t="s">
        <v>17</v>
      </c>
      <c r="E6165" s="5">
        <v>-31698</v>
      </c>
      <c r="F6165" s="3" t="s">
        <v>470</v>
      </c>
      <c r="G6165" s="3" t="s">
        <v>471</v>
      </c>
      <c r="H6165" s="2" t="s">
        <v>20</v>
      </c>
      <c r="I6165" s="2" t="s">
        <v>12845</v>
      </c>
      <c r="J6165" s="3" t="str">
        <f>HYPERLINK("https://www.boe.es/gazeta/dias/1813/03/18/pdfs/GRE-1813-34.pdf#page=7","Abrir facsímil")</f>
        <v>Abrir facsímil</v>
      </c>
      <c r="K6165" s="3" t="s">
        <v>22</v>
      </c>
    </row>
    <row r="6166" spans="1:11" ht="42" customHeight="1">
      <c r="A6166" s="2" t="s">
        <v>12840</v>
      </c>
      <c r="B6166" s="2" t="s">
        <v>12840</v>
      </c>
      <c r="C6166" s="2" t="s">
        <v>16</v>
      </c>
      <c r="D6166" s="2" t="s">
        <v>17</v>
      </c>
      <c r="E6166" s="5">
        <v>-31693</v>
      </c>
      <c r="F6166" s="3" t="s">
        <v>3950</v>
      </c>
      <c r="G6166" s="3" t="s">
        <v>58</v>
      </c>
      <c r="H6166" s="2" t="s">
        <v>20</v>
      </c>
      <c r="I6166" s="2" t="s">
        <v>12846</v>
      </c>
      <c r="J6166" s="3" t="str">
        <f>HYPERLINK("https://www.boe.es/gazeta/dias/1813/03/23/pdfs/GRE-1813-36.pdf#page=2","Abrir facsímil")</f>
        <v>Abrir facsímil</v>
      </c>
      <c r="K6166" s="3" t="s">
        <v>22</v>
      </c>
    </row>
    <row r="6167" spans="1:11" ht="42" customHeight="1">
      <c r="A6167" s="2" t="s">
        <v>12840</v>
      </c>
      <c r="B6167" s="2" t="s">
        <v>12840</v>
      </c>
      <c r="C6167" s="2" t="s">
        <v>16</v>
      </c>
      <c r="D6167" s="2" t="s">
        <v>17</v>
      </c>
      <c r="E6167" s="5">
        <v>-31642</v>
      </c>
      <c r="F6167" s="3" t="s">
        <v>582</v>
      </c>
      <c r="G6167" s="3" t="s">
        <v>58</v>
      </c>
      <c r="H6167" s="2" t="s">
        <v>20</v>
      </c>
      <c r="I6167" s="2" t="s">
        <v>12847</v>
      </c>
      <c r="J6167" s="3" t="str">
        <f>HYPERLINK("https://www.boe.es/gazeta/dias/1813/05/13/pdfs/GRE-1813-59.pdf#page=2","Abrir facsímil")</f>
        <v>Abrir facsímil</v>
      </c>
      <c r="K6167" s="3" t="s">
        <v>22</v>
      </c>
    </row>
    <row r="6168" spans="1:11" ht="42" customHeight="1">
      <c r="A6168" s="2" t="s">
        <v>12848</v>
      </c>
      <c r="B6168" s="2" t="s">
        <v>12849</v>
      </c>
      <c r="C6168" s="2" t="s">
        <v>25</v>
      </c>
      <c r="D6168" s="2" t="s">
        <v>26</v>
      </c>
      <c r="E6168" s="5">
        <v>-31686</v>
      </c>
      <c r="F6168" s="3" t="s">
        <v>372</v>
      </c>
      <c r="G6168" s="3" t="s">
        <v>65</v>
      </c>
      <c r="H6168" s="2" t="s">
        <v>20</v>
      </c>
      <c r="I6168" s="2" t="s">
        <v>12850</v>
      </c>
      <c r="J6168" s="3" t="str">
        <f>HYPERLINK("https://www.boe.es/gazeta/dias/1813/03/30/pdfs/GRE-1813-39.pdf#page=1","Abrir facsímil")</f>
        <v>Abrir facsímil</v>
      </c>
      <c r="K6168" s="3" t="s">
        <v>22</v>
      </c>
    </row>
    <row r="6169" spans="1:11" ht="42" customHeight="1">
      <c r="A6169" s="2" t="s">
        <v>12851</v>
      </c>
      <c r="B6169" s="2" t="s">
        <v>12851</v>
      </c>
      <c r="C6169" s="2" t="s">
        <v>16</v>
      </c>
      <c r="D6169" s="2" t="s">
        <v>17</v>
      </c>
      <c r="E6169" s="5">
        <v>-31467</v>
      </c>
      <c r="F6169" s="3" t="s">
        <v>1464</v>
      </c>
      <c r="G6169" s="3" t="s">
        <v>11885</v>
      </c>
      <c r="H6169" s="2" t="s">
        <v>20</v>
      </c>
      <c r="I6169" s="2" t="s">
        <v>12852</v>
      </c>
      <c r="J6169" s="3" t="str">
        <f>HYPERLINK("https://www.boe.es/gazeta/dias/1813/11/04/pdfs/GRE-1813-144.pdf#page=2","Abrir facsímil")</f>
        <v>Abrir facsímil</v>
      </c>
      <c r="K6169" s="3" t="s">
        <v>22</v>
      </c>
    </row>
    <row r="6170" spans="1:11" ht="42" customHeight="1">
      <c r="A6170" s="2" t="s">
        <v>12853</v>
      </c>
      <c r="B6170" s="2" t="s">
        <v>12854</v>
      </c>
      <c r="C6170" s="2" t="s">
        <v>16</v>
      </c>
      <c r="D6170" s="2" t="s">
        <v>17</v>
      </c>
      <c r="E6170" s="5">
        <v>-31467</v>
      </c>
      <c r="F6170" s="3" t="s">
        <v>1464</v>
      </c>
      <c r="G6170" s="3" t="s">
        <v>11885</v>
      </c>
      <c r="H6170" s="2" t="s">
        <v>20</v>
      </c>
      <c r="I6170" s="2" t="s">
        <v>12855</v>
      </c>
      <c r="J6170" s="3" t="str">
        <f>HYPERLINK("https://www.boe.es/gazeta/dias/1813/11/04/pdfs/GRE-1813-144.pdf#page=2","Abrir facsímil")</f>
        <v>Abrir facsímil</v>
      </c>
      <c r="K6170" s="3" t="s">
        <v>22</v>
      </c>
    </row>
    <row r="6171" spans="1:11" ht="42" customHeight="1">
      <c r="A6171" s="2" t="s">
        <v>12856</v>
      </c>
      <c r="B6171" s="2" t="s">
        <v>12856</v>
      </c>
      <c r="C6171" s="2" t="s">
        <v>16</v>
      </c>
      <c r="D6171" s="2" t="s">
        <v>17</v>
      </c>
      <c r="E6171" s="5">
        <v>-31493</v>
      </c>
      <c r="F6171" s="3" t="s">
        <v>1097</v>
      </c>
      <c r="G6171" s="3" t="s">
        <v>11256</v>
      </c>
      <c r="H6171" s="2" t="s">
        <v>20</v>
      </c>
      <c r="I6171" s="2" t="s">
        <v>12857</v>
      </c>
      <c r="J6171" s="3" t="str">
        <f>HYPERLINK("https://www.boe.es/gazeta/dias/1813/10/09/pdfs/GMR-1813-56.pdf#page=6","Abrir facsímil")</f>
        <v>Abrir facsímil</v>
      </c>
      <c r="K6171" s="3" t="s">
        <v>22</v>
      </c>
    </row>
    <row r="6172" spans="1:11" ht="42" customHeight="1">
      <c r="A6172" s="2" t="s">
        <v>12858</v>
      </c>
      <c r="B6172" s="2" t="s">
        <v>12858</v>
      </c>
      <c r="C6172" s="2" t="s">
        <v>16</v>
      </c>
      <c r="D6172" s="2" t="s">
        <v>17</v>
      </c>
      <c r="E6172" s="5">
        <v>-31747</v>
      </c>
      <c r="F6172" s="3" t="s">
        <v>86</v>
      </c>
      <c r="G6172" s="3" t="s">
        <v>8122</v>
      </c>
      <c r="H6172" s="2" t="s">
        <v>20</v>
      </c>
      <c r="I6172" s="2" t="s">
        <v>12859</v>
      </c>
      <c r="J6172" s="3" t="str">
        <f>HYPERLINK("https://www.boe.es/gazeta/dias/1813/01/28/pdfs/GRE-1813-12.pdf#page=5","Abrir facsímil")</f>
        <v>Abrir facsímil</v>
      </c>
      <c r="K6172" s="3" t="s">
        <v>22</v>
      </c>
    </row>
    <row r="6173" spans="1:11" ht="42" customHeight="1">
      <c r="A6173" s="2" t="s">
        <v>12858</v>
      </c>
      <c r="B6173" s="2" t="s">
        <v>12858</v>
      </c>
      <c r="C6173" s="2" t="s">
        <v>16</v>
      </c>
      <c r="D6173" s="2" t="s">
        <v>17</v>
      </c>
      <c r="E6173" s="5">
        <v>-31747</v>
      </c>
      <c r="F6173" s="3" t="s">
        <v>86</v>
      </c>
      <c r="G6173" s="3" t="s">
        <v>3232</v>
      </c>
      <c r="H6173" s="2" t="s">
        <v>20</v>
      </c>
      <c r="I6173" s="2" t="s">
        <v>12860</v>
      </c>
      <c r="J6173" s="3" t="str">
        <f>HYPERLINK("https://www.boe.es/gazeta/dias/1813/01/28/pdfs/GRE-1813-12.pdf#page=6","Abrir facsímil")</f>
        <v>Abrir facsímil</v>
      </c>
      <c r="K6173" s="3" t="s">
        <v>22</v>
      </c>
    </row>
    <row r="6174" spans="1:11" ht="42" customHeight="1">
      <c r="A6174" s="2" t="s">
        <v>12861</v>
      </c>
      <c r="B6174" s="2" t="s">
        <v>12862</v>
      </c>
      <c r="C6174" s="2" t="s">
        <v>16</v>
      </c>
      <c r="D6174" s="2" t="s">
        <v>97</v>
      </c>
      <c r="E6174" s="5">
        <v>-31548</v>
      </c>
      <c r="F6174" s="3" t="s">
        <v>1680</v>
      </c>
      <c r="G6174" s="3" t="s">
        <v>82</v>
      </c>
      <c r="H6174" s="2" t="s">
        <v>20</v>
      </c>
      <c r="I6174" s="2" t="s">
        <v>12863</v>
      </c>
      <c r="J6174" s="3" t="str">
        <f>HYPERLINK("https://www.boe.es/gazeta/dias/1813/08/15/pdfs/GRE-1813-104E.pdf#page=5","Abrir facsímil")</f>
        <v>Abrir facsímil</v>
      </c>
      <c r="K6174" s="3" t="s">
        <v>22</v>
      </c>
    </row>
    <row r="6175" spans="1:11" ht="42" customHeight="1">
      <c r="A6175" s="2" t="s">
        <v>12864</v>
      </c>
      <c r="B6175" s="2" t="s">
        <v>12864</v>
      </c>
      <c r="C6175" s="2" t="s">
        <v>16</v>
      </c>
      <c r="D6175" s="2" t="s">
        <v>17</v>
      </c>
      <c r="E6175" s="5">
        <v>-31551</v>
      </c>
      <c r="F6175" s="3" t="s">
        <v>954</v>
      </c>
      <c r="G6175" s="3" t="s">
        <v>95</v>
      </c>
      <c r="H6175" s="2" t="s">
        <v>20</v>
      </c>
      <c r="I6175" s="2" t="s">
        <v>12865</v>
      </c>
      <c r="J6175" s="3" t="str">
        <f>HYPERLINK("https://www.boe.es/gazeta/dias/1813/08/12/pdfs/GMR-1813-27.pdf#page=6","Abrir facsímil")</f>
        <v>Abrir facsímil</v>
      </c>
      <c r="K6175" s="3" t="s">
        <v>22</v>
      </c>
    </row>
    <row r="6176" spans="1:11" ht="42" customHeight="1">
      <c r="A6176" s="2" t="s">
        <v>12864</v>
      </c>
      <c r="B6176" s="2" t="s">
        <v>12864</v>
      </c>
      <c r="C6176" s="2" t="s">
        <v>16</v>
      </c>
      <c r="D6176" s="2" t="s">
        <v>17</v>
      </c>
      <c r="E6176" s="5">
        <v>-31525</v>
      </c>
      <c r="F6176" s="3" t="s">
        <v>1131</v>
      </c>
      <c r="G6176" s="3" t="s">
        <v>19</v>
      </c>
      <c r="H6176" s="2" t="s">
        <v>20</v>
      </c>
      <c r="I6176" s="2" t="s">
        <v>12866</v>
      </c>
      <c r="J6176" s="3" t="str">
        <f>HYPERLINK("https://www.boe.es/gazeta/dias/1813/09/07/pdfs/GRE-1813-114.pdf#page=4","Abrir facsímil")</f>
        <v>Abrir facsímil</v>
      </c>
      <c r="K6176" s="3" t="s">
        <v>22</v>
      </c>
    </row>
    <row r="6177" spans="1:11" ht="42" customHeight="1">
      <c r="A6177" s="2" t="s">
        <v>12867</v>
      </c>
      <c r="B6177" s="2" t="s">
        <v>12868</v>
      </c>
      <c r="C6177" s="2" t="s">
        <v>16</v>
      </c>
      <c r="D6177" s="2" t="s">
        <v>97</v>
      </c>
      <c r="E6177" s="5">
        <v>-31548</v>
      </c>
      <c r="F6177" s="3" t="s">
        <v>1680</v>
      </c>
      <c r="G6177" s="3" t="s">
        <v>95</v>
      </c>
      <c r="H6177" s="2" t="s">
        <v>29</v>
      </c>
      <c r="I6177" s="2" t="s">
        <v>12869</v>
      </c>
      <c r="J6177" s="3" t="str">
        <f>HYPERLINK("https://www.boe.es/gazeta/dias/1813/08/15/pdfs/GRE-1813-104E.pdf#page=6","Abrir facsímil")</f>
        <v>Abrir facsímil</v>
      </c>
      <c r="K6177" s="3" t="s">
        <v>31</v>
      </c>
    </row>
    <row r="6178" spans="1:11" ht="42" customHeight="1">
      <c r="A6178" s="2" t="s">
        <v>12870</v>
      </c>
      <c r="B6178" s="2" t="s">
        <v>12871</v>
      </c>
      <c r="C6178" s="2" t="s">
        <v>16</v>
      </c>
      <c r="D6178" s="2" t="s">
        <v>17</v>
      </c>
      <c r="E6178" s="5">
        <v>-31592</v>
      </c>
      <c r="F6178" s="3" t="s">
        <v>175</v>
      </c>
      <c r="G6178" s="3" t="s">
        <v>58</v>
      </c>
      <c r="H6178" s="2" t="s">
        <v>20</v>
      </c>
      <c r="I6178" s="2" t="s">
        <v>12872</v>
      </c>
      <c r="J6178" s="3" t="str">
        <f>HYPERLINK("https://www.boe.es/gazeta/dias/1813/07/02/pdfs/GRE-1813-82.pdf#page=2","Abrir facsímil")</f>
        <v>Abrir facsímil</v>
      </c>
      <c r="K6178" s="3" t="s">
        <v>22</v>
      </c>
    </row>
    <row r="6179" spans="1:11" ht="42" customHeight="1">
      <c r="A6179" s="2" t="s">
        <v>12873</v>
      </c>
      <c r="B6179" s="2" t="s">
        <v>12873</v>
      </c>
      <c r="C6179" s="2" t="s">
        <v>16</v>
      </c>
      <c r="D6179" s="2" t="s">
        <v>17</v>
      </c>
      <c r="E6179" s="5">
        <v>-31544</v>
      </c>
      <c r="F6179" s="3" t="s">
        <v>200</v>
      </c>
      <c r="G6179" s="3" t="s">
        <v>58</v>
      </c>
      <c r="H6179" s="2" t="s">
        <v>20</v>
      </c>
      <c r="I6179" s="2" t="s">
        <v>12874</v>
      </c>
      <c r="J6179" s="3" t="str">
        <f>HYPERLINK("https://www.boe.es/gazeta/dias/1813/08/19/pdfs/GRE-1813-106.pdf#page=2","Abrir facsímil")</f>
        <v>Abrir facsímil</v>
      </c>
      <c r="K6179" s="3" t="s">
        <v>22</v>
      </c>
    </row>
    <row r="6180" spans="1:11" ht="42" customHeight="1">
      <c r="A6180" s="2" t="s">
        <v>12875</v>
      </c>
      <c r="B6180" s="2" t="s">
        <v>12876</v>
      </c>
      <c r="C6180" s="2" t="s">
        <v>16</v>
      </c>
      <c r="D6180" s="2" t="s">
        <v>17</v>
      </c>
      <c r="E6180" s="5">
        <v>-31700</v>
      </c>
      <c r="F6180" s="3" t="s">
        <v>226</v>
      </c>
      <c r="G6180" s="3" t="s">
        <v>87</v>
      </c>
      <c r="H6180" s="2" t="s">
        <v>20</v>
      </c>
      <c r="I6180" s="2" t="s">
        <v>12877</v>
      </c>
      <c r="J6180" s="3" t="str">
        <f>HYPERLINK("https://www.boe.es/gazeta/dias/1813/03/16/pdfs/GRE-1813-33.pdf#page=7","Abrir facsímil")</f>
        <v>Abrir facsímil</v>
      </c>
      <c r="K6180" s="3" t="s">
        <v>22</v>
      </c>
    </row>
    <row r="6181" spans="1:11" ht="42" customHeight="1">
      <c r="A6181" s="2" t="s">
        <v>12878</v>
      </c>
      <c r="B6181" s="2" t="s">
        <v>12878</v>
      </c>
      <c r="C6181" s="2" t="s">
        <v>16</v>
      </c>
      <c r="D6181" s="2" t="s">
        <v>17</v>
      </c>
      <c r="E6181" s="5">
        <v>-31525</v>
      </c>
      <c r="F6181" s="3" t="s">
        <v>1131</v>
      </c>
      <c r="G6181" s="3" t="s">
        <v>19</v>
      </c>
      <c r="H6181" s="2" t="s">
        <v>20</v>
      </c>
      <c r="I6181" s="2" t="s">
        <v>12879</v>
      </c>
      <c r="J6181" s="3" t="str">
        <f>HYPERLINK("https://www.boe.es/gazeta/dias/1813/09/07/pdfs/GRE-1813-114.pdf#page=4","Abrir facsímil")</f>
        <v>Abrir facsímil</v>
      </c>
      <c r="K6181" s="3" t="s">
        <v>22</v>
      </c>
    </row>
    <row r="6182" spans="1:11" ht="42" customHeight="1">
      <c r="A6182" s="2" t="s">
        <v>12880</v>
      </c>
      <c r="B6182" s="2" t="s">
        <v>12880</v>
      </c>
      <c r="C6182" s="2" t="s">
        <v>16</v>
      </c>
      <c r="D6182" s="2" t="s">
        <v>17</v>
      </c>
      <c r="E6182" s="5">
        <v>-31523</v>
      </c>
      <c r="F6182" s="3" t="s">
        <v>81</v>
      </c>
      <c r="G6182" s="3" t="s">
        <v>95</v>
      </c>
      <c r="H6182" s="2" t="s">
        <v>20</v>
      </c>
      <c r="I6182" s="2" t="s">
        <v>12881</v>
      </c>
      <c r="J6182" s="3" t="str">
        <f>HYPERLINK("https://www.boe.es/gazeta/dias/1813/09/09/pdfs/GRE-1813-115.pdf#page=6","Abrir facsímil")</f>
        <v>Abrir facsímil</v>
      </c>
      <c r="K6182" s="3" t="s">
        <v>22</v>
      </c>
    </row>
    <row r="6183" spans="1:11" ht="42" customHeight="1">
      <c r="A6183" s="2" t="s">
        <v>12882</v>
      </c>
      <c r="B6183" s="2" t="s">
        <v>12883</v>
      </c>
      <c r="C6183" s="2" t="s">
        <v>187</v>
      </c>
      <c r="D6183" s="2" t="s">
        <v>26</v>
      </c>
      <c r="E6183" s="5">
        <v>-31564</v>
      </c>
      <c r="F6183" s="3" t="s">
        <v>206</v>
      </c>
      <c r="G6183" s="3" t="s">
        <v>258</v>
      </c>
      <c r="H6183" s="2" t="s">
        <v>20</v>
      </c>
      <c r="I6183" s="2" t="s">
        <v>12884</v>
      </c>
      <c r="J6183" s="3" t="str">
        <f>HYPERLINK("https://www.boe.es/gazeta/dias/1813/07/30/pdfs/GMR-1813-22.pdf#page=12","Abrir facsímil")</f>
        <v>Abrir facsímil</v>
      </c>
      <c r="K6183" s="3" t="s">
        <v>22</v>
      </c>
    </row>
    <row r="6184" spans="1:11" ht="42" customHeight="1">
      <c r="A6184" s="2" t="s">
        <v>12885</v>
      </c>
      <c r="B6184" s="2" t="s">
        <v>12886</v>
      </c>
      <c r="C6184" s="2" t="s">
        <v>34</v>
      </c>
      <c r="D6184" s="2" t="s">
        <v>35</v>
      </c>
      <c r="E6184" s="5">
        <v>-31558</v>
      </c>
      <c r="F6184" s="3" t="s">
        <v>1288</v>
      </c>
      <c r="G6184" s="3" t="s">
        <v>28</v>
      </c>
      <c r="H6184" s="2" t="s">
        <v>20</v>
      </c>
      <c r="I6184" s="2" t="s">
        <v>12887</v>
      </c>
      <c r="J6184" s="3" t="str">
        <f>HYPERLINK("https://www.boe.es/gazeta/dias/1813/08/05/pdfs/GMR-1813-24.pdf#page=8","Abrir facsímil")</f>
        <v>Abrir facsímil</v>
      </c>
      <c r="K6184" s="3" t="s">
        <v>22</v>
      </c>
    </row>
    <row r="6185" spans="1:11" ht="42" customHeight="1">
      <c r="A6185" s="2" t="s">
        <v>12888</v>
      </c>
      <c r="B6185" s="2" t="s">
        <v>12889</v>
      </c>
      <c r="C6185" s="2" t="s">
        <v>16</v>
      </c>
      <c r="D6185" s="2" t="s">
        <v>17</v>
      </c>
      <c r="E6185" s="5">
        <v>-31663</v>
      </c>
      <c r="F6185" s="3" t="s">
        <v>2638</v>
      </c>
      <c r="G6185" s="3" t="s">
        <v>7597</v>
      </c>
      <c r="H6185" s="2" t="s">
        <v>20</v>
      </c>
      <c r="I6185" s="2" t="s">
        <v>12890</v>
      </c>
      <c r="J6185" s="3" t="str">
        <f>HYPERLINK("https://www.boe.es/gazeta/dias/1813/04/22/pdfs/GRE-1813-50.pdf#page=8","Abrir facsímil")</f>
        <v>Abrir facsímil</v>
      </c>
      <c r="K6185" s="3" t="s">
        <v>22</v>
      </c>
    </row>
    <row r="6186" spans="1:11" ht="42" customHeight="1">
      <c r="A6186" s="2" t="s">
        <v>12891</v>
      </c>
      <c r="B6186" s="2" t="s">
        <v>12892</v>
      </c>
      <c r="C6186" s="2" t="s">
        <v>16</v>
      </c>
      <c r="D6186" s="2" t="s">
        <v>17</v>
      </c>
      <c r="E6186" s="5">
        <v>-31567</v>
      </c>
      <c r="F6186" s="3" t="s">
        <v>820</v>
      </c>
      <c r="G6186" s="3" t="s">
        <v>747</v>
      </c>
      <c r="H6186" s="2" t="s">
        <v>20</v>
      </c>
      <c r="I6186" s="2" t="s">
        <v>12893</v>
      </c>
      <c r="J6186" s="3" t="str">
        <f>HYPERLINK("https://www.boe.es/gazeta/dias/1813/07/27/pdfs/GMR-1813-21.pdf#page=10","Abrir facsímil")</f>
        <v>Abrir facsímil</v>
      </c>
      <c r="K6186" s="3" t="s">
        <v>22</v>
      </c>
    </row>
    <row r="6187" spans="1:11" ht="42" customHeight="1">
      <c r="A6187" s="2" t="s">
        <v>12894</v>
      </c>
      <c r="B6187" s="2" t="s">
        <v>12894</v>
      </c>
      <c r="C6187" s="2" t="s">
        <v>16</v>
      </c>
      <c r="D6187" s="2" t="s">
        <v>17</v>
      </c>
      <c r="E6187" s="5">
        <v>-31476</v>
      </c>
      <c r="F6187" s="3" t="s">
        <v>158</v>
      </c>
      <c r="G6187" s="3" t="s">
        <v>65</v>
      </c>
      <c r="H6187" s="2" t="s">
        <v>20</v>
      </c>
      <c r="I6187" s="2" t="s">
        <v>12895</v>
      </c>
      <c r="J6187" s="3" t="str">
        <f>HYPERLINK("https://www.boe.es/gazeta/dias/1813/10/26/pdfs/GMR-1813-64.pdf#page=1","Abrir facsímil")</f>
        <v>Abrir facsímil</v>
      </c>
      <c r="K6187" s="3" t="s">
        <v>22</v>
      </c>
    </row>
    <row r="6188" spans="1:11" ht="42" customHeight="1">
      <c r="A6188" s="2" t="s">
        <v>12896</v>
      </c>
      <c r="B6188" s="2" t="s">
        <v>12896</v>
      </c>
      <c r="C6188" s="2" t="s">
        <v>16</v>
      </c>
      <c r="D6188" s="2" t="s">
        <v>17</v>
      </c>
      <c r="E6188" s="5">
        <v>-31684</v>
      </c>
      <c r="F6188" s="3" t="s">
        <v>427</v>
      </c>
      <c r="G6188" s="3" t="s">
        <v>3023</v>
      </c>
      <c r="H6188" s="2" t="s">
        <v>20</v>
      </c>
      <c r="I6188" s="2" t="s">
        <v>12897</v>
      </c>
      <c r="J6188" s="3" t="str">
        <f>HYPERLINK("https://www.boe.es/gazeta/dias/1813/04/01/pdfs/GRE-1813-40.pdf#page=5","Abrir facsímil")</f>
        <v>Abrir facsímil</v>
      </c>
      <c r="K6188" s="3" t="s">
        <v>22</v>
      </c>
    </row>
    <row r="6189" spans="1:11" ht="42" customHeight="1">
      <c r="A6189" s="2" t="s">
        <v>12898</v>
      </c>
      <c r="B6189" s="2" t="s">
        <v>12899</v>
      </c>
      <c r="C6189" s="2" t="s">
        <v>16</v>
      </c>
      <c r="D6189" s="2" t="s">
        <v>17</v>
      </c>
      <c r="E6189" s="5">
        <v>-31709</v>
      </c>
      <c r="F6189" s="3" t="s">
        <v>36</v>
      </c>
      <c r="G6189" s="3" t="s">
        <v>58</v>
      </c>
      <c r="H6189" s="2" t="s">
        <v>20</v>
      </c>
      <c r="I6189" s="2" t="s">
        <v>12900</v>
      </c>
      <c r="J6189" s="3" t="str">
        <f>HYPERLINK("https://www.boe.es/gazeta/dias/1813/03/07/pdfs/GMD-1813-66.pdf#page=2","Abrir facsímil")</f>
        <v>Abrir facsímil</v>
      </c>
      <c r="K6189" s="3" t="s">
        <v>22</v>
      </c>
    </row>
    <row r="6190" spans="1:11" ht="42" customHeight="1">
      <c r="A6190" s="2" t="s">
        <v>12901</v>
      </c>
      <c r="B6190" s="2" t="s">
        <v>12902</v>
      </c>
      <c r="C6190" s="2" t="s">
        <v>16</v>
      </c>
      <c r="D6190" s="2" t="s">
        <v>17</v>
      </c>
      <c r="E6190" s="5">
        <v>-31623</v>
      </c>
      <c r="F6190" s="3" t="s">
        <v>267</v>
      </c>
      <c r="G6190" s="3" t="s">
        <v>270</v>
      </c>
      <c r="H6190" s="2" t="s">
        <v>20</v>
      </c>
      <c r="I6190" s="2" t="s">
        <v>12903</v>
      </c>
      <c r="J6190" s="3" t="str">
        <f>HYPERLINK("https://www.boe.es/gazeta/dias/1813/06/01/pdfs/GRE-1813-67.pdf#page=5","Abrir facsímil")</f>
        <v>Abrir facsímil</v>
      </c>
      <c r="K6190" s="3" t="s">
        <v>22</v>
      </c>
    </row>
    <row r="6191" spans="1:11" ht="42" customHeight="1">
      <c r="A6191" s="2" t="s">
        <v>12904</v>
      </c>
      <c r="B6191" s="2" t="s">
        <v>12905</v>
      </c>
      <c r="C6191" s="2" t="s">
        <v>34</v>
      </c>
      <c r="D6191" s="2" t="s">
        <v>35</v>
      </c>
      <c r="E6191" s="5">
        <v>-31694</v>
      </c>
      <c r="F6191" s="3" t="s">
        <v>2756</v>
      </c>
      <c r="G6191" s="3" t="s">
        <v>19</v>
      </c>
      <c r="H6191" s="2" t="s">
        <v>20</v>
      </c>
      <c r="I6191" s="2" t="s">
        <v>12906</v>
      </c>
      <c r="J6191" s="3" t="str">
        <f>HYPERLINK("https://www.boe.es/gazeta/dias/1813/03/22/pdfs/GMD-1813-81.pdf#page=4","Abrir facsímil")</f>
        <v>Abrir facsímil</v>
      </c>
      <c r="K6191" s="3" t="s">
        <v>22</v>
      </c>
    </row>
    <row r="6192" spans="1:11" ht="42" customHeight="1">
      <c r="A6192" s="2" t="s">
        <v>12907</v>
      </c>
      <c r="B6192" s="2" t="s">
        <v>12907</v>
      </c>
      <c r="C6192" s="2" t="s">
        <v>16</v>
      </c>
      <c r="D6192" s="2" t="s">
        <v>17</v>
      </c>
      <c r="E6192" s="5">
        <v>-31448</v>
      </c>
      <c r="F6192" s="3" t="s">
        <v>57</v>
      </c>
      <c r="G6192" s="3" t="s">
        <v>58</v>
      </c>
      <c r="H6192" s="2" t="s">
        <v>20</v>
      </c>
      <c r="I6192" s="2" t="s">
        <v>12908</v>
      </c>
      <c r="J6192" s="3" t="str">
        <f>HYPERLINK("https://www.boe.es/gazeta/dias/1813/11/23/pdfs/GRE-1813-153.pdf#page=2","Abrir facsímil")</f>
        <v>Abrir facsímil</v>
      </c>
      <c r="K6192" s="3" t="s">
        <v>22</v>
      </c>
    </row>
    <row r="6193" spans="1:11" ht="42" customHeight="1">
      <c r="A6193" s="2" t="s">
        <v>12909</v>
      </c>
      <c r="B6193" s="2" t="s">
        <v>12910</v>
      </c>
      <c r="C6193" s="2" t="s">
        <v>25</v>
      </c>
      <c r="D6193" s="2" t="s">
        <v>26</v>
      </c>
      <c r="E6193" s="5">
        <v>-31749</v>
      </c>
      <c r="F6193" s="3" t="s">
        <v>1515</v>
      </c>
      <c r="G6193" s="3" t="s">
        <v>12911</v>
      </c>
      <c r="H6193" s="2" t="s">
        <v>20</v>
      </c>
      <c r="I6193" s="2" t="s">
        <v>12912</v>
      </c>
      <c r="J6193" s="3" t="str">
        <f>HYPERLINK("https://www.boe.es/gazeta/dias/1813/01/26/pdfs/GRE-1813-11.pdf#page=8","Abrir facsímil")</f>
        <v>Abrir facsímil</v>
      </c>
      <c r="K6193" s="3" t="s">
        <v>22</v>
      </c>
    </row>
    <row r="6194" spans="1:11" ht="42" customHeight="1">
      <c r="A6194" s="2" t="s">
        <v>12913</v>
      </c>
      <c r="B6194" s="2" t="s">
        <v>12914</v>
      </c>
      <c r="C6194" s="2" t="s">
        <v>16</v>
      </c>
      <c r="D6194" s="2" t="s">
        <v>17</v>
      </c>
      <c r="E6194" s="5">
        <v>-31581</v>
      </c>
      <c r="F6194" s="3" t="s">
        <v>3599</v>
      </c>
      <c r="G6194" s="3" t="s">
        <v>28</v>
      </c>
      <c r="H6194" s="2" t="s">
        <v>29</v>
      </c>
      <c r="I6194" s="2" t="s">
        <v>12915</v>
      </c>
      <c r="J6194" s="3" t="str">
        <f>HYPERLINK("https://www.boe.es/gazeta/dias/1813/07/13/pdfs/GRE-1813-88.pdf#page=8","Abrir facsímil")</f>
        <v>Abrir facsímil</v>
      </c>
      <c r="K6194" s="3" t="s">
        <v>31</v>
      </c>
    </row>
    <row r="6195" spans="1:11" ht="42" customHeight="1">
      <c r="A6195" s="2" t="s">
        <v>12916</v>
      </c>
      <c r="B6195" s="2" t="s">
        <v>12916</v>
      </c>
      <c r="C6195" s="2" t="s">
        <v>16</v>
      </c>
      <c r="D6195" s="2" t="s">
        <v>17</v>
      </c>
      <c r="E6195" s="5">
        <v>-31752</v>
      </c>
      <c r="F6195" s="3" t="s">
        <v>182</v>
      </c>
      <c r="G6195" s="3" t="s">
        <v>58</v>
      </c>
      <c r="H6195" s="2" t="s">
        <v>20</v>
      </c>
      <c r="I6195" s="2" t="s">
        <v>12917</v>
      </c>
      <c r="J6195" s="3" t="str">
        <f>HYPERLINK("https://www.boe.es/gazeta/dias/1813/01/23/pdfs/GRE-1813-10.pdf#page=2","Abrir facsímil")</f>
        <v>Abrir facsímil</v>
      </c>
      <c r="K6195" s="3" t="s">
        <v>22</v>
      </c>
    </row>
    <row r="6196" spans="1:11" ht="42" customHeight="1">
      <c r="A6196" s="2" t="s">
        <v>12918</v>
      </c>
      <c r="B6196" s="2" t="s">
        <v>12919</v>
      </c>
      <c r="C6196" s="2" t="s">
        <v>16</v>
      </c>
      <c r="D6196" s="2" t="s">
        <v>17</v>
      </c>
      <c r="E6196" s="5">
        <v>-31551</v>
      </c>
      <c r="F6196" s="3" t="s">
        <v>4349</v>
      </c>
      <c r="G6196" s="3" t="s">
        <v>82</v>
      </c>
      <c r="H6196" s="2" t="s">
        <v>20</v>
      </c>
      <c r="I6196" s="2" t="s">
        <v>12920</v>
      </c>
      <c r="J6196" s="3" t="str">
        <f>HYPERLINK("https://www.boe.es/gazeta/dias/1813/08/12/pdfs/GRE-1813-102.pdf#page=5","Abrir facsímil")</f>
        <v>Abrir facsímil</v>
      </c>
      <c r="K6196" s="3" t="s">
        <v>22</v>
      </c>
    </row>
    <row r="6197" spans="1:11" ht="42" customHeight="1">
      <c r="A6197" s="2" t="s">
        <v>12921</v>
      </c>
      <c r="B6197" s="2" t="s">
        <v>12921</v>
      </c>
      <c r="C6197" s="2" t="s">
        <v>16</v>
      </c>
      <c r="D6197" s="2" t="s">
        <v>17</v>
      </c>
      <c r="E6197" s="5">
        <v>-31698</v>
      </c>
      <c r="F6197" s="3" t="s">
        <v>470</v>
      </c>
      <c r="G6197" s="3" t="s">
        <v>4979</v>
      </c>
      <c r="H6197" s="2" t="s">
        <v>20</v>
      </c>
      <c r="I6197" s="2" t="s">
        <v>12922</v>
      </c>
      <c r="J6197" s="3" t="str">
        <f>HYPERLINK("https://www.boe.es/gazeta/dias/1813/03/18/pdfs/GRE-1813-34.pdf#page=6","Abrir facsímil")</f>
        <v>Abrir facsímil</v>
      </c>
      <c r="K6197" s="3" t="s">
        <v>22</v>
      </c>
    </row>
    <row r="6198" spans="1:11" ht="42" customHeight="1">
      <c r="A6198" s="2" t="s">
        <v>12923</v>
      </c>
      <c r="B6198" s="2" t="s">
        <v>12924</v>
      </c>
      <c r="C6198" s="2" t="s">
        <v>16</v>
      </c>
      <c r="D6198" s="2" t="s">
        <v>17</v>
      </c>
      <c r="E6198" s="5">
        <v>-31738</v>
      </c>
      <c r="F6198" s="3" t="s">
        <v>556</v>
      </c>
      <c r="G6198" s="3" t="s">
        <v>28</v>
      </c>
      <c r="H6198" s="2" t="s">
        <v>20</v>
      </c>
      <c r="I6198" s="2" t="s">
        <v>12925</v>
      </c>
      <c r="J6198" s="3" t="str">
        <f>HYPERLINK("https://www.boe.es/gazeta/dias/1813/02/06/pdfs/GRE-1813-16.pdf#page=8","Abrir facsímil")</f>
        <v>Abrir facsímil</v>
      </c>
      <c r="K6198" s="3" t="s">
        <v>22</v>
      </c>
    </row>
    <row r="6199" spans="1:11" ht="42" customHeight="1">
      <c r="A6199" s="2" t="s">
        <v>12926</v>
      </c>
      <c r="B6199" s="2" t="s">
        <v>12926</v>
      </c>
      <c r="C6199" s="2" t="s">
        <v>16</v>
      </c>
      <c r="D6199" s="2" t="s">
        <v>17</v>
      </c>
      <c r="E6199" s="5">
        <v>-31564</v>
      </c>
      <c r="F6199" s="3" t="s">
        <v>206</v>
      </c>
      <c r="G6199" s="3" t="s">
        <v>65</v>
      </c>
      <c r="H6199" s="2" t="s">
        <v>20</v>
      </c>
      <c r="I6199" s="2" t="s">
        <v>12927</v>
      </c>
      <c r="J6199" s="3" t="str">
        <f>HYPERLINK("https://www.boe.es/gazeta/dias/1813/07/30/pdfs/GMR-1813-22.pdf#page=1","Abrir facsímil")</f>
        <v>Abrir facsímil</v>
      </c>
      <c r="K6199" s="3" t="s">
        <v>22</v>
      </c>
    </row>
    <row r="6200" spans="1:11" ht="42" customHeight="1">
      <c r="A6200" s="2" t="s">
        <v>12928</v>
      </c>
      <c r="B6200" s="2" t="s">
        <v>12928</v>
      </c>
      <c r="C6200" s="2" t="s">
        <v>16</v>
      </c>
      <c r="D6200" s="2" t="s">
        <v>17</v>
      </c>
      <c r="E6200" s="5">
        <v>-31621</v>
      </c>
      <c r="F6200" s="3" t="s">
        <v>1825</v>
      </c>
      <c r="G6200" s="3" t="s">
        <v>19</v>
      </c>
      <c r="H6200" s="2" t="s">
        <v>20</v>
      </c>
      <c r="I6200" s="2" t="s">
        <v>12929</v>
      </c>
      <c r="J6200" s="3" t="str">
        <f>HYPERLINK("https://www.boe.es/gazeta/dias/1813/06/03/pdfs/GMR-1813-1.pdf#page=4","Abrir facsímil")</f>
        <v>Abrir facsímil</v>
      </c>
      <c r="K6200" s="3" t="s">
        <v>22</v>
      </c>
    </row>
    <row r="6201" spans="1:11" ht="42" customHeight="1">
      <c r="A6201" s="2" t="s">
        <v>12930</v>
      </c>
      <c r="B6201" s="2" t="s">
        <v>12931</v>
      </c>
      <c r="C6201" s="2" t="s">
        <v>16</v>
      </c>
      <c r="D6201" s="2" t="s">
        <v>97</v>
      </c>
      <c r="E6201" s="5">
        <v>-31479</v>
      </c>
      <c r="F6201" s="3" t="s">
        <v>290</v>
      </c>
      <c r="G6201" s="3" t="s">
        <v>1474</v>
      </c>
      <c r="H6201" s="2" t="s">
        <v>20</v>
      </c>
      <c r="I6201" s="2" t="s">
        <v>12932</v>
      </c>
      <c r="J6201" s="3" t="str">
        <f>HYPERLINK("https://www.boe.es/gazeta/dias/1813/10/23/pdfs/GRE-1813-139E.pdf#page=14","Abrir facsímil")</f>
        <v>Abrir facsímil</v>
      </c>
      <c r="K6201" s="3" t="s">
        <v>22</v>
      </c>
    </row>
    <row r="6202" spans="1:11" ht="42" customHeight="1">
      <c r="A6202" s="2" t="s">
        <v>12933</v>
      </c>
      <c r="B6202" s="2" t="s">
        <v>12934</v>
      </c>
      <c r="C6202" s="2" t="s">
        <v>16</v>
      </c>
      <c r="D6202" s="2" t="s">
        <v>17</v>
      </c>
      <c r="E6202" s="5">
        <v>-31567</v>
      </c>
      <c r="F6202" s="3" t="s">
        <v>820</v>
      </c>
      <c r="G6202" s="3" t="s">
        <v>313</v>
      </c>
      <c r="H6202" s="2" t="s">
        <v>20</v>
      </c>
      <c r="I6202" s="2" t="s">
        <v>12935</v>
      </c>
      <c r="J6202" s="3" t="str">
        <f>HYPERLINK("https://www.boe.es/gazeta/dias/1813/07/27/pdfs/GMR-1813-21.pdf#page=9","Abrir facsímil")</f>
        <v>Abrir facsímil</v>
      </c>
      <c r="K6202" s="3" t="s">
        <v>22</v>
      </c>
    </row>
    <row r="6203" spans="1:11" ht="42" customHeight="1">
      <c r="A6203" s="2" t="s">
        <v>12936</v>
      </c>
      <c r="B6203" s="2" t="s">
        <v>12936</v>
      </c>
      <c r="C6203" s="2" t="s">
        <v>16</v>
      </c>
      <c r="D6203" s="2" t="s">
        <v>17</v>
      </c>
      <c r="E6203" s="5">
        <v>-31745</v>
      </c>
      <c r="F6203" s="3" t="s">
        <v>445</v>
      </c>
      <c r="G6203" s="3" t="s">
        <v>58</v>
      </c>
      <c r="H6203" s="2" t="s">
        <v>20</v>
      </c>
      <c r="I6203" s="2" t="s">
        <v>12937</v>
      </c>
      <c r="J6203" s="3" t="str">
        <f>HYPERLINK("https://www.boe.es/gazeta/dias/1813/01/30/pdfs/GRE-1813-13.pdf#page=2","Abrir facsímil")</f>
        <v>Abrir facsímil</v>
      </c>
      <c r="K6203" s="3" t="s">
        <v>22</v>
      </c>
    </row>
    <row r="6204" spans="1:11" ht="42" customHeight="1">
      <c r="A6204" s="2" t="s">
        <v>12938</v>
      </c>
      <c r="B6204" s="2" t="s">
        <v>12938</v>
      </c>
      <c r="C6204" s="2" t="s">
        <v>16</v>
      </c>
      <c r="D6204" s="2" t="s">
        <v>17</v>
      </c>
      <c r="E6204" s="5">
        <v>-31700</v>
      </c>
      <c r="F6204" s="3" t="s">
        <v>226</v>
      </c>
      <c r="G6204" s="3" t="s">
        <v>87</v>
      </c>
      <c r="H6204" s="2" t="s">
        <v>20</v>
      </c>
      <c r="I6204" s="2" t="s">
        <v>12939</v>
      </c>
      <c r="J6204" s="3" t="str">
        <f>HYPERLINK("https://www.boe.es/gazeta/dias/1813/03/16/pdfs/GRE-1813-33.pdf#page=7","Abrir facsímil")</f>
        <v>Abrir facsímil</v>
      </c>
      <c r="K6204" s="3" t="s">
        <v>22</v>
      </c>
    </row>
    <row r="6205" spans="1:11" ht="42" customHeight="1">
      <c r="A6205" s="2" t="s">
        <v>12940</v>
      </c>
      <c r="B6205" s="2" t="s">
        <v>12940</v>
      </c>
      <c r="C6205" s="2" t="s">
        <v>16</v>
      </c>
      <c r="D6205" s="2" t="s">
        <v>17</v>
      </c>
      <c r="E6205" s="5">
        <v>-31733</v>
      </c>
      <c r="F6205" s="3" t="s">
        <v>3036</v>
      </c>
      <c r="G6205" s="3" t="s">
        <v>82</v>
      </c>
      <c r="H6205" s="2" t="s">
        <v>20</v>
      </c>
      <c r="I6205" s="2" t="s">
        <v>12941</v>
      </c>
      <c r="J6205" s="3" t="str">
        <f>HYPERLINK("https://www.boe.es/gazeta/dias/1813/02/11/pdfs/GRE-1813-18.pdf#page=5","Abrir facsímil")</f>
        <v>Abrir facsímil</v>
      </c>
      <c r="K6205" s="3" t="s">
        <v>22</v>
      </c>
    </row>
    <row r="6206" spans="1:11" ht="42" customHeight="1">
      <c r="A6206" s="2" t="s">
        <v>12942</v>
      </c>
      <c r="B6206" s="2" t="s">
        <v>12942</v>
      </c>
      <c r="C6206" s="2" t="s">
        <v>16</v>
      </c>
      <c r="D6206" s="2" t="s">
        <v>17</v>
      </c>
      <c r="E6206" s="5">
        <v>-31752</v>
      </c>
      <c r="F6206" s="3" t="s">
        <v>182</v>
      </c>
      <c r="G6206" s="3" t="s">
        <v>65</v>
      </c>
      <c r="H6206" s="2" t="s">
        <v>20</v>
      </c>
      <c r="I6206" s="2" t="s">
        <v>12943</v>
      </c>
      <c r="J6206" s="3" t="str">
        <f>HYPERLINK("https://www.boe.es/gazeta/dias/1813/01/23/pdfs/GRE-1813-10.pdf#page=1","Abrir facsímil")</f>
        <v>Abrir facsímil</v>
      </c>
      <c r="K6206" s="3" t="s">
        <v>22</v>
      </c>
    </row>
    <row r="6207" spans="1:11" ht="42" customHeight="1">
      <c r="A6207" s="2" t="s">
        <v>12944</v>
      </c>
      <c r="B6207" s="2" t="s">
        <v>12944</v>
      </c>
      <c r="C6207" s="2" t="s">
        <v>16</v>
      </c>
      <c r="D6207" s="2" t="s">
        <v>17</v>
      </c>
      <c r="E6207" s="5">
        <v>-31731</v>
      </c>
      <c r="F6207" s="3" t="s">
        <v>866</v>
      </c>
      <c r="G6207" s="3" t="s">
        <v>8695</v>
      </c>
      <c r="H6207" s="2" t="s">
        <v>20</v>
      </c>
      <c r="I6207" s="2" t="s">
        <v>12945</v>
      </c>
      <c r="J6207" s="3" t="str">
        <f>HYPERLINK("https://www.boe.es/gazeta/dias/1813/02/13/pdfs/GRE-1813-19.pdf#page=2","Abrir facsímil")</f>
        <v>Abrir facsímil</v>
      </c>
      <c r="K6207" s="3" t="s">
        <v>22</v>
      </c>
    </row>
    <row r="6208" spans="1:11" ht="42" customHeight="1">
      <c r="A6208" s="2" t="s">
        <v>12946</v>
      </c>
      <c r="B6208" s="2" t="s">
        <v>12946</v>
      </c>
      <c r="C6208" s="2" t="s">
        <v>16</v>
      </c>
      <c r="D6208" s="2" t="s">
        <v>17</v>
      </c>
      <c r="E6208" s="5">
        <v>-31773</v>
      </c>
      <c r="F6208" s="3" t="s">
        <v>3667</v>
      </c>
      <c r="G6208" s="3" t="s">
        <v>3375</v>
      </c>
      <c r="H6208" s="2" t="s">
        <v>20</v>
      </c>
      <c r="I6208" s="2" t="s">
        <v>12947</v>
      </c>
      <c r="J6208" s="3" t="str">
        <f>HYPERLINK("https://www.boe.es/gazeta/dias/1813/01/02/pdfs/GRE-1813-1.pdf#page=3","Abrir facsímil")</f>
        <v>Abrir facsímil</v>
      </c>
      <c r="K6208" s="3" t="s">
        <v>22</v>
      </c>
    </row>
    <row r="6209" spans="1:11" ht="42" customHeight="1">
      <c r="A6209" s="2" t="s">
        <v>12946</v>
      </c>
      <c r="B6209" s="2" t="s">
        <v>12946</v>
      </c>
      <c r="C6209" s="2" t="s">
        <v>16</v>
      </c>
      <c r="D6209" s="2" t="s">
        <v>17</v>
      </c>
      <c r="E6209" s="5">
        <v>-31773</v>
      </c>
      <c r="F6209" s="3" t="s">
        <v>3667</v>
      </c>
      <c r="G6209" s="3" t="s">
        <v>65</v>
      </c>
      <c r="H6209" s="2" t="s">
        <v>20</v>
      </c>
      <c r="I6209" s="2" t="s">
        <v>12948</v>
      </c>
      <c r="J6209" s="3" t="str">
        <f>HYPERLINK("https://www.boe.es/gazeta/dias/1813/01/02/pdfs/GRE-1813-1.pdf#page=1","Abrir facsímil")</f>
        <v>Abrir facsímil</v>
      </c>
      <c r="K6209" s="3" t="s">
        <v>22</v>
      </c>
    </row>
    <row r="6210" spans="1:11" ht="42" customHeight="1">
      <c r="A6210" s="2" t="s">
        <v>12946</v>
      </c>
      <c r="B6210" s="2" t="s">
        <v>12946</v>
      </c>
      <c r="C6210" s="2" t="s">
        <v>16</v>
      </c>
      <c r="D6210" s="2" t="s">
        <v>17</v>
      </c>
      <c r="E6210" s="5">
        <v>-31770</v>
      </c>
      <c r="F6210" s="3" t="s">
        <v>1738</v>
      </c>
      <c r="G6210" s="3" t="s">
        <v>2984</v>
      </c>
      <c r="H6210" s="2" t="s">
        <v>20</v>
      </c>
      <c r="I6210" s="2" t="s">
        <v>12949</v>
      </c>
      <c r="J6210" s="3" t="str">
        <f>HYPERLINK("https://www.boe.es/gazeta/dias/1813/01/05/pdfs/GRE-1813-2.pdf#page=4","Abrir facsímil")</f>
        <v>Abrir facsímil</v>
      </c>
      <c r="K6210" s="3" t="s">
        <v>22</v>
      </c>
    </row>
    <row r="6211" spans="1:11" ht="42" customHeight="1">
      <c r="A6211" s="2" t="s">
        <v>12946</v>
      </c>
      <c r="B6211" s="2" t="s">
        <v>12946</v>
      </c>
      <c r="C6211" s="2" t="s">
        <v>16</v>
      </c>
      <c r="D6211" s="2" t="s">
        <v>17</v>
      </c>
      <c r="E6211" s="5">
        <v>-31770</v>
      </c>
      <c r="F6211" s="3" t="s">
        <v>188</v>
      </c>
      <c r="G6211" s="3" t="s">
        <v>65</v>
      </c>
      <c r="H6211" s="2" t="s">
        <v>20</v>
      </c>
      <c r="I6211" s="2" t="s">
        <v>12950</v>
      </c>
      <c r="J6211" s="3" t="str">
        <f>HYPERLINK("https://www.boe.es/gazeta/dias/1813/01/05/pdfs/GRE-1813-3.pdf#page=1","Abrir facsímil")</f>
        <v>Abrir facsímil</v>
      </c>
      <c r="K6211" s="3" t="s">
        <v>22</v>
      </c>
    </row>
    <row r="6212" spans="1:11" ht="42" customHeight="1">
      <c r="A6212" s="2" t="s">
        <v>12946</v>
      </c>
      <c r="B6212" s="2" t="s">
        <v>12946</v>
      </c>
      <c r="C6212" s="2" t="s">
        <v>16</v>
      </c>
      <c r="D6212" s="2" t="s">
        <v>17</v>
      </c>
      <c r="E6212" s="5">
        <v>-31768</v>
      </c>
      <c r="F6212" s="3" t="s">
        <v>188</v>
      </c>
      <c r="G6212" s="3" t="s">
        <v>65</v>
      </c>
      <c r="H6212" s="2" t="s">
        <v>20</v>
      </c>
      <c r="I6212" s="2" t="s">
        <v>12950</v>
      </c>
      <c r="J6212" s="3" t="str">
        <f>HYPERLINK("https://www.boe.es/gazeta/dias/1813/01/07/pdfs/GRE-1813-3.pdf#page=1","Abrir facsímil")</f>
        <v>Abrir facsímil</v>
      </c>
      <c r="K6212" s="3" t="s">
        <v>22</v>
      </c>
    </row>
    <row r="6213" spans="1:11" ht="42" customHeight="1">
      <c r="A6213" s="2" t="s">
        <v>12946</v>
      </c>
      <c r="B6213" s="2" t="s">
        <v>12946</v>
      </c>
      <c r="C6213" s="2" t="s">
        <v>16</v>
      </c>
      <c r="D6213" s="2" t="s">
        <v>17</v>
      </c>
      <c r="E6213" s="5">
        <v>-31766</v>
      </c>
      <c r="F6213" s="3" t="s">
        <v>1356</v>
      </c>
      <c r="G6213" s="3" t="s">
        <v>95</v>
      </c>
      <c r="H6213" s="2" t="s">
        <v>20</v>
      </c>
      <c r="I6213" s="2" t="s">
        <v>12951</v>
      </c>
      <c r="J6213" s="3" t="str">
        <f>HYPERLINK("https://www.boe.es/gazeta/dias/1813/01/09/pdfs/GRE-1813-4.pdf#page=6","Abrir facsímil")</f>
        <v>Abrir facsímil</v>
      </c>
      <c r="K6213" s="3" t="s">
        <v>22</v>
      </c>
    </row>
    <row r="6214" spans="1:11" ht="42" customHeight="1">
      <c r="A6214" s="2" t="s">
        <v>12946</v>
      </c>
      <c r="B6214" s="2" t="s">
        <v>12946</v>
      </c>
      <c r="C6214" s="2" t="s">
        <v>16</v>
      </c>
      <c r="D6214" s="2" t="s">
        <v>17</v>
      </c>
      <c r="E6214" s="5">
        <v>-31763</v>
      </c>
      <c r="F6214" s="3" t="s">
        <v>668</v>
      </c>
      <c r="G6214" s="3" t="s">
        <v>82</v>
      </c>
      <c r="H6214" s="2" t="s">
        <v>20</v>
      </c>
      <c r="I6214" s="2" t="s">
        <v>12952</v>
      </c>
      <c r="J6214" s="3" t="str">
        <f>HYPERLINK("https://www.boe.es/gazeta/dias/1813/01/12/pdfs/GRE-1813-5.pdf#page=5","Abrir facsímil")</f>
        <v>Abrir facsímil</v>
      </c>
      <c r="K6214" s="3" t="s">
        <v>22</v>
      </c>
    </row>
    <row r="6215" spans="1:11" ht="42" customHeight="1">
      <c r="A6215" s="2" t="s">
        <v>12946</v>
      </c>
      <c r="B6215" s="2" t="s">
        <v>12946</v>
      </c>
      <c r="C6215" s="2" t="s">
        <v>16</v>
      </c>
      <c r="D6215" s="2" t="s">
        <v>17</v>
      </c>
      <c r="E6215" s="5">
        <v>-31754</v>
      </c>
      <c r="F6215" s="3" t="s">
        <v>899</v>
      </c>
      <c r="G6215" s="3" t="s">
        <v>3774</v>
      </c>
      <c r="H6215" s="2" t="s">
        <v>20</v>
      </c>
      <c r="I6215" s="2" t="s">
        <v>12953</v>
      </c>
      <c r="J6215" s="3" t="str">
        <f>HYPERLINK("https://www.boe.es/gazeta/dias/1813/01/21/pdfs/GRE-1813-9.pdf#page=6","Abrir facsímil")</f>
        <v>Abrir facsímil</v>
      </c>
      <c r="K6215" s="3" t="s">
        <v>22</v>
      </c>
    </row>
    <row r="6216" spans="1:11" ht="42" customHeight="1">
      <c r="A6216" s="2" t="s">
        <v>12946</v>
      </c>
      <c r="B6216" s="2" t="s">
        <v>12946</v>
      </c>
      <c r="C6216" s="2" t="s">
        <v>16</v>
      </c>
      <c r="D6216" s="2" t="s">
        <v>17</v>
      </c>
      <c r="E6216" s="5">
        <v>-31754</v>
      </c>
      <c r="F6216" s="3" t="s">
        <v>899</v>
      </c>
      <c r="G6216" s="3" t="s">
        <v>58</v>
      </c>
      <c r="H6216" s="2" t="s">
        <v>20</v>
      </c>
      <c r="I6216" s="2" t="s">
        <v>12954</v>
      </c>
      <c r="J6216" s="3" t="str">
        <f>HYPERLINK("https://www.boe.es/gazeta/dias/1813/01/21/pdfs/GRE-1813-9.pdf#page=2","Abrir facsímil")</f>
        <v>Abrir facsímil</v>
      </c>
      <c r="K6216" s="3" t="s">
        <v>22</v>
      </c>
    </row>
    <row r="6217" spans="1:11" ht="42" customHeight="1">
      <c r="A6217" s="2" t="s">
        <v>12955</v>
      </c>
      <c r="B6217" s="2" t="s">
        <v>12955</v>
      </c>
      <c r="C6217" s="2" t="s">
        <v>16</v>
      </c>
      <c r="D6217" s="2" t="s">
        <v>17</v>
      </c>
      <c r="E6217" s="5">
        <v>-31752</v>
      </c>
      <c r="F6217" s="3" t="s">
        <v>182</v>
      </c>
      <c r="G6217" s="3" t="s">
        <v>65</v>
      </c>
      <c r="H6217" s="2" t="s">
        <v>20</v>
      </c>
      <c r="I6217" s="2" t="s">
        <v>12956</v>
      </c>
      <c r="J6217" s="3" t="str">
        <f>HYPERLINK("https://www.boe.es/gazeta/dias/1813/01/23/pdfs/GRE-1813-10.pdf#page=1","Abrir facsímil")</f>
        <v>Abrir facsímil</v>
      </c>
      <c r="K6217" s="3" t="s">
        <v>22</v>
      </c>
    </row>
    <row r="6218" spans="1:11" ht="42" customHeight="1">
      <c r="A6218" s="2" t="s">
        <v>12946</v>
      </c>
      <c r="B6218" s="2" t="s">
        <v>12946</v>
      </c>
      <c r="C6218" s="2" t="s">
        <v>16</v>
      </c>
      <c r="D6218" s="2" t="s">
        <v>17</v>
      </c>
      <c r="E6218" s="5">
        <v>-31752</v>
      </c>
      <c r="F6218" s="3" t="s">
        <v>182</v>
      </c>
      <c r="G6218" s="3" t="s">
        <v>58</v>
      </c>
      <c r="H6218" s="2" t="s">
        <v>20</v>
      </c>
      <c r="I6218" s="2" t="s">
        <v>12957</v>
      </c>
      <c r="J6218" s="3" t="str">
        <f>HYPERLINK("https://www.boe.es/gazeta/dias/1813/01/23/pdfs/GRE-1813-10.pdf#page=2","Abrir facsímil")</f>
        <v>Abrir facsímil</v>
      </c>
      <c r="K6218" s="3" t="s">
        <v>22</v>
      </c>
    </row>
    <row r="6219" spans="1:11" ht="42" customHeight="1">
      <c r="A6219" s="2" t="s">
        <v>12946</v>
      </c>
      <c r="B6219" s="2" t="s">
        <v>12946</v>
      </c>
      <c r="C6219" s="2" t="s">
        <v>16</v>
      </c>
      <c r="D6219" s="2" t="s">
        <v>17</v>
      </c>
      <c r="E6219" s="5">
        <v>-31752</v>
      </c>
      <c r="F6219" s="3" t="s">
        <v>182</v>
      </c>
      <c r="G6219" s="3" t="s">
        <v>54</v>
      </c>
      <c r="H6219" s="2" t="s">
        <v>20</v>
      </c>
      <c r="I6219" s="2" t="s">
        <v>12958</v>
      </c>
      <c r="J6219" s="3" t="str">
        <f>HYPERLINK("https://www.boe.es/gazeta/dias/1813/01/23/pdfs/GRE-1813-10.pdf#page=3","Abrir facsímil")</f>
        <v>Abrir facsímil</v>
      </c>
      <c r="K6219" s="3" t="s">
        <v>22</v>
      </c>
    </row>
    <row r="6220" spans="1:11" ht="42" customHeight="1">
      <c r="A6220" s="2" t="s">
        <v>12946</v>
      </c>
      <c r="B6220" s="2" t="s">
        <v>12946</v>
      </c>
      <c r="C6220" s="2" t="s">
        <v>16</v>
      </c>
      <c r="D6220" s="2" t="s">
        <v>17</v>
      </c>
      <c r="E6220" s="5">
        <v>-31745</v>
      </c>
      <c r="F6220" s="3" t="s">
        <v>445</v>
      </c>
      <c r="G6220" s="3" t="s">
        <v>58</v>
      </c>
      <c r="H6220" s="2" t="s">
        <v>20</v>
      </c>
      <c r="I6220" s="2" t="s">
        <v>12959</v>
      </c>
      <c r="J6220" s="3" t="str">
        <f>HYPERLINK("https://www.boe.es/gazeta/dias/1813/01/30/pdfs/GRE-1813-13.pdf#page=2","Abrir facsímil")</f>
        <v>Abrir facsímil</v>
      </c>
      <c r="K6220" s="3" t="s">
        <v>22</v>
      </c>
    </row>
    <row r="6221" spans="1:11" ht="42" customHeight="1">
      <c r="A6221" s="2" t="s">
        <v>12946</v>
      </c>
      <c r="B6221" s="2" t="s">
        <v>12946</v>
      </c>
      <c r="C6221" s="2" t="s">
        <v>16</v>
      </c>
      <c r="D6221" s="2" t="s">
        <v>17</v>
      </c>
      <c r="E6221" s="5">
        <v>-31745</v>
      </c>
      <c r="F6221" s="3" t="s">
        <v>445</v>
      </c>
      <c r="G6221" s="3" t="s">
        <v>54</v>
      </c>
      <c r="H6221" s="2" t="s">
        <v>20</v>
      </c>
      <c r="I6221" s="2" t="s">
        <v>12960</v>
      </c>
      <c r="J6221" s="3" t="str">
        <f>HYPERLINK("https://www.boe.es/gazeta/dias/1813/01/30/pdfs/GRE-1813-13.pdf#page=3","Abrir facsímil")</f>
        <v>Abrir facsímil</v>
      </c>
      <c r="K6221" s="3" t="s">
        <v>22</v>
      </c>
    </row>
    <row r="6222" spans="1:11" ht="42" customHeight="1">
      <c r="A6222" s="2" t="s">
        <v>12946</v>
      </c>
      <c r="B6222" s="2" t="s">
        <v>12946</v>
      </c>
      <c r="C6222" s="2" t="s">
        <v>16</v>
      </c>
      <c r="D6222" s="2" t="s">
        <v>17</v>
      </c>
      <c r="E6222" s="5">
        <v>-31731</v>
      </c>
      <c r="F6222" s="3" t="s">
        <v>866</v>
      </c>
      <c r="G6222" s="3" t="s">
        <v>8695</v>
      </c>
      <c r="H6222" s="2" t="s">
        <v>20</v>
      </c>
      <c r="I6222" s="2" t="s">
        <v>12961</v>
      </c>
      <c r="J6222" s="3" t="str">
        <f>HYPERLINK("https://www.boe.es/gazeta/dias/1813/02/13/pdfs/GRE-1813-19.pdf#page=2","Abrir facsímil")</f>
        <v>Abrir facsímil</v>
      </c>
      <c r="K6222" s="3" t="s">
        <v>22</v>
      </c>
    </row>
    <row r="6223" spans="1:11" ht="42" customHeight="1">
      <c r="A6223" s="2" t="s">
        <v>12946</v>
      </c>
      <c r="B6223" s="2" t="s">
        <v>12946</v>
      </c>
      <c r="C6223" s="2" t="s">
        <v>16</v>
      </c>
      <c r="D6223" s="2" t="s">
        <v>17</v>
      </c>
      <c r="E6223" s="5">
        <v>-31731</v>
      </c>
      <c r="F6223" s="3" t="s">
        <v>866</v>
      </c>
      <c r="G6223" s="3" t="s">
        <v>3662</v>
      </c>
      <c r="H6223" s="2" t="s">
        <v>20</v>
      </c>
      <c r="I6223" s="2" t="s">
        <v>12962</v>
      </c>
      <c r="J6223" s="3" t="str">
        <f>HYPERLINK("https://www.boe.es/gazeta/dias/1813/02/13/pdfs/GRE-1813-19.pdf#page=4","Abrir facsímil")</f>
        <v>Abrir facsímil</v>
      </c>
      <c r="K6223" s="3" t="s">
        <v>22</v>
      </c>
    </row>
    <row r="6224" spans="1:11" ht="42" customHeight="1">
      <c r="A6224" s="2" t="s">
        <v>12946</v>
      </c>
      <c r="B6224" s="2" t="s">
        <v>12946</v>
      </c>
      <c r="C6224" s="2" t="s">
        <v>16</v>
      </c>
      <c r="D6224" s="2" t="s">
        <v>17</v>
      </c>
      <c r="E6224" s="5">
        <v>-31731</v>
      </c>
      <c r="F6224" s="3" t="s">
        <v>866</v>
      </c>
      <c r="G6224" s="3" t="s">
        <v>4688</v>
      </c>
      <c r="H6224" s="2" t="s">
        <v>20</v>
      </c>
      <c r="I6224" s="2" t="s">
        <v>12963</v>
      </c>
      <c r="J6224" s="3" t="str">
        <f>HYPERLINK("https://www.boe.es/gazeta/dias/1813/02/13/pdfs/GRE-1813-19.pdf#page=5","Abrir facsímil")</f>
        <v>Abrir facsímil</v>
      </c>
      <c r="K6224" s="3" t="s">
        <v>22</v>
      </c>
    </row>
    <row r="6225" spans="1:11" ht="42" customHeight="1">
      <c r="A6225" s="2" t="s">
        <v>12946</v>
      </c>
      <c r="B6225" s="2" t="s">
        <v>12946</v>
      </c>
      <c r="C6225" s="2" t="s">
        <v>16</v>
      </c>
      <c r="D6225" s="2" t="s">
        <v>17</v>
      </c>
      <c r="E6225" s="5">
        <v>-31731</v>
      </c>
      <c r="F6225" s="3" t="s">
        <v>866</v>
      </c>
      <c r="G6225" s="3" t="s">
        <v>867</v>
      </c>
      <c r="H6225" s="2" t="s">
        <v>20</v>
      </c>
      <c r="I6225" s="2" t="s">
        <v>12964</v>
      </c>
      <c r="J6225" s="3" t="str">
        <f>HYPERLINK("https://www.boe.es/gazeta/dias/1813/02/13/pdfs/GRE-1813-19.pdf#page=6","Abrir facsímil")</f>
        <v>Abrir facsímil</v>
      </c>
      <c r="K6225" s="3" t="s">
        <v>22</v>
      </c>
    </row>
    <row r="6226" spans="1:11" ht="42" customHeight="1">
      <c r="A6226" s="2" t="s">
        <v>12946</v>
      </c>
      <c r="B6226" s="2" t="s">
        <v>12946</v>
      </c>
      <c r="C6226" s="2" t="s">
        <v>16</v>
      </c>
      <c r="D6226" s="2" t="s">
        <v>17</v>
      </c>
      <c r="E6226" s="5">
        <v>-31731</v>
      </c>
      <c r="F6226" s="3" t="s">
        <v>866</v>
      </c>
      <c r="G6226" s="3" t="s">
        <v>65</v>
      </c>
      <c r="H6226" s="2" t="s">
        <v>20</v>
      </c>
      <c r="I6226" s="2" t="s">
        <v>12965</v>
      </c>
      <c r="J6226" s="3" t="str">
        <f>HYPERLINK("https://www.boe.es/gazeta/dias/1813/02/13/pdfs/GRE-1813-19.pdf#page=1","Abrir facsímil")</f>
        <v>Abrir facsímil</v>
      </c>
      <c r="K6226" s="3" t="s">
        <v>22</v>
      </c>
    </row>
    <row r="6227" spans="1:11" ht="42" customHeight="1">
      <c r="A6227" s="2" t="s">
        <v>12946</v>
      </c>
      <c r="B6227" s="2" t="s">
        <v>12946</v>
      </c>
      <c r="C6227" s="2" t="s">
        <v>16</v>
      </c>
      <c r="D6227" s="2" t="s">
        <v>17</v>
      </c>
      <c r="E6227" s="5">
        <v>-31728</v>
      </c>
      <c r="F6227" s="3" t="s">
        <v>1434</v>
      </c>
      <c r="G6227" s="3" t="s">
        <v>12966</v>
      </c>
      <c r="H6227" s="2" t="s">
        <v>20</v>
      </c>
      <c r="I6227" s="2" t="s">
        <v>12967</v>
      </c>
      <c r="J6227" s="3" t="str">
        <f>HYPERLINK("https://www.boe.es/gazeta/dias/1813/02/16/pdfs/GRE-1813-20.pdf#page=4","Abrir facsímil")</f>
        <v>Abrir facsímil</v>
      </c>
      <c r="K6227" s="3" t="s">
        <v>22</v>
      </c>
    </row>
    <row r="6228" spans="1:11" ht="42" customHeight="1">
      <c r="A6228" s="2" t="s">
        <v>12946</v>
      </c>
      <c r="B6228" s="2" t="s">
        <v>12946</v>
      </c>
      <c r="C6228" s="2" t="s">
        <v>16</v>
      </c>
      <c r="D6228" s="2" t="s">
        <v>17</v>
      </c>
      <c r="E6228" s="5">
        <v>-31728</v>
      </c>
      <c r="F6228" s="3" t="s">
        <v>1434</v>
      </c>
      <c r="G6228" s="3" t="s">
        <v>65</v>
      </c>
      <c r="H6228" s="2" t="s">
        <v>20</v>
      </c>
      <c r="I6228" s="2" t="s">
        <v>12968</v>
      </c>
      <c r="J6228" s="3" t="str">
        <f>HYPERLINK("https://www.boe.es/gazeta/dias/1813/02/16/pdfs/GRE-1813-20.pdf#page=1","Abrir facsímil")</f>
        <v>Abrir facsímil</v>
      </c>
      <c r="K6228" s="3" t="s">
        <v>22</v>
      </c>
    </row>
    <row r="6229" spans="1:11" ht="42" customHeight="1">
      <c r="A6229" s="2" t="s">
        <v>12946</v>
      </c>
      <c r="B6229" s="2" t="s">
        <v>12946</v>
      </c>
      <c r="C6229" s="2" t="s">
        <v>16</v>
      </c>
      <c r="D6229" s="2" t="s">
        <v>17</v>
      </c>
      <c r="E6229" s="5">
        <v>-31698</v>
      </c>
      <c r="F6229" s="3" t="s">
        <v>470</v>
      </c>
      <c r="G6229" s="3" t="s">
        <v>4979</v>
      </c>
      <c r="H6229" s="2" t="s">
        <v>20</v>
      </c>
      <c r="I6229" s="2" t="s">
        <v>12969</v>
      </c>
      <c r="J6229" s="3" t="str">
        <f>HYPERLINK("https://www.boe.es/gazeta/dias/1813/03/18/pdfs/GRE-1813-34.pdf#page=6","Abrir facsímil")</f>
        <v>Abrir facsímil</v>
      </c>
      <c r="K6229" s="3" t="s">
        <v>22</v>
      </c>
    </row>
    <row r="6230" spans="1:11" ht="42" customHeight="1">
      <c r="A6230" s="2" t="s">
        <v>12946</v>
      </c>
      <c r="B6230" s="2" t="s">
        <v>12946</v>
      </c>
      <c r="C6230" s="2" t="s">
        <v>16</v>
      </c>
      <c r="D6230" s="2" t="s">
        <v>17</v>
      </c>
      <c r="E6230" s="5">
        <v>-31693</v>
      </c>
      <c r="F6230" s="3" t="s">
        <v>3950</v>
      </c>
      <c r="G6230" s="3" t="s">
        <v>58</v>
      </c>
      <c r="H6230" s="2" t="s">
        <v>20</v>
      </c>
      <c r="I6230" s="2" t="s">
        <v>12970</v>
      </c>
      <c r="J6230" s="3" t="str">
        <f>HYPERLINK("https://www.boe.es/gazeta/dias/1813/03/23/pdfs/GRE-1813-36.pdf#page=2","Abrir facsímil")</f>
        <v>Abrir facsímil</v>
      </c>
      <c r="K6230" s="3" t="s">
        <v>22</v>
      </c>
    </row>
    <row r="6231" spans="1:11" ht="42" customHeight="1">
      <c r="A6231" s="2" t="s">
        <v>12946</v>
      </c>
      <c r="B6231" s="2" t="s">
        <v>12946</v>
      </c>
      <c r="C6231" s="2" t="s">
        <v>16</v>
      </c>
      <c r="D6231" s="2" t="s">
        <v>17</v>
      </c>
      <c r="E6231" s="5">
        <v>-31677</v>
      </c>
      <c r="F6231" s="3" t="s">
        <v>76</v>
      </c>
      <c r="G6231" s="3" t="s">
        <v>8102</v>
      </c>
      <c r="H6231" s="2" t="s">
        <v>20</v>
      </c>
      <c r="I6231" s="2" t="s">
        <v>12971</v>
      </c>
      <c r="J6231" s="3" t="str">
        <f>HYPERLINK("https://www.boe.es/gazeta/dias/1813/04/08/pdfs/GRE-1813-43.pdf#page=2","Abrir facsímil")</f>
        <v>Abrir facsímil</v>
      </c>
      <c r="K6231" s="3" t="s">
        <v>22</v>
      </c>
    </row>
    <row r="6232" spans="1:11" ht="42" customHeight="1">
      <c r="A6232" s="2" t="s">
        <v>12946</v>
      </c>
      <c r="B6232" s="2" t="s">
        <v>12946</v>
      </c>
      <c r="C6232" s="2" t="s">
        <v>16</v>
      </c>
      <c r="D6232" s="2" t="s">
        <v>17</v>
      </c>
      <c r="E6232" s="5">
        <v>-31446</v>
      </c>
      <c r="F6232" s="3" t="s">
        <v>1078</v>
      </c>
      <c r="G6232" s="3" t="s">
        <v>82</v>
      </c>
      <c r="H6232" s="2" t="s">
        <v>20</v>
      </c>
      <c r="I6232" s="2" t="s">
        <v>12972</v>
      </c>
      <c r="J6232" s="3" t="str">
        <f>HYPERLINK("https://www.boe.es/gazeta/dias/1813/11/25/pdfs/GRE-1813-154.pdf#page=5","Abrir facsímil")</f>
        <v>Abrir facsímil</v>
      </c>
      <c r="K6232" s="3" t="s">
        <v>22</v>
      </c>
    </row>
    <row r="6233" spans="1:11" ht="42" customHeight="1">
      <c r="A6233" s="2" t="s">
        <v>12973</v>
      </c>
      <c r="B6233" s="2" t="s">
        <v>12974</v>
      </c>
      <c r="C6233" s="2" t="s">
        <v>16</v>
      </c>
      <c r="D6233" s="2" t="s">
        <v>17</v>
      </c>
      <c r="E6233" s="5">
        <v>-31749</v>
      </c>
      <c r="F6233" s="3" t="s">
        <v>1515</v>
      </c>
      <c r="G6233" s="3" t="s">
        <v>3722</v>
      </c>
      <c r="H6233" s="2" t="s">
        <v>29</v>
      </c>
      <c r="I6233" s="2" t="s">
        <v>12975</v>
      </c>
      <c r="J6233" s="3" t="str">
        <f>HYPERLINK("https://www.boe.es/gazeta/dias/1813/01/26/pdfs/GRE-1813-11.pdf#page=2","Abrir facsímil")</f>
        <v>Abrir facsímil</v>
      </c>
      <c r="K6233" s="3" t="s">
        <v>31</v>
      </c>
    </row>
    <row r="6234" spans="1:11" ht="42" customHeight="1">
      <c r="A6234" s="2" t="s">
        <v>12976</v>
      </c>
      <c r="B6234" s="2" t="s">
        <v>12977</v>
      </c>
      <c r="C6234" s="2" t="s">
        <v>34</v>
      </c>
      <c r="D6234" s="2" t="s">
        <v>35</v>
      </c>
      <c r="E6234" s="5">
        <v>-31709</v>
      </c>
      <c r="F6234" s="3" t="s">
        <v>36</v>
      </c>
      <c r="G6234" s="3" t="s">
        <v>19</v>
      </c>
      <c r="H6234" s="2" t="s">
        <v>20</v>
      </c>
      <c r="I6234" s="2" t="s">
        <v>12978</v>
      </c>
      <c r="J6234" s="3" t="str">
        <f>HYPERLINK("https://www.boe.es/gazeta/dias/1813/03/07/pdfs/GMD-1813-66.pdf#page=4","Abrir facsímil")</f>
        <v>Abrir facsímil</v>
      </c>
      <c r="K6234" s="3" t="s">
        <v>22</v>
      </c>
    </row>
    <row r="6235" spans="1:11" ht="42" customHeight="1">
      <c r="A6235" s="2" t="s">
        <v>12979</v>
      </c>
      <c r="B6235" s="2" t="s">
        <v>12979</v>
      </c>
      <c r="C6235" s="2" t="s">
        <v>16</v>
      </c>
      <c r="D6235" s="2" t="s">
        <v>17</v>
      </c>
      <c r="E6235" s="5">
        <v>-31710</v>
      </c>
      <c r="F6235" s="3" t="s">
        <v>4744</v>
      </c>
      <c r="G6235" s="3" t="s">
        <v>19</v>
      </c>
      <c r="H6235" s="2" t="s">
        <v>20</v>
      </c>
      <c r="I6235" s="2" t="s">
        <v>12980</v>
      </c>
      <c r="J6235" s="3" t="str">
        <f>HYPERLINK("https://www.boe.es/gazeta/dias/1813/03/06/pdfs/GMD-1813-65.pdf#page=4","Abrir facsímil")</f>
        <v>Abrir facsímil</v>
      </c>
      <c r="K6235" s="3" t="s">
        <v>22</v>
      </c>
    </row>
    <row r="6236" spans="1:11" ht="42" customHeight="1">
      <c r="A6236" s="2" t="s">
        <v>12981</v>
      </c>
      <c r="B6236" s="2" t="s">
        <v>12982</v>
      </c>
      <c r="C6236" s="2" t="s">
        <v>16</v>
      </c>
      <c r="D6236" s="2" t="s">
        <v>17</v>
      </c>
      <c r="E6236" s="5">
        <v>-31465</v>
      </c>
      <c r="F6236" s="3" t="s">
        <v>407</v>
      </c>
      <c r="G6236" s="3" t="s">
        <v>82</v>
      </c>
      <c r="H6236" s="2" t="s">
        <v>20</v>
      </c>
      <c r="I6236" s="2" t="s">
        <v>12983</v>
      </c>
      <c r="J6236" s="3" t="str">
        <f>HYPERLINK("https://www.boe.es/gazeta/dias/1813/11/06/pdfs/GMR-1813-70.pdf#page=5","Abrir facsímil")</f>
        <v>Abrir facsímil</v>
      </c>
      <c r="K6236" s="3" t="s">
        <v>22</v>
      </c>
    </row>
    <row r="6237" spans="1:11" ht="42" customHeight="1">
      <c r="A6237" s="2" t="s">
        <v>12984</v>
      </c>
      <c r="B6237" s="2" t="s">
        <v>12985</v>
      </c>
      <c r="C6237" s="2" t="s">
        <v>16</v>
      </c>
      <c r="D6237" s="2" t="s">
        <v>17</v>
      </c>
      <c r="E6237" s="5">
        <v>-31619</v>
      </c>
      <c r="F6237" s="3" t="s">
        <v>749</v>
      </c>
      <c r="G6237" s="3" t="s">
        <v>19</v>
      </c>
      <c r="H6237" s="2" t="s">
        <v>20</v>
      </c>
      <c r="I6237" s="2" t="s">
        <v>12986</v>
      </c>
      <c r="J6237" s="3" t="str">
        <f>HYPERLINK("https://www.boe.es/gazeta/dias/1813/06/05/pdfs/GRE-1813-70.pdf#page=4","Abrir facsímil")</f>
        <v>Abrir facsímil</v>
      </c>
      <c r="K6237" s="3" t="s">
        <v>22</v>
      </c>
    </row>
    <row r="6238" spans="1:11" ht="42" customHeight="1">
      <c r="A6238" s="2" t="s">
        <v>12987</v>
      </c>
      <c r="B6238" s="2" t="s">
        <v>12988</v>
      </c>
      <c r="C6238" s="2" t="s">
        <v>16</v>
      </c>
      <c r="D6238" s="2" t="s">
        <v>17</v>
      </c>
      <c r="E6238" s="5">
        <v>-31493</v>
      </c>
      <c r="F6238" s="3" t="s">
        <v>1996</v>
      </c>
      <c r="G6238" s="3" t="s">
        <v>19</v>
      </c>
      <c r="H6238" s="2" t="s">
        <v>20</v>
      </c>
      <c r="I6238" s="2" t="s">
        <v>12989</v>
      </c>
      <c r="J6238" s="3" t="str">
        <f>HYPERLINK("https://www.boe.es/gazeta/dias/1813/10/09/pdfs/GRE-1813-132.pdf#page=4","Abrir facsímil")</f>
        <v>Abrir facsímil</v>
      </c>
      <c r="K6238" s="3" t="s">
        <v>22</v>
      </c>
    </row>
    <row r="6239" spans="1:11" ht="42" customHeight="1">
      <c r="A6239" s="2" t="s">
        <v>12990</v>
      </c>
      <c r="B6239" s="2" t="s">
        <v>12990</v>
      </c>
      <c r="C6239" s="2" t="s">
        <v>16</v>
      </c>
      <c r="D6239" s="2" t="s">
        <v>17</v>
      </c>
      <c r="E6239" s="5">
        <v>-31441</v>
      </c>
      <c r="F6239" s="3" t="s">
        <v>1952</v>
      </c>
      <c r="G6239" s="3" t="s">
        <v>95</v>
      </c>
      <c r="H6239" s="2" t="s">
        <v>20</v>
      </c>
      <c r="I6239" s="2" t="s">
        <v>12991</v>
      </c>
      <c r="J6239" s="3" t="str">
        <f>HYPERLINK("https://www.boe.es/gazeta/dias/1813/11/30/pdfs/GRE-1813-158.pdf#page=6","Abrir facsímil")</f>
        <v>Abrir facsímil</v>
      </c>
      <c r="K6239" s="3" t="s">
        <v>22</v>
      </c>
    </row>
    <row r="6240" spans="1:11" ht="42" customHeight="1">
      <c r="A6240" s="2" t="s">
        <v>12992</v>
      </c>
      <c r="B6240" s="2" t="s">
        <v>12992</v>
      </c>
      <c r="C6240" s="2" t="s">
        <v>25</v>
      </c>
      <c r="D6240" s="2" t="s">
        <v>26</v>
      </c>
      <c r="E6240" s="5">
        <v>-31453</v>
      </c>
      <c r="F6240" s="3" t="s">
        <v>887</v>
      </c>
      <c r="G6240" s="3" t="s">
        <v>1897</v>
      </c>
      <c r="H6240" s="2" t="s">
        <v>20</v>
      </c>
      <c r="I6240" s="2" t="s">
        <v>12993</v>
      </c>
      <c r="J6240" s="3" t="str">
        <f>HYPERLINK("https://www.boe.es/gazeta/dias/1813/11/18/pdfs/GMR-1813-76.pdf#page=6","Abrir facsímil")</f>
        <v>Abrir facsímil</v>
      </c>
      <c r="K6240" s="3" t="s">
        <v>22</v>
      </c>
    </row>
    <row r="6241" spans="1:11" ht="42" customHeight="1">
      <c r="A6241" s="2" t="s">
        <v>12994</v>
      </c>
      <c r="B6241" s="2" t="s">
        <v>12994</v>
      </c>
      <c r="C6241" s="2" t="s">
        <v>6059</v>
      </c>
      <c r="D6241" s="2" t="s">
        <v>35</v>
      </c>
      <c r="E6241" s="5">
        <v>-31507</v>
      </c>
      <c r="F6241" s="3" t="s">
        <v>61</v>
      </c>
      <c r="G6241" s="3" t="s">
        <v>791</v>
      </c>
      <c r="H6241" s="2" t="s">
        <v>20</v>
      </c>
      <c r="I6241" s="2" t="s">
        <v>12995</v>
      </c>
      <c r="J6241" s="3" t="str">
        <f>HYPERLINK("https://www.boe.es/gazeta/dias/1813/09/25/pdfs/GMR-1813-48.pdf#page=7","Abrir facsímil")</f>
        <v>Abrir facsímil</v>
      </c>
      <c r="K6241" s="3" t="s">
        <v>22</v>
      </c>
    </row>
    <row r="6242" spans="1:11" ht="42" customHeight="1">
      <c r="A6242" s="2" t="s">
        <v>12996</v>
      </c>
      <c r="B6242" s="2" t="s">
        <v>12996</v>
      </c>
      <c r="C6242" s="2" t="s">
        <v>16</v>
      </c>
      <c r="D6242" s="2" t="s">
        <v>17</v>
      </c>
      <c r="E6242" s="5">
        <v>-31581</v>
      </c>
      <c r="F6242" s="3" t="s">
        <v>1321</v>
      </c>
      <c r="G6242" s="3" t="s">
        <v>28</v>
      </c>
      <c r="H6242" s="2" t="s">
        <v>20</v>
      </c>
      <c r="I6242" s="2" t="s">
        <v>12997</v>
      </c>
      <c r="J6242" s="3" t="str">
        <f>HYPERLINK("https://www.boe.es/gazeta/dias/1813/07/13/pdfs/GMR-1813-17.pdf#page=8","Abrir facsímil")</f>
        <v>Abrir facsímil</v>
      </c>
      <c r="K6242" s="3" t="s">
        <v>22</v>
      </c>
    </row>
    <row r="6243" spans="1:11" ht="42" customHeight="1">
      <c r="A6243" s="2" t="s">
        <v>12998</v>
      </c>
      <c r="B6243" s="2" t="s">
        <v>12998</v>
      </c>
      <c r="C6243" s="2" t="s">
        <v>16</v>
      </c>
      <c r="D6243" s="2" t="s">
        <v>17</v>
      </c>
      <c r="E6243" s="5">
        <v>-31694</v>
      </c>
      <c r="F6243" s="3" t="s">
        <v>2756</v>
      </c>
      <c r="G6243" s="3" t="s">
        <v>19</v>
      </c>
      <c r="H6243" s="2" t="s">
        <v>20</v>
      </c>
      <c r="I6243" s="2" t="s">
        <v>12999</v>
      </c>
      <c r="J6243" s="3" t="str">
        <f>HYPERLINK("https://www.boe.es/gazeta/dias/1813/03/22/pdfs/GMD-1813-81.pdf#page=4","Abrir facsímil")</f>
        <v>Abrir facsímil</v>
      </c>
      <c r="K6243" s="3" t="s">
        <v>22</v>
      </c>
    </row>
    <row r="6244" spans="1:11" ht="42" customHeight="1">
      <c r="A6244" s="2" t="s">
        <v>13000</v>
      </c>
      <c r="B6244" s="2" t="s">
        <v>13001</v>
      </c>
      <c r="C6244" s="2" t="s">
        <v>16</v>
      </c>
      <c r="D6244" s="2" t="s">
        <v>17</v>
      </c>
      <c r="E6244" s="5">
        <v>-31521</v>
      </c>
      <c r="F6244" s="3" t="s">
        <v>1282</v>
      </c>
      <c r="G6244" s="3" t="s">
        <v>28</v>
      </c>
      <c r="H6244" s="2" t="s">
        <v>29</v>
      </c>
      <c r="I6244" s="2" t="s">
        <v>13002</v>
      </c>
      <c r="J6244" s="3" t="str">
        <f>HYPERLINK("https://www.boe.es/gazeta/dias/1813/09/11/pdfs/GMR-1813-41.pdf#page=8","Abrir facsímil")</f>
        <v>Abrir facsímil</v>
      </c>
      <c r="K6244" s="3" t="s">
        <v>31</v>
      </c>
    </row>
    <row r="6245" spans="1:11" ht="42" customHeight="1">
      <c r="A6245" s="2" t="s">
        <v>13003</v>
      </c>
      <c r="B6245" s="2" t="s">
        <v>13003</v>
      </c>
      <c r="C6245" s="2" t="s">
        <v>25</v>
      </c>
      <c r="D6245" s="2" t="s">
        <v>26</v>
      </c>
      <c r="E6245" s="5">
        <v>-31740</v>
      </c>
      <c r="F6245" s="3" t="s">
        <v>354</v>
      </c>
      <c r="G6245" s="3" t="s">
        <v>6579</v>
      </c>
      <c r="H6245" s="2" t="s">
        <v>20</v>
      </c>
      <c r="I6245" s="2" t="s">
        <v>13004</v>
      </c>
      <c r="J6245" s="3" t="str">
        <f>HYPERLINK("https://www.boe.es/gazeta/dias/1813/02/04/pdfs/GRE-1813-15.pdf#page=2","Abrir facsímil")</f>
        <v>Abrir facsímil</v>
      </c>
      <c r="K6245" s="3" t="s">
        <v>22</v>
      </c>
    </row>
    <row r="6246" spans="1:11" ht="42" customHeight="1">
      <c r="A6246" s="2" t="s">
        <v>13005</v>
      </c>
      <c r="B6246" s="2" t="s">
        <v>13005</v>
      </c>
      <c r="C6246" s="2" t="s">
        <v>16</v>
      </c>
      <c r="D6246" s="2" t="s">
        <v>17</v>
      </c>
      <c r="E6246" s="5">
        <v>-31691</v>
      </c>
      <c r="F6246" s="3" t="s">
        <v>1621</v>
      </c>
      <c r="G6246" s="3" t="s">
        <v>58</v>
      </c>
      <c r="H6246" s="2" t="s">
        <v>20</v>
      </c>
      <c r="I6246" s="2" t="s">
        <v>13006</v>
      </c>
      <c r="J6246" s="3" t="str">
        <f>HYPERLINK("https://www.boe.es/gazeta/dias/1813/03/25/pdfs/GMD-1813-84.pdf#page=2","Abrir facsímil")</f>
        <v>Abrir facsímil</v>
      </c>
      <c r="K6246" s="3" t="s">
        <v>22</v>
      </c>
    </row>
    <row r="6247" spans="1:11" ht="42" customHeight="1">
      <c r="A6247" s="2" t="s">
        <v>13007</v>
      </c>
      <c r="B6247" s="2" t="s">
        <v>13008</v>
      </c>
      <c r="C6247" s="2" t="s">
        <v>34</v>
      </c>
      <c r="D6247" s="2" t="s">
        <v>35</v>
      </c>
      <c r="E6247" s="5">
        <v>-31709</v>
      </c>
      <c r="F6247" s="3" t="s">
        <v>36</v>
      </c>
      <c r="G6247" s="3" t="s">
        <v>303</v>
      </c>
      <c r="H6247" s="2" t="s">
        <v>20</v>
      </c>
      <c r="I6247" s="2" t="s">
        <v>13009</v>
      </c>
      <c r="J6247" s="3" t="str">
        <f>HYPERLINK("https://www.boe.es/gazeta/dias/1813/03/07/pdfs/GMD-1813-66.pdf#page=3","Abrir facsímil")</f>
        <v>Abrir facsímil</v>
      </c>
      <c r="K6247" s="3" t="s">
        <v>22</v>
      </c>
    </row>
    <row r="6248" spans="1:11" ht="42" customHeight="1">
      <c r="A6248" s="2" t="s">
        <v>13010</v>
      </c>
      <c r="B6248" s="2" t="s">
        <v>13011</v>
      </c>
      <c r="C6248" s="2" t="s">
        <v>277</v>
      </c>
      <c r="D6248" s="2" t="s">
        <v>26</v>
      </c>
      <c r="E6248" s="5">
        <v>-31715</v>
      </c>
      <c r="F6248" s="3" t="s">
        <v>3358</v>
      </c>
      <c r="G6248" s="3" t="s">
        <v>2055</v>
      </c>
      <c r="H6248" s="2" t="s">
        <v>20</v>
      </c>
      <c r="I6248" s="2" t="s">
        <v>13012</v>
      </c>
      <c r="J6248" s="3" t="str">
        <f>HYPERLINK("https://www.boe.es/gazeta/dias/1813/03/01/pdfs/GMD-1813-60.pdf#page=3","Abrir facsímil")</f>
        <v>Abrir facsímil</v>
      </c>
      <c r="K6248" s="3" t="s">
        <v>22</v>
      </c>
    </row>
    <row r="6249" spans="1:11" ht="42" customHeight="1">
      <c r="A6249" s="2" t="s">
        <v>13013</v>
      </c>
      <c r="B6249" s="2" t="s">
        <v>13014</v>
      </c>
      <c r="C6249" s="2" t="s">
        <v>16</v>
      </c>
      <c r="D6249" s="2" t="s">
        <v>17</v>
      </c>
      <c r="E6249" s="5">
        <v>-31546</v>
      </c>
      <c r="F6249" s="3" t="s">
        <v>2057</v>
      </c>
      <c r="G6249" s="3" t="s">
        <v>87</v>
      </c>
      <c r="H6249" s="2" t="s">
        <v>20</v>
      </c>
      <c r="I6249" s="2" t="s">
        <v>13015</v>
      </c>
      <c r="J6249" s="3" t="str">
        <f>HYPERLINK("https://www.boe.es/gazeta/dias/1813/08/17/pdfs/GRE-1813-105.pdf#page=7","Abrir facsímil")</f>
        <v>Abrir facsímil</v>
      </c>
      <c r="K6249" s="3" t="s">
        <v>22</v>
      </c>
    </row>
    <row r="6250" spans="1:11" ht="42" customHeight="1">
      <c r="A6250" s="2" t="s">
        <v>13016</v>
      </c>
      <c r="B6250" s="2" t="s">
        <v>13017</v>
      </c>
      <c r="C6250" s="2" t="s">
        <v>187</v>
      </c>
      <c r="D6250" s="2" t="s">
        <v>26</v>
      </c>
      <c r="E6250" s="5">
        <v>-31689</v>
      </c>
      <c r="F6250" s="3" t="s">
        <v>48</v>
      </c>
      <c r="G6250" s="3" t="s">
        <v>162</v>
      </c>
      <c r="H6250" s="2" t="s">
        <v>20</v>
      </c>
      <c r="I6250" s="2" t="s">
        <v>13018</v>
      </c>
      <c r="J6250" s="3" t="str">
        <f>HYPERLINK("https://www.boe.es/gazeta/dias/1813/03/27/pdfs/GRE-1813-38.pdf#page=8","Abrir facsímil")</f>
        <v>Abrir facsímil</v>
      </c>
      <c r="K6250" s="3" t="s">
        <v>22</v>
      </c>
    </row>
    <row r="6251" spans="1:11" ht="42" customHeight="1">
      <c r="A6251" s="2" t="s">
        <v>13019</v>
      </c>
      <c r="B6251" s="2" t="s">
        <v>13019</v>
      </c>
      <c r="C6251" s="2" t="s">
        <v>16</v>
      </c>
      <c r="D6251" s="2" t="s">
        <v>17</v>
      </c>
      <c r="E6251" s="5">
        <v>-31637</v>
      </c>
      <c r="F6251" s="3" t="s">
        <v>855</v>
      </c>
      <c r="G6251" s="3" t="s">
        <v>65</v>
      </c>
      <c r="H6251" s="2" t="s">
        <v>20</v>
      </c>
      <c r="I6251" s="2" t="s">
        <v>13020</v>
      </c>
      <c r="J6251" s="3" t="str">
        <f>HYPERLINK("https://www.boe.es/gazeta/dias/1813/05/18/pdfs/GMD-1813-138.pdf#page=1","Abrir facsímil")</f>
        <v>Abrir facsímil</v>
      </c>
      <c r="K6251" s="3" t="s">
        <v>22</v>
      </c>
    </row>
    <row r="6252" spans="1:11" ht="42" customHeight="1">
      <c r="A6252" s="2" t="s">
        <v>13021</v>
      </c>
      <c r="B6252" s="2" t="s">
        <v>13021</v>
      </c>
      <c r="C6252" s="2" t="s">
        <v>16</v>
      </c>
      <c r="D6252" s="2" t="s">
        <v>17</v>
      </c>
      <c r="E6252" s="5">
        <v>-31479</v>
      </c>
      <c r="F6252" s="3" t="s">
        <v>322</v>
      </c>
      <c r="G6252" s="3" t="s">
        <v>19</v>
      </c>
      <c r="H6252" s="2" t="s">
        <v>20</v>
      </c>
      <c r="I6252" s="2" t="s">
        <v>13022</v>
      </c>
      <c r="J6252" s="3" t="str">
        <f>HYPERLINK("https://www.boe.es/gazeta/dias/1813/10/23/pdfs/GMR-1813-63.pdf#page=4","Abrir facsímil")</f>
        <v>Abrir facsímil</v>
      </c>
      <c r="K6252" s="3" t="s">
        <v>22</v>
      </c>
    </row>
    <row r="6253" spans="1:11" ht="42" customHeight="1">
      <c r="A6253" s="2" t="s">
        <v>13023</v>
      </c>
      <c r="B6253" s="2" t="s">
        <v>13023</v>
      </c>
      <c r="C6253" s="2" t="s">
        <v>16</v>
      </c>
      <c r="D6253" s="2" t="s">
        <v>97</v>
      </c>
      <c r="E6253" s="5">
        <v>-31455</v>
      </c>
      <c r="F6253" s="3" t="s">
        <v>13024</v>
      </c>
      <c r="G6253" s="3" t="s">
        <v>13025</v>
      </c>
      <c r="H6253" s="2" t="s">
        <v>20</v>
      </c>
      <c r="I6253" s="2" t="s">
        <v>13026</v>
      </c>
      <c r="J6253" s="3" t="str">
        <f>HYPERLINK("https://www.boe.es/gazeta/dias/1813/11/16/pdfs/GMR-1813-75E.pdf#page=2","Abrir facsímil")</f>
        <v>Abrir facsímil</v>
      </c>
      <c r="K6253" s="3" t="s">
        <v>22</v>
      </c>
    </row>
    <row r="6254" spans="1:11" ht="42" customHeight="1">
      <c r="A6254" s="2" t="s">
        <v>13027</v>
      </c>
      <c r="B6254" s="2" t="s">
        <v>13027</v>
      </c>
      <c r="C6254" s="2" t="s">
        <v>16</v>
      </c>
      <c r="D6254" s="2" t="s">
        <v>17</v>
      </c>
      <c r="E6254" s="5">
        <v>-31640</v>
      </c>
      <c r="F6254" s="3" t="s">
        <v>2392</v>
      </c>
      <c r="G6254" s="3" t="s">
        <v>58</v>
      </c>
      <c r="H6254" s="2" t="s">
        <v>20</v>
      </c>
      <c r="I6254" s="2" t="s">
        <v>13028</v>
      </c>
      <c r="J6254" s="3" t="str">
        <f>HYPERLINK("https://www.boe.es/gazeta/dias/1813/05/15/pdfs/GRE-1813-60.pdf#page=2","Abrir facsímil")</f>
        <v>Abrir facsímil</v>
      </c>
      <c r="K6254" s="3" t="s">
        <v>22</v>
      </c>
    </row>
    <row r="6255" spans="1:11" ht="42" customHeight="1">
      <c r="A6255" s="2" t="s">
        <v>13029</v>
      </c>
      <c r="B6255" s="2" t="s">
        <v>13029</v>
      </c>
      <c r="C6255" s="2" t="s">
        <v>16</v>
      </c>
      <c r="D6255" s="2" t="s">
        <v>17</v>
      </c>
      <c r="E6255" s="5">
        <v>-31441</v>
      </c>
      <c r="F6255" s="3" t="s">
        <v>1952</v>
      </c>
      <c r="G6255" s="3" t="s">
        <v>87</v>
      </c>
      <c r="H6255" s="2" t="s">
        <v>20</v>
      </c>
      <c r="I6255" s="2" t="s">
        <v>13030</v>
      </c>
      <c r="J6255" s="3" t="str">
        <f>HYPERLINK("https://www.boe.es/gazeta/dias/1813/11/30/pdfs/GRE-1813-158.pdf#page=7","Abrir facsímil")</f>
        <v>Abrir facsímil</v>
      </c>
      <c r="K6255" s="3" t="s">
        <v>22</v>
      </c>
    </row>
    <row r="6256" spans="1:11" ht="42" customHeight="1">
      <c r="A6256" s="2" t="s">
        <v>13031</v>
      </c>
      <c r="B6256" s="2" t="s">
        <v>13031</v>
      </c>
      <c r="C6256" s="2" t="s">
        <v>16</v>
      </c>
      <c r="D6256" s="2" t="s">
        <v>17</v>
      </c>
      <c r="E6256" s="5">
        <v>-31462</v>
      </c>
      <c r="F6256" s="3" t="s">
        <v>1028</v>
      </c>
      <c r="G6256" s="3" t="s">
        <v>82</v>
      </c>
      <c r="H6256" s="2" t="s">
        <v>20</v>
      </c>
      <c r="I6256" s="2" t="s">
        <v>13032</v>
      </c>
      <c r="J6256" s="3" t="str">
        <f>HYPERLINK("https://www.boe.es/gazeta/dias/1813/11/09/pdfs/GMR-1813-71.pdf#page=5","Abrir facsímil")</f>
        <v>Abrir facsímil</v>
      </c>
      <c r="K6256" s="3" t="s">
        <v>22</v>
      </c>
    </row>
    <row r="6257" spans="1:11" ht="42" customHeight="1">
      <c r="A6257" s="2" t="s">
        <v>13033</v>
      </c>
      <c r="B6257" s="2" t="s">
        <v>13033</v>
      </c>
      <c r="C6257" s="2" t="s">
        <v>16</v>
      </c>
      <c r="D6257" s="2" t="s">
        <v>17</v>
      </c>
      <c r="E6257" s="5">
        <v>-31574</v>
      </c>
      <c r="F6257" s="3" t="s">
        <v>1343</v>
      </c>
      <c r="G6257" s="3" t="s">
        <v>58</v>
      </c>
      <c r="H6257" s="2" t="s">
        <v>20</v>
      </c>
      <c r="I6257" s="2" t="s">
        <v>13034</v>
      </c>
      <c r="J6257" s="3" t="str">
        <f>HYPERLINK("https://www.boe.es/gazeta/dias/1813/07/20/pdfs/GMR-1813-19.pdf#page=2","Abrir facsímil")</f>
        <v>Abrir facsímil</v>
      </c>
      <c r="K6257" s="3" t="s">
        <v>22</v>
      </c>
    </row>
    <row r="6258" spans="1:11" ht="42" customHeight="1">
      <c r="A6258" s="2" t="s">
        <v>13033</v>
      </c>
      <c r="B6258" s="2" t="s">
        <v>13033</v>
      </c>
      <c r="C6258" s="2" t="s">
        <v>16</v>
      </c>
      <c r="D6258" s="2" t="s">
        <v>17</v>
      </c>
      <c r="E6258" s="5">
        <v>-31560</v>
      </c>
      <c r="F6258" s="3" t="s">
        <v>1233</v>
      </c>
      <c r="G6258" s="3" t="s">
        <v>54</v>
      </c>
      <c r="H6258" s="2" t="s">
        <v>20</v>
      </c>
      <c r="I6258" s="2" t="s">
        <v>13035</v>
      </c>
      <c r="J6258" s="3" t="str">
        <f>HYPERLINK("https://www.boe.es/gazeta/dias/1813/08/03/pdfs/GMR-1813-23.pdf#page=3","Abrir facsímil")</f>
        <v>Abrir facsímil</v>
      </c>
      <c r="K6258" s="3" t="s">
        <v>22</v>
      </c>
    </row>
    <row r="6259" spans="1:11" ht="42" customHeight="1">
      <c r="A6259" s="2" t="s">
        <v>13033</v>
      </c>
      <c r="B6259" s="2" t="s">
        <v>13033</v>
      </c>
      <c r="C6259" s="2" t="s">
        <v>16</v>
      </c>
      <c r="D6259" s="2" t="s">
        <v>17</v>
      </c>
      <c r="E6259" s="5">
        <v>-31546</v>
      </c>
      <c r="F6259" s="3" t="s">
        <v>461</v>
      </c>
      <c r="G6259" s="3" t="s">
        <v>65</v>
      </c>
      <c r="H6259" s="2" t="s">
        <v>20</v>
      </c>
      <c r="I6259" s="2" t="s">
        <v>13036</v>
      </c>
      <c r="J6259" s="3" t="str">
        <f>HYPERLINK("https://www.boe.es/gazeta/dias/1813/08/17/pdfs/GMR-1813-29.pdf#page=1","Abrir facsímil")</f>
        <v>Abrir facsímil</v>
      </c>
      <c r="K6259" s="3" t="s">
        <v>22</v>
      </c>
    </row>
    <row r="6260" spans="1:11" ht="42" customHeight="1">
      <c r="A6260" s="2" t="s">
        <v>13037</v>
      </c>
      <c r="B6260" s="2" t="s">
        <v>13037</v>
      </c>
      <c r="C6260" s="2" t="s">
        <v>16</v>
      </c>
      <c r="D6260" s="2" t="s">
        <v>17</v>
      </c>
      <c r="E6260" s="5">
        <v>-31530</v>
      </c>
      <c r="F6260" s="3" t="s">
        <v>133</v>
      </c>
      <c r="G6260" s="3" t="s">
        <v>65</v>
      </c>
      <c r="H6260" s="2" t="s">
        <v>20</v>
      </c>
      <c r="I6260" s="2" t="s">
        <v>13038</v>
      </c>
      <c r="J6260" s="3" t="str">
        <f>HYPERLINK("https://www.boe.es/gazeta/dias/1813/09/02/pdfs/GMR-1813-36.pdf#page=1","Abrir facsímil")</f>
        <v>Abrir facsímil</v>
      </c>
      <c r="K6260" s="3" t="s">
        <v>22</v>
      </c>
    </row>
    <row r="6261" spans="1:11" ht="42" customHeight="1">
      <c r="A6261" s="2" t="s">
        <v>13039</v>
      </c>
      <c r="B6261" s="2" t="s">
        <v>13040</v>
      </c>
      <c r="C6261" s="2" t="s">
        <v>16</v>
      </c>
      <c r="D6261" s="2" t="s">
        <v>17</v>
      </c>
      <c r="E6261" s="5">
        <v>-31723</v>
      </c>
      <c r="F6261" s="3" t="s">
        <v>273</v>
      </c>
      <c r="G6261" s="3" t="s">
        <v>65</v>
      </c>
      <c r="H6261" s="2" t="s">
        <v>20</v>
      </c>
      <c r="I6261" s="2" t="s">
        <v>13041</v>
      </c>
      <c r="J6261" s="3" t="str">
        <f>HYPERLINK("https://www.boe.es/gazeta/dias/1813/02/21/pdfs/GMD-1813-52.pdf#page=1","Abrir facsímil")</f>
        <v>Abrir facsímil</v>
      </c>
      <c r="K6261" s="3" t="s">
        <v>22</v>
      </c>
    </row>
    <row r="6262" spans="1:11" ht="42" customHeight="1">
      <c r="A6262" s="2" t="s">
        <v>13039</v>
      </c>
      <c r="B6262" s="2" t="s">
        <v>13040</v>
      </c>
      <c r="C6262" s="2" t="s">
        <v>16</v>
      </c>
      <c r="D6262" s="2" t="s">
        <v>17</v>
      </c>
      <c r="E6262" s="5">
        <v>-31723</v>
      </c>
      <c r="F6262" s="3" t="s">
        <v>273</v>
      </c>
      <c r="G6262" s="3" t="s">
        <v>58</v>
      </c>
      <c r="H6262" s="2" t="s">
        <v>20</v>
      </c>
      <c r="I6262" s="2" t="s">
        <v>13042</v>
      </c>
      <c r="J6262" s="3" t="str">
        <f>HYPERLINK("https://www.boe.es/gazeta/dias/1813/02/21/pdfs/GMD-1813-52.pdf#page=2","Abrir facsímil")</f>
        <v>Abrir facsímil</v>
      </c>
      <c r="K6262" s="3" t="s">
        <v>22</v>
      </c>
    </row>
    <row r="6263" spans="1:11" ht="42" customHeight="1">
      <c r="A6263" s="2" t="s">
        <v>13039</v>
      </c>
      <c r="B6263" s="2" t="s">
        <v>13040</v>
      </c>
      <c r="C6263" s="2" t="s">
        <v>16</v>
      </c>
      <c r="D6263" s="2" t="s">
        <v>17</v>
      </c>
      <c r="E6263" s="5">
        <v>-31716</v>
      </c>
      <c r="F6263" s="3" t="s">
        <v>1652</v>
      </c>
      <c r="G6263" s="3" t="s">
        <v>58</v>
      </c>
      <c r="H6263" s="2" t="s">
        <v>20</v>
      </c>
      <c r="I6263" s="2" t="s">
        <v>13043</v>
      </c>
      <c r="J6263" s="3" t="str">
        <f>HYPERLINK("https://www.boe.es/gazeta/dias/1813/02/28/pdfs/GMD-1813-59.pdf#page=2","Abrir facsímil")</f>
        <v>Abrir facsímil</v>
      </c>
      <c r="K6263" s="3" t="s">
        <v>22</v>
      </c>
    </row>
    <row r="6264" spans="1:11" ht="42" customHeight="1">
      <c r="A6264" s="2" t="s">
        <v>13044</v>
      </c>
      <c r="B6264" s="2" t="s">
        <v>13044</v>
      </c>
      <c r="C6264" s="2" t="s">
        <v>16</v>
      </c>
      <c r="D6264" s="2" t="s">
        <v>17</v>
      </c>
      <c r="E6264" s="5">
        <v>-31769</v>
      </c>
      <c r="F6264" s="3" t="s">
        <v>431</v>
      </c>
      <c r="G6264" s="3" t="s">
        <v>65</v>
      </c>
      <c r="H6264" s="2" t="s">
        <v>20</v>
      </c>
      <c r="I6264" s="2" t="s">
        <v>13045</v>
      </c>
      <c r="J6264" s="3" t="str">
        <f>HYPERLINK("https://www.boe.es/gazeta/dias/1813/01/06/pdfs/GMD-1813-6.pdf#page=1","Abrir facsímil")</f>
        <v>Abrir facsímil</v>
      </c>
      <c r="K6264" s="3" t="s">
        <v>22</v>
      </c>
    </row>
    <row r="6265" spans="1:11" ht="42" customHeight="1">
      <c r="A6265" s="2" t="s">
        <v>13044</v>
      </c>
      <c r="B6265" s="2" t="s">
        <v>13044</v>
      </c>
      <c r="C6265" s="2" t="s">
        <v>16</v>
      </c>
      <c r="D6265" s="2" t="s">
        <v>17</v>
      </c>
      <c r="E6265" s="5">
        <v>-31712</v>
      </c>
      <c r="F6265" s="3" t="s">
        <v>3469</v>
      </c>
      <c r="G6265" s="3" t="s">
        <v>65</v>
      </c>
      <c r="H6265" s="2" t="s">
        <v>20</v>
      </c>
      <c r="I6265" s="2" t="s">
        <v>13046</v>
      </c>
      <c r="J6265" s="3" t="str">
        <f>HYPERLINK("https://www.boe.es/gazeta/dias/1813/03/04/pdfs/GRE-1813-28.pdf#page=1","Abrir facsímil")</f>
        <v>Abrir facsímil</v>
      </c>
      <c r="K6265" s="3" t="s">
        <v>22</v>
      </c>
    </row>
    <row r="6266" spans="1:11" ht="42" customHeight="1">
      <c r="A6266" s="2" t="s">
        <v>13044</v>
      </c>
      <c r="B6266" s="2" t="s">
        <v>13044</v>
      </c>
      <c r="C6266" s="2" t="s">
        <v>16</v>
      </c>
      <c r="D6266" s="2" t="s">
        <v>17</v>
      </c>
      <c r="E6266" s="5">
        <v>-31504</v>
      </c>
      <c r="F6266" s="3" t="s">
        <v>1361</v>
      </c>
      <c r="G6266" s="3" t="s">
        <v>54</v>
      </c>
      <c r="H6266" s="2" t="s">
        <v>20</v>
      </c>
      <c r="I6266" s="2" t="s">
        <v>13047</v>
      </c>
      <c r="J6266" s="3" t="str">
        <f>HYPERLINK("https://www.boe.es/gazeta/dias/1813/09/28/pdfs/GMR-1813-50.pdf#page=3","Abrir facsímil")</f>
        <v>Abrir facsímil</v>
      </c>
      <c r="K6266" s="3" t="s">
        <v>22</v>
      </c>
    </row>
    <row r="6267" spans="1:11" ht="42" customHeight="1">
      <c r="A6267" s="2" t="s">
        <v>13044</v>
      </c>
      <c r="B6267" s="2" t="s">
        <v>13044</v>
      </c>
      <c r="C6267" s="2" t="s">
        <v>16</v>
      </c>
      <c r="D6267" s="2" t="s">
        <v>17</v>
      </c>
      <c r="E6267" s="5">
        <v>-31502</v>
      </c>
      <c r="F6267" s="3" t="s">
        <v>1363</v>
      </c>
      <c r="G6267" s="3" t="s">
        <v>82</v>
      </c>
      <c r="H6267" s="2" t="s">
        <v>20</v>
      </c>
      <c r="I6267" s="2" t="s">
        <v>13048</v>
      </c>
      <c r="J6267" s="3" t="str">
        <f>HYPERLINK("https://www.boe.es/gazeta/dias/1813/09/30/pdfs/GRE-1813-128.pdf#page=5","Abrir facsímil")</f>
        <v>Abrir facsímil</v>
      </c>
      <c r="K6267" s="3" t="s">
        <v>22</v>
      </c>
    </row>
    <row r="6268" spans="1:11" ht="42" customHeight="1">
      <c r="A6268" s="2" t="s">
        <v>13044</v>
      </c>
      <c r="B6268" s="2" t="s">
        <v>13044</v>
      </c>
      <c r="C6268" s="2" t="s">
        <v>16</v>
      </c>
      <c r="D6268" s="2" t="s">
        <v>17</v>
      </c>
      <c r="E6268" s="5">
        <v>-31462</v>
      </c>
      <c r="F6268" s="3" t="s">
        <v>1028</v>
      </c>
      <c r="G6268" s="3" t="s">
        <v>95</v>
      </c>
      <c r="H6268" s="2" t="s">
        <v>20</v>
      </c>
      <c r="I6268" s="2" t="s">
        <v>13049</v>
      </c>
      <c r="J6268" s="3" t="str">
        <f>HYPERLINK("https://www.boe.es/gazeta/dias/1813/11/09/pdfs/GMR-1813-71.pdf#page=6","Abrir facsímil")</f>
        <v>Abrir facsímil</v>
      </c>
      <c r="K6268" s="3" t="s">
        <v>22</v>
      </c>
    </row>
    <row r="6269" spans="1:11" ht="42" customHeight="1">
      <c r="A6269" s="2" t="s">
        <v>13044</v>
      </c>
      <c r="B6269" s="2" t="s">
        <v>13044</v>
      </c>
      <c r="C6269" s="2" t="s">
        <v>16</v>
      </c>
      <c r="D6269" s="2" t="s">
        <v>17</v>
      </c>
      <c r="E6269" s="5">
        <v>-31453</v>
      </c>
      <c r="F6269" s="3" t="s">
        <v>887</v>
      </c>
      <c r="G6269" s="3" t="s">
        <v>1897</v>
      </c>
      <c r="H6269" s="2" t="s">
        <v>20</v>
      </c>
      <c r="I6269" s="2" t="s">
        <v>13050</v>
      </c>
      <c r="J6269" s="3" t="str">
        <f>HYPERLINK("https://www.boe.es/gazeta/dias/1813/11/18/pdfs/GMR-1813-76.pdf#page=6","Abrir facsímil")</f>
        <v>Abrir facsímil</v>
      </c>
      <c r="K6269" s="3" t="s">
        <v>22</v>
      </c>
    </row>
    <row r="6270" spans="1:11" ht="42" customHeight="1">
      <c r="A6270" s="2" t="s">
        <v>13044</v>
      </c>
      <c r="B6270" s="2" t="s">
        <v>13044</v>
      </c>
      <c r="C6270" s="2" t="s">
        <v>16</v>
      </c>
      <c r="D6270" s="2" t="s">
        <v>17</v>
      </c>
      <c r="E6270" s="5">
        <v>-31453</v>
      </c>
      <c r="F6270" s="3" t="s">
        <v>887</v>
      </c>
      <c r="G6270" s="3" t="s">
        <v>2210</v>
      </c>
      <c r="H6270" s="2" t="s">
        <v>20</v>
      </c>
      <c r="I6270" s="2" t="s">
        <v>13051</v>
      </c>
      <c r="J6270" s="3" t="str">
        <f>HYPERLINK("https://www.boe.es/gazeta/dias/1813/11/18/pdfs/GMR-1813-76.pdf#page=9","Abrir facsímil")</f>
        <v>Abrir facsímil</v>
      </c>
      <c r="K6270" s="3" t="s">
        <v>22</v>
      </c>
    </row>
    <row r="6271" spans="1:11" ht="42" customHeight="1">
      <c r="A6271" s="2" t="s">
        <v>13044</v>
      </c>
      <c r="B6271" s="2" t="s">
        <v>13044</v>
      </c>
      <c r="C6271" s="2" t="s">
        <v>16</v>
      </c>
      <c r="D6271" s="2" t="s">
        <v>17</v>
      </c>
      <c r="E6271" s="5">
        <v>-31453</v>
      </c>
      <c r="F6271" s="3" t="s">
        <v>887</v>
      </c>
      <c r="G6271" s="3" t="s">
        <v>58</v>
      </c>
      <c r="H6271" s="2" t="s">
        <v>20</v>
      </c>
      <c r="I6271" s="2" t="s">
        <v>13052</v>
      </c>
      <c r="J6271" s="3" t="str">
        <f>HYPERLINK("https://www.boe.es/gazeta/dias/1813/11/18/pdfs/GMR-1813-76.pdf#page=2","Abrir facsímil")</f>
        <v>Abrir facsímil</v>
      </c>
      <c r="K6271" s="3" t="s">
        <v>22</v>
      </c>
    </row>
    <row r="6272" spans="1:11" ht="42" customHeight="1">
      <c r="A6272" s="2" t="s">
        <v>13044</v>
      </c>
      <c r="B6272" s="2" t="s">
        <v>13044</v>
      </c>
      <c r="C6272" s="2" t="s">
        <v>16</v>
      </c>
      <c r="D6272" s="2" t="s">
        <v>17</v>
      </c>
      <c r="E6272" s="5">
        <v>-31453</v>
      </c>
      <c r="F6272" s="3" t="s">
        <v>887</v>
      </c>
      <c r="G6272" s="3" t="s">
        <v>54</v>
      </c>
      <c r="H6272" s="2" t="s">
        <v>20</v>
      </c>
      <c r="I6272" s="2" t="s">
        <v>13053</v>
      </c>
      <c r="J6272" s="3" t="str">
        <f>HYPERLINK("https://www.boe.es/gazeta/dias/1813/11/18/pdfs/GMR-1813-76.pdf#page=3","Abrir facsímil")</f>
        <v>Abrir facsímil</v>
      </c>
      <c r="K6272" s="3" t="s">
        <v>22</v>
      </c>
    </row>
    <row r="6273" spans="1:11" ht="42" customHeight="1">
      <c r="A6273" s="2" t="s">
        <v>13044</v>
      </c>
      <c r="B6273" s="2" t="s">
        <v>13044</v>
      </c>
      <c r="C6273" s="2" t="s">
        <v>16</v>
      </c>
      <c r="D6273" s="2" t="s">
        <v>17</v>
      </c>
      <c r="E6273" s="5">
        <v>-31453</v>
      </c>
      <c r="F6273" s="3" t="s">
        <v>887</v>
      </c>
      <c r="G6273" s="3" t="s">
        <v>19</v>
      </c>
      <c r="H6273" s="2" t="s">
        <v>20</v>
      </c>
      <c r="I6273" s="2" t="s">
        <v>13054</v>
      </c>
      <c r="J6273" s="3" t="str">
        <f>HYPERLINK("https://www.boe.es/gazeta/dias/1813/11/18/pdfs/GMR-1813-76.pdf#page=4","Abrir facsímil")</f>
        <v>Abrir facsímil</v>
      </c>
      <c r="K6273" s="3" t="s">
        <v>22</v>
      </c>
    </row>
    <row r="6274" spans="1:11" ht="42" customHeight="1">
      <c r="A6274" s="2" t="s">
        <v>13044</v>
      </c>
      <c r="B6274" s="2" t="s">
        <v>13044</v>
      </c>
      <c r="C6274" s="2" t="s">
        <v>16</v>
      </c>
      <c r="D6274" s="2" t="s">
        <v>17</v>
      </c>
      <c r="E6274" s="5">
        <v>-31453</v>
      </c>
      <c r="F6274" s="3" t="s">
        <v>887</v>
      </c>
      <c r="G6274" s="3" t="s">
        <v>28</v>
      </c>
      <c r="H6274" s="2" t="s">
        <v>20</v>
      </c>
      <c r="I6274" s="2" t="s">
        <v>13055</v>
      </c>
      <c r="J6274" s="3" t="str">
        <f>HYPERLINK("https://www.boe.es/gazeta/dias/1813/11/18/pdfs/GMR-1813-76.pdf#page=8","Abrir facsímil")</f>
        <v>Abrir facsímil</v>
      </c>
      <c r="K6274" s="3" t="s">
        <v>22</v>
      </c>
    </row>
    <row r="6275" spans="1:11" ht="42" customHeight="1">
      <c r="A6275" s="2" t="s">
        <v>13044</v>
      </c>
      <c r="B6275" s="2" t="s">
        <v>13044</v>
      </c>
      <c r="C6275" s="2" t="s">
        <v>16</v>
      </c>
      <c r="D6275" s="2" t="s">
        <v>17</v>
      </c>
      <c r="E6275" s="5">
        <v>-31448</v>
      </c>
      <c r="F6275" s="3" t="s">
        <v>325</v>
      </c>
      <c r="G6275" s="3" t="s">
        <v>28</v>
      </c>
      <c r="H6275" s="2" t="s">
        <v>20</v>
      </c>
      <c r="I6275" s="2" t="s">
        <v>13056</v>
      </c>
      <c r="J6275" s="3" t="str">
        <f>HYPERLINK("https://www.boe.es/gazeta/dias/1813/11/23/pdfs/GMR-1813-78.pdf#page=8","Abrir facsímil")</f>
        <v>Abrir facsímil</v>
      </c>
      <c r="K6275" s="3" t="s">
        <v>22</v>
      </c>
    </row>
    <row r="6276" spans="1:11" ht="42" customHeight="1">
      <c r="A6276" s="2" t="s">
        <v>13044</v>
      </c>
      <c r="B6276" s="2" t="s">
        <v>13044</v>
      </c>
      <c r="C6276" s="2" t="s">
        <v>16</v>
      </c>
      <c r="D6276" s="2" t="s">
        <v>17</v>
      </c>
      <c r="E6276" s="5">
        <v>-31448</v>
      </c>
      <c r="F6276" s="3" t="s">
        <v>57</v>
      </c>
      <c r="G6276" s="3" t="s">
        <v>87</v>
      </c>
      <c r="H6276" s="2" t="s">
        <v>20</v>
      </c>
      <c r="I6276" s="2" t="s">
        <v>13057</v>
      </c>
      <c r="J6276" s="3" t="str">
        <f>HYPERLINK("https://www.boe.es/gazeta/dias/1813/11/23/pdfs/GRE-1813-153.pdf#page=7","Abrir facsímil")</f>
        <v>Abrir facsímil</v>
      </c>
      <c r="K6276" s="3" t="s">
        <v>22</v>
      </c>
    </row>
    <row r="6277" spans="1:11" ht="42" customHeight="1">
      <c r="A6277" s="2" t="s">
        <v>13044</v>
      </c>
      <c r="B6277" s="2" t="s">
        <v>13044</v>
      </c>
      <c r="C6277" s="2" t="s">
        <v>16</v>
      </c>
      <c r="D6277" s="2" t="s">
        <v>17</v>
      </c>
      <c r="E6277" s="5">
        <v>-31444</v>
      </c>
      <c r="F6277" s="3" t="s">
        <v>389</v>
      </c>
      <c r="G6277" s="3" t="s">
        <v>1365</v>
      </c>
      <c r="H6277" s="2" t="s">
        <v>20</v>
      </c>
      <c r="I6277" s="2" t="s">
        <v>13058</v>
      </c>
      <c r="J6277" s="3" t="str">
        <f>HYPERLINK("https://www.boe.es/gazeta/dias/1813/11/27/pdfs/GMR-1813-80.pdf#page=5","Abrir facsímil")</f>
        <v>Abrir facsímil</v>
      </c>
      <c r="K6277" s="3" t="s">
        <v>22</v>
      </c>
    </row>
    <row r="6278" spans="1:11" ht="42" customHeight="1">
      <c r="A6278" s="2" t="s">
        <v>13059</v>
      </c>
      <c r="B6278" s="2" t="s">
        <v>13060</v>
      </c>
      <c r="C6278" s="2" t="s">
        <v>16</v>
      </c>
      <c r="D6278" s="2" t="s">
        <v>17</v>
      </c>
      <c r="E6278" s="5">
        <v>-31700</v>
      </c>
      <c r="F6278" s="3" t="s">
        <v>778</v>
      </c>
      <c r="G6278" s="3" t="s">
        <v>65</v>
      </c>
      <c r="H6278" s="2" t="s">
        <v>20</v>
      </c>
      <c r="I6278" s="2" t="s">
        <v>13061</v>
      </c>
      <c r="J6278" s="3" t="str">
        <f>HYPERLINK("https://www.boe.es/gazeta/dias/1813/03/16/pdfs/GMD-1813-75.pdf#page=1","Abrir facsímil")</f>
        <v>Abrir facsímil</v>
      </c>
      <c r="K6278" s="3" t="s">
        <v>22</v>
      </c>
    </row>
    <row r="6279" spans="1:11" ht="42" customHeight="1">
      <c r="A6279" s="2" t="s">
        <v>13062</v>
      </c>
      <c r="B6279" s="2" t="s">
        <v>13062</v>
      </c>
      <c r="C6279" s="2" t="s">
        <v>16</v>
      </c>
      <c r="D6279" s="2" t="s">
        <v>17</v>
      </c>
      <c r="E6279" s="5">
        <v>-31582</v>
      </c>
      <c r="F6279" s="3" t="s">
        <v>907</v>
      </c>
      <c r="G6279" s="3" t="s">
        <v>65</v>
      </c>
      <c r="H6279" s="2" t="s">
        <v>20</v>
      </c>
      <c r="I6279" s="2" t="s">
        <v>13063</v>
      </c>
      <c r="J6279" s="3" t="str">
        <f>HYPERLINK("https://www.boe.es/gazeta/dias/1813/07/12/pdfs/GRE-1813-87.pdf#page=1","Abrir facsímil")</f>
        <v>Abrir facsímil</v>
      </c>
      <c r="K6279" s="3" t="s">
        <v>22</v>
      </c>
    </row>
    <row r="6280" spans="1:11" ht="42" customHeight="1">
      <c r="A6280" s="2" t="s">
        <v>13062</v>
      </c>
      <c r="B6280" s="2" t="s">
        <v>13062</v>
      </c>
      <c r="C6280" s="2" t="s">
        <v>16</v>
      </c>
      <c r="D6280" s="2" t="s">
        <v>17</v>
      </c>
      <c r="E6280" s="5">
        <v>-31574</v>
      </c>
      <c r="F6280" s="3" t="s">
        <v>1343</v>
      </c>
      <c r="G6280" s="3" t="s">
        <v>313</v>
      </c>
      <c r="H6280" s="2" t="s">
        <v>20</v>
      </c>
      <c r="I6280" s="2" t="s">
        <v>13064</v>
      </c>
      <c r="J6280" s="3" t="str">
        <f>HYPERLINK("https://www.boe.es/gazeta/dias/1813/07/20/pdfs/GMR-1813-19.pdf#page=9","Abrir facsímil")</f>
        <v>Abrir facsímil</v>
      </c>
      <c r="K6280" s="3" t="s">
        <v>22</v>
      </c>
    </row>
    <row r="6281" spans="1:11" ht="42" customHeight="1">
      <c r="A6281" s="2" t="s">
        <v>13065</v>
      </c>
      <c r="B6281" s="2" t="s">
        <v>13065</v>
      </c>
      <c r="C6281" s="2" t="s">
        <v>16</v>
      </c>
      <c r="D6281" s="2" t="s">
        <v>17</v>
      </c>
      <c r="E6281" s="5">
        <v>-31598</v>
      </c>
      <c r="F6281" s="3" t="s">
        <v>286</v>
      </c>
      <c r="G6281" s="3" t="s">
        <v>87</v>
      </c>
      <c r="H6281" s="2" t="s">
        <v>20</v>
      </c>
      <c r="I6281" s="2" t="s">
        <v>13066</v>
      </c>
      <c r="J6281" s="3" t="str">
        <f>HYPERLINK("https://www.boe.es/gazeta/dias/1813/06/26/pdfs/GRE-1813-79.pdf#page=7","Abrir facsímil")</f>
        <v>Abrir facsímil</v>
      </c>
      <c r="K6281" s="3" t="s">
        <v>22</v>
      </c>
    </row>
    <row r="6282" spans="1:11" ht="42" customHeight="1">
      <c r="A6282" s="2" t="s">
        <v>13067</v>
      </c>
      <c r="B6282" s="2" t="s">
        <v>13067</v>
      </c>
      <c r="C6282" s="2" t="s">
        <v>277</v>
      </c>
      <c r="D6282" s="2" t="s">
        <v>26</v>
      </c>
      <c r="E6282" s="5">
        <v>-31416</v>
      </c>
      <c r="F6282" s="3" t="s">
        <v>110</v>
      </c>
      <c r="G6282" s="3" t="s">
        <v>58</v>
      </c>
      <c r="H6282" s="2" t="s">
        <v>20</v>
      </c>
      <c r="I6282" s="2" t="s">
        <v>13068</v>
      </c>
      <c r="J6282" s="3" t="str">
        <f>HYPERLINK("https://www.boe.es/gazeta/dias/1813/12/25/pdfs/GRE-1813-169.pdf#page=2","Abrir facsímil")</f>
        <v>Abrir facsímil</v>
      </c>
      <c r="K6282" s="3" t="s">
        <v>22</v>
      </c>
    </row>
    <row r="6283" spans="1:11" ht="42" customHeight="1">
      <c r="A6283" s="2" t="s">
        <v>13069</v>
      </c>
      <c r="B6283" s="2" t="s">
        <v>13069</v>
      </c>
      <c r="C6283" s="2" t="s">
        <v>16</v>
      </c>
      <c r="D6283" s="2" t="s">
        <v>17</v>
      </c>
      <c r="E6283" s="5">
        <v>-31749</v>
      </c>
      <c r="F6283" s="3" t="s">
        <v>3765</v>
      </c>
      <c r="G6283" s="3" t="s">
        <v>65</v>
      </c>
      <c r="H6283" s="2" t="s">
        <v>20</v>
      </c>
      <c r="I6283" s="2" t="s">
        <v>13070</v>
      </c>
      <c r="J6283" s="3" t="str">
        <f>HYPERLINK("https://www.boe.es/gazeta/dias/1813/01/26/pdfs/GMD-1813-26.pdf#page=1","Abrir facsímil")</f>
        <v>Abrir facsímil</v>
      </c>
      <c r="K6283" s="3" t="s">
        <v>22</v>
      </c>
    </row>
    <row r="6284" spans="1:11" ht="42" customHeight="1">
      <c r="A6284" s="2" t="s">
        <v>13071</v>
      </c>
      <c r="B6284" s="2" t="s">
        <v>13071</v>
      </c>
      <c r="C6284" s="2" t="s">
        <v>16</v>
      </c>
      <c r="D6284" s="2" t="s">
        <v>17</v>
      </c>
      <c r="E6284" s="5">
        <v>-31700</v>
      </c>
      <c r="F6284" s="3" t="s">
        <v>778</v>
      </c>
      <c r="G6284" s="3" t="s">
        <v>65</v>
      </c>
      <c r="H6284" s="2" t="s">
        <v>20</v>
      </c>
      <c r="I6284" s="2" t="s">
        <v>13072</v>
      </c>
      <c r="J6284" s="3" t="str">
        <f>HYPERLINK("https://www.boe.es/gazeta/dias/1813/03/16/pdfs/GMD-1813-75.pdf#page=1","Abrir facsímil")</f>
        <v>Abrir facsímil</v>
      </c>
      <c r="K6284" s="3" t="s">
        <v>22</v>
      </c>
    </row>
    <row r="6285" spans="1:11" ht="42" customHeight="1">
      <c r="A6285" s="2" t="s">
        <v>13073</v>
      </c>
      <c r="B6285" s="2" t="s">
        <v>13073</v>
      </c>
      <c r="C6285" s="2" t="s">
        <v>16</v>
      </c>
      <c r="D6285" s="2" t="s">
        <v>17</v>
      </c>
      <c r="E6285" s="5">
        <v>-31626</v>
      </c>
      <c r="F6285" s="3" t="s">
        <v>64</v>
      </c>
      <c r="G6285" s="3" t="s">
        <v>265</v>
      </c>
      <c r="H6285" s="2" t="s">
        <v>20</v>
      </c>
      <c r="I6285" s="2" t="s">
        <v>13074</v>
      </c>
      <c r="J6285" s="3" t="str">
        <f>HYPERLINK("https://www.boe.es/gazeta/dias/1813/05/29/pdfs/GRE-1813-66.pdf#page=2","Abrir facsímil")</f>
        <v>Abrir facsímil</v>
      </c>
      <c r="K6285" s="3" t="s">
        <v>22</v>
      </c>
    </row>
    <row r="6286" spans="1:11" ht="42" customHeight="1">
      <c r="A6286" s="2" t="s">
        <v>13073</v>
      </c>
      <c r="B6286" s="2" t="s">
        <v>13073</v>
      </c>
      <c r="C6286" s="2" t="s">
        <v>16</v>
      </c>
      <c r="D6286" s="2" t="s">
        <v>17</v>
      </c>
      <c r="E6286" s="5">
        <v>-31626</v>
      </c>
      <c r="F6286" s="3" t="s">
        <v>64</v>
      </c>
      <c r="G6286" s="3" t="s">
        <v>3978</v>
      </c>
      <c r="H6286" s="2" t="s">
        <v>20</v>
      </c>
      <c r="I6286" s="2" t="s">
        <v>13075</v>
      </c>
      <c r="J6286" s="3" t="str">
        <f>HYPERLINK("https://www.boe.es/gazeta/dias/1813/05/29/pdfs/GRE-1813-66.pdf#page=4","Abrir facsímil")</f>
        <v>Abrir facsímil</v>
      </c>
      <c r="K6286" s="3" t="s">
        <v>22</v>
      </c>
    </row>
    <row r="6287" spans="1:11" ht="42" customHeight="1">
      <c r="A6287" s="2" t="s">
        <v>13073</v>
      </c>
      <c r="B6287" s="2" t="s">
        <v>13073</v>
      </c>
      <c r="C6287" s="2" t="s">
        <v>16</v>
      </c>
      <c r="D6287" s="2" t="s">
        <v>17</v>
      </c>
      <c r="E6287" s="5">
        <v>-31626</v>
      </c>
      <c r="F6287" s="3" t="s">
        <v>64</v>
      </c>
      <c r="G6287" s="3" t="s">
        <v>54</v>
      </c>
      <c r="H6287" s="2" t="s">
        <v>20</v>
      </c>
      <c r="I6287" s="2" t="s">
        <v>13076</v>
      </c>
      <c r="J6287" s="3" t="str">
        <f>HYPERLINK("https://www.boe.es/gazeta/dias/1813/05/29/pdfs/GRE-1813-66.pdf#page=3","Abrir facsímil")</f>
        <v>Abrir facsímil</v>
      </c>
      <c r="K6287" s="3" t="s">
        <v>22</v>
      </c>
    </row>
    <row r="6288" spans="1:11" ht="42" customHeight="1">
      <c r="A6288" s="2" t="s">
        <v>13077</v>
      </c>
      <c r="B6288" s="2" t="s">
        <v>13078</v>
      </c>
      <c r="C6288" s="2" t="s">
        <v>277</v>
      </c>
      <c r="D6288" s="2" t="s">
        <v>26</v>
      </c>
      <c r="E6288" s="5">
        <v>-31724</v>
      </c>
      <c r="F6288" s="3" t="s">
        <v>684</v>
      </c>
      <c r="G6288" s="3" t="s">
        <v>1495</v>
      </c>
      <c r="H6288" s="2" t="s">
        <v>20</v>
      </c>
      <c r="I6288" s="2" t="s">
        <v>13079</v>
      </c>
      <c r="J6288" s="3" t="str">
        <f>HYPERLINK("https://www.boe.es/gazeta/dias/1813/02/20/pdfs/GMD-1813-51.pdf#page=4","Abrir facsímil")</f>
        <v>Abrir facsímil</v>
      </c>
      <c r="K6288" s="3" t="s">
        <v>22</v>
      </c>
    </row>
    <row r="6289" spans="1:11" ht="42" customHeight="1">
      <c r="A6289" s="2" t="s">
        <v>13080</v>
      </c>
      <c r="B6289" s="2" t="s">
        <v>13081</v>
      </c>
      <c r="C6289" s="2" t="s">
        <v>16</v>
      </c>
      <c r="D6289" s="2" t="s">
        <v>97</v>
      </c>
      <c r="E6289" s="5">
        <v>-31670</v>
      </c>
      <c r="F6289" s="3" t="s">
        <v>98</v>
      </c>
      <c r="G6289" s="3" t="s">
        <v>28</v>
      </c>
      <c r="H6289" s="2" t="s">
        <v>20</v>
      </c>
      <c r="I6289" s="2" t="s">
        <v>13082</v>
      </c>
      <c r="J6289" s="3" t="str">
        <f>HYPERLINK("https://www.boe.es/gazeta/dias/1813/04/15/pdfs/GRE-1813-47E.pdf#page=8","Abrir facsímil")</f>
        <v>Abrir facsímil</v>
      </c>
      <c r="K6289" s="3" t="s">
        <v>22</v>
      </c>
    </row>
    <row r="6290" spans="1:11" ht="42" customHeight="1">
      <c r="A6290" s="2" t="s">
        <v>13080</v>
      </c>
      <c r="B6290" s="2" t="s">
        <v>13081</v>
      </c>
      <c r="C6290" s="2" t="s">
        <v>16</v>
      </c>
      <c r="D6290" s="2" t="s">
        <v>17</v>
      </c>
      <c r="E6290" s="5">
        <v>-31521</v>
      </c>
      <c r="F6290" s="3" t="s">
        <v>1282</v>
      </c>
      <c r="G6290" s="3" t="s">
        <v>95</v>
      </c>
      <c r="H6290" s="2" t="s">
        <v>20</v>
      </c>
      <c r="I6290" s="2" t="s">
        <v>13083</v>
      </c>
      <c r="J6290" s="3" t="str">
        <f>HYPERLINK("https://www.boe.es/gazeta/dias/1813/09/11/pdfs/GMR-1813-41.pdf#page=6","Abrir facsímil")</f>
        <v>Abrir facsímil</v>
      </c>
      <c r="K6290" s="3" t="s">
        <v>22</v>
      </c>
    </row>
    <row r="6291" spans="1:11" ht="42" customHeight="1">
      <c r="A6291" s="2" t="s">
        <v>13080</v>
      </c>
      <c r="B6291" s="2" t="s">
        <v>13081</v>
      </c>
      <c r="C6291" s="2" t="s">
        <v>16</v>
      </c>
      <c r="D6291" s="2" t="s">
        <v>97</v>
      </c>
      <c r="E6291" s="5">
        <v>-31519</v>
      </c>
      <c r="F6291" s="3" t="s">
        <v>312</v>
      </c>
      <c r="G6291" s="3" t="s">
        <v>82</v>
      </c>
      <c r="H6291" s="2" t="s">
        <v>20</v>
      </c>
      <c r="I6291" s="2" t="s">
        <v>13084</v>
      </c>
      <c r="J6291" s="3" t="str">
        <f>HYPERLINK("https://www.boe.es/gazeta/dias/1813/09/13/pdfs/GRE-1813-118E.pdf#page=5","Abrir facsímil")</f>
        <v>Abrir facsímil</v>
      </c>
      <c r="K6291" s="3" t="s">
        <v>22</v>
      </c>
    </row>
    <row r="6292" spans="1:11" ht="42" customHeight="1">
      <c r="A6292" s="2" t="s">
        <v>13085</v>
      </c>
      <c r="B6292" s="2" t="s">
        <v>13086</v>
      </c>
      <c r="C6292" s="2" t="s">
        <v>16</v>
      </c>
      <c r="D6292" s="2" t="s">
        <v>17</v>
      </c>
      <c r="E6292" s="5">
        <v>-31481</v>
      </c>
      <c r="F6292" s="3" t="s">
        <v>40</v>
      </c>
      <c r="G6292" s="3" t="s">
        <v>87</v>
      </c>
      <c r="H6292" s="2" t="s">
        <v>20</v>
      </c>
      <c r="I6292" s="2" t="s">
        <v>13087</v>
      </c>
      <c r="J6292" s="3" t="str">
        <f>HYPERLINK("https://www.boe.es/gazeta/dias/1813/10/21/pdfs/GMR-1813-62.pdf#page=7","Abrir facsímil")</f>
        <v>Abrir facsímil</v>
      </c>
      <c r="K6292" s="3" t="s">
        <v>22</v>
      </c>
    </row>
    <row r="6293" spans="1:11" ht="42" customHeight="1">
      <c r="A6293" s="2" t="s">
        <v>13080</v>
      </c>
      <c r="B6293" s="2" t="s">
        <v>13081</v>
      </c>
      <c r="C6293" s="2" t="s">
        <v>16</v>
      </c>
      <c r="D6293" s="2" t="s">
        <v>97</v>
      </c>
      <c r="E6293" s="5">
        <v>-31479</v>
      </c>
      <c r="F6293" s="3" t="s">
        <v>290</v>
      </c>
      <c r="G6293" s="3" t="s">
        <v>65</v>
      </c>
      <c r="H6293" s="2" t="s">
        <v>20</v>
      </c>
      <c r="I6293" s="2" t="s">
        <v>13088</v>
      </c>
      <c r="J6293" s="3" t="str">
        <f>HYPERLINK("https://www.boe.es/gazeta/dias/1813/10/23/pdfs/GRE-1813-139E.pdf#page=1","Abrir facsímil")</f>
        <v>Abrir facsímil</v>
      </c>
      <c r="K6293" s="3" t="s">
        <v>22</v>
      </c>
    </row>
    <row r="6294" spans="1:11" ht="42" customHeight="1">
      <c r="A6294" s="2" t="s">
        <v>13080</v>
      </c>
      <c r="B6294" s="2" t="s">
        <v>13081</v>
      </c>
      <c r="C6294" s="2" t="s">
        <v>25</v>
      </c>
      <c r="D6294" s="2" t="s">
        <v>26</v>
      </c>
      <c r="E6294" s="5">
        <v>-31432</v>
      </c>
      <c r="F6294" s="3" t="s">
        <v>702</v>
      </c>
      <c r="G6294" s="3" t="s">
        <v>54</v>
      </c>
      <c r="H6294" s="2" t="s">
        <v>20</v>
      </c>
      <c r="I6294" s="2" t="s">
        <v>13089</v>
      </c>
      <c r="J6294" s="3" t="str">
        <f>HYPERLINK("https://www.boe.es/gazeta/dias/1813/12/09/pdfs/GMR-1813-85.pdf#page=3","Abrir facsímil")</f>
        <v>Abrir facsímil</v>
      </c>
      <c r="K6294" s="3" t="s">
        <v>22</v>
      </c>
    </row>
    <row r="6295" spans="1:11" ht="42" customHeight="1">
      <c r="A6295" s="2" t="s">
        <v>13090</v>
      </c>
      <c r="B6295" s="2" t="s">
        <v>13090</v>
      </c>
      <c r="C6295" s="2" t="s">
        <v>16</v>
      </c>
      <c r="D6295" s="2" t="s">
        <v>17</v>
      </c>
      <c r="E6295" s="5">
        <v>-31738</v>
      </c>
      <c r="F6295" s="3" t="s">
        <v>556</v>
      </c>
      <c r="G6295" s="3" t="s">
        <v>3260</v>
      </c>
      <c r="H6295" s="2" t="s">
        <v>20</v>
      </c>
      <c r="I6295" s="2" t="s">
        <v>13091</v>
      </c>
      <c r="J6295" s="3" t="str">
        <f>HYPERLINK("https://www.boe.es/gazeta/dias/1813/02/06/pdfs/GRE-1813-16.pdf#page=7","Abrir facsímil")</f>
        <v>Abrir facsímil</v>
      </c>
      <c r="K6295" s="3" t="s">
        <v>22</v>
      </c>
    </row>
    <row r="6296" spans="1:11" ht="42" customHeight="1">
      <c r="A6296" s="2" t="s">
        <v>13092</v>
      </c>
      <c r="B6296" s="2" t="s">
        <v>13093</v>
      </c>
      <c r="C6296" s="2" t="s">
        <v>16</v>
      </c>
      <c r="D6296" s="2" t="s">
        <v>17</v>
      </c>
      <c r="E6296" s="5">
        <v>-31738</v>
      </c>
      <c r="F6296" s="3" t="s">
        <v>556</v>
      </c>
      <c r="G6296" s="3" t="s">
        <v>3260</v>
      </c>
      <c r="H6296" s="2" t="s">
        <v>20</v>
      </c>
      <c r="I6296" s="2" t="s">
        <v>13094</v>
      </c>
      <c r="J6296" s="3" t="str">
        <f>HYPERLINK("https://www.boe.es/gazeta/dias/1813/02/06/pdfs/GRE-1813-16.pdf#page=7","Abrir facsímil")</f>
        <v>Abrir facsímil</v>
      </c>
      <c r="K6296" s="3" t="s">
        <v>22</v>
      </c>
    </row>
    <row r="6297" spans="1:11" ht="42" customHeight="1">
      <c r="A6297" s="2" t="s">
        <v>13095</v>
      </c>
      <c r="B6297" s="2" t="s">
        <v>13096</v>
      </c>
      <c r="C6297" s="2" t="s">
        <v>34</v>
      </c>
      <c r="D6297" s="2" t="s">
        <v>35</v>
      </c>
      <c r="E6297" s="5">
        <v>-31539</v>
      </c>
      <c r="F6297" s="3" t="s">
        <v>1316</v>
      </c>
      <c r="G6297" s="3" t="s">
        <v>28</v>
      </c>
      <c r="H6297" s="2" t="s">
        <v>20</v>
      </c>
      <c r="I6297" s="2" t="s">
        <v>13097</v>
      </c>
      <c r="J6297" s="3" t="str">
        <f>HYPERLINK("https://www.boe.es/gazeta/dias/1813/08/24/pdfs/GMR-1813-32.pdf#page=8","Abrir facsímil")</f>
        <v>Abrir facsímil</v>
      </c>
      <c r="K6297" s="3" t="s">
        <v>22</v>
      </c>
    </row>
    <row r="6298" spans="1:11" ht="42" customHeight="1">
      <c r="A6298" s="2" t="s">
        <v>13098</v>
      </c>
      <c r="B6298" s="2" t="s">
        <v>13099</v>
      </c>
      <c r="C6298" s="2" t="s">
        <v>25</v>
      </c>
      <c r="D6298" s="2" t="s">
        <v>26</v>
      </c>
      <c r="E6298" s="5">
        <v>-31677</v>
      </c>
      <c r="F6298" s="3" t="s">
        <v>76</v>
      </c>
      <c r="G6298" s="3" t="s">
        <v>28</v>
      </c>
      <c r="H6298" s="2" t="s">
        <v>20</v>
      </c>
      <c r="I6298" s="2" t="s">
        <v>13100</v>
      </c>
      <c r="J6298" s="3" t="str">
        <f>HYPERLINK("https://www.boe.es/gazeta/dias/1813/04/08/pdfs/GRE-1813-43.pdf#page=8","Abrir facsímil")</f>
        <v>Abrir facsímil</v>
      </c>
      <c r="K6298" s="3" t="s">
        <v>22</v>
      </c>
    </row>
    <row r="6299" spans="1:11" ht="42" customHeight="1">
      <c r="A6299" s="2" t="s">
        <v>13101</v>
      </c>
      <c r="B6299" s="2" t="s">
        <v>13102</v>
      </c>
      <c r="C6299" s="2" t="s">
        <v>16</v>
      </c>
      <c r="D6299" s="2" t="s">
        <v>17</v>
      </c>
      <c r="E6299" s="5">
        <v>-31532</v>
      </c>
      <c r="F6299" s="3" t="s">
        <v>215</v>
      </c>
      <c r="G6299" s="3" t="s">
        <v>82</v>
      </c>
      <c r="H6299" s="2" t="s">
        <v>20</v>
      </c>
      <c r="I6299" s="2" t="s">
        <v>13103</v>
      </c>
      <c r="J6299" s="3" t="str">
        <f>HYPERLINK("https://www.boe.es/gazeta/dias/1813/08/31/pdfs/GRE-1813-111.pdf#page=5","Abrir facsímil")</f>
        <v>Abrir facsímil</v>
      </c>
      <c r="K6299" s="3" t="s">
        <v>22</v>
      </c>
    </row>
    <row r="6300" spans="1:11" ht="42" customHeight="1">
      <c r="A6300" s="2" t="s">
        <v>13104</v>
      </c>
      <c r="B6300" s="2" t="s">
        <v>13105</v>
      </c>
      <c r="C6300" s="2" t="s">
        <v>34</v>
      </c>
      <c r="D6300" s="2" t="s">
        <v>35</v>
      </c>
      <c r="E6300" s="5">
        <v>-31709</v>
      </c>
      <c r="F6300" s="3" t="s">
        <v>36</v>
      </c>
      <c r="G6300" s="3" t="s">
        <v>303</v>
      </c>
      <c r="H6300" s="2" t="s">
        <v>20</v>
      </c>
      <c r="I6300" s="2" t="s">
        <v>13106</v>
      </c>
      <c r="J6300" s="3" t="str">
        <f>HYPERLINK("https://www.boe.es/gazeta/dias/1813/03/07/pdfs/GMD-1813-66.pdf#page=3","Abrir facsímil")</f>
        <v>Abrir facsímil</v>
      </c>
      <c r="K6300" s="3" t="s">
        <v>22</v>
      </c>
    </row>
    <row r="6301" spans="1:11" ht="42" customHeight="1">
      <c r="A6301" s="2" t="s">
        <v>13107</v>
      </c>
      <c r="B6301" s="2" t="s">
        <v>13108</v>
      </c>
      <c r="C6301" s="2" t="s">
        <v>16</v>
      </c>
      <c r="D6301" s="2" t="s">
        <v>17</v>
      </c>
      <c r="E6301" s="5">
        <v>-31630</v>
      </c>
      <c r="F6301" s="3" t="s">
        <v>1324</v>
      </c>
      <c r="G6301" s="3" t="s">
        <v>3731</v>
      </c>
      <c r="H6301" s="2" t="s">
        <v>20</v>
      </c>
      <c r="I6301" s="2" t="s">
        <v>13109</v>
      </c>
      <c r="J6301" s="3" t="str">
        <f>HYPERLINK("https://www.boe.es/gazeta/dias/1813/05/25/pdfs/GRE-1813-64.pdf#page=7","Abrir facsímil")</f>
        <v>Abrir facsímil</v>
      </c>
      <c r="K6301" s="3" t="s">
        <v>22</v>
      </c>
    </row>
    <row r="6302" spans="1:11" ht="42" customHeight="1">
      <c r="A6302" s="2" t="s">
        <v>13110</v>
      </c>
      <c r="B6302" s="2" t="s">
        <v>13111</v>
      </c>
      <c r="C6302" s="2" t="s">
        <v>25</v>
      </c>
      <c r="D6302" s="2" t="s">
        <v>26</v>
      </c>
      <c r="E6302" s="5">
        <v>-31560</v>
      </c>
      <c r="F6302" s="3" t="s">
        <v>1233</v>
      </c>
      <c r="G6302" s="3" t="s">
        <v>87</v>
      </c>
      <c r="H6302" s="2" t="s">
        <v>20</v>
      </c>
      <c r="I6302" s="2" t="s">
        <v>13112</v>
      </c>
      <c r="J6302" s="3" t="str">
        <f>HYPERLINK("https://www.boe.es/gazeta/dias/1813/08/03/pdfs/GMR-1813-23.pdf#page=7","Abrir facsímil")</f>
        <v>Abrir facsímil</v>
      </c>
      <c r="K6302" s="3" t="s">
        <v>22</v>
      </c>
    </row>
    <row r="6303" spans="1:11" ht="42" customHeight="1">
      <c r="A6303" s="2" t="s">
        <v>13113</v>
      </c>
      <c r="B6303" s="2" t="s">
        <v>13114</v>
      </c>
      <c r="C6303" s="2" t="s">
        <v>435</v>
      </c>
      <c r="D6303" s="2" t="s">
        <v>26</v>
      </c>
      <c r="E6303" s="5">
        <v>-31479</v>
      </c>
      <c r="F6303" s="3" t="s">
        <v>322</v>
      </c>
      <c r="G6303" s="3" t="s">
        <v>1307</v>
      </c>
      <c r="H6303" s="2" t="s">
        <v>20</v>
      </c>
      <c r="I6303" s="2" t="s">
        <v>13115</v>
      </c>
      <c r="J6303" s="3" t="str">
        <f>HYPERLINK("https://www.boe.es/gazeta/dias/1813/10/23/pdfs/GMR-1813-63.pdf#page=12","Abrir facsímil")</f>
        <v>Abrir facsímil</v>
      </c>
      <c r="K6303" s="3" t="s">
        <v>22</v>
      </c>
    </row>
    <row r="6304" spans="1:11" ht="42" customHeight="1">
      <c r="A6304" s="2" t="s">
        <v>13116</v>
      </c>
      <c r="B6304" s="2" t="s">
        <v>13116</v>
      </c>
      <c r="C6304" s="2" t="s">
        <v>16</v>
      </c>
      <c r="D6304" s="2" t="s">
        <v>17</v>
      </c>
      <c r="E6304" s="5">
        <v>-31748</v>
      </c>
      <c r="F6304" s="3" t="s">
        <v>5041</v>
      </c>
      <c r="G6304" s="3" t="s">
        <v>58</v>
      </c>
      <c r="H6304" s="2" t="s">
        <v>20</v>
      </c>
      <c r="I6304" s="2" t="s">
        <v>13117</v>
      </c>
      <c r="J6304" s="3" t="str">
        <f>HYPERLINK("https://www.boe.es/gazeta/dias/1813/01/27/pdfs/GMD-1813-27.pdf#page=2","Abrir facsímil")</f>
        <v>Abrir facsímil</v>
      </c>
      <c r="K6304" s="3" t="s">
        <v>22</v>
      </c>
    </row>
    <row r="6305" spans="1:11" ht="42" customHeight="1">
      <c r="A6305" s="2" t="s">
        <v>13118</v>
      </c>
      <c r="B6305" s="2" t="s">
        <v>13118</v>
      </c>
      <c r="C6305" s="2" t="s">
        <v>16</v>
      </c>
      <c r="D6305" s="2" t="s">
        <v>17</v>
      </c>
      <c r="E6305" s="5">
        <v>-31763</v>
      </c>
      <c r="F6305" s="3" t="s">
        <v>668</v>
      </c>
      <c r="G6305" s="3" t="s">
        <v>54</v>
      </c>
      <c r="H6305" s="2" t="s">
        <v>20</v>
      </c>
      <c r="I6305" s="2" t="s">
        <v>13119</v>
      </c>
      <c r="J6305" s="3" t="str">
        <f>HYPERLINK("https://www.boe.es/gazeta/dias/1813/01/12/pdfs/GRE-1813-5.pdf#page=3","Abrir facsímil")</f>
        <v>Abrir facsímil</v>
      </c>
      <c r="K6305" s="3" t="s">
        <v>22</v>
      </c>
    </row>
    <row r="6306" spans="1:11" ht="42" customHeight="1">
      <c r="A6306" s="2" t="s">
        <v>13120</v>
      </c>
      <c r="B6306" s="2" t="s">
        <v>13120</v>
      </c>
      <c r="C6306" s="2" t="s">
        <v>16</v>
      </c>
      <c r="D6306" s="2" t="s">
        <v>17</v>
      </c>
      <c r="E6306" s="5">
        <v>-31521</v>
      </c>
      <c r="F6306" s="3" t="s">
        <v>1256</v>
      </c>
      <c r="G6306" s="3" t="s">
        <v>58</v>
      </c>
      <c r="H6306" s="2" t="s">
        <v>20</v>
      </c>
      <c r="I6306" s="2" t="s">
        <v>13121</v>
      </c>
      <c r="J6306" s="3" t="str">
        <f>HYPERLINK("https://www.boe.es/gazeta/dias/1813/09/11/pdfs/GRE-1813-116.pdf#page=2","Abrir facsímil")</f>
        <v>Abrir facsímil</v>
      </c>
      <c r="K6306" s="3" t="s">
        <v>22</v>
      </c>
    </row>
    <row r="6307" spans="1:11" ht="42" customHeight="1">
      <c r="A6307" s="2" t="s">
        <v>13122</v>
      </c>
      <c r="B6307" s="2" t="s">
        <v>13122</v>
      </c>
      <c r="C6307" s="2" t="s">
        <v>16</v>
      </c>
      <c r="D6307" s="2" t="s">
        <v>17</v>
      </c>
      <c r="E6307" s="5">
        <v>-31592</v>
      </c>
      <c r="F6307" s="3" t="s">
        <v>175</v>
      </c>
      <c r="G6307" s="3" t="s">
        <v>19</v>
      </c>
      <c r="H6307" s="2" t="s">
        <v>20</v>
      </c>
      <c r="I6307" s="2" t="s">
        <v>13123</v>
      </c>
      <c r="J6307" s="3" t="str">
        <f>HYPERLINK("https://www.boe.es/gazeta/dias/1813/07/02/pdfs/GRE-1813-82.pdf#page=4","Abrir facsímil")</f>
        <v>Abrir facsímil</v>
      </c>
      <c r="K6307" s="3" t="s">
        <v>22</v>
      </c>
    </row>
    <row r="6308" spans="1:11" ht="42" customHeight="1">
      <c r="A6308" s="2" t="s">
        <v>13122</v>
      </c>
      <c r="B6308" s="2" t="s">
        <v>13122</v>
      </c>
      <c r="C6308" s="2" t="s">
        <v>16</v>
      </c>
      <c r="D6308" s="2" t="s">
        <v>17</v>
      </c>
      <c r="E6308" s="5">
        <v>-31585</v>
      </c>
      <c r="F6308" s="3" t="s">
        <v>177</v>
      </c>
      <c r="G6308" s="3" t="s">
        <v>207</v>
      </c>
      <c r="H6308" s="2" t="s">
        <v>20</v>
      </c>
      <c r="I6308" s="2" t="s">
        <v>13124</v>
      </c>
      <c r="J6308" s="3" t="str">
        <f>HYPERLINK("https://www.boe.es/gazeta/dias/1813/07/09/pdfs/GMR-1813-16.pdf#page=10","Abrir facsímil")</f>
        <v>Abrir facsímil</v>
      </c>
      <c r="K6308" s="3" t="s">
        <v>22</v>
      </c>
    </row>
    <row r="6309" spans="1:11" ht="42" customHeight="1">
      <c r="A6309" s="2" t="s">
        <v>13122</v>
      </c>
      <c r="B6309" s="2" t="s">
        <v>13122</v>
      </c>
      <c r="C6309" s="2" t="s">
        <v>16</v>
      </c>
      <c r="D6309" s="2" t="s">
        <v>17</v>
      </c>
      <c r="E6309" s="5">
        <v>-31516</v>
      </c>
      <c r="F6309" s="3" t="s">
        <v>1685</v>
      </c>
      <c r="G6309" s="3" t="s">
        <v>95</v>
      </c>
      <c r="H6309" s="2" t="s">
        <v>20</v>
      </c>
      <c r="I6309" s="2" t="s">
        <v>13125</v>
      </c>
      <c r="J6309" s="3" t="str">
        <f>HYPERLINK("https://www.boe.es/gazeta/dias/1813/09/16/pdfs/GRE-1813-120.pdf#page=6","Abrir facsímil")</f>
        <v>Abrir facsímil</v>
      </c>
      <c r="K6309" s="3" t="s">
        <v>22</v>
      </c>
    </row>
    <row r="6310" spans="1:11" ht="42" customHeight="1">
      <c r="A6310" s="2" t="s">
        <v>13122</v>
      </c>
      <c r="B6310" s="2" t="s">
        <v>13122</v>
      </c>
      <c r="C6310" s="2" t="s">
        <v>16</v>
      </c>
      <c r="D6310" s="2" t="s">
        <v>17</v>
      </c>
      <c r="E6310" s="5">
        <v>-31432</v>
      </c>
      <c r="F6310" s="3" t="s">
        <v>702</v>
      </c>
      <c r="G6310" s="3" t="s">
        <v>87</v>
      </c>
      <c r="H6310" s="2" t="s">
        <v>20</v>
      </c>
      <c r="I6310" s="2" t="s">
        <v>13126</v>
      </c>
      <c r="J6310" s="3" t="str">
        <f>HYPERLINK("https://www.boe.es/gazeta/dias/1813/12/09/pdfs/GMR-1813-85.pdf#page=7","Abrir facsímil")</f>
        <v>Abrir facsímil</v>
      </c>
      <c r="K6310" s="3" t="s">
        <v>22</v>
      </c>
    </row>
    <row r="6311" spans="1:11" ht="42" customHeight="1">
      <c r="A6311" s="2" t="s">
        <v>13127</v>
      </c>
      <c r="B6311" s="2" t="s">
        <v>13128</v>
      </c>
      <c r="C6311" s="2" t="s">
        <v>16</v>
      </c>
      <c r="D6311" s="2" t="s">
        <v>17</v>
      </c>
      <c r="E6311" s="5">
        <v>-31564</v>
      </c>
      <c r="F6311" s="3" t="s">
        <v>206</v>
      </c>
      <c r="G6311" s="3" t="s">
        <v>258</v>
      </c>
      <c r="H6311" s="2" t="s">
        <v>20</v>
      </c>
      <c r="I6311" s="2" t="s">
        <v>13129</v>
      </c>
      <c r="J6311" s="3" t="str">
        <f>HYPERLINK("https://www.boe.es/gazeta/dias/1813/07/30/pdfs/GMR-1813-22.pdf#page=12","Abrir facsímil")</f>
        <v>Abrir facsímil</v>
      </c>
      <c r="K6311" s="3" t="s">
        <v>22</v>
      </c>
    </row>
    <row r="6312" spans="1:11" ht="42" customHeight="1">
      <c r="A6312" s="2" t="s">
        <v>13130</v>
      </c>
      <c r="B6312" s="2" t="s">
        <v>13131</v>
      </c>
      <c r="C6312" s="2" t="s">
        <v>16</v>
      </c>
      <c r="D6312" s="2" t="s">
        <v>17</v>
      </c>
      <c r="E6312" s="5">
        <v>-31724</v>
      </c>
      <c r="F6312" s="3" t="s">
        <v>626</v>
      </c>
      <c r="G6312" s="3" t="s">
        <v>627</v>
      </c>
      <c r="H6312" s="2" t="s">
        <v>20</v>
      </c>
      <c r="I6312" s="2" t="s">
        <v>13132</v>
      </c>
      <c r="J6312" s="3" t="str">
        <f>HYPERLINK("https://www.boe.es/gazeta/dias/1813/02/20/pdfs/GRE-1813-22.pdf#page=8","Abrir facsímil")</f>
        <v>Abrir facsímil</v>
      </c>
      <c r="K6312" s="3" t="s">
        <v>22</v>
      </c>
    </row>
    <row r="6313" spans="1:11" ht="42" customHeight="1">
      <c r="A6313" s="2" t="s">
        <v>13133</v>
      </c>
      <c r="B6313" s="2" t="s">
        <v>13134</v>
      </c>
      <c r="C6313" s="2" t="s">
        <v>25</v>
      </c>
      <c r="D6313" s="2" t="s">
        <v>97</v>
      </c>
      <c r="E6313" s="5">
        <v>-31479</v>
      </c>
      <c r="F6313" s="3" t="s">
        <v>290</v>
      </c>
      <c r="G6313" s="3" t="s">
        <v>3006</v>
      </c>
      <c r="H6313" s="2" t="s">
        <v>20</v>
      </c>
      <c r="I6313" s="2" t="s">
        <v>13135</v>
      </c>
      <c r="J6313" s="3" t="str">
        <f>HYPERLINK("https://www.boe.es/gazeta/dias/1813/10/23/pdfs/GRE-1813-139E.pdf#page=15","Abrir facsímil")</f>
        <v>Abrir facsímil</v>
      </c>
      <c r="K6313" s="3" t="s">
        <v>22</v>
      </c>
    </row>
    <row r="6314" spans="1:11" ht="42" customHeight="1">
      <c r="A6314" s="2" t="s">
        <v>13136</v>
      </c>
      <c r="B6314" s="2" t="s">
        <v>13137</v>
      </c>
      <c r="C6314" s="2" t="s">
        <v>16</v>
      </c>
      <c r="D6314" s="2" t="s">
        <v>17</v>
      </c>
      <c r="E6314" s="5">
        <v>-31521</v>
      </c>
      <c r="F6314" s="3" t="s">
        <v>1282</v>
      </c>
      <c r="G6314" s="3" t="s">
        <v>87</v>
      </c>
      <c r="H6314" s="2" t="s">
        <v>20</v>
      </c>
      <c r="I6314" s="2" t="s">
        <v>13138</v>
      </c>
      <c r="J6314" s="3" t="str">
        <f>HYPERLINK("https://www.boe.es/gazeta/dias/1813/09/11/pdfs/GMR-1813-41.pdf#page=7","Abrir facsímil")</f>
        <v>Abrir facsímil</v>
      </c>
      <c r="K6314" s="3" t="s">
        <v>22</v>
      </c>
    </row>
    <row r="6315" spans="1:11" ht="42" customHeight="1">
      <c r="A6315" s="2" t="s">
        <v>13139</v>
      </c>
      <c r="B6315" s="2" t="s">
        <v>13140</v>
      </c>
      <c r="C6315" s="2" t="s">
        <v>25</v>
      </c>
      <c r="D6315" s="2" t="s">
        <v>26</v>
      </c>
      <c r="E6315" s="5">
        <v>-31767</v>
      </c>
      <c r="F6315" s="3" t="s">
        <v>1915</v>
      </c>
      <c r="G6315" s="3" t="s">
        <v>19</v>
      </c>
      <c r="H6315" s="2" t="s">
        <v>20</v>
      </c>
      <c r="I6315" s="2" t="s">
        <v>13141</v>
      </c>
      <c r="J6315" s="3" t="str">
        <f>HYPERLINK("https://www.boe.es/gazeta/dias/1813/01/08/pdfs/GMD-1813-8.pdf#page=4","Abrir facsímil")</f>
        <v>Abrir facsímil</v>
      </c>
      <c r="K6315" s="3" t="s">
        <v>22</v>
      </c>
    </row>
    <row r="6316" spans="1:11" ht="42" customHeight="1">
      <c r="A6316" s="2" t="s">
        <v>13142</v>
      </c>
      <c r="B6316" s="2" t="s">
        <v>13143</v>
      </c>
      <c r="C6316" s="2" t="s">
        <v>16</v>
      </c>
      <c r="D6316" s="2" t="s">
        <v>17</v>
      </c>
      <c r="E6316" s="5">
        <v>-31730</v>
      </c>
      <c r="F6316" s="3" t="s">
        <v>2497</v>
      </c>
      <c r="G6316" s="3" t="s">
        <v>2498</v>
      </c>
      <c r="H6316" s="2" t="s">
        <v>20</v>
      </c>
      <c r="I6316" s="2" t="s">
        <v>13144</v>
      </c>
      <c r="J6316" s="3" t="str">
        <f>HYPERLINK("https://www.boe.es/gazeta/dias/1813/02/14/pdfs/GMD-1813-45.pdf#page=2","Abrir facsímil")</f>
        <v>Abrir facsímil</v>
      </c>
      <c r="K6316" s="3" t="s">
        <v>22</v>
      </c>
    </row>
    <row r="6317" spans="1:11" ht="42" customHeight="1">
      <c r="A6317" s="2" t="s">
        <v>13145</v>
      </c>
      <c r="B6317" s="2" t="s">
        <v>13146</v>
      </c>
      <c r="C6317" s="2" t="s">
        <v>16</v>
      </c>
      <c r="D6317" s="2" t="s">
        <v>97</v>
      </c>
      <c r="E6317" s="5">
        <v>-31479</v>
      </c>
      <c r="F6317" s="3" t="s">
        <v>290</v>
      </c>
      <c r="G6317" s="3" t="s">
        <v>87</v>
      </c>
      <c r="H6317" s="2" t="s">
        <v>20</v>
      </c>
      <c r="I6317" s="2" t="s">
        <v>13147</v>
      </c>
      <c r="J6317" s="3" t="str">
        <f>HYPERLINK("https://www.boe.es/gazeta/dias/1813/10/23/pdfs/GRE-1813-139E.pdf#page=7","Abrir facsímil")</f>
        <v>Abrir facsímil</v>
      </c>
      <c r="K6317" s="3" t="s">
        <v>22</v>
      </c>
    </row>
    <row r="6318" spans="1:11" ht="42" customHeight="1">
      <c r="A6318" s="2" t="s">
        <v>13145</v>
      </c>
      <c r="B6318" s="2" t="s">
        <v>13146</v>
      </c>
      <c r="C6318" s="2" t="s">
        <v>16</v>
      </c>
      <c r="D6318" s="2" t="s">
        <v>17</v>
      </c>
      <c r="E6318" s="5">
        <v>-31465</v>
      </c>
      <c r="F6318" s="3" t="s">
        <v>407</v>
      </c>
      <c r="G6318" s="3" t="s">
        <v>3112</v>
      </c>
      <c r="H6318" s="2" t="s">
        <v>20</v>
      </c>
      <c r="I6318" s="2" t="s">
        <v>13148</v>
      </c>
      <c r="J6318" s="3" t="str">
        <f>HYPERLINK("https://www.boe.es/gazeta/dias/1813/11/06/pdfs/GMR-1813-70.pdf#page=6","Abrir facsímil")</f>
        <v>Abrir facsímil</v>
      </c>
      <c r="K6318" s="3" t="s">
        <v>22</v>
      </c>
    </row>
    <row r="6319" spans="1:11" ht="42" customHeight="1">
      <c r="A6319" s="2" t="s">
        <v>13149</v>
      </c>
      <c r="B6319" s="2" t="s">
        <v>13150</v>
      </c>
      <c r="C6319" s="2" t="s">
        <v>16</v>
      </c>
      <c r="D6319" s="2" t="s">
        <v>17</v>
      </c>
      <c r="E6319" s="5">
        <v>-31770</v>
      </c>
      <c r="F6319" s="3" t="s">
        <v>1738</v>
      </c>
      <c r="G6319" s="3" t="s">
        <v>58</v>
      </c>
      <c r="H6319" s="2" t="s">
        <v>20</v>
      </c>
      <c r="I6319" s="2" t="s">
        <v>13151</v>
      </c>
      <c r="J6319" s="3" t="str">
        <f>HYPERLINK("https://www.boe.es/gazeta/dias/1813/01/05/pdfs/GRE-1813-2.pdf#page=2","Abrir facsímil")</f>
        <v>Abrir facsímil</v>
      </c>
      <c r="K6319" s="3" t="s">
        <v>22</v>
      </c>
    </row>
    <row r="6320" spans="1:11" ht="42" customHeight="1">
      <c r="A6320" s="2" t="s">
        <v>13152</v>
      </c>
      <c r="B6320" s="2" t="s">
        <v>13153</v>
      </c>
      <c r="C6320" s="2" t="s">
        <v>16</v>
      </c>
      <c r="D6320" s="2" t="s">
        <v>97</v>
      </c>
      <c r="E6320" s="5">
        <v>-31479</v>
      </c>
      <c r="F6320" s="3" t="s">
        <v>290</v>
      </c>
      <c r="G6320" s="3" t="s">
        <v>87</v>
      </c>
      <c r="H6320" s="2" t="s">
        <v>20</v>
      </c>
      <c r="I6320" s="2" t="s">
        <v>13154</v>
      </c>
      <c r="J6320" s="3" t="str">
        <f>HYPERLINK("https://www.boe.es/gazeta/dias/1813/10/23/pdfs/GRE-1813-139E.pdf#page=7","Abrir facsímil")</f>
        <v>Abrir facsímil</v>
      </c>
      <c r="K6320" s="3" t="s">
        <v>22</v>
      </c>
    </row>
    <row r="6321" spans="1:11" ht="42" customHeight="1">
      <c r="A6321" s="2" t="s">
        <v>13152</v>
      </c>
      <c r="B6321" s="2" t="s">
        <v>13153</v>
      </c>
      <c r="C6321" s="2" t="s">
        <v>16</v>
      </c>
      <c r="D6321" s="2" t="s">
        <v>17</v>
      </c>
      <c r="E6321" s="5">
        <v>-31465</v>
      </c>
      <c r="F6321" s="3" t="s">
        <v>407</v>
      </c>
      <c r="G6321" s="3" t="s">
        <v>87</v>
      </c>
      <c r="H6321" s="2" t="s">
        <v>20</v>
      </c>
      <c r="I6321" s="2" t="s">
        <v>13155</v>
      </c>
      <c r="J6321" s="3" t="str">
        <f>HYPERLINK("https://www.boe.es/gazeta/dias/1813/11/06/pdfs/GMR-1813-70.pdf#page=7","Abrir facsímil")</f>
        <v>Abrir facsímil</v>
      </c>
      <c r="K6321" s="3" t="s">
        <v>22</v>
      </c>
    </row>
    <row r="6322" spans="1:11" ht="42" customHeight="1">
      <c r="A6322" s="2" t="s">
        <v>13156</v>
      </c>
      <c r="B6322" s="2" t="s">
        <v>13156</v>
      </c>
      <c r="C6322" s="2" t="s">
        <v>25</v>
      </c>
      <c r="D6322" s="2" t="s">
        <v>26</v>
      </c>
      <c r="E6322" s="5">
        <v>-31685</v>
      </c>
      <c r="F6322" s="3" t="s">
        <v>2671</v>
      </c>
      <c r="G6322" s="3" t="s">
        <v>4802</v>
      </c>
      <c r="H6322" s="2" t="s">
        <v>20</v>
      </c>
      <c r="I6322" s="2" t="s">
        <v>13157</v>
      </c>
      <c r="J6322" s="3" t="str">
        <f>HYPERLINK("https://www.boe.es/gazeta/dias/1813/03/31/pdfs/GMD-1813-90.pdf#page=4","Abrir facsímil")</f>
        <v>Abrir facsímil</v>
      </c>
      <c r="K6322" s="3" t="s">
        <v>22</v>
      </c>
    </row>
    <row r="6323" spans="1:11" ht="42" customHeight="1">
      <c r="A6323" s="2" t="s">
        <v>13158</v>
      </c>
      <c r="B6323" s="2" t="s">
        <v>13158</v>
      </c>
      <c r="C6323" s="2" t="s">
        <v>16</v>
      </c>
      <c r="D6323" s="2" t="s">
        <v>17</v>
      </c>
      <c r="E6323" s="5">
        <v>-31551</v>
      </c>
      <c r="F6323" s="3" t="s">
        <v>954</v>
      </c>
      <c r="G6323" s="3" t="s">
        <v>65</v>
      </c>
      <c r="H6323" s="2" t="s">
        <v>20</v>
      </c>
      <c r="I6323" s="2" t="s">
        <v>13159</v>
      </c>
      <c r="J6323" s="3" t="str">
        <f>HYPERLINK("https://www.boe.es/gazeta/dias/1813/08/12/pdfs/GMR-1813-27.pdf#page=1","Abrir facsímil")</f>
        <v>Abrir facsímil</v>
      </c>
      <c r="K6323" s="3" t="s">
        <v>22</v>
      </c>
    </row>
    <row r="6324" spans="1:11" ht="42" customHeight="1">
      <c r="A6324" s="2" t="s">
        <v>13160</v>
      </c>
      <c r="B6324" s="2" t="s">
        <v>13160</v>
      </c>
      <c r="C6324" s="2" t="s">
        <v>25</v>
      </c>
      <c r="D6324" s="2" t="s">
        <v>26</v>
      </c>
      <c r="E6324" s="5">
        <v>-31726</v>
      </c>
      <c r="F6324" s="3" t="s">
        <v>493</v>
      </c>
      <c r="G6324" s="3" t="s">
        <v>19</v>
      </c>
      <c r="H6324" s="2" t="s">
        <v>20</v>
      </c>
      <c r="I6324" s="2" t="s">
        <v>13161</v>
      </c>
      <c r="J6324" s="3" t="str">
        <f>HYPERLINK("https://www.boe.es/gazeta/dias/1813/02/18/pdfs/GMD-1813-49.pdf#page=4","Abrir facsímil")</f>
        <v>Abrir facsímil</v>
      </c>
      <c r="K6324" s="3" t="s">
        <v>22</v>
      </c>
    </row>
    <row r="6325" spans="1:11" ht="42" customHeight="1">
      <c r="A6325" s="2" t="s">
        <v>13162</v>
      </c>
      <c r="B6325" s="2" t="s">
        <v>13163</v>
      </c>
      <c r="C6325" s="2" t="s">
        <v>25</v>
      </c>
      <c r="D6325" s="2" t="s">
        <v>26</v>
      </c>
      <c r="E6325" s="5">
        <v>-31675</v>
      </c>
      <c r="F6325" s="3" t="s">
        <v>27</v>
      </c>
      <c r="G6325" s="3" t="s">
        <v>28</v>
      </c>
      <c r="H6325" s="2" t="s">
        <v>20</v>
      </c>
      <c r="I6325" s="2" t="s">
        <v>13164</v>
      </c>
      <c r="J6325" s="3" t="str">
        <f>HYPERLINK("https://www.boe.es/gazeta/dias/1813/04/10/pdfs/GRE-1813-44.pdf#page=8","Abrir facsímil")</f>
        <v>Abrir facsímil</v>
      </c>
      <c r="K6325" s="3" t="s">
        <v>22</v>
      </c>
    </row>
    <row r="6326" spans="1:11" ht="42" customHeight="1">
      <c r="A6326" s="2" t="s">
        <v>13165</v>
      </c>
      <c r="B6326" s="2" t="s">
        <v>13166</v>
      </c>
      <c r="C6326" s="2" t="s">
        <v>16</v>
      </c>
      <c r="D6326" s="2" t="s">
        <v>17</v>
      </c>
      <c r="E6326" s="5">
        <v>-31446</v>
      </c>
      <c r="F6326" s="3" t="s">
        <v>103</v>
      </c>
      <c r="G6326" s="3" t="s">
        <v>65</v>
      </c>
      <c r="H6326" s="2" t="s">
        <v>29</v>
      </c>
      <c r="I6326" s="2" t="s">
        <v>13167</v>
      </c>
      <c r="J6326" s="3" t="str">
        <f>HYPERLINK("https://www.boe.es/gazeta/dias/1813/11/25/pdfs/GMR-1813-79.pdf#page=1","Abrir facsímil")</f>
        <v>Abrir facsímil</v>
      </c>
      <c r="K6326" s="3" t="s">
        <v>31</v>
      </c>
    </row>
    <row r="6327" spans="1:11" ht="42" customHeight="1">
      <c r="A6327" s="2" t="s">
        <v>13168</v>
      </c>
      <c r="B6327" s="2" t="s">
        <v>13169</v>
      </c>
      <c r="C6327" s="2" t="s">
        <v>16</v>
      </c>
      <c r="D6327" s="2" t="s">
        <v>17</v>
      </c>
      <c r="E6327" s="5">
        <v>-31660</v>
      </c>
      <c r="F6327" s="3" t="s">
        <v>1632</v>
      </c>
      <c r="G6327" s="3" t="s">
        <v>19</v>
      </c>
      <c r="H6327" s="2" t="s">
        <v>20</v>
      </c>
      <c r="I6327" s="2" t="s">
        <v>13170</v>
      </c>
      <c r="J6327" s="3" t="str">
        <f>HYPERLINK("https://www.boe.es/gazeta/dias/1813/04/25/pdfs/GMD-1813-115.pdf#page=4","Abrir facsímil")</f>
        <v>Abrir facsímil</v>
      </c>
      <c r="K6327" s="3" t="s">
        <v>22</v>
      </c>
    </row>
    <row r="6328" spans="1:11" ht="42" customHeight="1">
      <c r="A6328" s="2" t="s">
        <v>13171</v>
      </c>
      <c r="B6328" s="2" t="s">
        <v>13172</v>
      </c>
      <c r="C6328" s="2" t="s">
        <v>16</v>
      </c>
      <c r="D6328" s="2" t="s">
        <v>17</v>
      </c>
      <c r="E6328" s="5">
        <v>-31633</v>
      </c>
      <c r="F6328" s="3" t="s">
        <v>875</v>
      </c>
      <c r="G6328" s="3" t="s">
        <v>9870</v>
      </c>
      <c r="H6328" s="2" t="s">
        <v>20</v>
      </c>
      <c r="I6328" s="2" t="s">
        <v>13173</v>
      </c>
      <c r="J6328" s="3" t="str">
        <f>HYPERLINK("https://www.boe.es/gazeta/dias/1813/05/22/pdfs/GRE-1813-63.pdf#page=3","Abrir facsímil")</f>
        <v>Abrir facsímil</v>
      </c>
      <c r="K6328" s="3" t="s">
        <v>22</v>
      </c>
    </row>
    <row r="6329" spans="1:11" ht="42" customHeight="1">
      <c r="A6329" s="2" t="s">
        <v>13174</v>
      </c>
      <c r="B6329" s="2" t="s">
        <v>13174</v>
      </c>
      <c r="C6329" s="2" t="s">
        <v>16</v>
      </c>
      <c r="D6329" s="2" t="s">
        <v>17</v>
      </c>
      <c r="E6329" s="5">
        <v>-31532</v>
      </c>
      <c r="F6329" s="3" t="s">
        <v>215</v>
      </c>
      <c r="G6329" s="3" t="s">
        <v>58</v>
      </c>
      <c r="H6329" s="2" t="s">
        <v>20</v>
      </c>
      <c r="I6329" s="2" t="s">
        <v>13175</v>
      </c>
      <c r="J6329" s="3" t="str">
        <f>HYPERLINK("https://www.boe.es/gazeta/dias/1813/08/31/pdfs/GRE-1813-111.pdf#page=2","Abrir facsímil")</f>
        <v>Abrir facsímil</v>
      </c>
      <c r="K6329" s="3" t="s">
        <v>22</v>
      </c>
    </row>
    <row r="6330" spans="1:11" ht="42" customHeight="1">
      <c r="A6330" s="2" t="s">
        <v>13174</v>
      </c>
      <c r="B6330" s="2" t="s">
        <v>13174</v>
      </c>
      <c r="C6330" s="2" t="s">
        <v>16</v>
      </c>
      <c r="D6330" s="2" t="s">
        <v>17</v>
      </c>
      <c r="E6330" s="5">
        <v>-31532</v>
      </c>
      <c r="F6330" s="3" t="s">
        <v>215</v>
      </c>
      <c r="G6330" s="3" t="s">
        <v>19</v>
      </c>
      <c r="H6330" s="2" t="s">
        <v>20</v>
      </c>
      <c r="I6330" s="2" t="s">
        <v>13176</v>
      </c>
      <c r="J6330" s="3" t="str">
        <f>HYPERLINK("https://www.boe.es/gazeta/dias/1813/08/31/pdfs/GRE-1813-111.pdf#page=4","Abrir facsímil")</f>
        <v>Abrir facsímil</v>
      </c>
      <c r="K6330" s="3" t="s">
        <v>22</v>
      </c>
    </row>
    <row r="6331" spans="1:11" ht="42" customHeight="1">
      <c r="A6331" s="2" t="s">
        <v>13177</v>
      </c>
      <c r="B6331" s="2" t="s">
        <v>13177</v>
      </c>
      <c r="C6331" s="2" t="s">
        <v>16</v>
      </c>
      <c r="D6331" s="2" t="s">
        <v>17</v>
      </c>
      <c r="E6331" s="5">
        <v>-31537</v>
      </c>
      <c r="F6331" s="3" t="s">
        <v>138</v>
      </c>
      <c r="G6331" s="3" t="s">
        <v>821</v>
      </c>
      <c r="H6331" s="2" t="s">
        <v>20</v>
      </c>
      <c r="I6331" s="2" t="s">
        <v>13178</v>
      </c>
      <c r="J6331" s="3" t="str">
        <f>HYPERLINK("https://www.boe.es/gazeta/dias/1813/08/26/pdfs/GMR-1813-33.pdf#page=13","Abrir facsímil")</f>
        <v>Abrir facsímil</v>
      </c>
      <c r="K6331" s="3" t="s">
        <v>22</v>
      </c>
    </row>
    <row r="6332" spans="1:11" ht="42" customHeight="1">
      <c r="A6332" s="2" t="s">
        <v>13179</v>
      </c>
      <c r="B6332" s="2" t="s">
        <v>13179</v>
      </c>
      <c r="C6332" s="2" t="s">
        <v>16</v>
      </c>
      <c r="D6332" s="2" t="s">
        <v>17</v>
      </c>
      <c r="E6332" s="5">
        <v>-31772</v>
      </c>
      <c r="F6332" s="3" t="s">
        <v>2361</v>
      </c>
      <c r="G6332" s="3" t="s">
        <v>65</v>
      </c>
      <c r="H6332" s="2" t="s">
        <v>20</v>
      </c>
      <c r="I6332" s="2" t="s">
        <v>13180</v>
      </c>
      <c r="J6332" s="3" t="str">
        <f>HYPERLINK("https://www.boe.es/gazeta/dias/1813/01/03/pdfs/GMD-1813-3.pdf#page=1","Abrir facsímil")</f>
        <v>Abrir facsímil</v>
      </c>
      <c r="K6332" s="3" t="s">
        <v>22</v>
      </c>
    </row>
    <row r="6333" spans="1:11" ht="42" customHeight="1">
      <c r="A6333" s="2" t="s">
        <v>13181</v>
      </c>
      <c r="B6333" s="2" t="s">
        <v>13181</v>
      </c>
      <c r="C6333" s="2" t="s">
        <v>16</v>
      </c>
      <c r="D6333" s="2" t="s">
        <v>17</v>
      </c>
      <c r="E6333" s="5">
        <v>-31737</v>
      </c>
      <c r="F6333" s="3" t="s">
        <v>5824</v>
      </c>
      <c r="G6333" s="3" t="s">
        <v>54</v>
      </c>
      <c r="H6333" s="2" t="s">
        <v>20</v>
      </c>
      <c r="I6333" s="2" t="s">
        <v>13182</v>
      </c>
      <c r="J6333" s="3" t="str">
        <f>HYPERLINK("https://www.boe.es/gazeta/dias/1813/02/07/pdfs/GMD-1813-38.pdf#page=3","Abrir facsímil")</f>
        <v>Abrir facsímil</v>
      </c>
      <c r="K6333" s="3" t="s">
        <v>22</v>
      </c>
    </row>
    <row r="6334" spans="1:11" ht="42" customHeight="1">
      <c r="A6334" s="2" t="s">
        <v>13183</v>
      </c>
      <c r="B6334" s="2" t="s">
        <v>13183</v>
      </c>
      <c r="C6334" s="2" t="s">
        <v>16</v>
      </c>
      <c r="D6334" s="2" t="s">
        <v>17</v>
      </c>
      <c r="E6334" s="5">
        <v>-31551</v>
      </c>
      <c r="F6334" s="3" t="s">
        <v>954</v>
      </c>
      <c r="G6334" s="3" t="s">
        <v>58</v>
      </c>
      <c r="H6334" s="2" t="s">
        <v>20</v>
      </c>
      <c r="I6334" s="2" t="s">
        <v>13184</v>
      </c>
      <c r="J6334" s="3" t="str">
        <f>HYPERLINK("https://www.boe.es/gazeta/dias/1813/08/12/pdfs/GMR-1813-27.pdf#page=2","Abrir facsímil")</f>
        <v>Abrir facsímil</v>
      </c>
      <c r="K6334" s="3" t="s">
        <v>22</v>
      </c>
    </row>
    <row r="6335" spans="1:11" ht="42" customHeight="1">
      <c r="A6335" s="2" t="s">
        <v>13185</v>
      </c>
      <c r="B6335" s="2" t="s">
        <v>13185</v>
      </c>
      <c r="C6335" s="2" t="s">
        <v>34</v>
      </c>
      <c r="D6335" s="2" t="s">
        <v>35</v>
      </c>
      <c r="E6335" s="5">
        <v>-31567</v>
      </c>
      <c r="F6335" s="3" t="s">
        <v>820</v>
      </c>
      <c r="G6335" s="3" t="s">
        <v>71</v>
      </c>
      <c r="H6335" s="2" t="s">
        <v>20</v>
      </c>
      <c r="I6335" s="2" t="s">
        <v>13186</v>
      </c>
      <c r="J6335" s="3" t="str">
        <f>HYPERLINK("https://www.boe.es/gazeta/dias/1813/07/27/pdfs/GMR-1813-21.pdf#page=16","Abrir facsímil")</f>
        <v>Abrir facsímil</v>
      </c>
      <c r="K6335" s="3" t="s">
        <v>22</v>
      </c>
    </row>
    <row r="6336" spans="1:11" ht="42" customHeight="1">
      <c r="A6336" s="2" t="s">
        <v>13187</v>
      </c>
      <c r="B6336" s="2" t="s">
        <v>13188</v>
      </c>
      <c r="C6336" s="2" t="s">
        <v>25</v>
      </c>
      <c r="D6336" s="2" t="s">
        <v>26</v>
      </c>
      <c r="E6336" s="5">
        <v>-31530</v>
      </c>
      <c r="F6336" s="3" t="s">
        <v>133</v>
      </c>
      <c r="G6336" s="3" t="s">
        <v>58</v>
      </c>
      <c r="H6336" s="2" t="s">
        <v>20</v>
      </c>
      <c r="I6336" s="2" t="s">
        <v>13189</v>
      </c>
      <c r="J6336" s="3" t="str">
        <f>HYPERLINK("https://www.boe.es/gazeta/dias/1813/09/02/pdfs/GMR-1813-36.pdf#page=2","Abrir facsímil")</f>
        <v>Abrir facsímil</v>
      </c>
      <c r="K6336" s="3" t="s">
        <v>22</v>
      </c>
    </row>
    <row r="6337" spans="1:11" ht="42" customHeight="1">
      <c r="A6337" s="2" t="s">
        <v>13187</v>
      </c>
      <c r="B6337" s="2" t="s">
        <v>13188</v>
      </c>
      <c r="C6337" s="2" t="s">
        <v>25</v>
      </c>
      <c r="D6337" s="2" t="s">
        <v>26</v>
      </c>
      <c r="E6337" s="5">
        <v>-31476</v>
      </c>
      <c r="F6337" s="3" t="s">
        <v>229</v>
      </c>
      <c r="G6337" s="3" t="s">
        <v>65</v>
      </c>
      <c r="H6337" s="2" t="s">
        <v>20</v>
      </c>
      <c r="I6337" s="2" t="s">
        <v>13190</v>
      </c>
      <c r="J6337" s="3" t="str">
        <f>HYPERLINK("https://www.boe.es/gazeta/dias/1813/10/26/pdfs/GRE-1813-140.pdf#page=1","Abrir facsímil")</f>
        <v>Abrir facsímil</v>
      </c>
      <c r="K6337" s="3" t="s">
        <v>22</v>
      </c>
    </row>
    <row r="6338" spans="1:11" ht="42" customHeight="1">
      <c r="A6338" s="2" t="s">
        <v>13191</v>
      </c>
      <c r="B6338" s="2" t="s">
        <v>13192</v>
      </c>
      <c r="C6338" s="2" t="s">
        <v>34</v>
      </c>
      <c r="D6338" s="2" t="s">
        <v>35</v>
      </c>
      <c r="E6338" s="5">
        <v>-31638</v>
      </c>
      <c r="F6338" s="3" t="s">
        <v>1635</v>
      </c>
      <c r="G6338" s="3" t="s">
        <v>8731</v>
      </c>
      <c r="H6338" s="2" t="s">
        <v>20</v>
      </c>
      <c r="I6338" s="2" t="s">
        <v>13193</v>
      </c>
      <c r="J6338" s="3" t="str">
        <f>HYPERLINK("https://www.boe.es/gazeta/dias/1813/05/17/pdfs/GMD-1813-137.pdf#page=3","Abrir facsímil")</f>
        <v>Abrir facsímil</v>
      </c>
      <c r="K6338" s="3" t="s">
        <v>22</v>
      </c>
    </row>
    <row r="6339" spans="1:11" ht="42" customHeight="1">
      <c r="A6339" s="2" t="s">
        <v>13194</v>
      </c>
      <c r="B6339" s="2" t="s">
        <v>13195</v>
      </c>
      <c r="C6339" s="2" t="s">
        <v>34</v>
      </c>
      <c r="D6339" s="2" t="s">
        <v>35</v>
      </c>
      <c r="E6339" s="5">
        <v>-31755</v>
      </c>
      <c r="F6339" s="3" t="s">
        <v>2592</v>
      </c>
      <c r="G6339" s="3" t="s">
        <v>65</v>
      </c>
      <c r="H6339" s="2" t="s">
        <v>20</v>
      </c>
      <c r="I6339" s="2" t="s">
        <v>13196</v>
      </c>
      <c r="J6339" s="3" t="str">
        <f>HYPERLINK("https://www.boe.es/gazeta/dias/1813/01/20/pdfs/GMD-1813-20.pdf#page=1","Abrir facsímil")</f>
        <v>Abrir facsímil</v>
      </c>
      <c r="K6339" s="3" t="s">
        <v>22</v>
      </c>
    </row>
    <row r="6340" spans="1:11" ht="42" customHeight="1">
      <c r="A6340" s="2" t="s">
        <v>13197</v>
      </c>
      <c r="B6340" s="2" t="s">
        <v>13198</v>
      </c>
      <c r="C6340" s="2" t="s">
        <v>16</v>
      </c>
      <c r="D6340" s="2" t="s">
        <v>17</v>
      </c>
      <c r="E6340" s="5">
        <v>-31563</v>
      </c>
      <c r="F6340" s="3" t="s">
        <v>1267</v>
      </c>
      <c r="G6340" s="3" t="s">
        <v>82</v>
      </c>
      <c r="H6340" s="2" t="s">
        <v>20</v>
      </c>
      <c r="I6340" s="2" t="s">
        <v>13199</v>
      </c>
      <c r="J6340" s="3" t="str">
        <f>HYPERLINK("https://www.boe.es/gazeta/dias/1813/07/31/pdfs/GRE-1813-97.pdf#page=5","Abrir facsímil")</f>
        <v>Abrir facsímil</v>
      </c>
      <c r="K6340" s="3" t="s">
        <v>22</v>
      </c>
    </row>
    <row r="6341" spans="1:11" ht="42" customHeight="1">
      <c r="A6341" s="2" t="s">
        <v>13200</v>
      </c>
      <c r="B6341" s="2" t="s">
        <v>13201</v>
      </c>
      <c r="C6341" s="2" t="s">
        <v>25</v>
      </c>
      <c r="D6341" s="2" t="s">
        <v>26</v>
      </c>
      <c r="E6341" s="5">
        <v>-31689</v>
      </c>
      <c r="F6341" s="3" t="s">
        <v>48</v>
      </c>
      <c r="G6341" s="3" t="s">
        <v>162</v>
      </c>
      <c r="H6341" s="2" t="s">
        <v>20</v>
      </c>
      <c r="I6341" s="2" t="s">
        <v>13202</v>
      </c>
      <c r="J6341" s="3" t="str">
        <f>HYPERLINK("https://www.boe.es/gazeta/dias/1813/03/27/pdfs/GRE-1813-38.pdf#page=8","Abrir facsímil")</f>
        <v>Abrir facsímil</v>
      </c>
      <c r="K6341" s="3" t="s">
        <v>22</v>
      </c>
    </row>
    <row r="6342" spans="1:11" ht="42" customHeight="1">
      <c r="A6342" s="2" t="s">
        <v>13203</v>
      </c>
      <c r="B6342" s="2" t="s">
        <v>13203</v>
      </c>
      <c r="C6342" s="2" t="s">
        <v>16</v>
      </c>
      <c r="D6342" s="2" t="s">
        <v>17</v>
      </c>
      <c r="E6342" s="5">
        <v>-31675</v>
      </c>
      <c r="F6342" s="3" t="s">
        <v>27</v>
      </c>
      <c r="G6342" s="3" t="s">
        <v>82</v>
      </c>
      <c r="H6342" s="2" t="s">
        <v>20</v>
      </c>
      <c r="I6342" s="2" t="s">
        <v>13204</v>
      </c>
      <c r="J6342" s="3" t="str">
        <f>HYPERLINK("https://www.boe.es/gazeta/dias/1813/04/10/pdfs/GRE-1813-44.pdf#page=5","Abrir facsímil")</f>
        <v>Abrir facsímil</v>
      </c>
      <c r="K6342" s="3" t="s">
        <v>22</v>
      </c>
    </row>
    <row r="6343" spans="1:11" ht="42" customHeight="1">
      <c r="A6343" s="2" t="s">
        <v>13203</v>
      </c>
      <c r="B6343" s="2" t="s">
        <v>13203</v>
      </c>
      <c r="C6343" s="2" t="s">
        <v>16</v>
      </c>
      <c r="D6343" s="2" t="s">
        <v>97</v>
      </c>
      <c r="E6343" s="5">
        <v>-31548</v>
      </c>
      <c r="F6343" s="3" t="s">
        <v>1680</v>
      </c>
      <c r="G6343" s="3" t="s">
        <v>65</v>
      </c>
      <c r="H6343" s="2" t="s">
        <v>20</v>
      </c>
      <c r="I6343" s="2" t="s">
        <v>13205</v>
      </c>
      <c r="J6343" s="3" t="str">
        <f>HYPERLINK("https://www.boe.es/gazeta/dias/1813/08/15/pdfs/GRE-1813-104E.pdf#page=1","Abrir facsímil")</f>
        <v>Abrir facsímil</v>
      </c>
      <c r="K6343" s="3" t="s">
        <v>22</v>
      </c>
    </row>
    <row r="6344" spans="1:11" ht="42" customHeight="1">
      <c r="A6344" s="2" t="s">
        <v>13206</v>
      </c>
      <c r="B6344" s="2" t="s">
        <v>13206</v>
      </c>
      <c r="C6344" s="2" t="s">
        <v>16</v>
      </c>
      <c r="D6344" s="2" t="s">
        <v>17</v>
      </c>
      <c r="E6344" s="5">
        <v>-31766</v>
      </c>
      <c r="F6344" s="3" t="s">
        <v>1356</v>
      </c>
      <c r="G6344" s="3" t="s">
        <v>1357</v>
      </c>
      <c r="H6344" s="2" t="s">
        <v>20</v>
      </c>
      <c r="I6344" s="2" t="s">
        <v>13207</v>
      </c>
      <c r="J6344" s="3" t="str">
        <f>HYPERLINK("https://www.boe.es/gazeta/dias/1813/01/09/pdfs/GRE-1813-4.pdf#page=3","Abrir facsímil")</f>
        <v>Abrir facsímil</v>
      </c>
      <c r="K6344" s="3" t="s">
        <v>22</v>
      </c>
    </row>
    <row r="6345" spans="1:11" ht="42" customHeight="1">
      <c r="A6345" s="2" t="s">
        <v>13208</v>
      </c>
      <c r="B6345" s="2" t="s">
        <v>13208</v>
      </c>
      <c r="C6345" s="2" t="s">
        <v>16</v>
      </c>
      <c r="D6345" s="2" t="s">
        <v>17</v>
      </c>
      <c r="E6345" s="5">
        <v>-31585</v>
      </c>
      <c r="F6345" s="3" t="s">
        <v>177</v>
      </c>
      <c r="G6345" s="3" t="s">
        <v>1474</v>
      </c>
      <c r="H6345" s="2" t="s">
        <v>20</v>
      </c>
      <c r="I6345" s="2" t="s">
        <v>13209</v>
      </c>
      <c r="J6345" s="3" t="str">
        <f>HYPERLINK("https://www.boe.es/gazeta/dias/1813/07/09/pdfs/GMR-1813-16.pdf#page=14","Abrir facsímil")</f>
        <v>Abrir facsímil</v>
      </c>
      <c r="K6345" s="3" t="s">
        <v>22</v>
      </c>
    </row>
    <row r="6346" spans="1:11" ht="42" customHeight="1">
      <c r="A6346" s="2" t="s">
        <v>13208</v>
      </c>
      <c r="B6346" s="2" t="s">
        <v>13208</v>
      </c>
      <c r="C6346" s="2" t="s">
        <v>16</v>
      </c>
      <c r="D6346" s="2" t="s">
        <v>17</v>
      </c>
      <c r="E6346" s="5">
        <v>-31579</v>
      </c>
      <c r="F6346" s="3" t="s">
        <v>609</v>
      </c>
      <c r="G6346" s="3" t="s">
        <v>87</v>
      </c>
      <c r="H6346" s="2" t="s">
        <v>20</v>
      </c>
      <c r="I6346" s="2" t="s">
        <v>13210</v>
      </c>
      <c r="J6346" s="3" t="str">
        <f>HYPERLINK("https://www.boe.es/gazeta/dias/1813/07/15/pdfs/GRE-1813-89.pdf#page=7","Abrir facsímil")</f>
        <v>Abrir facsímil</v>
      </c>
      <c r="K6346" s="3" t="s">
        <v>22</v>
      </c>
    </row>
    <row r="6347" spans="1:11" ht="42" customHeight="1">
      <c r="A6347" s="2" t="s">
        <v>13211</v>
      </c>
      <c r="B6347" s="2" t="s">
        <v>13212</v>
      </c>
      <c r="C6347" s="2" t="s">
        <v>16</v>
      </c>
      <c r="D6347" s="2" t="s">
        <v>17</v>
      </c>
      <c r="E6347" s="5">
        <v>-31626</v>
      </c>
      <c r="F6347" s="3" t="s">
        <v>64</v>
      </c>
      <c r="G6347" s="3" t="s">
        <v>87</v>
      </c>
      <c r="H6347" s="2" t="s">
        <v>20</v>
      </c>
      <c r="I6347" s="2" t="s">
        <v>13213</v>
      </c>
      <c r="J6347" s="3" t="str">
        <f>HYPERLINK("https://www.boe.es/gazeta/dias/1813/05/29/pdfs/GRE-1813-66.pdf#page=7","Abrir facsímil")</f>
        <v>Abrir facsímil</v>
      </c>
      <c r="K6347" s="3" t="s">
        <v>22</v>
      </c>
    </row>
    <row r="6348" spans="1:11" ht="42" customHeight="1">
      <c r="A6348" s="2" t="s">
        <v>13214</v>
      </c>
      <c r="B6348" s="2" t="s">
        <v>13215</v>
      </c>
      <c r="C6348" s="2" t="s">
        <v>16</v>
      </c>
      <c r="D6348" s="2" t="s">
        <v>17</v>
      </c>
      <c r="E6348" s="5">
        <v>-31537</v>
      </c>
      <c r="F6348" s="3" t="s">
        <v>138</v>
      </c>
      <c r="G6348" s="3" t="s">
        <v>82</v>
      </c>
      <c r="H6348" s="2" t="s">
        <v>20</v>
      </c>
      <c r="I6348" s="2" t="s">
        <v>13216</v>
      </c>
      <c r="J6348" s="3" t="str">
        <f>HYPERLINK("https://www.boe.es/gazeta/dias/1813/08/26/pdfs/GMR-1813-33.pdf#page=5","Abrir facsímil")</f>
        <v>Abrir facsímil</v>
      </c>
      <c r="K6348" s="3" t="s">
        <v>22</v>
      </c>
    </row>
    <row r="6349" spans="1:11" ht="42" customHeight="1">
      <c r="A6349" s="2" t="s">
        <v>13217</v>
      </c>
      <c r="B6349" s="2" t="s">
        <v>13218</v>
      </c>
      <c r="C6349" s="2" t="s">
        <v>16</v>
      </c>
      <c r="D6349" s="2" t="s">
        <v>17</v>
      </c>
      <c r="E6349" s="5">
        <v>-31585</v>
      </c>
      <c r="F6349" s="3" t="s">
        <v>177</v>
      </c>
      <c r="G6349" s="3" t="s">
        <v>821</v>
      </c>
      <c r="H6349" s="2" t="s">
        <v>20</v>
      </c>
      <c r="I6349" s="2" t="s">
        <v>13219</v>
      </c>
      <c r="J6349" s="3" t="str">
        <f>HYPERLINK("https://www.boe.es/gazeta/dias/1813/07/09/pdfs/GMR-1813-16.pdf#page=13","Abrir facsímil")</f>
        <v>Abrir facsímil</v>
      </c>
      <c r="K6349" s="3" t="s">
        <v>22</v>
      </c>
    </row>
    <row r="6350" spans="1:11" ht="42" customHeight="1">
      <c r="A6350" s="2" t="s">
        <v>13217</v>
      </c>
      <c r="B6350" s="2" t="s">
        <v>13218</v>
      </c>
      <c r="C6350" s="2" t="s">
        <v>16</v>
      </c>
      <c r="D6350" s="2" t="s">
        <v>17</v>
      </c>
      <c r="E6350" s="5">
        <v>-31579</v>
      </c>
      <c r="F6350" s="3" t="s">
        <v>609</v>
      </c>
      <c r="G6350" s="3" t="s">
        <v>95</v>
      </c>
      <c r="H6350" s="2" t="s">
        <v>20</v>
      </c>
      <c r="I6350" s="2" t="s">
        <v>13220</v>
      </c>
      <c r="J6350" s="3" t="str">
        <f>HYPERLINK("https://www.boe.es/gazeta/dias/1813/07/15/pdfs/GRE-1813-89.pdf#page=6","Abrir facsímil")</f>
        <v>Abrir facsímil</v>
      </c>
      <c r="K6350" s="3" t="s">
        <v>22</v>
      </c>
    </row>
    <row r="6351" spans="1:11" ht="42" customHeight="1">
      <c r="A6351" s="2" t="s">
        <v>13221</v>
      </c>
      <c r="B6351" s="2" t="s">
        <v>13222</v>
      </c>
      <c r="C6351" s="2" t="s">
        <v>34</v>
      </c>
      <c r="D6351" s="2" t="s">
        <v>35</v>
      </c>
      <c r="E6351" s="5">
        <v>-31467</v>
      </c>
      <c r="F6351" s="3" t="s">
        <v>120</v>
      </c>
      <c r="G6351" s="3" t="s">
        <v>58</v>
      </c>
      <c r="H6351" s="2" t="s">
        <v>20</v>
      </c>
      <c r="I6351" s="2" t="s">
        <v>13223</v>
      </c>
      <c r="J6351" s="3" t="str">
        <f>HYPERLINK("https://www.boe.es/gazeta/dias/1813/11/04/pdfs/GMR-1813-68.pdf#page=2","Abrir facsímil")</f>
        <v>Abrir facsímil</v>
      </c>
      <c r="K6351" s="3" t="s">
        <v>22</v>
      </c>
    </row>
    <row r="6352" spans="1:11" ht="42" customHeight="1">
      <c r="A6352" s="2" t="s">
        <v>13224</v>
      </c>
      <c r="B6352" s="2" t="s">
        <v>13225</v>
      </c>
      <c r="C6352" s="2" t="s">
        <v>16</v>
      </c>
      <c r="D6352" s="2" t="s">
        <v>17</v>
      </c>
      <c r="E6352" s="5">
        <v>-31661</v>
      </c>
      <c r="F6352" s="3" t="s">
        <v>6643</v>
      </c>
      <c r="G6352" s="3" t="s">
        <v>7098</v>
      </c>
      <c r="H6352" s="2" t="s">
        <v>20</v>
      </c>
      <c r="I6352" s="2" t="s">
        <v>13226</v>
      </c>
      <c r="J6352" s="3" t="str">
        <f>HYPERLINK("https://www.boe.es/gazeta/dias/1813/04/24/pdfs/GRE-1813-51.pdf#page=6","Abrir facsímil")</f>
        <v>Abrir facsímil</v>
      </c>
      <c r="K6352" s="3" t="s">
        <v>22</v>
      </c>
    </row>
    <row r="6353" spans="1:11" ht="42" customHeight="1">
      <c r="A6353" s="2" t="s">
        <v>13227</v>
      </c>
      <c r="B6353" s="2" t="s">
        <v>13227</v>
      </c>
      <c r="C6353" s="2" t="s">
        <v>435</v>
      </c>
      <c r="D6353" s="2" t="s">
        <v>26</v>
      </c>
      <c r="E6353" s="5">
        <v>-31637</v>
      </c>
      <c r="F6353" s="3" t="s">
        <v>234</v>
      </c>
      <c r="G6353" s="3" t="s">
        <v>1788</v>
      </c>
      <c r="H6353" s="2" t="s">
        <v>20</v>
      </c>
      <c r="I6353" s="2" t="s">
        <v>13228</v>
      </c>
      <c r="J6353" s="3" t="str">
        <f>HYPERLINK("https://www.boe.es/gazeta/dias/1813/05/18/pdfs/GRE-1813-61.pdf#page=8","Abrir facsímil")</f>
        <v>Abrir facsímil</v>
      </c>
      <c r="K6353" s="3" t="s">
        <v>22</v>
      </c>
    </row>
    <row r="6354" spans="1:11" ht="42" customHeight="1">
      <c r="A6354" s="2" t="s">
        <v>13229</v>
      </c>
      <c r="B6354" s="2" t="s">
        <v>13230</v>
      </c>
      <c r="C6354" s="2" t="s">
        <v>16</v>
      </c>
      <c r="D6354" s="2" t="s">
        <v>17</v>
      </c>
      <c r="E6354" s="5">
        <v>-31637</v>
      </c>
      <c r="F6354" s="3" t="s">
        <v>234</v>
      </c>
      <c r="G6354" s="3" t="s">
        <v>1788</v>
      </c>
      <c r="H6354" s="2" t="s">
        <v>20</v>
      </c>
      <c r="I6354" s="2" t="s">
        <v>13231</v>
      </c>
      <c r="J6354" s="3" t="str">
        <f>HYPERLINK("https://www.boe.es/gazeta/dias/1813/05/18/pdfs/GRE-1813-61.pdf#page=8","Abrir facsímil")</f>
        <v>Abrir facsímil</v>
      </c>
      <c r="K6354" s="3" t="s">
        <v>22</v>
      </c>
    </row>
    <row r="6355" spans="1:11" ht="42" customHeight="1">
      <c r="A6355" s="2" t="s">
        <v>13232</v>
      </c>
      <c r="B6355" s="2" t="s">
        <v>13233</v>
      </c>
      <c r="C6355" s="2" t="s">
        <v>16</v>
      </c>
      <c r="D6355" s="2" t="s">
        <v>17</v>
      </c>
      <c r="E6355" s="5">
        <v>-31465</v>
      </c>
      <c r="F6355" s="3" t="s">
        <v>2930</v>
      </c>
      <c r="G6355" s="3" t="s">
        <v>28</v>
      </c>
      <c r="H6355" s="2" t="s">
        <v>20</v>
      </c>
      <c r="I6355" s="2" t="s">
        <v>13234</v>
      </c>
      <c r="J6355" s="3" t="str">
        <f>HYPERLINK("https://www.boe.es/gazeta/dias/1813/11/06/pdfs/GRE-1813-145.pdf#page=8","Abrir facsímil")</f>
        <v>Abrir facsímil</v>
      </c>
      <c r="K6355" s="3" t="s">
        <v>22</v>
      </c>
    </row>
    <row r="6356" spans="1:11" ht="42" customHeight="1">
      <c r="A6356" s="2" t="s">
        <v>13235</v>
      </c>
      <c r="B6356" s="2" t="s">
        <v>13236</v>
      </c>
      <c r="C6356" s="2" t="s">
        <v>16</v>
      </c>
      <c r="D6356" s="2" t="s">
        <v>17</v>
      </c>
      <c r="E6356" s="5">
        <v>-31606</v>
      </c>
      <c r="F6356" s="3" t="s">
        <v>124</v>
      </c>
      <c r="G6356" s="3" t="s">
        <v>28</v>
      </c>
      <c r="H6356" s="2" t="s">
        <v>20</v>
      </c>
      <c r="I6356" s="2" t="s">
        <v>13237</v>
      </c>
      <c r="J6356" s="3" t="str">
        <f>HYPERLINK("https://www.boe.es/gazeta/dias/1813/06/18/pdfs/GMR-1813-7.pdf#page=8","Abrir facsímil")</f>
        <v>Abrir facsímil</v>
      </c>
      <c r="K6356" s="3" t="s">
        <v>22</v>
      </c>
    </row>
    <row r="6357" spans="1:11" ht="42" customHeight="1">
      <c r="A6357" s="2" t="s">
        <v>13238</v>
      </c>
      <c r="B6357" s="2" t="s">
        <v>13238</v>
      </c>
      <c r="C6357" s="2" t="s">
        <v>16</v>
      </c>
      <c r="D6357" s="2" t="s">
        <v>17</v>
      </c>
      <c r="E6357" s="5">
        <v>-31532</v>
      </c>
      <c r="F6357" s="3" t="s">
        <v>215</v>
      </c>
      <c r="G6357" s="3" t="s">
        <v>65</v>
      </c>
      <c r="H6357" s="2" t="s">
        <v>20</v>
      </c>
      <c r="I6357" s="2" t="s">
        <v>13239</v>
      </c>
      <c r="J6357" s="3" t="str">
        <f>HYPERLINK("https://www.boe.es/gazeta/dias/1813/08/31/pdfs/GRE-1813-111.pdf#page=1","Abrir facsímil")</f>
        <v>Abrir facsímil</v>
      </c>
      <c r="K6357" s="3" t="s">
        <v>22</v>
      </c>
    </row>
    <row r="6358" spans="1:11" ht="42" customHeight="1">
      <c r="A6358" s="2" t="s">
        <v>13240</v>
      </c>
      <c r="B6358" s="2" t="s">
        <v>13240</v>
      </c>
      <c r="C6358" s="2" t="s">
        <v>16</v>
      </c>
      <c r="D6358" s="2" t="s">
        <v>17</v>
      </c>
      <c r="E6358" s="5">
        <v>-31483</v>
      </c>
      <c r="F6358" s="3" t="s">
        <v>1292</v>
      </c>
      <c r="G6358" s="3" t="s">
        <v>87</v>
      </c>
      <c r="H6358" s="2" t="s">
        <v>20</v>
      </c>
      <c r="I6358" s="2" t="s">
        <v>13241</v>
      </c>
      <c r="J6358" s="3" t="str">
        <f>HYPERLINK("https://www.boe.es/gazeta/dias/1813/10/19/pdfs/GMR-1813-61.pdf#page=7","Abrir facsímil")</f>
        <v>Abrir facsímil</v>
      </c>
      <c r="K6358" s="3" t="s">
        <v>22</v>
      </c>
    </row>
    <row r="6359" spans="1:11" ht="42" customHeight="1">
      <c r="A6359" s="2" t="s">
        <v>13242</v>
      </c>
      <c r="B6359" s="2" t="s">
        <v>13242</v>
      </c>
      <c r="C6359" s="2" t="s">
        <v>16</v>
      </c>
      <c r="D6359" s="2" t="s">
        <v>17</v>
      </c>
      <c r="E6359" s="5">
        <v>-31460</v>
      </c>
      <c r="F6359" s="3" t="s">
        <v>599</v>
      </c>
      <c r="G6359" s="3" t="s">
        <v>65</v>
      </c>
      <c r="H6359" s="2" t="s">
        <v>20</v>
      </c>
      <c r="I6359" s="2" t="s">
        <v>13243</v>
      </c>
      <c r="J6359" s="3" t="str">
        <f>HYPERLINK("https://www.boe.es/gazeta/dias/1813/11/11/pdfs/GMR-1813-72.pdf#page=1","Abrir facsímil")</f>
        <v>Abrir facsímil</v>
      </c>
      <c r="K6359" s="3" t="s">
        <v>22</v>
      </c>
    </row>
    <row r="6360" spans="1:11" ht="42" customHeight="1">
      <c r="A6360" s="2" t="s">
        <v>13244</v>
      </c>
      <c r="B6360" s="2" t="s">
        <v>13244</v>
      </c>
      <c r="C6360" s="2" t="s">
        <v>16</v>
      </c>
      <c r="D6360" s="2" t="s">
        <v>17</v>
      </c>
      <c r="E6360" s="5">
        <v>-31455</v>
      </c>
      <c r="F6360" s="3" t="s">
        <v>693</v>
      </c>
      <c r="G6360" s="3" t="s">
        <v>82</v>
      </c>
      <c r="H6360" s="2" t="s">
        <v>20</v>
      </c>
      <c r="I6360" s="2" t="s">
        <v>13245</v>
      </c>
      <c r="J6360" s="3" t="str">
        <f>HYPERLINK("https://www.boe.es/gazeta/dias/1813/11/16/pdfs/GRE-1813-150.pdf#page=5","Abrir facsímil")</f>
        <v>Abrir facsímil</v>
      </c>
      <c r="K6360" s="3" t="s">
        <v>22</v>
      </c>
    </row>
    <row r="6361" spans="1:11" ht="42" customHeight="1">
      <c r="A6361" s="2" t="s">
        <v>13246</v>
      </c>
      <c r="B6361" s="2" t="s">
        <v>13246</v>
      </c>
      <c r="C6361" s="2" t="s">
        <v>16</v>
      </c>
      <c r="D6361" s="2" t="s">
        <v>17</v>
      </c>
      <c r="E6361" s="5">
        <v>-31486</v>
      </c>
      <c r="F6361" s="3" t="s">
        <v>1284</v>
      </c>
      <c r="G6361" s="3" t="s">
        <v>2413</v>
      </c>
      <c r="H6361" s="2" t="s">
        <v>20</v>
      </c>
      <c r="I6361" s="2" t="s">
        <v>13247</v>
      </c>
      <c r="J6361" s="3" t="str">
        <f>HYPERLINK("https://www.boe.es/gazeta/dias/1813/10/16/pdfs/GMR-1813-60.pdf#page=5","Abrir facsímil")</f>
        <v>Abrir facsímil</v>
      </c>
      <c r="K6361" s="3" t="s">
        <v>22</v>
      </c>
    </row>
    <row r="6362" spans="1:11" ht="42" customHeight="1">
      <c r="A6362" s="2" t="s">
        <v>13246</v>
      </c>
      <c r="B6362" s="2" t="s">
        <v>13246</v>
      </c>
      <c r="C6362" s="2" t="s">
        <v>16</v>
      </c>
      <c r="D6362" s="2" t="s">
        <v>17</v>
      </c>
      <c r="E6362" s="5">
        <v>-31481</v>
      </c>
      <c r="F6362" s="3" t="s">
        <v>380</v>
      </c>
      <c r="G6362" s="3" t="s">
        <v>794</v>
      </c>
      <c r="H6362" s="2" t="s">
        <v>20</v>
      </c>
      <c r="I6362" s="2" t="s">
        <v>13248</v>
      </c>
      <c r="J6362" s="3" t="str">
        <f>HYPERLINK("https://www.boe.es/gazeta/dias/1813/10/21/pdfs/GRE-1813-137.pdf#page=7","Abrir facsímil")</f>
        <v>Abrir facsímil</v>
      </c>
      <c r="K6362" s="3" t="s">
        <v>22</v>
      </c>
    </row>
    <row r="6363" spans="1:11" ht="42" customHeight="1">
      <c r="A6363" s="2" t="s">
        <v>13249</v>
      </c>
      <c r="B6363" s="2" t="s">
        <v>13250</v>
      </c>
      <c r="C6363" s="2" t="s">
        <v>34</v>
      </c>
      <c r="D6363" s="2" t="s">
        <v>35</v>
      </c>
      <c r="E6363" s="5">
        <v>-31709</v>
      </c>
      <c r="F6363" s="3" t="s">
        <v>36</v>
      </c>
      <c r="G6363" s="3" t="s">
        <v>303</v>
      </c>
      <c r="H6363" s="2" t="s">
        <v>20</v>
      </c>
      <c r="I6363" s="2" t="s">
        <v>13251</v>
      </c>
      <c r="J6363" s="3" t="str">
        <f>HYPERLINK("https://www.boe.es/gazeta/dias/1813/03/07/pdfs/GMD-1813-66.pdf#page=3","Abrir facsímil")</f>
        <v>Abrir facsímil</v>
      </c>
      <c r="K6363" s="3" t="s">
        <v>22</v>
      </c>
    </row>
    <row r="6364" spans="1:11" ht="42" customHeight="1">
      <c r="A6364" s="2" t="s">
        <v>13252</v>
      </c>
      <c r="B6364" s="2" t="s">
        <v>13252</v>
      </c>
      <c r="C6364" s="2" t="s">
        <v>109</v>
      </c>
      <c r="D6364" s="2" t="s">
        <v>26</v>
      </c>
      <c r="E6364" s="5">
        <v>-31695</v>
      </c>
      <c r="F6364" s="3" t="s">
        <v>2770</v>
      </c>
      <c r="G6364" s="3" t="s">
        <v>54</v>
      </c>
      <c r="H6364" s="2" t="s">
        <v>20</v>
      </c>
      <c r="I6364" s="2" t="s">
        <v>13253</v>
      </c>
      <c r="J6364" s="3" t="str">
        <f>HYPERLINK("https://www.boe.es/gazeta/dias/1813/03/21/pdfs/GMD-1813-80.pdf#page=3","Abrir facsímil")</f>
        <v>Abrir facsímil</v>
      </c>
      <c r="K6364" s="3" t="s">
        <v>22</v>
      </c>
    </row>
    <row r="6365" spans="1:11" ht="42" customHeight="1">
      <c r="A6365" s="2" t="s">
        <v>13254</v>
      </c>
      <c r="B6365" s="2" t="s">
        <v>13254</v>
      </c>
      <c r="C6365" s="2" t="s">
        <v>16</v>
      </c>
      <c r="D6365" s="2" t="s">
        <v>17</v>
      </c>
      <c r="E6365" s="5">
        <v>-31521</v>
      </c>
      <c r="F6365" s="3" t="s">
        <v>1282</v>
      </c>
      <c r="G6365" s="3" t="s">
        <v>58</v>
      </c>
      <c r="H6365" s="2" t="s">
        <v>20</v>
      </c>
      <c r="I6365" s="2" t="s">
        <v>13255</v>
      </c>
      <c r="J6365" s="3" t="str">
        <f>HYPERLINK("https://www.boe.es/gazeta/dias/1813/09/11/pdfs/GMR-1813-41.pdf#page=2","Abrir facsímil")</f>
        <v>Abrir facsímil</v>
      </c>
      <c r="K6365" s="3" t="s">
        <v>22</v>
      </c>
    </row>
    <row r="6366" spans="1:11" ht="42" customHeight="1">
      <c r="A6366" s="2" t="s">
        <v>13256</v>
      </c>
      <c r="B6366" s="2" t="s">
        <v>13257</v>
      </c>
      <c r="C6366" s="2" t="s">
        <v>16</v>
      </c>
      <c r="D6366" s="2" t="s">
        <v>17</v>
      </c>
      <c r="E6366" s="5">
        <v>-31521</v>
      </c>
      <c r="F6366" s="3" t="s">
        <v>1256</v>
      </c>
      <c r="G6366" s="3" t="s">
        <v>82</v>
      </c>
      <c r="H6366" s="2" t="s">
        <v>20</v>
      </c>
      <c r="I6366" s="2" t="s">
        <v>13258</v>
      </c>
      <c r="J6366" s="3" t="str">
        <f>HYPERLINK("https://www.boe.es/gazeta/dias/1813/09/11/pdfs/GRE-1813-116.pdf#page=5","Abrir facsímil")</f>
        <v>Abrir facsímil</v>
      </c>
      <c r="K6366" s="3" t="s">
        <v>22</v>
      </c>
    </row>
    <row r="6367" spans="1:11" ht="42" customHeight="1">
      <c r="A6367" s="2" t="s">
        <v>13259</v>
      </c>
      <c r="B6367" s="2" t="s">
        <v>13259</v>
      </c>
      <c r="C6367" s="2" t="s">
        <v>16</v>
      </c>
      <c r="D6367" s="2" t="s">
        <v>17</v>
      </c>
      <c r="E6367" s="5">
        <v>-31437</v>
      </c>
      <c r="F6367" s="3" t="s">
        <v>217</v>
      </c>
      <c r="G6367" s="3" t="s">
        <v>539</v>
      </c>
      <c r="H6367" s="2" t="s">
        <v>20</v>
      </c>
      <c r="I6367" s="2" t="s">
        <v>13260</v>
      </c>
      <c r="J6367" s="3" t="str">
        <f>HYPERLINK("https://www.boe.es/gazeta/dias/1813/12/04/pdfs/GRE-1813-160.pdf#page=4","Abrir facsímil")</f>
        <v>Abrir facsímil</v>
      </c>
      <c r="K6367" s="3" t="s">
        <v>22</v>
      </c>
    </row>
    <row r="6368" spans="1:11" ht="42" customHeight="1">
      <c r="A6368" s="2" t="s">
        <v>13261</v>
      </c>
      <c r="B6368" s="2" t="s">
        <v>13262</v>
      </c>
      <c r="C6368" s="2" t="s">
        <v>16</v>
      </c>
      <c r="D6368" s="2" t="s">
        <v>97</v>
      </c>
      <c r="E6368" s="5">
        <v>-31479</v>
      </c>
      <c r="F6368" s="3" t="s">
        <v>290</v>
      </c>
      <c r="G6368" s="3" t="s">
        <v>95</v>
      </c>
      <c r="H6368" s="2" t="s">
        <v>20</v>
      </c>
      <c r="I6368" s="2" t="s">
        <v>13263</v>
      </c>
      <c r="J6368" s="3" t="str">
        <f>HYPERLINK("https://www.boe.es/gazeta/dias/1813/10/23/pdfs/GRE-1813-139E.pdf#page=6","Abrir facsímil")</f>
        <v>Abrir facsímil</v>
      </c>
      <c r="K6368" s="3" t="s">
        <v>22</v>
      </c>
    </row>
    <row r="6369" spans="1:11" ht="42" customHeight="1">
      <c r="A6369" s="2" t="s">
        <v>13261</v>
      </c>
      <c r="B6369" s="2" t="s">
        <v>13262</v>
      </c>
      <c r="C6369" s="2" t="s">
        <v>16</v>
      </c>
      <c r="D6369" s="2" t="s">
        <v>17</v>
      </c>
      <c r="E6369" s="5">
        <v>-31465</v>
      </c>
      <c r="F6369" s="3" t="s">
        <v>407</v>
      </c>
      <c r="G6369" s="3" t="s">
        <v>82</v>
      </c>
      <c r="H6369" s="2" t="s">
        <v>20</v>
      </c>
      <c r="I6369" s="2" t="s">
        <v>13264</v>
      </c>
      <c r="J6369" s="3" t="str">
        <f>HYPERLINK("https://www.boe.es/gazeta/dias/1813/11/06/pdfs/GMR-1813-70.pdf#page=5","Abrir facsímil")</f>
        <v>Abrir facsímil</v>
      </c>
      <c r="K6369" s="3" t="s">
        <v>22</v>
      </c>
    </row>
    <row r="6370" spans="1:11" ht="42" customHeight="1">
      <c r="A6370" s="2" t="s">
        <v>13265</v>
      </c>
      <c r="B6370" s="2" t="s">
        <v>13265</v>
      </c>
      <c r="C6370" s="2" t="s">
        <v>16</v>
      </c>
      <c r="D6370" s="2" t="s">
        <v>17</v>
      </c>
      <c r="E6370" s="5">
        <v>-31564</v>
      </c>
      <c r="F6370" s="3" t="s">
        <v>206</v>
      </c>
      <c r="G6370" s="3" t="s">
        <v>54</v>
      </c>
      <c r="H6370" s="2" t="s">
        <v>20</v>
      </c>
      <c r="I6370" s="2" t="s">
        <v>13266</v>
      </c>
      <c r="J6370" s="3" t="str">
        <f>HYPERLINK("https://www.boe.es/gazeta/dias/1813/07/30/pdfs/GMR-1813-22.pdf#page=3","Abrir facsímil")</f>
        <v>Abrir facsímil</v>
      </c>
      <c r="K6370" s="3" t="s">
        <v>22</v>
      </c>
    </row>
    <row r="6371" spans="1:11" ht="42" customHeight="1">
      <c r="A6371" s="2" t="s">
        <v>13267</v>
      </c>
      <c r="B6371" s="2" t="s">
        <v>13267</v>
      </c>
      <c r="C6371" s="2" t="s">
        <v>16</v>
      </c>
      <c r="D6371" s="2" t="s">
        <v>97</v>
      </c>
      <c r="E6371" s="5">
        <v>-31499</v>
      </c>
      <c r="F6371" s="3" t="s">
        <v>220</v>
      </c>
      <c r="G6371" s="3" t="s">
        <v>1788</v>
      </c>
      <c r="H6371" s="2" t="s">
        <v>20</v>
      </c>
      <c r="I6371" s="2" t="s">
        <v>13268</v>
      </c>
      <c r="J6371" s="3" t="str">
        <f>HYPERLINK("https://www.boe.es/gazeta/dias/1813/10/03/pdfs/GMR-1813-53E.pdf#page=4","Abrir facsímil")</f>
        <v>Abrir facsímil</v>
      </c>
      <c r="K6371" s="3" t="s">
        <v>22</v>
      </c>
    </row>
    <row r="6372" spans="1:11" ht="42" customHeight="1">
      <c r="A6372" s="2" t="s">
        <v>13269</v>
      </c>
      <c r="B6372" s="2" t="s">
        <v>13269</v>
      </c>
      <c r="C6372" s="2" t="s">
        <v>34</v>
      </c>
      <c r="D6372" s="2" t="s">
        <v>35</v>
      </c>
      <c r="E6372" s="5">
        <v>-31453</v>
      </c>
      <c r="F6372" s="3" t="s">
        <v>887</v>
      </c>
      <c r="G6372" s="3" t="s">
        <v>888</v>
      </c>
      <c r="H6372" s="2" t="s">
        <v>20</v>
      </c>
      <c r="I6372" s="2" t="s">
        <v>13270</v>
      </c>
      <c r="J6372" s="3" t="str">
        <f>HYPERLINK("https://www.boe.es/gazeta/dias/1813/11/18/pdfs/GMR-1813-76.pdf#page=10","Abrir facsímil")</f>
        <v>Abrir facsímil</v>
      </c>
      <c r="K6372" s="3" t="s">
        <v>22</v>
      </c>
    </row>
    <row r="6373" spans="1:11" ht="42" customHeight="1">
      <c r="A6373" s="2" t="s">
        <v>13271</v>
      </c>
      <c r="B6373" s="2" t="s">
        <v>13272</v>
      </c>
      <c r="C6373" s="2" t="s">
        <v>16</v>
      </c>
      <c r="D6373" s="2" t="s">
        <v>17</v>
      </c>
      <c r="E6373" s="5">
        <v>-31523</v>
      </c>
      <c r="F6373" s="3" t="s">
        <v>81</v>
      </c>
      <c r="G6373" s="3" t="s">
        <v>82</v>
      </c>
      <c r="H6373" s="2" t="s">
        <v>20</v>
      </c>
      <c r="I6373" s="2" t="s">
        <v>13273</v>
      </c>
      <c r="J6373" s="3" t="str">
        <f>HYPERLINK("https://www.boe.es/gazeta/dias/1813/09/09/pdfs/GRE-1813-115.pdf#page=5","Abrir facsímil")</f>
        <v>Abrir facsímil</v>
      </c>
      <c r="K6373" s="3" t="s">
        <v>22</v>
      </c>
    </row>
    <row r="6374" spans="1:11" ht="42" customHeight="1">
      <c r="A6374" s="2" t="s">
        <v>13274</v>
      </c>
      <c r="B6374" s="2" t="s">
        <v>13275</v>
      </c>
      <c r="C6374" s="2" t="s">
        <v>187</v>
      </c>
      <c r="D6374" s="2" t="s">
        <v>26</v>
      </c>
      <c r="E6374" s="5">
        <v>-31551</v>
      </c>
      <c r="F6374" s="3" t="s">
        <v>954</v>
      </c>
      <c r="G6374" s="3" t="s">
        <v>28</v>
      </c>
      <c r="H6374" s="2" t="s">
        <v>20</v>
      </c>
      <c r="I6374" s="2" t="s">
        <v>13276</v>
      </c>
      <c r="J6374" s="3" t="str">
        <f>HYPERLINK("https://www.boe.es/gazeta/dias/1813/08/12/pdfs/GMR-1813-27.pdf#page=8","Abrir facsímil")</f>
        <v>Abrir facsímil</v>
      </c>
      <c r="K6374" s="3" t="s">
        <v>22</v>
      </c>
    </row>
    <row r="6375" spans="1:11" ht="42" customHeight="1">
      <c r="A6375" s="2" t="s">
        <v>13277</v>
      </c>
      <c r="B6375" s="2" t="s">
        <v>13278</v>
      </c>
      <c r="C6375" s="2" t="s">
        <v>16</v>
      </c>
      <c r="D6375" s="2" t="s">
        <v>17</v>
      </c>
      <c r="E6375" s="5">
        <v>-31754</v>
      </c>
      <c r="F6375" s="3" t="s">
        <v>899</v>
      </c>
      <c r="G6375" s="3" t="s">
        <v>900</v>
      </c>
      <c r="H6375" s="2" t="s">
        <v>20</v>
      </c>
      <c r="I6375" s="2" t="s">
        <v>13279</v>
      </c>
      <c r="J6375" s="3" t="str">
        <f>HYPERLINK("https://www.boe.es/gazeta/dias/1813/01/21/pdfs/GRE-1813-9.pdf#page=8","Abrir facsímil")</f>
        <v>Abrir facsímil</v>
      </c>
      <c r="K6375" s="3" t="s">
        <v>22</v>
      </c>
    </row>
    <row r="6376" spans="1:11" ht="42" customHeight="1">
      <c r="A6376" s="2" t="s">
        <v>13280</v>
      </c>
      <c r="B6376" s="2" t="s">
        <v>13281</v>
      </c>
      <c r="C6376" s="2" t="s">
        <v>16</v>
      </c>
      <c r="D6376" s="2" t="s">
        <v>17</v>
      </c>
      <c r="E6376" s="5">
        <v>-31511</v>
      </c>
      <c r="F6376" s="3" t="s">
        <v>2149</v>
      </c>
      <c r="G6376" s="3" t="s">
        <v>95</v>
      </c>
      <c r="H6376" s="2" t="s">
        <v>20</v>
      </c>
      <c r="I6376" s="2" t="s">
        <v>13282</v>
      </c>
      <c r="J6376" s="3" t="str">
        <f>HYPERLINK("https://www.boe.es/gazeta/dias/1813/09/21/pdfs/GRE-1813-122.pdf#page=6","Abrir facsímil")</f>
        <v>Abrir facsímil</v>
      </c>
      <c r="K6376" s="3" t="s">
        <v>22</v>
      </c>
    </row>
    <row r="6377" spans="1:11" ht="42" customHeight="1">
      <c r="A6377" s="2" t="s">
        <v>13283</v>
      </c>
      <c r="B6377" s="2" t="s">
        <v>13283</v>
      </c>
      <c r="C6377" s="2" t="s">
        <v>25</v>
      </c>
      <c r="D6377" s="2" t="s">
        <v>26</v>
      </c>
      <c r="E6377" s="5">
        <v>-31486</v>
      </c>
      <c r="F6377" s="3" t="s">
        <v>597</v>
      </c>
      <c r="G6377" s="3" t="s">
        <v>58</v>
      </c>
      <c r="H6377" s="2" t="s">
        <v>20</v>
      </c>
      <c r="I6377" s="2" t="s">
        <v>13284</v>
      </c>
      <c r="J6377" s="3" t="str">
        <f>HYPERLINK("https://www.boe.es/gazeta/dias/1813/10/16/pdfs/GRE-1813-135.pdf#page=2","Abrir facsímil")</f>
        <v>Abrir facsímil</v>
      </c>
      <c r="K6377" s="3" t="s">
        <v>22</v>
      </c>
    </row>
    <row r="6378" spans="1:11" ht="42" customHeight="1">
      <c r="A6378" s="2" t="s">
        <v>13285</v>
      </c>
      <c r="B6378" s="2" t="s">
        <v>13286</v>
      </c>
      <c r="C6378" s="2" t="s">
        <v>25</v>
      </c>
      <c r="D6378" s="2" t="s">
        <v>26</v>
      </c>
      <c r="E6378" s="5">
        <v>-31754</v>
      </c>
      <c r="F6378" s="3" t="s">
        <v>899</v>
      </c>
      <c r="G6378" s="3" t="s">
        <v>900</v>
      </c>
      <c r="H6378" s="2" t="s">
        <v>20</v>
      </c>
      <c r="I6378" s="2" t="s">
        <v>13287</v>
      </c>
      <c r="J6378" s="3" t="str">
        <f>HYPERLINK("https://www.boe.es/gazeta/dias/1813/01/21/pdfs/GRE-1813-9.pdf#page=8","Abrir facsímil")</f>
        <v>Abrir facsímil</v>
      </c>
      <c r="K6378" s="3" t="s">
        <v>22</v>
      </c>
    </row>
    <row r="6379" spans="1:11" ht="42" customHeight="1">
      <c r="A6379" s="2" t="s">
        <v>13288</v>
      </c>
      <c r="B6379" s="2" t="s">
        <v>13288</v>
      </c>
      <c r="C6379" s="2" t="s">
        <v>16</v>
      </c>
      <c r="D6379" s="2" t="s">
        <v>17</v>
      </c>
      <c r="E6379" s="5">
        <v>-31542</v>
      </c>
      <c r="F6379" s="3" t="s">
        <v>347</v>
      </c>
      <c r="G6379" s="3" t="s">
        <v>54</v>
      </c>
      <c r="H6379" s="2" t="s">
        <v>20</v>
      </c>
      <c r="I6379" s="2" t="s">
        <v>13289</v>
      </c>
      <c r="J6379" s="3" t="str">
        <f>HYPERLINK("https://www.boe.es/gazeta/dias/1813/08/21/pdfs/GMR-1813-31.pdf#page=3","Abrir facsímil")</f>
        <v>Abrir facsímil</v>
      </c>
      <c r="K6379" s="3" t="s">
        <v>22</v>
      </c>
    </row>
    <row r="6380" spans="1:11" ht="42" customHeight="1">
      <c r="A6380" s="2" t="s">
        <v>13290</v>
      </c>
      <c r="B6380" s="2" t="s">
        <v>13291</v>
      </c>
      <c r="C6380" s="2" t="s">
        <v>16</v>
      </c>
      <c r="D6380" s="2" t="s">
        <v>17</v>
      </c>
      <c r="E6380" s="5">
        <v>-31570</v>
      </c>
      <c r="F6380" s="3" t="s">
        <v>1803</v>
      </c>
      <c r="G6380" s="3" t="s">
        <v>95</v>
      </c>
      <c r="H6380" s="2" t="s">
        <v>20</v>
      </c>
      <c r="I6380" s="2" t="s">
        <v>13292</v>
      </c>
      <c r="J6380" s="3" t="str">
        <f>HYPERLINK("https://www.boe.es/gazeta/dias/1813/07/24/pdfs/GRE-1813-94.pdf#page=6","Abrir facsímil")</f>
        <v>Abrir facsímil</v>
      </c>
      <c r="K6380" s="3" t="s">
        <v>22</v>
      </c>
    </row>
    <row r="6381" spans="1:11" ht="42" customHeight="1">
      <c r="A6381" s="2" t="s">
        <v>13293</v>
      </c>
      <c r="B6381" s="2" t="s">
        <v>13293</v>
      </c>
      <c r="C6381" s="2" t="s">
        <v>435</v>
      </c>
      <c r="D6381" s="2" t="s">
        <v>26</v>
      </c>
      <c r="E6381" s="5">
        <v>-31560</v>
      </c>
      <c r="F6381" s="3" t="s">
        <v>1233</v>
      </c>
      <c r="G6381" s="3" t="s">
        <v>82</v>
      </c>
      <c r="H6381" s="2" t="s">
        <v>20</v>
      </c>
      <c r="I6381" s="2" t="s">
        <v>13294</v>
      </c>
      <c r="J6381" s="3" t="str">
        <f>HYPERLINK("https://www.boe.es/gazeta/dias/1813/08/03/pdfs/GMR-1813-23.pdf#page=5","Abrir facsímil")</f>
        <v>Abrir facsímil</v>
      </c>
      <c r="K6381" s="3" t="s">
        <v>22</v>
      </c>
    </row>
    <row r="6382" spans="1:11" ht="42" customHeight="1">
      <c r="A6382" s="2" t="s">
        <v>13295</v>
      </c>
      <c r="B6382" s="2" t="s">
        <v>13296</v>
      </c>
      <c r="C6382" s="2" t="s">
        <v>435</v>
      </c>
      <c r="D6382" s="2" t="s">
        <v>26</v>
      </c>
      <c r="E6382" s="5">
        <v>-31567</v>
      </c>
      <c r="F6382" s="3" t="s">
        <v>820</v>
      </c>
      <c r="G6382" s="3" t="s">
        <v>821</v>
      </c>
      <c r="H6382" s="2" t="s">
        <v>20</v>
      </c>
      <c r="I6382" s="2" t="s">
        <v>13297</v>
      </c>
      <c r="J6382" s="3" t="str">
        <f>HYPERLINK("https://www.boe.es/gazeta/dias/1813/07/27/pdfs/GMR-1813-21.pdf#page=13","Abrir facsímil")</f>
        <v>Abrir facsímil</v>
      </c>
      <c r="K6382" s="3" t="s">
        <v>22</v>
      </c>
    </row>
    <row r="6383" spans="1:11" ht="42" customHeight="1">
      <c r="A6383" s="2" t="s">
        <v>13298</v>
      </c>
      <c r="B6383" s="2" t="s">
        <v>13298</v>
      </c>
      <c r="C6383" s="2" t="s">
        <v>187</v>
      </c>
      <c r="D6383" s="2" t="s">
        <v>26</v>
      </c>
      <c r="E6383" s="5">
        <v>-31692</v>
      </c>
      <c r="F6383" s="3" t="s">
        <v>2171</v>
      </c>
      <c r="G6383" s="3" t="s">
        <v>54</v>
      </c>
      <c r="H6383" s="2" t="s">
        <v>20</v>
      </c>
      <c r="I6383" s="2" t="s">
        <v>13299</v>
      </c>
      <c r="J6383" s="3" t="str">
        <f>HYPERLINK("https://www.boe.es/gazeta/dias/1813/03/24/pdfs/GMD-1813-83.pdf#page=3","Abrir facsímil")</f>
        <v>Abrir facsímil</v>
      </c>
      <c r="K6383" s="3" t="s">
        <v>22</v>
      </c>
    </row>
    <row r="6384" spans="1:11" ht="42" customHeight="1">
      <c r="A6384" s="2" t="s">
        <v>13300</v>
      </c>
      <c r="B6384" s="2" t="s">
        <v>13300</v>
      </c>
      <c r="C6384" s="2" t="s">
        <v>25</v>
      </c>
      <c r="D6384" s="2" t="s">
        <v>26</v>
      </c>
      <c r="E6384" s="5">
        <v>-31692</v>
      </c>
      <c r="F6384" s="3" t="s">
        <v>2171</v>
      </c>
      <c r="G6384" s="3" t="s">
        <v>54</v>
      </c>
      <c r="H6384" s="2" t="s">
        <v>20</v>
      </c>
      <c r="I6384" s="2" t="s">
        <v>13301</v>
      </c>
      <c r="J6384" s="3" t="str">
        <f>HYPERLINK("https://www.boe.es/gazeta/dias/1813/03/24/pdfs/GMD-1813-83.pdf#page=3","Abrir facsímil")</f>
        <v>Abrir facsímil</v>
      </c>
      <c r="K6384" s="3" t="s">
        <v>22</v>
      </c>
    </row>
    <row r="6385" spans="1:11" ht="42" customHeight="1">
      <c r="A6385" s="2" t="s">
        <v>13302</v>
      </c>
      <c r="B6385" s="2" t="s">
        <v>13302</v>
      </c>
      <c r="C6385" s="2" t="s">
        <v>25</v>
      </c>
      <c r="D6385" s="2" t="s">
        <v>26</v>
      </c>
      <c r="E6385" s="5">
        <v>-31472</v>
      </c>
      <c r="F6385" s="3" t="s">
        <v>143</v>
      </c>
      <c r="G6385" s="3" t="s">
        <v>998</v>
      </c>
      <c r="H6385" s="2" t="s">
        <v>20</v>
      </c>
      <c r="I6385" s="2" t="s">
        <v>13303</v>
      </c>
      <c r="J6385" s="3" t="str">
        <f>HYPERLINK("https://www.boe.es/gazeta/dias/1813/10/30/pdfs/GMR-1813-66.pdf#page=6","Abrir facsímil")</f>
        <v>Abrir facsímil</v>
      </c>
      <c r="K6385" s="3" t="s">
        <v>22</v>
      </c>
    </row>
    <row r="6386" spans="1:11" ht="42" customHeight="1">
      <c r="A6386" s="2" t="s">
        <v>13304</v>
      </c>
      <c r="B6386" s="2" t="s">
        <v>13304</v>
      </c>
      <c r="C6386" s="2" t="s">
        <v>16</v>
      </c>
      <c r="D6386" s="2" t="s">
        <v>17</v>
      </c>
      <c r="E6386" s="5">
        <v>-31582</v>
      </c>
      <c r="F6386" s="3" t="s">
        <v>907</v>
      </c>
      <c r="G6386" s="3" t="s">
        <v>19</v>
      </c>
      <c r="H6386" s="2" t="s">
        <v>20</v>
      </c>
      <c r="I6386" s="2" t="s">
        <v>13305</v>
      </c>
      <c r="J6386" s="3" t="str">
        <f>HYPERLINK("https://www.boe.es/gazeta/dias/1813/07/12/pdfs/GRE-1813-87.pdf#page=4","Abrir facsímil")</f>
        <v>Abrir facsímil</v>
      </c>
      <c r="K6386" s="3" t="s">
        <v>22</v>
      </c>
    </row>
    <row r="6387" spans="1:11" ht="42" customHeight="1">
      <c r="A6387" s="2" t="s">
        <v>13304</v>
      </c>
      <c r="B6387" s="2" t="s">
        <v>13304</v>
      </c>
      <c r="C6387" s="2" t="s">
        <v>16</v>
      </c>
      <c r="D6387" s="2" t="s">
        <v>17</v>
      </c>
      <c r="E6387" s="5">
        <v>-31571</v>
      </c>
      <c r="F6387" s="3" t="s">
        <v>788</v>
      </c>
      <c r="G6387" s="3" t="s">
        <v>2657</v>
      </c>
      <c r="H6387" s="2" t="s">
        <v>20</v>
      </c>
      <c r="I6387" s="2" t="s">
        <v>13306</v>
      </c>
      <c r="J6387" s="3" t="str">
        <f>HYPERLINK("https://www.boe.es/gazeta/dias/1813/07/23/pdfs/GMR-1813-20.pdf#page=11","Abrir facsímil")</f>
        <v>Abrir facsímil</v>
      </c>
      <c r="K6387" s="3" t="s">
        <v>22</v>
      </c>
    </row>
    <row r="6388" spans="1:11" ht="42" customHeight="1">
      <c r="A6388" s="2" t="s">
        <v>13307</v>
      </c>
      <c r="B6388" s="2" t="s">
        <v>13308</v>
      </c>
      <c r="C6388" s="2" t="s">
        <v>16</v>
      </c>
      <c r="D6388" s="2" t="s">
        <v>17</v>
      </c>
      <c r="E6388" s="5">
        <v>-31465</v>
      </c>
      <c r="F6388" s="3" t="s">
        <v>407</v>
      </c>
      <c r="G6388" s="3" t="s">
        <v>87</v>
      </c>
      <c r="H6388" s="2" t="s">
        <v>20</v>
      </c>
      <c r="I6388" s="2" t="s">
        <v>13309</v>
      </c>
      <c r="J6388" s="3" t="str">
        <f>HYPERLINK("https://www.boe.es/gazeta/dias/1813/11/06/pdfs/GMR-1813-70.pdf#page=7","Abrir facsímil")</f>
        <v>Abrir facsímil</v>
      </c>
      <c r="K6388" s="3" t="s">
        <v>22</v>
      </c>
    </row>
    <row r="6389" spans="1:11" ht="42" customHeight="1">
      <c r="A6389" s="2" t="s">
        <v>13310</v>
      </c>
      <c r="B6389" s="2" t="s">
        <v>13310</v>
      </c>
      <c r="C6389" s="2" t="s">
        <v>277</v>
      </c>
      <c r="D6389" s="2" t="s">
        <v>26</v>
      </c>
      <c r="E6389" s="5">
        <v>-31507</v>
      </c>
      <c r="F6389" s="3" t="s">
        <v>61</v>
      </c>
      <c r="G6389" s="3" t="s">
        <v>3122</v>
      </c>
      <c r="H6389" s="2" t="s">
        <v>20</v>
      </c>
      <c r="I6389" s="2" t="s">
        <v>13311</v>
      </c>
      <c r="J6389" s="3" t="str">
        <f>HYPERLINK("https://www.boe.es/gazeta/dias/1813/09/25/pdfs/GMR-1813-48.pdf#page=12","Abrir facsímil")</f>
        <v>Abrir facsímil</v>
      </c>
      <c r="K6389" s="3" t="s">
        <v>22</v>
      </c>
    </row>
    <row r="6390" spans="1:11" ht="42" customHeight="1">
      <c r="A6390" s="2" t="s">
        <v>13312</v>
      </c>
      <c r="B6390" s="2" t="s">
        <v>13313</v>
      </c>
      <c r="C6390" s="2" t="s">
        <v>277</v>
      </c>
      <c r="D6390" s="2" t="s">
        <v>26</v>
      </c>
      <c r="E6390" s="5">
        <v>-31579</v>
      </c>
      <c r="F6390" s="3" t="s">
        <v>609</v>
      </c>
      <c r="G6390" s="3" t="s">
        <v>28</v>
      </c>
      <c r="H6390" s="2" t="s">
        <v>20</v>
      </c>
      <c r="I6390" s="2" t="s">
        <v>13314</v>
      </c>
      <c r="J6390" s="3" t="str">
        <f>HYPERLINK("https://www.boe.es/gazeta/dias/1813/07/15/pdfs/GRE-1813-89.pdf#page=8","Abrir facsímil")</f>
        <v>Abrir facsímil</v>
      </c>
      <c r="K6390" s="3" t="s">
        <v>22</v>
      </c>
    </row>
    <row r="6391" spans="1:11" ht="42" customHeight="1">
      <c r="A6391" s="2" t="s">
        <v>13315</v>
      </c>
      <c r="B6391" s="2" t="s">
        <v>13316</v>
      </c>
      <c r="C6391" s="2" t="s">
        <v>25</v>
      </c>
      <c r="D6391" s="2" t="s">
        <v>26</v>
      </c>
      <c r="E6391" s="5">
        <v>-31574</v>
      </c>
      <c r="F6391" s="3" t="s">
        <v>1343</v>
      </c>
      <c r="G6391" s="3" t="s">
        <v>82</v>
      </c>
      <c r="H6391" s="2" t="s">
        <v>20</v>
      </c>
      <c r="I6391" s="2" t="s">
        <v>13317</v>
      </c>
      <c r="J6391" s="3" t="str">
        <f>HYPERLINK("https://www.boe.es/gazeta/dias/1813/07/20/pdfs/GMR-1813-19.pdf#page=5","Abrir facsímil")</f>
        <v>Abrir facsímil</v>
      </c>
      <c r="K6391" s="3" t="s">
        <v>22</v>
      </c>
    </row>
    <row r="6392" spans="1:11" ht="42" customHeight="1">
      <c r="A6392" s="2" t="s">
        <v>13318</v>
      </c>
      <c r="B6392" s="2" t="s">
        <v>13318</v>
      </c>
      <c r="C6392" s="2" t="s">
        <v>25</v>
      </c>
      <c r="D6392" s="2" t="s">
        <v>26</v>
      </c>
      <c r="E6392" s="5">
        <v>-31488</v>
      </c>
      <c r="F6392" s="3" t="s">
        <v>2370</v>
      </c>
      <c r="G6392" s="3" t="s">
        <v>54</v>
      </c>
      <c r="H6392" s="2" t="s">
        <v>20</v>
      </c>
      <c r="I6392" s="2" t="s">
        <v>13319</v>
      </c>
      <c r="J6392" s="3" t="str">
        <f>HYPERLINK("https://www.boe.es/gazeta/dias/1813/10/14/pdfs/GMR-1813-59.pdf#page=3","Abrir facsímil")</f>
        <v>Abrir facsímil</v>
      </c>
      <c r="K6392" s="3" t="s">
        <v>22</v>
      </c>
    </row>
    <row r="6393" spans="1:11" ht="42" customHeight="1">
      <c r="A6393" s="2" t="s">
        <v>13320</v>
      </c>
      <c r="B6393" s="2" t="s">
        <v>13321</v>
      </c>
      <c r="C6393" s="2" t="s">
        <v>25</v>
      </c>
      <c r="D6393" s="2" t="s">
        <v>26</v>
      </c>
      <c r="E6393" s="5">
        <v>-31738</v>
      </c>
      <c r="F6393" s="3" t="s">
        <v>2045</v>
      </c>
      <c r="G6393" s="3" t="s">
        <v>58</v>
      </c>
      <c r="H6393" s="2" t="s">
        <v>20</v>
      </c>
      <c r="I6393" s="2" t="s">
        <v>13322</v>
      </c>
      <c r="J6393" s="3" t="str">
        <f>HYPERLINK("https://www.boe.es/gazeta/dias/1813/02/06/pdfs/GMD-1813-37.pdf#page=2","Abrir facsímil")</f>
        <v>Abrir facsímil</v>
      </c>
      <c r="K6393" s="3" t="s">
        <v>22</v>
      </c>
    </row>
    <row r="6394" spans="1:11" ht="42" customHeight="1">
      <c r="A6394" s="2" t="s">
        <v>13323</v>
      </c>
      <c r="B6394" s="2" t="s">
        <v>13324</v>
      </c>
      <c r="C6394" s="2" t="s">
        <v>109</v>
      </c>
      <c r="D6394" s="2" t="s">
        <v>26</v>
      </c>
      <c r="E6394" s="5">
        <v>-31542</v>
      </c>
      <c r="F6394" s="3" t="s">
        <v>347</v>
      </c>
      <c r="G6394" s="3" t="s">
        <v>28</v>
      </c>
      <c r="H6394" s="2" t="s">
        <v>20</v>
      </c>
      <c r="I6394" s="2" t="s">
        <v>13325</v>
      </c>
      <c r="J6394" s="3" t="str">
        <f>HYPERLINK("https://www.boe.es/gazeta/dias/1813/08/21/pdfs/GMR-1813-31.pdf#page=8","Abrir facsímil")</f>
        <v>Abrir facsímil</v>
      </c>
      <c r="K6394" s="3" t="s">
        <v>22</v>
      </c>
    </row>
    <row r="6395" spans="1:11" ht="42" customHeight="1">
      <c r="A6395" s="2" t="s">
        <v>13326</v>
      </c>
      <c r="B6395" s="2" t="s">
        <v>13327</v>
      </c>
      <c r="C6395" s="2" t="s">
        <v>25</v>
      </c>
      <c r="D6395" s="2" t="s">
        <v>26</v>
      </c>
      <c r="E6395" s="5">
        <v>-31584</v>
      </c>
      <c r="F6395" s="3" t="s">
        <v>114</v>
      </c>
      <c r="G6395" s="3" t="s">
        <v>28</v>
      </c>
      <c r="H6395" s="2" t="s">
        <v>20</v>
      </c>
      <c r="I6395" s="2" t="s">
        <v>13328</v>
      </c>
      <c r="J6395" s="3" t="str">
        <f>HYPERLINK("https://www.boe.es/gazeta/dias/1813/07/10/pdfs/GRE-1813-86.pdf#page=8","Abrir facsímil")</f>
        <v>Abrir facsímil</v>
      </c>
      <c r="K6395" s="3" t="s">
        <v>22</v>
      </c>
    </row>
    <row r="6396" spans="1:11" ht="42" customHeight="1">
      <c r="A6396" s="2" t="s">
        <v>13329</v>
      </c>
      <c r="B6396" s="2" t="s">
        <v>13330</v>
      </c>
      <c r="C6396" s="2" t="s">
        <v>34</v>
      </c>
      <c r="D6396" s="2" t="s">
        <v>35</v>
      </c>
      <c r="E6396" s="5">
        <v>-31719</v>
      </c>
      <c r="F6396" s="3" t="s">
        <v>251</v>
      </c>
      <c r="G6396" s="3" t="s">
        <v>19</v>
      </c>
      <c r="H6396" s="2" t="s">
        <v>20</v>
      </c>
      <c r="I6396" s="2" t="s">
        <v>13331</v>
      </c>
      <c r="J6396" s="3" t="str">
        <f>HYPERLINK("https://www.boe.es/gazeta/dias/1813/02/25/pdfs/GMD-1813-56.pdf#page=4","Abrir facsímil")</f>
        <v>Abrir facsímil</v>
      </c>
      <c r="K6396" s="3" t="s">
        <v>22</v>
      </c>
    </row>
    <row r="6397" spans="1:11" ht="42" customHeight="1">
      <c r="A6397" s="2" t="s">
        <v>13332</v>
      </c>
      <c r="B6397" s="2" t="s">
        <v>13333</v>
      </c>
      <c r="C6397" s="2" t="s">
        <v>25</v>
      </c>
      <c r="D6397" s="2" t="s">
        <v>26</v>
      </c>
      <c r="E6397" s="5">
        <v>-31675</v>
      </c>
      <c r="F6397" s="3" t="s">
        <v>27</v>
      </c>
      <c r="G6397" s="3" t="s">
        <v>28</v>
      </c>
      <c r="H6397" s="2" t="s">
        <v>20</v>
      </c>
      <c r="I6397" s="2" t="s">
        <v>13334</v>
      </c>
      <c r="J6397" s="3" t="str">
        <f>HYPERLINK("https://www.boe.es/gazeta/dias/1813/04/10/pdfs/GRE-1813-44.pdf#page=8","Abrir facsímil")</f>
        <v>Abrir facsímil</v>
      </c>
      <c r="K6397" s="3" t="s">
        <v>22</v>
      </c>
    </row>
    <row r="6398" spans="1:11" ht="42" customHeight="1">
      <c r="A6398" s="2" t="s">
        <v>13335</v>
      </c>
      <c r="B6398" s="2" t="s">
        <v>13335</v>
      </c>
      <c r="C6398" s="2" t="s">
        <v>34</v>
      </c>
      <c r="D6398" s="2" t="s">
        <v>35</v>
      </c>
      <c r="E6398" s="5">
        <v>-31721</v>
      </c>
      <c r="F6398" s="3" t="s">
        <v>5009</v>
      </c>
      <c r="G6398" s="3" t="s">
        <v>19</v>
      </c>
      <c r="H6398" s="2" t="s">
        <v>20</v>
      </c>
      <c r="I6398" s="2" t="s">
        <v>13336</v>
      </c>
      <c r="J6398" s="3" t="str">
        <f>HYPERLINK("https://www.boe.es/gazeta/dias/1813/02/23/pdfs/GMD-1813-54.pdf#page=4","Abrir facsímil")</f>
        <v>Abrir facsímil</v>
      </c>
      <c r="K6398" s="3" t="s">
        <v>22</v>
      </c>
    </row>
    <row r="6399" spans="1:11" ht="42" customHeight="1">
      <c r="A6399" s="2" t="s">
        <v>13337</v>
      </c>
      <c r="B6399" s="2" t="s">
        <v>13338</v>
      </c>
      <c r="C6399" s="2" t="s">
        <v>34</v>
      </c>
      <c r="D6399" s="2" t="s">
        <v>35</v>
      </c>
      <c r="E6399" s="5">
        <v>-31441</v>
      </c>
      <c r="F6399" s="3" t="s">
        <v>1933</v>
      </c>
      <c r="G6399" s="3" t="s">
        <v>87</v>
      </c>
      <c r="H6399" s="2" t="s">
        <v>29</v>
      </c>
      <c r="I6399" s="2" t="s">
        <v>13339</v>
      </c>
      <c r="J6399" s="3" t="str">
        <f>HYPERLINK("https://www.boe.es/gazeta/dias/1813/11/30/pdfs/GMR-1813-81.pdf#page=7","Abrir facsímil")</f>
        <v>Abrir facsímil</v>
      </c>
      <c r="K6399" s="3" t="s">
        <v>31</v>
      </c>
    </row>
    <row r="6400" spans="1:11" ht="42" customHeight="1">
      <c r="A6400" s="2" t="s">
        <v>13340</v>
      </c>
      <c r="B6400" s="2" t="s">
        <v>13341</v>
      </c>
      <c r="C6400" s="2" t="s">
        <v>34</v>
      </c>
      <c r="D6400" s="2" t="s">
        <v>35</v>
      </c>
      <c r="E6400" s="5">
        <v>-31465</v>
      </c>
      <c r="F6400" s="3" t="s">
        <v>407</v>
      </c>
      <c r="G6400" s="3" t="s">
        <v>28</v>
      </c>
      <c r="H6400" s="2" t="s">
        <v>20</v>
      </c>
      <c r="I6400" s="2" t="s">
        <v>13342</v>
      </c>
      <c r="J6400" s="3" t="str">
        <f>HYPERLINK("https://www.boe.es/gazeta/dias/1813/11/06/pdfs/GMR-1813-70.pdf#page=8","Abrir facsímil")</f>
        <v>Abrir facsímil</v>
      </c>
      <c r="K6400" s="3" t="s">
        <v>22</v>
      </c>
    </row>
    <row r="6401" spans="1:11" ht="42" customHeight="1">
      <c r="A6401" s="2" t="s">
        <v>13340</v>
      </c>
      <c r="B6401" s="2" t="s">
        <v>13341</v>
      </c>
      <c r="C6401" s="2" t="s">
        <v>34</v>
      </c>
      <c r="D6401" s="2" t="s">
        <v>35</v>
      </c>
      <c r="E6401" s="5">
        <v>-31441</v>
      </c>
      <c r="F6401" s="3" t="s">
        <v>1933</v>
      </c>
      <c r="G6401" s="3" t="s">
        <v>87</v>
      </c>
      <c r="H6401" s="2" t="s">
        <v>20</v>
      </c>
      <c r="I6401" s="2" t="s">
        <v>13343</v>
      </c>
      <c r="J6401" s="3" t="str">
        <f>HYPERLINK("https://www.boe.es/gazeta/dias/1813/11/30/pdfs/GMR-1813-81.pdf#page=7","Abrir facsímil")</f>
        <v>Abrir facsímil</v>
      </c>
      <c r="K6401" s="3" t="s">
        <v>22</v>
      </c>
    </row>
    <row r="6402" spans="1:11" ht="42" customHeight="1">
      <c r="A6402" s="2" t="s">
        <v>13340</v>
      </c>
      <c r="B6402" s="2" t="s">
        <v>13341</v>
      </c>
      <c r="C6402" s="2" t="s">
        <v>34</v>
      </c>
      <c r="D6402" s="2" t="s">
        <v>35</v>
      </c>
      <c r="E6402" s="5">
        <v>-31439</v>
      </c>
      <c r="F6402" s="3" t="s">
        <v>1298</v>
      </c>
      <c r="G6402" s="3" t="s">
        <v>28</v>
      </c>
      <c r="H6402" s="2" t="s">
        <v>20</v>
      </c>
      <c r="I6402" s="2" t="s">
        <v>13344</v>
      </c>
      <c r="J6402" s="3" t="str">
        <f>HYPERLINK("https://www.boe.es/gazeta/dias/1813/12/02/pdfs/GMR-1813-82.pdf#page=8","Abrir facsímil")</f>
        <v>Abrir facsímil</v>
      </c>
      <c r="K6402" s="3" t="s">
        <v>22</v>
      </c>
    </row>
    <row r="6403" spans="1:11" ht="42" customHeight="1">
      <c r="A6403" s="2" t="s">
        <v>13340</v>
      </c>
      <c r="B6403" s="2" t="s">
        <v>13341</v>
      </c>
      <c r="C6403" s="2" t="s">
        <v>34</v>
      </c>
      <c r="D6403" s="2" t="s">
        <v>35</v>
      </c>
      <c r="E6403" s="5">
        <v>-31425</v>
      </c>
      <c r="F6403" s="3" t="s">
        <v>1955</v>
      </c>
      <c r="G6403" s="3" t="s">
        <v>178</v>
      </c>
      <c r="H6403" s="2" t="s">
        <v>20</v>
      </c>
      <c r="I6403" s="2" t="s">
        <v>13345</v>
      </c>
      <c r="J6403" s="3" t="str">
        <f>HYPERLINK("https://www.boe.es/gazeta/dias/1813/12/16/pdfs/GMR-1813-88.pdf#page=11","Abrir facsímil")</f>
        <v>Abrir facsímil</v>
      </c>
      <c r="K6403" s="3" t="s">
        <v>22</v>
      </c>
    </row>
    <row r="6404" spans="1:11" ht="42" customHeight="1">
      <c r="A6404" s="2" t="s">
        <v>13340</v>
      </c>
      <c r="B6404" s="2" t="s">
        <v>13341</v>
      </c>
      <c r="C6404" s="2" t="s">
        <v>34</v>
      </c>
      <c r="D6404" s="2" t="s">
        <v>35</v>
      </c>
      <c r="E6404" s="5">
        <v>-31411</v>
      </c>
      <c r="F6404" s="3" t="s">
        <v>2306</v>
      </c>
      <c r="G6404" s="3" t="s">
        <v>28</v>
      </c>
      <c r="H6404" s="2" t="s">
        <v>20</v>
      </c>
      <c r="I6404" s="2" t="s">
        <v>13346</v>
      </c>
      <c r="J6404" s="3" t="str">
        <f>HYPERLINK("https://www.boe.es/gazeta/dias/1813/12/30/pdfs/GMR-1813-94.pdf#page=8","Abrir facsímil")</f>
        <v>Abrir facsímil</v>
      </c>
      <c r="K6404" s="3" t="s">
        <v>22</v>
      </c>
    </row>
    <row r="6405" spans="1:11" ht="42" customHeight="1">
      <c r="A6405" s="2" t="s">
        <v>13347</v>
      </c>
      <c r="B6405" s="2" t="s">
        <v>13348</v>
      </c>
      <c r="C6405" s="2" t="s">
        <v>16</v>
      </c>
      <c r="D6405" s="2" t="s">
        <v>17</v>
      </c>
      <c r="E6405" s="5">
        <v>-31495</v>
      </c>
      <c r="F6405" s="3" t="s">
        <v>194</v>
      </c>
      <c r="G6405" s="3" t="s">
        <v>82</v>
      </c>
      <c r="H6405" s="2" t="s">
        <v>20</v>
      </c>
      <c r="I6405" s="2" t="s">
        <v>13349</v>
      </c>
      <c r="J6405" s="3" t="str">
        <f>HYPERLINK("https://www.boe.es/gazeta/dias/1813/10/07/pdfs/GMR-1813-55.pdf#page=5","Abrir facsímil")</f>
        <v>Abrir facsímil</v>
      </c>
      <c r="K6405" s="3" t="s">
        <v>22</v>
      </c>
    </row>
    <row r="6406" spans="1:11" ht="42" customHeight="1">
      <c r="A6406" s="2" t="s">
        <v>13350</v>
      </c>
      <c r="B6406" s="2" t="s">
        <v>13351</v>
      </c>
      <c r="C6406" s="2" t="s">
        <v>34</v>
      </c>
      <c r="D6406" s="2" t="s">
        <v>35</v>
      </c>
      <c r="E6406" s="5">
        <v>-31584</v>
      </c>
      <c r="F6406" s="3" t="s">
        <v>114</v>
      </c>
      <c r="G6406" s="3" t="s">
        <v>28</v>
      </c>
      <c r="H6406" s="2" t="s">
        <v>20</v>
      </c>
      <c r="I6406" s="2" t="s">
        <v>13352</v>
      </c>
      <c r="J6406" s="3" t="str">
        <f>HYPERLINK("https://www.boe.es/gazeta/dias/1813/07/10/pdfs/GRE-1813-86.pdf#page=8","Abrir facsímil")</f>
        <v>Abrir facsímil</v>
      </c>
      <c r="K6406" s="3" t="s">
        <v>22</v>
      </c>
    </row>
    <row r="6407" spans="1:11" ht="42" customHeight="1">
      <c r="A6407" s="2" t="s">
        <v>13353</v>
      </c>
      <c r="B6407" s="2" t="s">
        <v>13354</v>
      </c>
      <c r="C6407" s="2" t="s">
        <v>16</v>
      </c>
      <c r="D6407" s="2" t="s">
        <v>17</v>
      </c>
      <c r="E6407" s="5">
        <v>-31556</v>
      </c>
      <c r="F6407" s="3" t="s">
        <v>976</v>
      </c>
      <c r="G6407" s="3" t="s">
        <v>19</v>
      </c>
      <c r="H6407" s="2" t="s">
        <v>20</v>
      </c>
      <c r="I6407" s="2" t="s">
        <v>13355</v>
      </c>
      <c r="J6407" s="3" t="str">
        <f>HYPERLINK("https://www.boe.es/gazeta/dias/1813/08/07/pdfs/GRE-1813-100.pdf#page=4","Abrir facsímil")</f>
        <v>Abrir facsímil</v>
      </c>
      <c r="K6407" s="3" t="s">
        <v>22</v>
      </c>
    </row>
    <row r="6408" spans="1:11" ht="42" customHeight="1">
      <c r="A6408" s="2" t="s">
        <v>13356</v>
      </c>
      <c r="B6408" s="2" t="s">
        <v>13356</v>
      </c>
      <c r="C6408" s="2" t="s">
        <v>16</v>
      </c>
      <c r="D6408" s="2" t="s">
        <v>17</v>
      </c>
      <c r="E6408" s="5">
        <v>-31664</v>
      </c>
      <c r="F6408" s="3" t="s">
        <v>1144</v>
      </c>
      <c r="G6408" s="3" t="s">
        <v>54</v>
      </c>
      <c r="H6408" s="2" t="s">
        <v>20</v>
      </c>
      <c r="I6408" s="2" t="s">
        <v>13357</v>
      </c>
      <c r="J6408" s="3" t="str">
        <f>HYPERLINK("https://www.boe.es/gazeta/dias/1813/04/21/pdfs/GMD-1813-111.pdf#page=3","Abrir facsímil")</f>
        <v>Abrir facsímil</v>
      </c>
      <c r="K6408" s="3" t="s">
        <v>22</v>
      </c>
    </row>
    <row r="6409" spans="1:11" ht="42" customHeight="1">
      <c r="A6409" s="2" t="s">
        <v>13358</v>
      </c>
      <c r="B6409" s="2" t="s">
        <v>13359</v>
      </c>
      <c r="C6409" s="2" t="s">
        <v>25</v>
      </c>
      <c r="D6409" s="2" t="s">
        <v>26</v>
      </c>
      <c r="E6409" s="5">
        <v>-31677</v>
      </c>
      <c r="F6409" s="3" t="s">
        <v>76</v>
      </c>
      <c r="G6409" s="3" t="s">
        <v>28</v>
      </c>
      <c r="H6409" s="2" t="s">
        <v>20</v>
      </c>
      <c r="I6409" s="2" t="s">
        <v>13360</v>
      </c>
      <c r="J6409" s="3" t="str">
        <f>HYPERLINK("https://www.boe.es/gazeta/dias/1813/04/08/pdfs/GRE-1813-43.pdf#page=8","Abrir facsímil")</f>
        <v>Abrir facsímil</v>
      </c>
      <c r="K6409" s="3" t="s">
        <v>22</v>
      </c>
    </row>
    <row r="6410" spans="1:11" ht="42" customHeight="1">
      <c r="A6410" s="2" t="s">
        <v>13361</v>
      </c>
      <c r="B6410" s="2" t="s">
        <v>13361</v>
      </c>
      <c r="C6410" s="2" t="s">
        <v>16</v>
      </c>
      <c r="D6410" s="2" t="s">
        <v>17</v>
      </c>
      <c r="E6410" s="5">
        <v>-31523</v>
      </c>
      <c r="F6410" s="3" t="s">
        <v>81</v>
      </c>
      <c r="G6410" s="3" t="s">
        <v>82</v>
      </c>
      <c r="H6410" s="2" t="s">
        <v>20</v>
      </c>
      <c r="I6410" s="2" t="s">
        <v>13362</v>
      </c>
      <c r="J6410" s="3" t="str">
        <f>HYPERLINK("https://www.boe.es/gazeta/dias/1813/09/09/pdfs/GRE-1813-115.pdf#page=5","Abrir facsímil")</f>
        <v>Abrir facsímil</v>
      </c>
      <c r="K6410" s="3" t="s">
        <v>22</v>
      </c>
    </row>
    <row r="6411" spans="1:11" ht="42" customHeight="1">
      <c r="A6411" s="2" t="s">
        <v>13363</v>
      </c>
      <c r="B6411" s="2" t="s">
        <v>13364</v>
      </c>
      <c r="C6411" s="2" t="s">
        <v>16</v>
      </c>
      <c r="D6411" s="2" t="s">
        <v>17</v>
      </c>
      <c r="E6411" s="5">
        <v>-31439</v>
      </c>
      <c r="F6411" s="3" t="s">
        <v>1298</v>
      </c>
      <c r="G6411" s="3" t="s">
        <v>95</v>
      </c>
      <c r="H6411" s="2" t="s">
        <v>20</v>
      </c>
      <c r="I6411" s="2" t="s">
        <v>13365</v>
      </c>
      <c r="J6411" s="3" t="str">
        <f>HYPERLINK("https://www.boe.es/gazeta/dias/1813/12/02/pdfs/GMR-1813-82.pdf#page=6","Abrir facsímil")</f>
        <v>Abrir facsímil</v>
      </c>
      <c r="K6411" s="3" t="s">
        <v>22</v>
      </c>
    </row>
    <row r="6412" spans="1:11" ht="42" customHeight="1">
      <c r="A6412" s="2" t="s">
        <v>13366</v>
      </c>
      <c r="B6412" s="2" t="s">
        <v>13367</v>
      </c>
      <c r="C6412" s="2" t="s">
        <v>34</v>
      </c>
      <c r="D6412" s="2" t="s">
        <v>35</v>
      </c>
      <c r="E6412" s="5">
        <v>-31709</v>
      </c>
      <c r="F6412" s="3" t="s">
        <v>36</v>
      </c>
      <c r="G6412" s="3" t="s">
        <v>303</v>
      </c>
      <c r="H6412" s="2" t="s">
        <v>20</v>
      </c>
      <c r="I6412" s="2" t="s">
        <v>13368</v>
      </c>
      <c r="J6412" s="3" t="str">
        <f>HYPERLINK("https://www.boe.es/gazeta/dias/1813/03/07/pdfs/GMD-1813-66.pdf#page=3","Abrir facsímil")</f>
        <v>Abrir facsímil</v>
      </c>
      <c r="K6412" s="3" t="s">
        <v>22</v>
      </c>
    </row>
    <row r="6413" spans="1:11" ht="42" customHeight="1">
      <c r="A6413" s="2" t="s">
        <v>13369</v>
      </c>
      <c r="B6413" s="2" t="s">
        <v>13370</v>
      </c>
      <c r="C6413" s="2" t="s">
        <v>16</v>
      </c>
      <c r="D6413" s="2" t="s">
        <v>17</v>
      </c>
      <c r="E6413" s="5">
        <v>-31479</v>
      </c>
      <c r="F6413" s="3" t="s">
        <v>2383</v>
      </c>
      <c r="G6413" s="3" t="s">
        <v>87</v>
      </c>
      <c r="H6413" s="2" t="s">
        <v>20</v>
      </c>
      <c r="I6413" s="2" t="s">
        <v>13371</v>
      </c>
      <c r="J6413" s="3" t="str">
        <f>HYPERLINK("https://www.boe.es/gazeta/dias/1813/10/23/pdfs/GRE-1813-138.pdf#page=7","Abrir facsímil")</f>
        <v>Abrir facsímil</v>
      </c>
      <c r="K6413" s="3" t="s">
        <v>22</v>
      </c>
    </row>
    <row r="6414" spans="1:11" ht="42" customHeight="1">
      <c r="A6414" s="2" t="s">
        <v>13372</v>
      </c>
      <c r="B6414" s="2" t="s">
        <v>13372</v>
      </c>
      <c r="C6414" s="2" t="s">
        <v>187</v>
      </c>
      <c r="D6414" s="2" t="s">
        <v>26</v>
      </c>
      <c r="E6414" s="5">
        <v>-31551</v>
      </c>
      <c r="F6414" s="3" t="s">
        <v>954</v>
      </c>
      <c r="G6414" s="3" t="s">
        <v>28</v>
      </c>
      <c r="H6414" s="2" t="s">
        <v>20</v>
      </c>
      <c r="I6414" s="2" t="s">
        <v>13373</v>
      </c>
      <c r="J6414" s="3" t="str">
        <f>HYPERLINK("https://www.boe.es/gazeta/dias/1813/08/12/pdfs/GMR-1813-27.pdf#page=8","Abrir facsímil")</f>
        <v>Abrir facsímil</v>
      </c>
      <c r="K6414" s="3" t="s">
        <v>22</v>
      </c>
    </row>
    <row r="6415" spans="1:11" ht="42" customHeight="1">
      <c r="A6415" s="2" t="s">
        <v>13374</v>
      </c>
      <c r="B6415" s="2" t="s">
        <v>13374</v>
      </c>
      <c r="C6415" s="2" t="s">
        <v>187</v>
      </c>
      <c r="D6415" s="2" t="s">
        <v>26</v>
      </c>
      <c r="E6415" s="5">
        <v>-31525</v>
      </c>
      <c r="F6415" s="3" t="s">
        <v>135</v>
      </c>
      <c r="G6415" s="3" t="s">
        <v>28</v>
      </c>
      <c r="H6415" s="2" t="s">
        <v>20</v>
      </c>
      <c r="I6415" s="2" t="s">
        <v>13375</v>
      </c>
      <c r="J6415" s="3" t="str">
        <f>HYPERLINK("https://www.boe.es/gazeta/dias/1813/09/07/pdfs/GMR-1813-38.pdf#page=8","Abrir facsímil")</f>
        <v>Abrir facsímil</v>
      </c>
      <c r="K6415" s="3" t="s">
        <v>22</v>
      </c>
    </row>
    <row r="6416" spans="1:11" ht="42" customHeight="1">
      <c r="A6416" s="2" t="s">
        <v>13376</v>
      </c>
      <c r="B6416" s="2" t="s">
        <v>13376</v>
      </c>
      <c r="C6416" s="2" t="s">
        <v>187</v>
      </c>
      <c r="D6416" s="2" t="s">
        <v>26</v>
      </c>
      <c r="E6416" s="5">
        <v>-31490</v>
      </c>
      <c r="F6416" s="3" t="s">
        <v>2909</v>
      </c>
      <c r="G6416" s="3" t="s">
        <v>258</v>
      </c>
      <c r="H6416" s="2" t="s">
        <v>20</v>
      </c>
      <c r="I6416" s="2" t="s">
        <v>13377</v>
      </c>
      <c r="J6416" s="3" t="str">
        <f>HYPERLINK("https://www.boe.es/gazeta/dias/1813/10/12/pdfs/GMR-1813-57.pdf#page=12","Abrir facsímil")</f>
        <v>Abrir facsímil</v>
      </c>
      <c r="K6416" s="3" t="s">
        <v>22</v>
      </c>
    </row>
    <row r="6417" spans="1:11" ht="42" customHeight="1">
      <c r="A6417" s="2" t="s">
        <v>13378</v>
      </c>
      <c r="B6417" s="2" t="s">
        <v>13379</v>
      </c>
      <c r="C6417" s="2" t="s">
        <v>435</v>
      </c>
      <c r="D6417" s="2" t="s">
        <v>26</v>
      </c>
      <c r="E6417" s="5">
        <v>-31637</v>
      </c>
      <c r="F6417" s="3" t="s">
        <v>855</v>
      </c>
      <c r="G6417" s="3" t="s">
        <v>19</v>
      </c>
      <c r="H6417" s="2" t="s">
        <v>29</v>
      </c>
      <c r="I6417" s="2" t="s">
        <v>13380</v>
      </c>
      <c r="J6417" s="3" t="str">
        <f>HYPERLINK("https://www.boe.es/gazeta/dias/1813/05/18/pdfs/GMD-1813-138.pdf#page=4","Abrir facsímil")</f>
        <v>Abrir facsímil</v>
      </c>
      <c r="K6417" s="3" t="s">
        <v>31</v>
      </c>
    </row>
    <row r="6418" spans="1:11" ht="42" customHeight="1">
      <c r="A6418" s="2" t="s">
        <v>13381</v>
      </c>
      <c r="B6418" s="2" t="s">
        <v>13382</v>
      </c>
      <c r="C6418" s="2" t="s">
        <v>16</v>
      </c>
      <c r="D6418" s="2" t="s">
        <v>17</v>
      </c>
      <c r="E6418" s="5">
        <v>-31645</v>
      </c>
      <c r="F6418" s="3" t="s">
        <v>4666</v>
      </c>
      <c r="G6418" s="3" t="s">
        <v>54</v>
      </c>
      <c r="H6418" s="2" t="s">
        <v>29</v>
      </c>
      <c r="I6418" s="2" t="s">
        <v>13383</v>
      </c>
      <c r="J6418" s="3" t="str">
        <f>HYPERLINK("https://www.boe.es/gazeta/dias/1813/05/10/pdfs/GMD-1813-130.pdf#page=3","Abrir facsímil")</f>
        <v>Abrir facsímil</v>
      </c>
      <c r="K6418" s="3" t="s">
        <v>31</v>
      </c>
    </row>
    <row r="6419" spans="1:11" ht="42" customHeight="1">
      <c r="A6419" s="2" t="s">
        <v>13384</v>
      </c>
      <c r="B6419" s="2" t="s">
        <v>13385</v>
      </c>
      <c r="C6419" s="2" t="s">
        <v>16</v>
      </c>
      <c r="D6419" s="2" t="s">
        <v>17</v>
      </c>
      <c r="E6419" s="5">
        <v>-31437</v>
      </c>
      <c r="F6419" s="3" t="s">
        <v>680</v>
      </c>
      <c r="G6419" s="3" t="s">
        <v>28</v>
      </c>
      <c r="H6419" s="2" t="s">
        <v>29</v>
      </c>
      <c r="I6419" s="2" t="s">
        <v>13386</v>
      </c>
      <c r="J6419" s="3" t="str">
        <f>HYPERLINK("https://www.boe.es/gazeta/dias/1813/12/04/pdfs/GMR-1813-83.pdf#page=8","Abrir facsímil")</f>
        <v>Abrir facsímil</v>
      </c>
      <c r="K6419" s="3" t="s">
        <v>31</v>
      </c>
    </row>
    <row r="6420" spans="1:11" ht="42" customHeight="1">
      <c r="A6420" s="2" t="s">
        <v>13387</v>
      </c>
      <c r="B6420" s="2" t="s">
        <v>13387</v>
      </c>
      <c r="C6420" s="2" t="s">
        <v>25</v>
      </c>
      <c r="D6420" s="2" t="s">
        <v>26</v>
      </c>
      <c r="E6420" s="5">
        <v>-31745</v>
      </c>
      <c r="F6420" s="3" t="s">
        <v>445</v>
      </c>
      <c r="G6420" s="3" t="s">
        <v>28</v>
      </c>
      <c r="H6420" s="2" t="s">
        <v>20</v>
      </c>
      <c r="I6420" s="2" t="s">
        <v>13388</v>
      </c>
      <c r="J6420" s="3" t="str">
        <f>HYPERLINK("https://www.boe.es/gazeta/dias/1813/01/30/pdfs/GRE-1813-13.pdf#page=8","Abrir facsímil")</f>
        <v>Abrir facsímil</v>
      </c>
      <c r="K6420" s="3" t="s">
        <v>22</v>
      </c>
    </row>
    <row r="6421" spans="1:11" ht="42" customHeight="1">
      <c r="A6421" s="2" t="s">
        <v>13387</v>
      </c>
      <c r="B6421" s="2" t="s">
        <v>13387</v>
      </c>
      <c r="C6421" s="2" t="s">
        <v>16</v>
      </c>
      <c r="D6421" s="2" t="s">
        <v>17</v>
      </c>
      <c r="E6421" s="5">
        <v>-31592</v>
      </c>
      <c r="F6421" s="3" t="s">
        <v>1538</v>
      </c>
      <c r="G6421" s="3" t="s">
        <v>28</v>
      </c>
      <c r="H6421" s="2" t="s">
        <v>20</v>
      </c>
      <c r="I6421" s="2" t="s">
        <v>13389</v>
      </c>
      <c r="J6421" s="3" t="str">
        <f>HYPERLINK("https://www.boe.es/gazeta/dias/1813/07/02/pdfs/GMR-1813-14.pdf#page=8","Abrir facsímil")</f>
        <v>Abrir facsímil</v>
      </c>
      <c r="K6421" s="3" t="s">
        <v>22</v>
      </c>
    </row>
    <row r="6422" spans="1:11" ht="42" customHeight="1">
      <c r="A6422" s="2" t="s">
        <v>13387</v>
      </c>
      <c r="B6422" s="2" t="s">
        <v>13387</v>
      </c>
      <c r="C6422" s="2" t="s">
        <v>16</v>
      </c>
      <c r="D6422" s="2" t="s">
        <v>97</v>
      </c>
      <c r="E6422" s="5">
        <v>-31519</v>
      </c>
      <c r="F6422" s="3" t="s">
        <v>312</v>
      </c>
      <c r="G6422" s="3" t="s">
        <v>28</v>
      </c>
      <c r="H6422" s="2" t="s">
        <v>20</v>
      </c>
      <c r="I6422" s="2" t="s">
        <v>13390</v>
      </c>
      <c r="J6422" s="3" t="str">
        <f>HYPERLINK("https://www.boe.es/gazeta/dias/1813/09/13/pdfs/GRE-1813-118E.pdf#page=8","Abrir facsímil")</f>
        <v>Abrir facsímil</v>
      </c>
      <c r="K6422" s="3" t="s">
        <v>22</v>
      </c>
    </row>
    <row r="6423" spans="1:11" ht="42" customHeight="1">
      <c r="A6423" s="2" t="s">
        <v>13387</v>
      </c>
      <c r="B6423" s="2" t="s">
        <v>13387</v>
      </c>
      <c r="C6423" s="2" t="s">
        <v>16</v>
      </c>
      <c r="D6423" s="2" t="s">
        <v>17</v>
      </c>
      <c r="E6423" s="5">
        <v>-31481</v>
      </c>
      <c r="F6423" s="3" t="s">
        <v>40</v>
      </c>
      <c r="G6423" s="3" t="s">
        <v>87</v>
      </c>
      <c r="H6423" s="2" t="s">
        <v>20</v>
      </c>
      <c r="I6423" s="2" t="s">
        <v>13391</v>
      </c>
      <c r="J6423" s="3" t="str">
        <f>HYPERLINK("https://www.boe.es/gazeta/dias/1813/10/21/pdfs/GMR-1813-62.pdf#page=7","Abrir facsímil")</f>
        <v>Abrir facsímil</v>
      </c>
      <c r="K6423" s="3" t="s">
        <v>22</v>
      </c>
    </row>
    <row r="6424" spans="1:11" ht="42" customHeight="1">
      <c r="A6424" s="2" t="s">
        <v>13387</v>
      </c>
      <c r="B6424" s="2" t="s">
        <v>13387</v>
      </c>
      <c r="C6424" s="2" t="s">
        <v>34</v>
      </c>
      <c r="D6424" s="2" t="s">
        <v>35</v>
      </c>
      <c r="E6424" s="5">
        <v>-31437</v>
      </c>
      <c r="F6424" s="3" t="s">
        <v>680</v>
      </c>
      <c r="G6424" s="3" t="s">
        <v>87</v>
      </c>
      <c r="H6424" s="2" t="s">
        <v>20</v>
      </c>
      <c r="I6424" s="2" t="s">
        <v>13392</v>
      </c>
      <c r="J6424" s="3" t="str">
        <f>HYPERLINK("https://www.boe.es/gazeta/dias/1813/12/04/pdfs/GMR-1813-83.pdf#page=7","Abrir facsímil")</f>
        <v>Abrir facsímil</v>
      </c>
      <c r="K6424" s="3" t="s">
        <v>22</v>
      </c>
    </row>
    <row r="6425" spans="1:11" ht="42" customHeight="1">
      <c r="A6425" s="2" t="s">
        <v>13393</v>
      </c>
      <c r="B6425" s="2" t="s">
        <v>13394</v>
      </c>
      <c r="C6425" s="2" t="s">
        <v>16</v>
      </c>
      <c r="D6425" s="2" t="s">
        <v>17</v>
      </c>
      <c r="E6425" s="5">
        <v>-31556</v>
      </c>
      <c r="F6425" s="3" t="s">
        <v>976</v>
      </c>
      <c r="G6425" s="3" t="s">
        <v>19</v>
      </c>
      <c r="H6425" s="2" t="s">
        <v>20</v>
      </c>
      <c r="I6425" s="2" t="s">
        <v>13395</v>
      </c>
      <c r="J6425" s="3" t="str">
        <f>HYPERLINK("https://www.boe.es/gazeta/dias/1813/08/07/pdfs/GRE-1813-100.pdf#page=4","Abrir facsímil")</f>
        <v>Abrir facsímil</v>
      </c>
      <c r="K6425" s="3" t="s">
        <v>22</v>
      </c>
    </row>
    <row r="6426" spans="1:11" ht="42" customHeight="1">
      <c r="A6426" s="2" t="s">
        <v>13396</v>
      </c>
      <c r="B6426" s="2" t="s">
        <v>13397</v>
      </c>
      <c r="C6426" s="2" t="s">
        <v>187</v>
      </c>
      <c r="D6426" s="2" t="s">
        <v>26</v>
      </c>
      <c r="E6426" s="5">
        <v>-31675</v>
      </c>
      <c r="F6426" s="3" t="s">
        <v>27</v>
      </c>
      <c r="G6426" s="3" t="s">
        <v>28</v>
      </c>
      <c r="H6426" s="2" t="s">
        <v>20</v>
      </c>
      <c r="I6426" s="2" t="s">
        <v>13398</v>
      </c>
      <c r="J6426" s="3" t="str">
        <f>HYPERLINK("https://www.boe.es/gazeta/dias/1813/04/10/pdfs/GRE-1813-44.pdf#page=8","Abrir facsímil")</f>
        <v>Abrir facsímil</v>
      </c>
      <c r="K6426" s="3" t="s">
        <v>22</v>
      </c>
    </row>
    <row r="6427" spans="1:11" ht="42" customHeight="1">
      <c r="A6427" s="2" t="s">
        <v>13399</v>
      </c>
      <c r="B6427" s="2" t="s">
        <v>13399</v>
      </c>
      <c r="C6427" s="2" t="s">
        <v>16</v>
      </c>
      <c r="D6427" s="2" t="s">
        <v>17</v>
      </c>
      <c r="E6427" s="5">
        <v>-31437</v>
      </c>
      <c r="F6427" s="3" t="s">
        <v>680</v>
      </c>
      <c r="G6427" s="3" t="s">
        <v>58</v>
      </c>
      <c r="H6427" s="2" t="s">
        <v>20</v>
      </c>
      <c r="I6427" s="2" t="s">
        <v>13400</v>
      </c>
      <c r="J6427" s="3" t="str">
        <f>HYPERLINK("https://www.boe.es/gazeta/dias/1813/12/04/pdfs/GMR-1813-83.pdf#page=2","Abrir facsímil")</f>
        <v>Abrir facsímil</v>
      </c>
      <c r="K6427" s="3" t="s">
        <v>22</v>
      </c>
    </row>
    <row r="6428" spans="1:11" ht="42" customHeight="1">
      <c r="A6428" s="2" t="s">
        <v>13401</v>
      </c>
      <c r="B6428" s="2" t="s">
        <v>13401</v>
      </c>
      <c r="C6428" s="2" t="s">
        <v>16</v>
      </c>
      <c r="D6428" s="2" t="s">
        <v>17</v>
      </c>
      <c r="E6428" s="5">
        <v>-31696</v>
      </c>
      <c r="F6428" s="3" t="s">
        <v>520</v>
      </c>
      <c r="G6428" s="3" t="s">
        <v>529</v>
      </c>
      <c r="H6428" s="2" t="s">
        <v>20</v>
      </c>
      <c r="I6428" s="2" t="s">
        <v>13402</v>
      </c>
      <c r="J6428" s="3" t="str">
        <f>HYPERLINK("https://www.boe.es/gazeta/dias/1813/03/20/pdfs/GRE-1813-35.pdf#page=6","Abrir facsímil")</f>
        <v>Abrir facsímil</v>
      </c>
      <c r="K6428" s="3" t="s">
        <v>22</v>
      </c>
    </row>
    <row r="6429" spans="1:11" ht="42" customHeight="1">
      <c r="A6429" s="2" t="s">
        <v>13403</v>
      </c>
      <c r="B6429" s="2" t="s">
        <v>13403</v>
      </c>
      <c r="C6429" s="2" t="s">
        <v>16</v>
      </c>
      <c r="D6429" s="2" t="s">
        <v>17</v>
      </c>
      <c r="E6429" s="5">
        <v>-31472</v>
      </c>
      <c r="F6429" s="3" t="s">
        <v>1942</v>
      </c>
      <c r="G6429" s="3" t="s">
        <v>58</v>
      </c>
      <c r="H6429" s="2" t="s">
        <v>20</v>
      </c>
      <c r="I6429" s="2" t="s">
        <v>13404</v>
      </c>
      <c r="J6429" s="3" t="str">
        <f>HYPERLINK("https://www.boe.es/gazeta/dias/1813/10/30/pdfs/GRE-1813-142.pdf#page=2","Abrir facsímil")</f>
        <v>Abrir facsímil</v>
      </c>
      <c r="K6429" s="3" t="s">
        <v>22</v>
      </c>
    </row>
    <row r="6430" spans="1:11" ht="42" customHeight="1">
      <c r="A6430" s="2" t="s">
        <v>13405</v>
      </c>
      <c r="B6430" s="2" t="s">
        <v>13405</v>
      </c>
      <c r="C6430" s="2" t="s">
        <v>16</v>
      </c>
      <c r="D6430" s="2" t="s">
        <v>17</v>
      </c>
      <c r="E6430" s="5">
        <v>-31427</v>
      </c>
      <c r="F6430" s="3" t="s">
        <v>1822</v>
      </c>
      <c r="G6430" s="3" t="s">
        <v>19</v>
      </c>
      <c r="H6430" s="2" t="s">
        <v>20</v>
      </c>
      <c r="I6430" s="2" t="s">
        <v>13406</v>
      </c>
      <c r="J6430" s="3" t="str">
        <f>HYPERLINK("https://www.boe.es/gazeta/dias/1813/12/14/pdfs/GRE-1813-164.pdf#page=4","Abrir facsímil")</f>
        <v>Abrir facsímil</v>
      </c>
      <c r="K6430" s="3" t="s">
        <v>22</v>
      </c>
    </row>
    <row r="6431" spans="1:11" ht="42" customHeight="1">
      <c r="A6431" s="2" t="s">
        <v>13407</v>
      </c>
      <c r="B6431" s="2" t="s">
        <v>13407</v>
      </c>
      <c r="C6431" s="2" t="s">
        <v>16</v>
      </c>
      <c r="D6431" s="2" t="s">
        <v>17</v>
      </c>
      <c r="E6431" s="5">
        <v>-31700</v>
      </c>
      <c r="F6431" s="3" t="s">
        <v>778</v>
      </c>
      <c r="G6431" s="3" t="s">
        <v>65</v>
      </c>
      <c r="H6431" s="2" t="s">
        <v>20</v>
      </c>
      <c r="I6431" s="2" t="s">
        <v>13408</v>
      </c>
      <c r="J6431" s="3" t="str">
        <f>HYPERLINK("https://www.boe.es/gazeta/dias/1813/03/16/pdfs/GMD-1813-75.pdf#page=1","Abrir facsímil")</f>
        <v>Abrir facsímil</v>
      </c>
      <c r="K6431" s="3" t="s">
        <v>22</v>
      </c>
    </row>
    <row r="6432" spans="1:11" ht="42" customHeight="1">
      <c r="A6432" s="2" t="s">
        <v>13409</v>
      </c>
      <c r="B6432" s="2" t="s">
        <v>13409</v>
      </c>
      <c r="C6432" s="2" t="s">
        <v>16</v>
      </c>
      <c r="D6432" s="2" t="s">
        <v>17</v>
      </c>
      <c r="E6432" s="5">
        <v>-31567</v>
      </c>
      <c r="F6432" s="3" t="s">
        <v>1471</v>
      </c>
      <c r="G6432" s="3" t="s">
        <v>82</v>
      </c>
      <c r="H6432" s="2" t="s">
        <v>20</v>
      </c>
      <c r="I6432" s="2" t="s">
        <v>13410</v>
      </c>
      <c r="J6432" s="3" t="str">
        <f>HYPERLINK("https://www.boe.es/gazeta/dias/1813/07/27/pdfs/GRE-1813-95.pdf#page=5","Abrir facsímil")</f>
        <v>Abrir facsímil</v>
      </c>
      <c r="K6432" s="3" t="s">
        <v>22</v>
      </c>
    </row>
    <row r="6433" spans="1:11" ht="42" customHeight="1">
      <c r="A6433" s="2" t="s">
        <v>13411</v>
      </c>
      <c r="B6433" s="2" t="s">
        <v>13411</v>
      </c>
      <c r="C6433" s="2" t="s">
        <v>277</v>
      </c>
      <c r="D6433" s="2" t="s">
        <v>26</v>
      </c>
      <c r="E6433" s="5">
        <v>-31483</v>
      </c>
      <c r="F6433" s="3" t="s">
        <v>308</v>
      </c>
      <c r="G6433" s="3" t="s">
        <v>12183</v>
      </c>
      <c r="H6433" s="2" t="s">
        <v>20</v>
      </c>
      <c r="I6433" s="2" t="s">
        <v>13412</v>
      </c>
      <c r="J6433" s="3" t="str">
        <f>HYPERLINK("https://www.boe.es/gazeta/dias/1813/10/19/pdfs/GRE-1813-136.pdf#page=8","Abrir facsímil")</f>
        <v>Abrir facsímil</v>
      </c>
      <c r="K6433" s="3" t="s">
        <v>22</v>
      </c>
    </row>
    <row r="6434" spans="1:11" ht="42" customHeight="1">
      <c r="A6434" s="2" t="s">
        <v>13411</v>
      </c>
      <c r="B6434" s="2" t="s">
        <v>13411</v>
      </c>
      <c r="C6434" s="2" t="s">
        <v>16</v>
      </c>
      <c r="D6434" s="2" t="s">
        <v>17</v>
      </c>
      <c r="E6434" s="5">
        <v>-31476</v>
      </c>
      <c r="F6434" s="3" t="s">
        <v>229</v>
      </c>
      <c r="G6434" s="3" t="s">
        <v>28</v>
      </c>
      <c r="H6434" s="2" t="s">
        <v>20</v>
      </c>
      <c r="I6434" s="2" t="s">
        <v>13413</v>
      </c>
      <c r="J6434" s="3" t="str">
        <f>HYPERLINK("https://www.boe.es/gazeta/dias/1813/10/26/pdfs/GRE-1813-140.pdf#page=8","Abrir facsímil")</f>
        <v>Abrir facsímil</v>
      </c>
      <c r="K6434" s="3" t="s">
        <v>22</v>
      </c>
    </row>
    <row r="6435" spans="1:11" ht="42" customHeight="1">
      <c r="A6435" s="2" t="s">
        <v>13414</v>
      </c>
      <c r="B6435" s="2" t="s">
        <v>13414</v>
      </c>
      <c r="C6435" s="2" t="s">
        <v>16</v>
      </c>
      <c r="D6435" s="2" t="s">
        <v>17</v>
      </c>
      <c r="E6435" s="5">
        <v>-31638</v>
      </c>
      <c r="F6435" s="3" t="s">
        <v>1635</v>
      </c>
      <c r="G6435" s="3" t="s">
        <v>65</v>
      </c>
      <c r="H6435" s="2" t="s">
        <v>20</v>
      </c>
      <c r="I6435" s="2" t="s">
        <v>13415</v>
      </c>
      <c r="J6435" s="3" t="str">
        <f>HYPERLINK("https://www.boe.es/gazeta/dias/1813/05/17/pdfs/GMD-1813-137.pdf#page=1","Abrir facsímil")</f>
        <v>Abrir facsímil</v>
      </c>
      <c r="K6435" s="3" t="s">
        <v>22</v>
      </c>
    </row>
    <row r="6436" spans="1:11" ht="42" customHeight="1">
      <c r="A6436" s="2" t="s">
        <v>13416</v>
      </c>
      <c r="B6436" s="2" t="s">
        <v>13416</v>
      </c>
      <c r="C6436" s="2" t="s">
        <v>16</v>
      </c>
      <c r="D6436" s="2" t="s">
        <v>17</v>
      </c>
      <c r="E6436" s="5">
        <v>-31462</v>
      </c>
      <c r="F6436" s="3" t="s">
        <v>542</v>
      </c>
      <c r="G6436" s="3" t="s">
        <v>87</v>
      </c>
      <c r="H6436" s="2" t="s">
        <v>20</v>
      </c>
      <c r="I6436" s="2" t="s">
        <v>13417</v>
      </c>
      <c r="J6436" s="3" t="str">
        <f>HYPERLINK("https://www.boe.es/gazeta/dias/1813/11/09/pdfs/GRE-1813-146.pdf#page=7","Abrir facsímil")</f>
        <v>Abrir facsímil</v>
      </c>
      <c r="K6436" s="3" t="s">
        <v>22</v>
      </c>
    </row>
    <row r="6437" spans="1:11" ht="42" customHeight="1">
      <c r="A6437" s="2" t="s">
        <v>13418</v>
      </c>
      <c r="B6437" s="2" t="s">
        <v>13419</v>
      </c>
      <c r="C6437" s="2" t="s">
        <v>16</v>
      </c>
      <c r="D6437" s="2" t="s">
        <v>17</v>
      </c>
      <c r="E6437" s="5">
        <v>-31745</v>
      </c>
      <c r="F6437" s="3" t="s">
        <v>445</v>
      </c>
      <c r="G6437" s="3" t="s">
        <v>28</v>
      </c>
      <c r="H6437" s="2" t="s">
        <v>20</v>
      </c>
      <c r="I6437" s="2" t="s">
        <v>13420</v>
      </c>
      <c r="J6437" s="3" t="str">
        <f>HYPERLINK("https://www.boe.es/gazeta/dias/1813/01/30/pdfs/GRE-1813-13.pdf#page=8","Abrir facsímil")</f>
        <v>Abrir facsímil</v>
      </c>
      <c r="K6437" s="3" t="s">
        <v>22</v>
      </c>
    </row>
    <row r="6438" spans="1:11" ht="42" customHeight="1">
      <c r="A6438" s="2" t="s">
        <v>13421</v>
      </c>
      <c r="B6438" s="2" t="s">
        <v>13421</v>
      </c>
      <c r="C6438" s="2" t="s">
        <v>16</v>
      </c>
      <c r="D6438" s="2" t="s">
        <v>17</v>
      </c>
      <c r="E6438" s="5">
        <v>-31747</v>
      </c>
      <c r="F6438" s="3" t="s">
        <v>86</v>
      </c>
      <c r="G6438" s="3" t="s">
        <v>8122</v>
      </c>
      <c r="H6438" s="2" t="s">
        <v>20</v>
      </c>
      <c r="I6438" s="2" t="s">
        <v>13422</v>
      </c>
      <c r="J6438" s="3" t="str">
        <f>HYPERLINK("https://www.boe.es/gazeta/dias/1813/01/28/pdfs/GRE-1813-12.pdf#page=5","Abrir facsímil")</f>
        <v>Abrir facsímil</v>
      </c>
      <c r="K6438" s="3" t="s">
        <v>22</v>
      </c>
    </row>
    <row r="6439" spans="1:11" ht="42" customHeight="1">
      <c r="A6439" s="2" t="s">
        <v>13421</v>
      </c>
      <c r="B6439" s="2" t="s">
        <v>13421</v>
      </c>
      <c r="C6439" s="2" t="s">
        <v>16</v>
      </c>
      <c r="D6439" s="2" t="s">
        <v>17</v>
      </c>
      <c r="E6439" s="5">
        <v>-31747</v>
      </c>
      <c r="F6439" s="3" t="s">
        <v>86</v>
      </c>
      <c r="G6439" s="3" t="s">
        <v>3232</v>
      </c>
      <c r="H6439" s="2" t="s">
        <v>20</v>
      </c>
      <c r="I6439" s="2" t="s">
        <v>13423</v>
      </c>
      <c r="J6439" s="3" t="str">
        <f>HYPERLINK("https://www.boe.es/gazeta/dias/1813/01/28/pdfs/GRE-1813-12.pdf#page=6","Abrir facsímil")</f>
        <v>Abrir facsímil</v>
      </c>
      <c r="K6439" s="3" t="s">
        <v>22</v>
      </c>
    </row>
    <row r="6440" spans="1:11" ht="42" customHeight="1">
      <c r="A6440" s="2" t="s">
        <v>13424</v>
      </c>
      <c r="B6440" s="2" t="s">
        <v>13425</v>
      </c>
      <c r="C6440" s="2" t="s">
        <v>34</v>
      </c>
      <c r="D6440" s="2" t="s">
        <v>35</v>
      </c>
      <c r="E6440" s="5">
        <v>-31584</v>
      </c>
      <c r="F6440" s="3" t="s">
        <v>114</v>
      </c>
      <c r="G6440" s="3" t="s">
        <v>28</v>
      </c>
      <c r="H6440" s="2" t="s">
        <v>20</v>
      </c>
      <c r="I6440" s="2" t="s">
        <v>13426</v>
      </c>
      <c r="J6440" s="3" t="str">
        <f>HYPERLINK("https://www.boe.es/gazeta/dias/1813/07/10/pdfs/GRE-1813-86.pdf#page=8","Abrir facsímil")</f>
        <v>Abrir facsímil</v>
      </c>
      <c r="K6440" s="3" t="s">
        <v>22</v>
      </c>
    </row>
    <row r="6441" spans="1:11" ht="42" customHeight="1">
      <c r="A6441" s="2" t="s">
        <v>13427</v>
      </c>
      <c r="B6441" s="2" t="s">
        <v>13428</v>
      </c>
      <c r="C6441" s="2" t="s">
        <v>435</v>
      </c>
      <c r="D6441" s="2" t="s">
        <v>26</v>
      </c>
      <c r="E6441" s="5">
        <v>-31574</v>
      </c>
      <c r="F6441" s="3" t="s">
        <v>1343</v>
      </c>
      <c r="G6441" s="3" t="s">
        <v>82</v>
      </c>
      <c r="H6441" s="2" t="s">
        <v>20</v>
      </c>
      <c r="I6441" s="2" t="s">
        <v>13429</v>
      </c>
      <c r="J6441" s="3" t="str">
        <f>HYPERLINK("https://www.boe.es/gazeta/dias/1813/07/20/pdfs/GMR-1813-19.pdf#page=5","Abrir facsímil")</f>
        <v>Abrir facsímil</v>
      </c>
      <c r="K6441" s="3" t="s">
        <v>22</v>
      </c>
    </row>
    <row r="6442" spans="1:11" ht="42" customHeight="1">
      <c r="A6442" s="2" t="s">
        <v>13430</v>
      </c>
      <c r="B6442" s="2" t="s">
        <v>13431</v>
      </c>
      <c r="C6442" s="2" t="s">
        <v>25</v>
      </c>
      <c r="D6442" s="2" t="s">
        <v>26</v>
      </c>
      <c r="E6442" s="5">
        <v>-31747</v>
      </c>
      <c r="F6442" s="3" t="s">
        <v>86</v>
      </c>
      <c r="G6442" s="3" t="s">
        <v>28</v>
      </c>
      <c r="H6442" s="2" t="s">
        <v>20</v>
      </c>
      <c r="I6442" s="2" t="s">
        <v>13432</v>
      </c>
      <c r="J6442" s="3" t="str">
        <f>HYPERLINK("https://www.boe.es/gazeta/dias/1813/01/28/pdfs/GRE-1813-12.pdf#page=8","Abrir facsímil")</f>
        <v>Abrir facsímil</v>
      </c>
      <c r="K6442" s="3" t="s">
        <v>22</v>
      </c>
    </row>
    <row r="6443" spans="1:11" ht="42" customHeight="1">
      <c r="A6443" s="2" t="s">
        <v>13433</v>
      </c>
      <c r="B6443" s="2" t="s">
        <v>13433</v>
      </c>
      <c r="C6443" s="2" t="s">
        <v>25</v>
      </c>
      <c r="D6443" s="2" t="s">
        <v>26</v>
      </c>
      <c r="E6443" s="5">
        <v>-31677</v>
      </c>
      <c r="F6443" s="3" t="s">
        <v>76</v>
      </c>
      <c r="G6443" s="3" t="s">
        <v>28</v>
      </c>
      <c r="H6443" s="2" t="s">
        <v>20</v>
      </c>
      <c r="I6443" s="2" t="s">
        <v>13434</v>
      </c>
      <c r="J6443" s="3" t="str">
        <f>HYPERLINK("https://www.boe.es/gazeta/dias/1813/04/08/pdfs/GRE-1813-43.pdf#page=8","Abrir facsímil")</f>
        <v>Abrir facsímil</v>
      </c>
      <c r="K6443" s="3" t="s">
        <v>22</v>
      </c>
    </row>
    <row r="6444" spans="1:11" ht="42" customHeight="1">
      <c r="A6444" s="2" t="s">
        <v>13435</v>
      </c>
      <c r="B6444" s="2" t="s">
        <v>13435</v>
      </c>
      <c r="C6444" s="2" t="s">
        <v>16</v>
      </c>
      <c r="D6444" s="2" t="s">
        <v>17</v>
      </c>
      <c r="E6444" s="5">
        <v>-31742</v>
      </c>
      <c r="F6444" s="3" t="s">
        <v>2667</v>
      </c>
      <c r="G6444" s="3" t="s">
        <v>13436</v>
      </c>
      <c r="H6444" s="2" t="s">
        <v>20</v>
      </c>
      <c r="I6444" s="2" t="s">
        <v>13437</v>
      </c>
      <c r="J6444" s="3" t="str">
        <f>HYPERLINK("https://www.boe.es/gazeta/dias/1813/02/02/pdfs/GRE-1813-14.pdf#page=8","Abrir facsímil")</f>
        <v>Abrir facsímil</v>
      </c>
      <c r="K6444" s="3" t="s">
        <v>22</v>
      </c>
    </row>
    <row r="6445" spans="1:11" ht="42" customHeight="1">
      <c r="A6445" s="2" t="s">
        <v>13435</v>
      </c>
      <c r="B6445" s="2" t="s">
        <v>13435</v>
      </c>
      <c r="C6445" s="2" t="s">
        <v>25</v>
      </c>
      <c r="D6445" s="2" t="s">
        <v>26</v>
      </c>
      <c r="E6445" s="5">
        <v>-31490</v>
      </c>
      <c r="F6445" s="3" t="s">
        <v>2909</v>
      </c>
      <c r="G6445" s="3" t="s">
        <v>258</v>
      </c>
      <c r="H6445" s="2" t="s">
        <v>20</v>
      </c>
      <c r="I6445" s="2" t="s">
        <v>13438</v>
      </c>
      <c r="J6445" s="3" t="str">
        <f>HYPERLINK("https://www.boe.es/gazeta/dias/1813/10/12/pdfs/GMR-1813-57.pdf#page=12","Abrir facsímil")</f>
        <v>Abrir facsímil</v>
      </c>
      <c r="K6445" s="3" t="s">
        <v>22</v>
      </c>
    </row>
    <row r="6446" spans="1:11" ht="42" customHeight="1">
      <c r="A6446" s="2" t="s">
        <v>13435</v>
      </c>
      <c r="B6446" s="2" t="s">
        <v>13435</v>
      </c>
      <c r="C6446" s="2" t="s">
        <v>16</v>
      </c>
      <c r="D6446" s="2" t="s">
        <v>17</v>
      </c>
      <c r="E6446" s="5">
        <v>-31462</v>
      </c>
      <c r="F6446" s="3" t="s">
        <v>1028</v>
      </c>
      <c r="G6446" s="3" t="s">
        <v>207</v>
      </c>
      <c r="H6446" s="2" t="s">
        <v>20</v>
      </c>
      <c r="I6446" s="2" t="s">
        <v>13439</v>
      </c>
      <c r="J6446" s="3" t="str">
        <f>HYPERLINK("https://www.boe.es/gazeta/dias/1813/11/09/pdfs/GMR-1813-71.pdf#page=10","Abrir facsímil")</f>
        <v>Abrir facsímil</v>
      </c>
      <c r="K6446" s="3" t="s">
        <v>22</v>
      </c>
    </row>
    <row r="6447" spans="1:11" ht="42" customHeight="1">
      <c r="A6447" s="2" t="s">
        <v>13440</v>
      </c>
      <c r="B6447" s="2" t="s">
        <v>13441</v>
      </c>
      <c r="C6447" s="2" t="s">
        <v>25</v>
      </c>
      <c r="D6447" s="2" t="s">
        <v>26</v>
      </c>
      <c r="E6447" s="5">
        <v>-31626</v>
      </c>
      <c r="F6447" s="3" t="s">
        <v>64</v>
      </c>
      <c r="G6447" s="3" t="s">
        <v>87</v>
      </c>
      <c r="H6447" s="2" t="s">
        <v>20</v>
      </c>
      <c r="I6447" s="2" t="s">
        <v>13442</v>
      </c>
      <c r="J6447" s="3" t="str">
        <f>HYPERLINK("https://www.boe.es/gazeta/dias/1813/05/29/pdfs/GRE-1813-66.pdf#page=7","Abrir facsímil")</f>
        <v>Abrir facsímil</v>
      </c>
      <c r="K6447" s="3" t="s">
        <v>22</v>
      </c>
    </row>
    <row r="6448" spans="1:11" ht="42" customHeight="1">
      <c r="A6448" s="2" t="s">
        <v>13443</v>
      </c>
      <c r="B6448" s="2" t="s">
        <v>13444</v>
      </c>
      <c r="C6448" s="2" t="s">
        <v>16</v>
      </c>
      <c r="D6448" s="2" t="s">
        <v>17</v>
      </c>
      <c r="E6448" s="5">
        <v>-31535</v>
      </c>
      <c r="F6448" s="3" t="s">
        <v>894</v>
      </c>
      <c r="G6448" s="3" t="s">
        <v>28</v>
      </c>
      <c r="H6448" s="2" t="s">
        <v>20</v>
      </c>
      <c r="I6448" s="2" t="s">
        <v>13445</v>
      </c>
      <c r="J6448" s="3" t="str">
        <f>HYPERLINK("https://www.boe.es/gazeta/dias/1813/08/28/pdfs/GMR-1813-34.pdf#page=8","Abrir facsímil")</f>
        <v>Abrir facsímil</v>
      </c>
      <c r="K6448" s="3" t="s">
        <v>22</v>
      </c>
    </row>
    <row r="6449" spans="1:11" ht="42" customHeight="1">
      <c r="A6449" s="2" t="s">
        <v>13446</v>
      </c>
      <c r="B6449" s="2" t="s">
        <v>13446</v>
      </c>
      <c r="C6449" s="2" t="s">
        <v>16</v>
      </c>
      <c r="D6449" s="2" t="s">
        <v>17</v>
      </c>
      <c r="E6449" s="5">
        <v>-31571</v>
      </c>
      <c r="F6449" s="3" t="s">
        <v>788</v>
      </c>
      <c r="G6449" s="3" t="s">
        <v>2657</v>
      </c>
      <c r="H6449" s="2" t="s">
        <v>20</v>
      </c>
      <c r="I6449" s="2" t="s">
        <v>13447</v>
      </c>
      <c r="J6449" s="3" t="str">
        <f>HYPERLINK("https://www.boe.es/gazeta/dias/1813/07/23/pdfs/GMR-1813-20.pdf#page=11","Abrir facsímil")</f>
        <v>Abrir facsímil</v>
      </c>
      <c r="K6449" s="3" t="s">
        <v>22</v>
      </c>
    </row>
    <row r="6450" spans="1:11" ht="42" customHeight="1">
      <c r="A6450" s="2" t="s">
        <v>13448</v>
      </c>
      <c r="B6450" s="2" t="s">
        <v>13448</v>
      </c>
      <c r="C6450" s="2" t="s">
        <v>25</v>
      </c>
      <c r="D6450" s="2" t="s">
        <v>26</v>
      </c>
      <c r="E6450" s="5">
        <v>-31689</v>
      </c>
      <c r="F6450" s="3" t="s">
        <v>48</v>
      </c>
      <c r="G6450" s="3" t="s">
        <v>162</v>
      </c>
      <c r="H6450" s="2" t="s">
        <v>20</v>
      </c>
      <c r="I6450" s="2" t="s">
        <v>13449</v>
      </c>
      <c r="J6450" s="3" t="str">
        <f>HYPERLINK("https://www.boe.es/gazeta/dias/1813/03/27/pdfs/GRE-1813-38.pdf#page=8","Abrir facsímil")</f>
        <v>Abrir facsímil</v>
      </c>
      <c r="K6450" s="3" t="s">
        <v>22</v>
      </c>
    </row>
    <row r="6451" spans="1:11" ht="42" customHeight="1">
      <c r="A6451" s="2" t="s">
        <v>13450</v>
      </c>
      <c r="B6451" s="2" t="s">
        <v>13450</v>
      </c>
      <c r="C6451" s="2" t="s">
        <v>34</v>
      </c>
      <c r="D6451" s="2" t="s">
        <v>35</v>
      </c>
      <c r="E6451" s="5">
        <v>-31681</v>
      </c>
      <c r="F6451" s="3" t="s">
        <v>925</v>
      </c>
      <c r="G6451" s="3" t="s">
        <v>19</v>
      </c>
      <c r="H6451" s="2" t="s">
        <v>20</v>
      </c>
      <c r="I6451" s="2" t="s">
        <v>13451</v>
      </c>
      <c r="J6451" s="3" t="str">
        <f>HYPERLINK("https://www.boe.es/gazeta/dias/1813/04/04/pdfs/GMD-1813-94.pdf#page=4","Abrir facsímil")</f>
        <v>Abrir facsímil</v>
      </c>
      <c r="K6451" s="3" t="s">
        <v>22</v>
      </c>
    </row>
    <row r="6452" spans="1:11" ht="42" customHeight="1">
      <c r="A6452" s="2" t="s">
        <v>13452</v>
      </c>
      <c r="B6452" s="2" t="s">
        <v>13452</v>
      </c>
      <c r="C6452" s="2" t="s">
        <v>16</v>
      </c>
      <c r="D6452" s="2" t="s">
        <v>17</v>
      </c>
      <c r="E6452" s="5">
        <v>-31719</v>
      </c>
      <c r="F6452" s="3" t="s">
        <v>251</v>
      </c>
      <c r="G6452" s="3" t="s">
        <v>58</v>
      </c>
      <c r="H6452" s="2" t="s">
        <v>20</v>
      </c>
      <c r="I6452" s="2" t="s">
        <v>13453</v>
      </c>
      <c r="J6452" s="3" t="str">
        <f>HYPERLINK("https://www.boe.es/gazeta/dias/1813/02/25/pdfs/GMD-1813-56.pdf#page=2","Abrir facsímil")</f>
        <v>Abrir facsímil</v>
      </c>
      <c r="K6452" s="3" t="s">
        <v>22</v>
      </c>
    </row>
    <row r="6453" spans="1:11" ht="42" customHeight="1">
      <c r="A6453" s="2" t="s">
        <v>13452</v>
      </c>
      <c r="B6453" s="2" t="s">
        <v>13452</v>
      </c>
      <c r="C6453" s="2" t="s">
        <v>16</v>
      </c>
      <c r="D6453" s="2" t="s">
        <v>17</v>
      </c>
      <c r="E6453" s="5">
        <v>-31718</v>
      </c>
      <c r="F6453" s="3" t="s">
        <v>1498</v>
      </c>
      <c r="G6453" s="3" t="s">
        <v>65</v>
      </c>
      <c r="H6453" s="2" t="s">
        <v>20</v>
      </c>
      <c r="I6453" s="2" t="s">
        <v>13454</v>
      </c>
      <c r="J6453" s="3" t="str">
        <f>HYPERLINK("https://www.boe.es/gazeta/dias/1813/02/26/pdfs/GMD-1813-57.pdf#page=1","Abrir facsímil")</f>
        <v>Abrir facsímil</v>
      </c>
      <c r="K6453" s="3" t="s">
        <v>22</v>
      </c>
    </row>
    <row r="6454" spans="1:11" ht="42" customHeight="1">
      <c r="A6454" s="2" t="s">
        <v>13452</v>
      </c>
      <c r="B6454" s="2" t="s">
        <v>13452</v>
      </c>
      <c r="C6454" s="2" t="s">
        <v>16</v>
      </c>
      <c r="D6454" s="2" t="s">
        <v>17</v>
      </c>
      <c r="E6454" s="5">
        <v>-31709</v>
      </c>
      <c r="F6454" s="3" t="s">
        <v>36</v>
      </c>
      <c r="G6454" s="3" t="s">
        <v>58</v>
      </c>
      <c r="H6454" s="2" t="s">
        <v>20</v>
      </c>
      <c r="I6454" s="2" t="s">
        <v>13455</v>
      </c>
      <c r="J6454" s="3" t="str">
        <f>HYPERLINK("https://www.boe.es/gazeta/dias/1813/03/07/pdfs/GMD-1813-66.pdf#page=2","Abrir facsímil")</f>
        <v>Abrir facsímil</v>
      </c>
      <c r="K6454" s="3" t="s">
        <v>22</v>
      </c>
    </row>
    <row r="6455" spans="1:11" ht="42" customHeight="1">
      <c r="A6455" s="2" t="s">
        <v>13452</v>
      </c>
      <c r="B6455" s="2" t="s">
        <v>13452</v>
      </c>
      <c r="C6455" s="2" t="s">
        <v>16</v>
      </c>
      <c r="D6455" s="2" t="s">
        <v>17</v>
      </c>
      <c r="E6455" s="5">
        <v>-31703</v>
      </c>
      <c r="F6455" s="3" t="s">
        <v>4331</v>
      </c>
      <c r="G6455" s="3" t="s">
        <v>54</v>
      </c>
      <c r="H6455" s="2" t="s">
        <v>20</v>
      </c>
      <c r="I6455" s="2" t="s">
        <v>13456</v>
      </c>
      <c r="J6455" s="3" t="str">
        <f>HYPERLINK("https://www.boe.es/gazeta/dias/1813/03/13/pdfs/GRE-1813-32.pdf#page=3","Abrir facsímil")</f>
        <v>Abrir facsímil</v>
      </c>
      <c r="K6455" s="3" t="s">
        <v>22</v>
      </c>
    </row>
    <row r="6456" spans="1:11" ht="42" customHeight="1">
      <c r="A6456" s="2" t="s">
        <v>13452</v>
      </c>
      <c r="B6456" s="2" t="s">
        <v>13452</v>
      </c>
      <c r="C6456" s="2" t="s">
        <v>16</v>
      </c>
      <c r="D6456" s="2" t="s">
        <v>17</v>
      </c>
      <c r="E6456" s="5">
        <v>-31686</v>
      </c>
      <c r="F6456" s="3" t="s">
        <v>372</v>
      </c>
      <c r="G6456" s="3" t="s">
        <v>58</v>
      </c>
      <c r="H6456" s="2" t="s">
        <v>20</v>
      </c>
      <c r="I6456" s="2" t="s">
        <v>13457</v>
      </c>
      <c r="J6456" s="3" t="str">
        <f>HYPERLINK("https://www.boe.es/gazeta/dias/1813/03/30/pdfs/GRE-1813-39.pdf#page=2","Abrir facsímil")</f>
        <v>Abrir facsímil</v>
      </c>
      <c r="K6456" s="3" t="s">
        <v>22</v>
      </c>
    </row>
    <row r="6457" spans="1:11" ht="42" customHeight="1">
      <c r="A6457" s="2" t="s">
        <v>13452</v>
      </c>
      <c r="B6457" s="2" t="s">
        <v>13452</v>
      </c>
      <c r="C6457" s="2" t="s">
        <v>16</v>
      </c>
      <c r="D6457" s="2" t="s">
        <v>17</v>
      </c>
      <c r="E6457" s="5">
        <v>-31680</v>
      </c>
      <c r="F6457" s="3" t="s">
        <v>4851</v>
      </c>
      <c r="G6457" s="3" t="s">
        <v>65</v>
      </c>
      <c r="H6457" s="2" t="s">
        <v>20</v>
      </c>
      <c r="I6457" s="2" t="s">
        <v>13458</v>
      </c>
      <c r="J6457" s="3" t="str">
        <f>HYPERLINK("https://www.boe.es/gazeta/dias/1813/04/05/pdfs/GMD-1813-95.pdf#page=1","Abrir facsímil")</f>
        <v>Abrir facsímil</v>
      </c>
      <c r="K6457" s="3" t="s">
        <v>22</v>
      </c>
    </row>
    <row r="6458" spans="1:11" ht="42" customHeight="1">
      <c r="A6458" s="2" t="s">
        <v>13452</v>
      </c>
      <c r="B6458" s="2" t="s">
        <v>13452</v>
      </c>
      <c r="C6458" s="2" t="s">
        <v>16</v>
      </c>
      <c r="D6458" s="2" t="s">
        <v>17</v>
      </c>
      <c r="E6458" s="5">
        <v>-31656</v>
      </c>
      <c r="F6458" s="3" t="s">
        <v>415</v>
      </c>
      <c r="G6458" s="3" t="s">
        <v>65</v>
      </c>
      <c r="H6458" s="2" t="s">
        <v>20</v>
      </c>
      <c r="I6458" s="2" t="s">
        <v>13459</v>
      </c>
      <c r="J6458" s="3" t="str">
        <f>HYPERLINK("https://www.boe.es/gazeta/dias/1813/04/29/pdfs/GMD-1813-119.pdf#page=1","Abrir facsímil")</f>
        <v>Abrir facsímil</v>
      </c>
      <c r="K6458" s="3" t="s">
        <v>22</v>
      </c>
    </row>
    <row r="6459" spans="1:11" ht="42" customHeight="1">
      <c r="A6459" s="2" t="s">
        <v>13452</v>
      </c>
      <c r="B6459" s="2" t="s">
        <v>13452</v>
      </c>
      <c r="C6459" s="2" t="s">
        <v>16</v>
      </c>
      <c r="D6459" s="2" t="s">
        <v>17</v>
      </c>
      <c r="E6459" s="5">
        <v>-31564</v>
      </c>
      <c r="F6459" s="3" t="s">
        <v>206</v>
      </c>
      <c r="G6459" s="3" t="s">
        <v>65</v>
      </c>
      <c r="H6459" s="2" t="s">
        <v>20</v>
      </c>
      <c r="I6459" s="2" t="s">
        <v>13460</v>
      </c>
      <c r="J6459" s="3" t="str">
        <f>HYPERLINK("https://www.boe.es/gazeta/dias/1813/07/30/pdfs/GMR-1813-22.pdf#page=1","Abrir facsímil")</f>
        <v>Abrir facsímil</v>
      </c>
      <c r="K6459" s="3" t="s">
        <v>22</v>
      </c>
    </row>
    <row r="6460" spans="1:11" ht="42" customHeight="1">
      <c r="A6460" s="2" t="s">
        <v>13452</v>
      </c>
      <c r="B6460" s="2" t="s">
        <v>13452</v>
      </c>
      <c r="C6460" s="2" t="s">
        <v>25</v>
      </c>
      <c r="D6460" s="2" t="s">
        <v>26</v>
      </c>
      <c r="E6460" s="5">
        <v>-31514</v>
      </c>
      <c r="F6460" s="3" t="s">
        <v>2099</v>
      </c>
      <c r="G6460" s="3" t="s">
        <v>58</v>
      </c>
      <c r="H6460" s="2" t="s">
        <v>20</v>
      </c>
      <c r="I6460" s="2" t="s">
        <v>13461</v>
      </c>
      <c r="J6460" s="3" t="str">
        <f>HYPERLINK("https://www.boe.es/gazeta/dias/1813/09/18/pdfs/GMR-1813-45.pdf#page=2","Abrir facsímil")</f>
        <v>Abrir facsímil</v>
      </c>
      <c r="K6460" s="3" t="s">
        <v>22</v>
      </c>
    </row>
    <row r="6461" spans="1:11" ht="42" customHeight="1">
      <c r="A6461" s="2" t="s">
        <v>13452</v>
      </c>
      <c r="B6461" s="2" t="s">
        <v>13452</v>
      </c>
      <c r="C6461" s="2" t="s">
        <v>25</v>
      </c>
      <c r="D6461" s="2" t="s">
        <v>26</v>
      </c>
      <c r="E6461" s="5">
        <v>-31514</v>
      </c>
      <c r="F6461" s="3" t="s">
        <v>1095</v>
      </c>
      <c r="G6461" s="3" t="s">
        <v>65</v>
      </c>
      <c r="H6461" s="2" t="s">
        <v>20</v>
      </c>
      <c r="I6461" s="2" t="s">
        <v>13462</v>
      </c>
      <c r="J6461" s="3" t="str">
        <f>HYPERLINK("https://www.boe.es/gazeta/dias/1813/09/18/pdfs/GRE-1813-121.pdf#page=1","Abrir facsímil")</f>
        <v>Abrir facsímil</v>
      </c>
      <c r="K6461" s="3" t="s">
        <v>22</v>
      </c>
    </row>
    <row r="6462" spans="1:11" ht="42" customHeight="1">
      <c r="A6462" s="2" t="s">
        <v>13452</v>
      </c>
      <c r="B6462" s="2" t="s">
        <v>13452</v>
      </c>
      <c r="C6462" s="2" t="s">
        <v>16</v>
      </c>
      <c r="D6462" s="2" t="s">
        <v>17</v>
      </c>
      <c r="E6462" s="5">
        <v>-31472</v>
      </c>
      <c r="F6462" s="3" t="s">
        <v>1942</v>
      </c>
      <c r="G6462" s="3" t="s">
        <v>19</v>
      </c>
      <c r="H6462" s="2" t="s">
        <v>20</v>
      </c>
      <c r="I6462" s="2" t="s">
        <v>13463</v>
      </c>
      <c r="J6462" s="3" t="str">
        <f>HYPERLINK("https://www.boe.es/gazeta/dias/1813/10/30/pdfs/GRE-1813-142.pdf#page=4","Abrir facsímil")</f>
        <v>Abrir facsímil</v>
      </c>
      <c r="K6462" s="3" t="s">
        <v>22</v>
      </c>
    </row>
    <row r="6463" spans="1:11" ht="42" customHeight="1">
      <c r="A6463" s="2" t="s">
        <v>13452</v>
      </c>
      <c r="B6463" s="2" t="s">
        <v>13452</v>
      </c>
      <c r="C6463" s="2" t="s">
        <v>16</v>
      </c>
      <c r="D6463" s="2" t="s">
        <v>17</v>
      </c>
      <c r="E6463" s="5">
        <v>-31469</v>
      </c>
      <c r="F6463" s="3" t="s">
        <v>1452</v>
      </c>
      <c r="G6463" s="3" t="s">
        <v>13464</v>
      </c>
      <c r="H6463" s="2" t="s">
        <v>20</v>
      </c>
      <c r="I6463" s="2" t="s">
        <v>13465</v>
      </c>
      <c r="J6463" s="3" t="str">
        <f>HYPERLINK("https://www.boe.es/gazeta/dias/1813/11/02/pdfs/GRE-1813-143.pdf#page=2","Abrir facsímil")</f>
        <v>Abrir facsímil</v>
      </c>
      <c r="K6463" s="3" t="s">
        <v>22</v>
      </c>
    </row>
    <row r="6464" spans="1:11" ht="42" customHeight="1">
      <c r="A6464" s="2" t="s">
        <v>13452</v>
      </c>
      <c r="B6464" s="2" t="s">
        <v>13452</v>
      </c>
      <c r="C6464" s="2" t="s">
        <v>16</v>
      </c>
      <c r="D6464" s="2" t="s">
        <v>17</v>
      </c>
      <c r="E6464" s="5">
        <v>-31413</v>
      </c>
      <c r="F6464" s="3" t="s">
        <v>149</v>
      </c>
      <c r="G6464" s="3" t="s">
        <v>95</v>
      </c>
      <c r="H6464" s="2" t="s">
        <v>20</v>
      </c>
      <c r="I6464" s="2" t="s">
        <v>13466</v>
      </c>
      <c r="J6464" s="3" t="str">
        <f>HYPERLINK("https://www.boe.es/gazeta/dias/1813/12/28/pdfs/GMR-1813-93.pdf#page=6","Abrir facsímil")</f>
        <v>Abrir facsímil</v>
      </c>
      <c r="K6464" s="3" t="s">
        <v>22</v>
      </c>
    </row>
    <row r="6465" spans="1:11" ht="42" customHeight="1">
      <c r="A6465" s="2" t="s">
        <v>13467</v>
      </c>
      <c r="B6465" s="2" t="s">
        <v>13468</v>
      </c>
      <c r="C6465" s="2" t="s">
        <v>25</v>
      </c>
      <c r="D6465" s="2" t="s">
        <v>26</v>
      </c>
      <c r="E6465" s="5">
        <v>-31745</v>
      </c>
      <c r="F6465" s="3" t="s">
        <v>445</v>
      </c>
      <c r="G6465" s="3" t="s">
        <v>28</v>
      </c>
      <c r="H6465" s="2" t="s">
        <v>20</v>
      </c>
      <c r="I6465" s="2" t="s">
        <v>13469</v>
      </c>
      <c r="J6465" s="3" t="str">
        <f>HYPERLINK("https://www.boe.es/gazeta/dias/1813/01/30/pdfs/GRE-1813-13.pdf#page=8","Abrir facsímil")</f>
        <v>Abrir facsímil</v>
      </c>
      <c r="K6465" s="3" t="s">
        <v>22</v>
      </c>
    </row>
    <row r="6466" spans="1:11" ht="42" customHeight="1">
      <c r="A6466" s="2" t="s">
        <v>13470</v>
      </c>
      <c r="B6466" s="2" t="s">
        <v>13470</v>
      </c>
      <c r="C6466" s="2" t="s">
        <v>25</v>
      </c>
      <c r="D6466" s="2" t="s">
        <v>26</v>
      </c>
      <c r="E6466" s="5">
        <v>-31689</v>
      </c>
      <c r="F6466" s="3" t="s">
        <v>48</v>
      </c>
      <c r="G6466" s="3" t="s">
        <v>162</v>
      </c>
      <c r="H6466" s="2" t="s">
        <v>20</v>
      </c>
      <c r="I6466" s="2" t="s">
        <v>13471</v>
      </c>
      <c r="J6466" s="3" t="str">
        <f>HYPERLINK("https://www.boe.es/gazeta/dias/1813/03/27/pdfs/GRE-1813-38.pdf#page=8","Abrir facsímil")</f>
        <v>Abrir facsímil</v>
      </c>
      <c r="K6466" s="3" t="s">
        <v>22</v>
      </c>
    </row>
    <row r="6467" spans="1:11" ht="42" customHeight="1">
      <c r="A6467" s="2" t="s">
        <v>13472</v>
      </c>
      <c r="B6467" s="2" t="s">
        <v>13473</v>
      </c>
      <c r="C6467" s="2" t="s">
        <v>16</v>
      </c>
      <c r="D6467" s="2" t="s">
        <v>17</v>
      </c>
      <c r="E6467" s="5">
        <v>-31458</v>
      </c>
      <c r="F6467" s="3" t="s">
        <v>1171</v>
      </c>
      <c r="G6467" s="3" t="s">
        <v>28</v>
      </c>
      <c r="H6467" s="2" t="s">
        <v>20</v>
      </c>
      <c r="I6467" s="2" t="s">
        <v>13474</v>
      </c>
      <c r="J6467" s="3" t="str">
        <f>HYPERLINK("https://www.boe.es/gazeta/dias/1813/11/13/pdfs/GRE-1813-149.pdf#page=8","Abrir facsímil")</f>
        <v>Abrir facsímil</v>
      </c>
      <c r="K6467" s="3" t="s">
        <v>22</v>
      </c>
    </row>
    <row r="6468" spans="1:11" ht="42" customHeight="1">
      <c r="A6468" s="2" t="s">
        <v>13475</v>
      </c>
      <c r="B6468" s="2" t="s">
        <v>13475</v>
      </c>
      <c r="C6468" s="2" t="s">
        <v>34</v>
      </c>
      <c r="D6468" s="2" t="s">
        <v>35</v>
      </c>
      <c r="E6468" s="5">
        <v>-31738</v>
      </c>
      <c r="F6468" s="3" t="s">
        <v>556</v>
      </c>
      <c r="G6468" s="3" t="s">
        <v>54</v>
      </c>
      <c r="H6468" s="2" t="s">
        <v>20</v>
      </c>
      <c r="I6468" s="2" t="s">
        <v>13476</v>
      </c>
      <c r="J6468" s="3" t="str">
        <f>HYPERLINK("https://www.boe.es/gazeta/dias/1813/02/06/pdfs/GRE-1813-16.pdf#page=3","Abrir facsímil")</f>
        <v>Abrir facsímil</v>
      </c>
      <c r="K6468" s="3" t="s">
        <v>22</v>
      </c>
    </row>
    <row r="6469" spans="1:11" ht="42" customHeight="1">
      <c r="A6469" s="2" t="s">
        <v>13477</v>
      </c>
      <c r="B6469" s="2" t="s">
        <v>13477</v>
      </c>
      <c r="C6469" s="2" t="s">
        <v>16</v>
      </c>
      <c r="D6469" s="2" t="s">
        <v>17</v>
      </c>
      <c r="E6469" s="5">
        <v>-31726</v>
      </c>
      <c r="F6469" s="3" t="s">
        <v>493</v>
      </c>
      <c r="G6469" s="3" t="s">
        <v>19</v>
      </c>
      <c r="H6469" s="2" t="s">
        <v>20</v>
      </c>
      <c r="I6469" s="2" t="s">
        <v>13478</v>
      </c>
      <c r="J6469" s="3" t="str">
        <f>HYPERLINK("https://www.boe.es/gazeta/dias/1813/02/18/pdfs/GMD-1813-49.pdf#page=4","Abrir facsímil")</f>
        <v>Abrir facsímil</v>
      </c>
      <c r="K6469" s="3" t="s">
        <v>22</v>
      </c>
    </row>
    <row r="6470" spans="1:11" ht="42" customHeight="1">
      <c r="A6470" s="2" t="s">
        <v>13479</v>
      </c>
      <c r="B6470" s="2" t="s">
        <v>13479</v>
      </c>
      <c r="C6470" s="2" t="s">
        <v>34</v>
      </c>
      <c r="D6470" s="2" t="s">
        <v>35</v>
      </c>
      <c r="E6470" s="5">
        <v>-31427</v>
      </c>
      <c r="F6470" s="3" t="s">
        <v>489</v>
      </c>
      <c r="G6470" s="3" t="s">
        <v>95</v>
      </c>
      <c r="H6470" s="2" t="s">
        <v>20</v>
      </c>
      <c r="I6470" s="2" t="s">
        <v>13480</v>
      </c>
      <c r="J6470" s="3" t="str">
        <f>HYPERLINK("https://www.boe.es/gazeta/dias/1813/12/14/pdfs/GMR-1813-87.pdf#page=6","Abrir facsímil")</f>
        <v>Abrir facsímil</v>
      </c>
      <c r="K6470" s="3" t="s">
        <v>22</v>
      </c>
    </row>
    <row r="6471" spans="1:11" ht="42" customHeight="1">
      <c r="A6471" s="2" t="s">
        <v>13481</v>
      </c>
      <c r="B6471" s="2" t="s">
        <v>13481</v>
      </c>
      <c r="C6471" s="2" t="s">
        <v>25</v>
      </c>
      <c r="D6471" s="2" t="s">
        <v>26</v>
      </c>
      <c r="E6471" s="5">
        <v>-31745</v>
      </c>
      <c r="F6471" s="3" t="s">
        <v>445</v>
      </c>
      <c r="G6471" s="3" t="s">
        <v>28</v>
      </c>
      <c r="H6471" s="2" t="s">
        <v>20</v>
      </c>
      <c r="I6471" s="2" t="s">
        <v>13482</v>
      </c>
      <c r="J6471" s="3" t="str">
        <f>HYPERLINK("https://www.boe.es/gazeta/dias/1813/01/30/pdfs/GRE-1813-13.pdf#page=8","Abrir facsímil")</f>
        <v>Abrir facsímil</v>
      </c>
      <c r="K6471" s="3" t="s">
        <v>22</v>
      </c>
    </row>
    <row r="6472" spans="1:11" ht="42" customHeight="1">
      <c r="A6472" s="2" t="s">
        <v>13483</v>
      </c>
      <c r="B6472" s="2" t="s">
        <v>13484</v>
      </c>
      <c r="C6472" s="2" t="s">
        <v>25</v>
      </c>
      <c r="D6472" s="2" t="s">
        <v>26</v>
      </c>
      <c r="E6472" s="5">
        <v>-31539</v>
      </c>
      <c r="F6472" s="3" t="s">
        <v>1316</v>
      </c>
      <c r="G6472" s="3" t="s">
        <v>28</v>
      </c>
      <c r="H6472" s="2" t="s">
        <v>20</v>
      </c>
      <c r="I6472" s="2" t="s">
        <v>13485</v>
      </c>
      <c r="J6472" s="3" t="str">
        <f>HYPERLINK("https://www.boe.es/gazeta/dias/1813/08/24/pdfs/GMR-1813-32.pdf#page=8","Abrir facsímil")</f>
        <v>Abrir facsímil</v>
      </c>
      <c r="K6472" s="3" t="s">
        <v>22</v>
      </c>
    </row>
    <row r="6473" spans="1:11" ht="42" customHeight="1">
      <c r="A6473" s="2" t="s">
        <v>13486</v>
      </c>
      <c r="B6473" s="2" t="s">
        <v>13487</v>
      </c>
      <c r="C6473" s="2" t="s">
        <v>34</v>
      </c>
      <c r="D6473" s="2" t="s">
        <v>35</v>
      </c>
      <c r="E6473" s="5">
        <v>-31709</v>
      </c>
      <c r="F6473" s="3" t="s">
        <v>36</v>
      </c>
      <c r="G6473" s="3" t="s">
        <v>19</v>
      </c>
      <c r="H6473" s="2" t="s">
        <v>20</v>
      </c>
      <c r="I6473" s="2" t="s">
        <v>13488</v>
      </c>
      <c r="J6473" s="3" t="str">
        <f>HYPERLINK("https://www.boe.es/gazeta/dias/1813/03/07/pdfs/GMD-1813-66.pdf#page=4","Abrir facsímil")</f>
        <v>Abrir facsímil</v>
      </c>
      <c r="K6473" s="3" t="s">
        <v>22</v>
      </c>
    </row>
    <row r="6474" spans="1:11" ht="42" customHeight="1">
      <c r="A6474" s="2" t="s">
        <v>13489</v>
      </c>
      <c r="B6474" s="2" t="s">
        <v>13489</v>
      </c>
      <c r="C6474" s="2" t="s">
        <v>16</v>
      </c>
      <c r="D6474" s="2" t="s">
        <v>17</v>
      </c>
      <c r="E6474" s="5">
        <v>-31598</v>
      </c>
      <c r="F6474" s="3" t="s">
        <v>286</v>
      </c>
      <c r="G6474" s="3" t="s">
        <v>87</v>
      </c>
      <c r="H6474" s="2" t="s">
        <v>20</v>
      </c>
      <c r="I6474" s="2" t="s">
        <v>13490</v>
      </c>
      <c r="J6474" s="3" t="str">
        <f>HYPERLINK("https://www.boe.es/gazeta/dias/1813/06/26/pdfs/GRE-1813-79.pdf#page=7","Abrir facsímil")</f>
        <v>Abrir facsímil</v>
      </c>
      <c r="K6474" s="3" t="s">
        <v>22</v>
      </c>
    </row>
    <row r="6475" spans="1:11" ht="42" customHeight="1">
      <c r="A6475" s="2" t="s">
        <v>13491</v>
      </c>
      <c r="B6475" s="2" t="s">
        <v>13491</v>
      </c>
      <c r="C6475" s="2" t="s">
        <v>16</v>
      </c>
      <c r="D6475" s="2" t="s">
        <v>17</v>
      </c>
      <c r="E6475" s="5">
        <v>-31592</v>
      </c>
      <c r="F6475" s="3" t="s">
        <v>175</v>
      </c>
      <c r="G6475" s="3" t="s">
        <v>54</v>
      </c>
      <c r="H6475" s="2" t="s">
        <v>20</v>
      </c>
      <c r="I6475" s="2" t="s">
        <v>13492</v>
      </c>
      <c r="J6475" s="3" t="str">
        <f>HYPERLINK("https://www.boe.es/gazeta/dias/1813/07/02/pdfs/GRE-1813-82.pdf#page=3","Abrir facsímil")</f>
        <v>Abrir facsímil</v>
      </c>
      <c r="K6475" s="3" t="s">
        <v>22</v>
      </c>
    </row>
    <row r="6476" spans="1:11" ht="42" customHeight="1">
      <c r="A6476" s="2" t="s">
        <v>13493</v>
      </c>
      <c r="B6476" s="2" t="s">
        <v>13494</v>
      </c>
      <c r="C6476" s="2" t="s">
        <v>16</v>
      </c>
      <c r="D6476" s="2" t="s">
        <v>17</v>
      </c>
      <c r="E6476" s="5">
        <v>-31535</v>
      </c>
      <c r="F6476" s="3" t="s">
        <v>366</v>
      </c>
      <c r="G6476" s="3" t="s">
        <v>5335</v>
      </c>
      <c r="H6476" s="2" t="s">
        <v>20</v>
      </c>
      <c r="I6476" s="2" t="s">
        <v>13495</v>
      </c>
      <c r="J6476" s="3" t="str">
        <f>HYPERLINK("https://www.boe.es/gazeta/dias/1813/08/28/pdfs/GRE-1813-110.pdf#page=5","Abrir facsímil")</f>
        <v>Abrir facsímil</v>
      </c>
      <c r="K6476" s="3" t="s">
        <v>22</v>
      </c>
    </row>
    <row r="6477" spans="1:11" ht="42" customHeight="1">
      <c r="A6477" s="2" t="s">
        <v>13493</v>
      </c>
      <c r="B6477" s="2" t="s">
        <v>13494</v>
      </c>
      <c r="C6477" s="2" t="s">
        <v>25</v>
      </c>
      <c r="D6477" s="2" t="s">
        <v>26</v>
      </c>
      <c r="E6477" s="5">
        <v>-31483</v>
      </c>
      <c r="F6477" s="3" t="s">
        <v>308</v>
      </c>
      <c r="G6477" s="3" t="s">
        <v>54</v>
      </c>
      <c r="H6477" s="2" t="s">
        <v>20</v>
      </c>
      <c r="I6477" s="2" t="s">
        <v>13496</v>
      </c>
      <c r="J6477" s="3" t="str">
        <f>HYPERLINK("https://www.boe.es/gazeta/dias/1813/10/19/pdfs/GRE-1813-136.pdf#page=3","Abrir facsímil")</f>
        <v>Abrir facsímil</v>
      </c>
      <c r="K6477" s="3" t="s">
        <v>22</v>
      </c>
    </row>
    <row r="6478" spans="1:11" ht="42" customHeight="1">
      <c r="A6478" s="2" t="s">
        <v>13497</v>
      </c>
      <c r="B6478" s="2" t="s">
        <v>13498</v>
      </c>
      <c r="C6478" s="2" t="s">
        <v>16</v>
      </c>
      <c r="D6478" s="2" t="s">
        <v>17</v>
      </c>
      <c r="E6478" s="5">
        <v>-31483</v>
      </c>
      <c r="F6478" s="3" t="s">
        <v>308</v>
      </c>
      <c r="G6478" s="3" t="s">
        <v>19</v>
      </c>
      <c r="H6478" s="2" t="s">
        <v>20</v>
      </c>
      <c r="I6478" s="2" t="s">
        <v>13499</v>
      </c>
      <c r="J6478" s="3" t="str">
        <f>HYPERLINK("https://www.boe.es/gazeta/dias/1813/10/19/pdfs/GRE-1813-136.pdf#page=4","Abrir facsímil")</f>
        <v>Abrir facsímil</v>
      </c>
      <c r="K6478" s="3" t="s">
        <v>22</v>
      </c>
    </row>
    <row r="6479" spans="1:11" ht="42" customHeight="1">
      <c r="A6479" s="2" t="s">
        <v>13500</v>
      </c>
      <c r="B6479" s="2" t="s">
        <v>13501</v>
      </c>
      <c r="C6479" s="2" t="s">
        <v>34</v>
      </c>
      <c r="D6479" s="2" t="s">
        <v>35</v>
      </c>
      <c r="E6479" s="5">
        <v>-31588</v>
      </c>
      <c r="F6479" s="3" t="s">
        <v>1535</v>
      </c>
      <c r="G6479" s="3" t="s">
        <v>3006</v>
      </c>
      <c r="H6479" s="2" t="s">
        <v>20</v>
      </c>
      <c r="I6479" s="2" t="s">
        <v>13502</v>
      </c>
      <c r="J6479" s="3" t="str">
        <f>HYPERLINK("https://www.boe.es/gazeta/dias/1813/07/06/pdfs/GMR-1813-15.pdf#page=15","Abrir facsímil")</f>
        <v>Abrir facsímil</v>
      </c>
      <c r="K6479" s="3" t="s">
        <v>22</v>
      </c>
    </row>
    <row r="6480" spans="1:11" ht="42" customHeight="1">
      <c r="A6480" s="2" t="s">
        <v>13503</v>
      </c>
      <c r="B6480" s="2" t="s">
        <v>13503</v>
      </c>
      <c r="C6480" s="2" t="s">
        <v>16</v>
      </c>
      <c r="D6480" s="2" t="s">
        <v>17</v>
      </c>
      <c r="E6480" s="5">
        <v>-31437</v>
      </c>
      <c r="F6480" s="3" t="s">
        <v>680</v>
      </c>
      <c r="G6480" s="3" t="s">
        <v>54</v>
      </c>
      <c r="H6480" s="2" t="s">
        <v>20</v>
      </c>
      <c r="I6480" s="2" t="s">
        <v>13504</v>
      </c>
      <c r="J6480" s="3" t="str">
        <f>HYPERLINK("https://www.boe.es/gazeta/dias/1813/12/04/pdfs/GMR-1813-83.pdf#page=3","Abrir facsímil")</f>
        <v>Abrir facsímil</v>
      </c>
      <c r="K6480" s="3" t="s">
        <v>22</v>
      </c>
    </row>
    <row r="6481" spans="1:11" ht="42" customHeight="1">
      <c r="A6481" s="2" t="s">
        <v>13503</v>
      </c>
      <c r="B6481" s="2" t="s">
        <v>13503</v>
      </c>
      <c r="C6481" s="2" t="s">
        <v>16</v>
      </c>
      <c r="D6481" s="2" t="s">
        <v>17</v>
      </c>
      <c r="E6481" s="5">
        <v>-31427</v>
      </c>
      <c r="F6481" s="3" t="s">
        <v>1822</v>
      </c>
      <c r="G6481" s="3" t="s">
        <v>82</v>
      </c>
      <c r="H6481" s="2" t="s">
        <v>20</v>
      </c>
      <c r="I6481" s="2" t="s">
        <v>13505</v>
      </c>
      <c r="J6481" s="3" t="str">
        <f>HYPERLINK("https://www.boe.es/gazeta/dias/1813/12/14/pdfs/GRE-1813-164.pdf#page=5","Abrir facsímil")</f>
        <v>Abrir facsímil</v>
      </c>
      <c r="K6481" s="3" t="s">
        <v>22</v>
      </c>
    </row>
    <row r="6482" spans="1:11" ht="42" customHeight="1">
      <c r="A6482" s="2" t="s">
        <v>13506</v>
      </c>
      <c r="B6482" s="2" t="s">
        <v>13507</v>
      </c>
      <c r="C6482" s="2" t="s">
        <v>16</v>
      </c>
      <c r="D6482" s="2" t="s">
        <v>17</v>
      </c>
      <c r="E6482" s="5">
        <v>-31448</v>
      </c>
      <c r="F6482" s="3" t="s">
        <v>325</v>
      </c>
      <c r="G6482" s="3" t="s">
        <v>58</v>
      </c>
      <c r="H6482" s="2" t="s">
        <v>20</v>
      </c>
      <c r="I6482" s="2" t="s">
        <v>13508</v>
      </c>
      <c r="J6482" s="3" t="str">
        <f>HYPERLINK("https://www.boe.es/gazeta/dias/1813/11/23/pdfs/GMR-1813-78.pdf#page=2","Abrir facsímil")</f>
        <v>Abrir facsímil</v>
      </c>
      <c r="K6482" s="3" t="s">
        <v>22</v>
      </c>
    </row>
    <row r="6483" spans="1:11" ht="42" customHeight="1">
      <c r="A6483" s="2" t="s">
        <v>13509</v>
      </c>
      <c r="B6483" s="2" t="s">
        <v>13510</v>
      </c>
      <c r="C6483" s="2" t="s">
        <v>16</v>
      </c>
      <c r="D6483" s="2" t="s">
        <v>17</v>
      </c>
      <c r="E6483" s="5">
        <v>-31723</v>
      </c>
      <c r="F6483" s="3" t="s">
        <v>273</v>
      </c>
      <c r="G6483" s="3" t="s">
        <v>19</v>
      </c>
      <c r="H6483" s="2" t="s">
        <v>20</v>
      </c>
      <c r="I6483" s="2" t="s">
        <v>13511</v>
      </c>
      <c r="J6483" s="3" t="str">
        <f>HYPERLINK("https://www.boe.es/gazeta/dias/1813/02/21/pdfs/GMD-1813-52.pdf#page=4","Abrir facsímil")</f>
        <v>Abrir facsímil</v>
      </c>
      <c r="K6483" s="3" t="s">
        <v>22</v>
      </c>
    </row>
    <row r="6484" spans="1:11" ht="42" customHeight="1">
      <c r="A6484" s="2" t="s">
        <v>13512</v>
      </c>
      <c r="B6484" s="2" t="s">
        <v>13512</v>
      </c>
      <c r="C6484" s="2" t="s">
        <v>25</v>
      </c>
      <c r="D6484" s="2" t="s">
        <v>26</v>
      </c>
      <c r="E6484" s="5">
        <v>-31546</v>
      </c>
      <c r="F6484" s="3" t="s">
        <v>461</v>
      </c>
      <c r="G6484" s="3" t="s">
        <v>82</v>
      </c>
      <c r="H6484" s="2" t="s">
        <v>20</v>
      </c>
      <c r="I6484" s="2" t="s">
        <v>13513</v>
      </c>
      <c r="J6484" s="3" t="str">
        <f>HYPERLINK("https://www.boe.es/gazeta/dias/1813/08/17/pdfs/GMR-1813-29.pdf#page=5","Abrir facsímil")</f>
        <v>Abrir facsímil</v>
      </c>
      <c r="K6484" s="3" t="s">
        <v>22</v>
      </c>
    </row>
    <row r="6485" spans="1:11" ht="42" customHeight="1">
      <c r="A6485" s="2" t="s">
        <v>13514</v>
      </c>
      <c r="B6485" s="2" t="s">
        <v>13514</v>
      </c>
      <c r="C6485" s="2" t="s">
        <v>16</v>
      </c>
      <c r="D6485" s="2" t="s">
        <v>17</v>
      </c>
      <c r="E6485" s="5">
        <v>-31668</v>
      </c>
      <c r="F6485" s="3" t="s">
        <v>574</v>
      </c>
      <c r="G6485" s="3" t="s">
        <v>6144</v>
      </c>
      <c r="H6485" s="2" t="s">
        <v>20</v>
      </c>
      <c r="I6485" s="2" t="s">
        <v>13515</v>
      </c>
      <c r="J6485" s="3" t="str">
        <f>HYPERLINK("https://www.boe.es/gazeta/dias/1813/04/17/pdfs/GRE-1813-48.pdf#page=7","Abrir facsímil")</f>
        <v>Abrir facsímil</v>
      </c>
      <c r="K6485" s="3" t="s">
        <v>22</v>
      </c>
    </row>
    <row r="6486" spans="1:11" ht="42" customHeight="1">
      <c r="A6486" s="2" t="s">
        <v>13516</v>
      </c>
      <c r="B6486" s="2" t="s">
        <v>13516</v>
      </c>
      <c r="C6486" s="2" t="s">
        <v>435</v>
      </c>
      <c r="D6486" s="2" t="s">
        <v>26</v>
      </c>
      <c r="E6486" s="5">
        <v>-31741</v>
      </c>
      <c r="F6486" s="3" t="s">
        <v>1359</v>
      </c>
      <c r="G6486" s="3" t="s">
        <v>54</v>
      </c>
      <c r="H6486" s="2" t="s">
        <v>20</v>
      </c>
      <c r="I6486" s="2" t="s">
        <v>13517</v>
      </c>
      <c r="J6486" s="3" t="str">
        <f>HYPERLINK("https://www.boe.es/gazeta/dias/1813/02/03/pdfs/GMD-1813-34.pdf#page=3","Abrir facsímil")</f>
        <v>Abrir facsímil</v>
      </c>
      <c r="K6486" s="3" t="s">
        <v>22</v>
      </c>
    </row>
    <row r="6487" spans="1:11" ht="42" customHeight="1">
      <c r="A6487" s="2" t="s">
        <v>13518</v>
      </c>
      <c r="B6487" s="2" t="s">
        <v>13518</v>
      </c>
      <c r="C6487" s="2" t="s">
        <v>25</v>
      </c>
      <c r="D6487" s="2" t="s">
        <v>26</v>
      </c>
      <c r="E6487" s="5">
        <v>-31747</v>
      </c>
      <c r="F6487" s="3" t="s">
        <v>86</v>
      </c>
      <c r="G6487" s="3" t="s">
        <v>54</v>
      </c>
      <c r="H6487" s="2" t="s">
        <v>20</v>
      </c>
      <c r="I6487" s="2" t="s">
        <v>13519</v>
      </c>
      <c r="J6487" s="3" t="str">
        <f>HYPERLINK("https://www.boe.es/gazeta/dias/1813/01/28/pdfs/GRE-1813-12.pdf#page=3","Abrir facsímil")</f>
        <v>Abrir facsímil</v>
      </c>
      <c r="K6487" s="3" t="s">
        <v>22</v>
      </c>
    </row>
    <row r="6488" spans="1:11" ht="42" customHeight="1">
      <c r="A6488" s="2" t="s">
        <v>13520</v>
      </c>
      <c r="B6488" s="2" t="s">
        <v>13520</v>
      </c>
      <c r="C6488" s="2" t="s">
        <v>16</v>
      </c>
      <c r="D6488" s="2" t="s">
        <v>17</v>
      </c>
      <c r="E6488" s="5">
        <v>-31770</v>
      </c>
      <c r="F6488" s="3" t="s">
        <v>1738</v>
      </c>
      <c r="G6488" s="3" t="s">
        <v>58</v>
      </c>
      <c r="H6488" s="2" t="s">
        <v>20</v>
      </c>
      <c r="I6488" s="2" t="s">
        <v>13521</v>
      </c>
      <c r="J6488" s="3" t="str">
        <f>HYPERLINK("https://www.boe.es/gazeta/dias/1813/01/05/pdfs/GRE-1813-2.pdf#page=2","Abrir facsímil")</f>
        <v>Abrir facsímil</v>
      </c>
      <c r="K6488" s="3" t="s">
        <v>22</v>
      </c>
    </row>
    <row r="6489" spans="1:11" ht="42" customHeight="1">
      <c r="A6489" s="2" t="s">
        <v>13520</v>
      </c>
      <c r="B6489" s="2" t="s">
        <v>13520</v>
      </c>
      <c r="C6489" s="2" t="s">
        <v>435</v>
      </c>
      <c r="D6489" s="2" t="s">
        <v>26</v>
      </c>
      <c r="E6489" s="5">
        <v>-31551</v>
      </c>
      <c r="F6489" s="3" t="s">
        <v>4349</v>
      </c>
      <c r="G6489" s="3" t="s">
        <v>58</v>
      </c>
      <c r="H6489" s="2" t="s">
        <v>20</v>
      </c>
      <c r="I6489" s="2" t="s">
        <v>13522</v>
      </c>
      <c r="J6489" s="3" t="str">
        <f>HYPERLINK("https://www.boe.es/gazeta/dias/1813/08/12/pdfs/GRE-1813-102.pdf#page=2","Abrir facsímil")</f>
        <v>Abrir facsímil</v>
      </c>
      <c r="K6489" s="3" t="s">
        <v>22</v>
      </c>
    </row>
    <row r="6490" spans="1:11" ht="42" customHeight="1">
      <c r="A6490" s="2" t="s">
        <v>13523</v>
      </c>
      <c r="B6490" s="2" t="s">
        <v>13524</v>
      </c>
      <c r="C6490" s="2" t="s">
        <v>25</v>
      </c>
      <c r="D6490" s="2" t="s">
        <v>26</v>
      </c>
      <c r="E6490" s="5">
        <v>-31734</v>
      </c>
      <c r="F6490" s="3" t="s">
        <v>362</v>
      </c>
      <c r="G6490" s="3" t="s">
        <v>19</v>
      </c>
      <c r="H6490" s="2" t="s">
        <v>20</v>
      </c>
      <c r="I6490" s="2" t="s">
        <v>13525</v>
      </c>
      <c r="J6490" s="3" t="str">
        <f>HYPERLINK("https://www.boe.es/gazeta/dias/1813/02/10/pdfs/GMD-1813-41.pdf#page=4","Abrir facsímil")</f>
        <v>Abrir facsímil</v>
      </c>
      <c r="K6490" s="3" t="s">
        <v>22</v>
      </c>
    </row>
    <row r="6491" spans="1:11" ht="42" customHeight="1">
      <c r="A6491" s="2" t="s">
        <v>13523</v>
      </c>
      <c r="B6491" s="2" t="s">
        <v>13524</v>
      </c>
      <c r="C6491" s="2" t="s">
        <v>25</v>
      </c>
      <c r="D6491" s="2" t="s">
        <v>26</v>
      </c>
      <c r="E6491" s="5">
        <v>-31495</v>
      </c>
      <c r="F6491" s="3" t="s">
        <v>194</v>
      </c>
      <c r="G6491" s="3" t="s">
        <v>812</v>
      </c>
      <c r="H6491" s="2" t="s">
        <v>20</v>
      </c>
      <c r="I6491" s="2" t="s">
        <v>13526</v>
      </c>
      <c r="J6491" s="3" t="str">
        <f>HYPERLINK("https://www.boe.es/gazeta/dias/1813/10/07/pdfs/GMR-1813-55.pdf#page=4","Abrir facsímil")</f>
        <v>Abrir facsímil</v>
      </c>
      <c r="K6491" s="3" t="s">
        <v>22</v>
      </c>
    </row>
    <row r="6492" spans="1:11" ht="42" customHeight="1">
      <c r="A6492" s="2" t="s">
        <v>13527</v>
      </c>
      <c r="B6492" s="2" t="s">
        <v>13527</v>
      </c>
      <c r="C6492" s="2" t="s">
        <v>16</v>
      </c>
      <c r="D6492" s="2" t="s">
        <v>17</v>
      </c>
      <c r="E6492" s="5">
        <v>-31413</v>
      </c>
      <c r="F6492" s="3" t="s">
        <v>149</v>
      </c>
      <c r="G6492" s="3" t="s">
        <v>82</v>
      </c>
      <c r="H6492" s="2" t="s">
        <v>20</v>
      </c>
      <c r="I6492" s="2" t="s">
        <v>13528</v>
      </c>
      <c r="J6492" s="3" t="str">
        <f>HYPERLINK("https://www.boe.es/gazeta/dias/1813/12/28/pdfs/GMR-1813-93.pdf#page=5","Abrir facsímil")</f>
        <v>Abrir facsímil</v>
      </c>
      <c r="K6492" s="3" t="s">
        <v>22</v>
      </c>
    </row>
    <row r="6493" spans="1:11" ht="42" customHeight="1">
      <c r="A6493" s="2" t="s">
        <v>13529</v>
      </c>
      <c r="B6493" s="2" t="s">
        <v>13529</v>
      </c>
      <c r="C6493" s="2" t="s">
        <v>16</v>
      </c>
      <c r="D6493" s="2" t="s">
        <v>17</v>
      </c>
      <c r="E6493" s="5">
        <v>-31658</v>
      </c>
      <c r="F6493" s="3" t="s">
        <v>1654</v>
      </c>
      <c r="G6493" s="3" t="s">
        <v>1655</v>
      </c>
      <c r="H6493" s="2" t="s">
        <v>20</v>
      </c>
      <c r="I6493" s="2" t="s">
        <v>13530</v>
      </c>
      <c r="J6493" s="3" t="str">
        <f>HYPERLINK("https://www.boe.es/gazeta/dias/1813/04/27/pdfs/GMD-1813-117.pdf#page=1","Abrir facsímil")</f>
        <v>Abrir facsímil</v>
      </c>
      <c r="K6493" s="3" t="s">
        <v>22</v>
      </c>
    </row>
    <row r="6494" spans="1:11" ht="42" customHeight="1">
      <c r="A6494" s="2" t="s">
        <v>13531</v>
      </c>
      <c r="B6494" s="2" t="s">
        <v>13531</v>
      </c>
      <c r="C6494" s="2" t="s">
        <v>16</v>
      </c>
      <c r="D6494" s="2" t="s">
        <v>17</v>
      </c>
      <c r="E6494" s="5">
        <v>-31453</v>
      </c>
      <c r="F6494" s="3" t="s">
        <v>887</v>
      </c>
      <c r="G6494" s="3" t="s">
        <v>58</v>
      </c>
      <c r="H6494" s="2" t="s">
        <v>20</v>
      </c>
      <c r="I6494" s="2" t="s">
        <v>13532</v>
      </c>
      <c r="J6494" s="3" t="str">
        <f>HYPERLINK("https://www.boe.es/gazeta/dias/1813/11/18/pdfs/GMR-1813-76.pdf#page=2","Abrir facsímil")</f>
        <v>Abrir facsímil</v>
      </c>
      <c r="K6494" s="3" t="s">
        <v>22</v>
      </c>
    </row>
    <row r="6495" spans="1:11" ht="42" customHeight="1">
      <c r="A6495" s="2" t="s">
        <v>13533</v>
      </c>
      <c r="B6495" s="2" t="s">
        <v>13533</v>
      </c>
      <c r="C6495" s="2" t="s">
        <v>277</v>
      </c>
      <c r="D6495" s="2" t="s">
        <v>26</v>
      </c>
      <c r="E6495" s="5">
        <v>-31699</v>
      </c>
      <c r="F6495" s="3" t="s">
        <v>13534</v>
      </c>
      <c r="G6495" s="3" t="s">
        <v>54</v>
      </c>
      <c r="H6495" s="2" t="s">
        <v>20</v>
      </c>
      <c r="I6495" s="2" t="s">
        <v>13535</v>
      </c>
      <c r="J6495" s="3" t="str">
        <f>HYPERLINK("https://www.boe.es/gazeta/dias/1813/03/17/pdfs/GMD-1813-76.pdf#page=3","Abrir facsímil")</f>
        <v>Abrir facsímil</v>
      </c>
      <c r="K6495" s="3" t="s">
        <v>22</v>
      </c>
    </row>
    <row r="6496" spans="1:11" ht="42" customHeight="1">
      <c r="A6496" s="2" t="s">
        <v>13533</v>
      </c>
      <c r="B6496" s="2" t="s">
        <v>13533</v>
      </c>
      <c r="C6496" s="2" t="s">
        <v>34</v>
      </c>
      <c r="D6496" s="2" t="s">
        <v>35</v>
      </c>
      <c r="E6496" s="5">
        <v>-31462</v>
      </c>
      <c r="F6496" s="3" t="s">
        <v>1028</v>
      </c>
      <c r="G6496" s="3" t="s">
        <v>87</v>
      </c>
      <c r="H6496" s="2" t="s">
        <v>20</v>
      </c>
      <c r="I6496" s="2" t="s">
        <v>13536</v>
      </c>
      <c r="J6496" s="3" t="str">
        <f>HYPERLINK("https://www.boe.es/gazeta/dias/1813/11/09/pdfs/GMR-1813-71.pdf#page=7","Abrir facsímil")</f>
        <v>Abrir facsímil</v>
      </c>
      <c r="K6496" s="3" t="s">
        <v>22</v>
      </c>
    </row>
    <row r="6497" spans="1:11" ht="42" customHeight="1">
      <c r="A6497" s="2" t="s">
        <v>13537</v>
      </c>
      <c r="B6497" s="2" t="s">
        <v>13537</v>
      </c>
      <c r="C6497" s="2" t="s">
        <v>16</v>
      </c>
      <c r="D6497" s="2" t="s">
        <v>17</v>
      </c>
      <c r="E6497" s="5">
        <v>-31734</v>
      </c>
      <c r="F6497" s="3" t="s">
        <v>362</v>
      </c>
      <c r="G6497" s="3" t="s">
        <v>65</v>
      </c>
      <c r="H6497" s="2" t="s">
        <v>20</v>
      </c>
      <c r="I6497" s="2" t="s">
        <v>13538</v>
      </c>
      <c r="J6497" s="3" t="str">
        <f>HYPERLINK("https://www.boe.es/gazeta/dias/1813/02/10/pdfs/GMD-1813-41.pdf#page=1","Abrir facsímil")</f>
        <v>Abrir facsímil</v>
      </c>
      <c r="K6497" s="3" t="s">
        <v>22</v>
      </c>
    </row>
    <row r="6498" spans="1:11" ht="42" customHeight="1">
      <c r="A6498" s="2" t="s">
        <v>13537</v>
      </c>
      <c r="B6498" s="2" t="s">
        <v>13537</v>
      </c>
      <c r="C6498" s="2" t="s">
        <v>16</v>
      </c>
      <c r="D6498" s="2" t="s">
        <v>17</v>
      </c>
      <c r="E6498" s="5">
        <v>-31732</v>
      </c>
      <c r="F6498" s="3" t="s">
        <v>1904</v>
      </c>
      <c r="G6498" s="3" t="s">
        <v>58</v>
      </c>
      <c r="H6498" s="2" t="s">
        <v>20</v>
      </c>
      <c r="I6498" s="2" t="s">
        <v>13539</v>
      </c>
      <c r="J6498" s="3" t="str">
        <f>HYPERLINK("https://www.boe.es/gazeta/dias/1813/02/12/pdfs/GMD-1813-43.pdf#page=2","Abrir facsímil")</f>
        <v>Abrir facsímil</v>
      </c>
      <c r="K6498" s="3" t="s">
        <v>22</v>
      </c>
    </row>
    <row r="6499" spans="1:11" ht="42" customHeight="1">
      <c r="A6499" s="2" t="s">
        <v>13540</v>
      </c>
      <c r="B6499" s="2" t="s">
        <v>13540</v>
      </c>
      <c r="C6499" s="2" t="s">
        <v>16</v>
      </c>
      <c r="D6499" s="2" t="s">
        <v>17</v>
      </c>
      <c r="E6499" s="5">
        <v>-31749</v>
      </c>
      <c r="F6499" s="3" t="s">
        <v>1515</v>
      </c>
      <c r="G6499" s="3" t="s">
        <v>3722</v>
      </c>
      <c r="H6499" s="2" t="s">
        <v>20</v>
      </c>
      <c r="I6499" s="2" t="s">
        <v>13541</v>
      </c>
      <c r="J6499" s="3" t="str">
        <f>HYPERLINK("https://www.boe.es/gazeta/dias/1813/01/26/pdfs/GRE-1813-11.pdf#page=2","Abrir facsímil")</f>
        <v>Abrir facsímil</v>
      </c>
      <c r="K6499" s="3" t="s">
        <v>22</v>
      </c>
    </row>
    <row r="6500" spans="1:11" ht="42" customHeight="1">
      <c r="A6500" s="2" t="s">
        <v>13540</v>
      </c>
      <c r="B6500" s="2" t="s">
        <v>13540</v>
      </c>
      <c r="C6500" s="2" t="s">
        <v>16</v>
      </c>
      <c r="D6500" s="2" t="s">
        <v>17</v>
      </c>
      <c r="E6500" s="5">
        <v>-31736</v>
      </c>
      <c r="F6500" s="3" t="s">
        <v>1936</v>
      </c>
      <c r="G6500" s="3" t="s">
        <v>65</v>
      </c>
      <c r="H6500" s="2" t="s">
        <v>20</v>
      </c>
      <c r="I6500" s="2" t="s">
        <v>13542</v>
      </c>
      <c r="J6500" s="3" t="str">
        <f>HYPERLINK("https://www.boe.es/gazeta/dias/1813/02/08/pdfs/GMD-1813-39.pdf#page=1","Abrir facsímil")</f>
        <v>Abrir facsímil</v>
      </c>
      <c r="K6500" s="3" t="s">
        <v>22</v>
      </c>
    </row>
    <row r="6501" spans="1:11" ht="42" customHeight="1">
      <c r="A6501" s="2" t="s">
        <v>13540</v>
      </c>
      <c r="B6501" s="2" t="s">
        <v>13540</v>
      </c>
      <c r="C6501" s="2" t="s">
        <v>16</v>
      </c>
      <c r="D6501" s="2" t="s">
        <v>17</v>
      </c>
      <c r="E6501" s="5">
        <v>-31734</v>
      </c>
      <c r="F6501" s="3" t="s">
        <v>362</v>
      </c>
      <c r="G6501" s="3" t="s">
        <v>65</v>
      </c>
      <c r="H6501" s="2" t="s">
        <v>20</v>
      </c>
      <c r="I6501" s="2" t="s">
        <v>13543</v>
      </c>
      <c r="J6501" s="3" t="str">
        <f>HYPERLINK("https://www.boe.es/gazeta/dias/1813/02/10/pdfs/GMD-1813-41.pdf#page=1","Abrir facsímil")</f>
        <v>Abrir facsímil</v>
      </c>
      <c r="K6501" s="3" t="s">
        <v>22</v>
      </c>
    </row>
    <row r="6502" spans="1:11" ht="42" customHeight="1">
      <c r="A6502" s="2" t="s">
        <v>13540</v>
      </c>
      <c r="B6502" s="2" t="s">
        <v>13540</v>
      </c>
      <c r="C6502" s="2" t="s">
        <v>16</v>
      </c>
      <c r="D6502" s="2" t="s">
        <v>17</v>
      </c>
      <c r="E6502" s="5">
        <v>-31733</v>
      </c>
      <c r="F6502" s="3" t="s">
        <v>3036</v>
      </c>
      <c r="G6502" s="3" t="s">
        <v>82</v>
      </c>
      <c r="H6502" s="2" t="s">
        <v>20</v>
      </c>
      <c r="I6502" s="2" t="s">
        <v>13544</v>
      </c>
      <c r="J6502" s="3" t="str">
        <f>HYPERLINK("https://www.boe.es/gazeta/dias/1813/02/11/pdfs/GRE-1813-18.pdf#page=5","Abrir facsímil")</f>
        <v>Abrir facsímil</v>
      </c>
      <c r="K6502" s="3" t="s">
        <v>22</v>
      </c>
    </row>
    <row r="6503" spans="1:11" ht="42" customHeight="1">
      <c r="A6503" s="2" t="s">
        <v>13540</v>
      </c>
      <c r="B6503" s="2" t="s">
        <v>13540</v>
      </c>
      <c r="C6503" s="2" t="s">
        <v>16</v>
      </c>
      <c r="D6503" s="2" t="s">
        <v>17</v>
      </c>
      <c r="E6503" s="5">
        <v>-31712</v>
      </c>
      <c r="F6503" s="3" t="s">
        <v>3469</v>
      </c>
      <c r="G6503" s="3" t="s">
        <v>58</v>
      </c>
      <c r="H6503" s="2" t="s">
        <v>20</v>
      </c>
      <c r="I6503" s="2" t="s">
        <v>13545</v>
      </c>
      <c r="J6503" s="3" t="str">
        <f>HYPERLINK("https://www.boe.es/gazeta/dias/1813/03/04/pdfs/GRE-1813-28.pdf#page=2","Abrir facsímil")</f>
        <v>Abrir facsímil</v>
      </c>
      <c r="K6503" s="3" t="s">
        <v>22</v>
      </c>
    </row>
    <row r="6504" spans="1:11" ht="42" customHeight="1">
      <c r="A6504" s="2" t="s">
        <v>13546</v>
      </c>
      <c r="B6504" s="2" t="s">
        <v>13546</v>
      </c>
      <c r="C6504" s="2" t="s">
        <v>16</v>
      </c>
      <c r="D6504" s="2" t="s">
        <v>17</v>
      </c>
      <c r="E6504" s="5">
        <v>-31691</v>
      </c>
      <c r="F6504" s="3" t="s">
        <v>1542</v>
      </c>
      <c r="G6504" s="3" t="s">
        <v>2110</v>
      </c>
      <c r="H6504" s="2" t="s">
        <v>20</v>
      </c>
      <c r="I6504" s="2" t="s">
        <v>13547</v>
      </c>
      <c r="J6504" s="3" t="str">
        <f>HYPERLINK("https://www.boe.es/gazeta/dias/1813/03/25/pdfs/GRE-1813-37.pdf#page=4","Abrir facsímil")</f>
        <v>Abrir facsímil</v>
      </c>
      <c r="K6504" s="3" t="s">
        <v>22</v>
      </c>
    </row>
    <row r="6505" spans="1:11" ht="42" customHeight="1">
      <c r="A6505" s="2" t="s">
        <v>13540</v>
      </c>
      <c r="B6505" s="2" t="s">
        <v>13540</v>
      </c>
      <c r="C6505" s="2" t="s">
        <v>16</v>
      </c>
      <c r="D6505" s="2" t="s">
        <v>17</v>
      </c>
      <c r="E6505" s="5">
        <v>-31679</v>
      </c>
      <c r="F6505" s="3" t="s">
        <v>571</v>
      </c>
      <c r="G6505" s="3" t="s">
        <v>54</v>
      </c>
      <c r="H6505" s="2" t="s">
        <v>20</v>
      </c>
      <c r="I6505" s="2" t="s">
        <v>13548</v>
      </c>
      <c r="J6505" s="3" t="str">
        <f>HYPERLINK("https://www.boe.es/gazeta/dias/1813/04/06/pdfs/GRE-1813-42.pdf#page=3","Abrir facsímil")</f>
        <v>Abrir facsímil</v>
      </c>
      <c r="K6505" s="3" t="s">
        <v>22</v>
      </c>
    </row>
    <row r="6506" spans="1:11" ht="42" customHeight="1">
      <c r="A6506" s="2" t="s">
        <v>13540</v>
      </c>
      <c r="B6506" s="2" t="s">
        <v>13540</v>
      </c>
      <c r="C6506" s="2" t="s">
        <v>16</v>
      </c>
      <c r="D6506" s="2" t="s">
        <v>17</v>
      </c>
      <c r="E6506" s="5">
        <v>-31678</v>
      </c>
      <c r="F6506" s="3" t="s">
        <v>8495</v>
      </c>
      <c r="G6506" s="3" t="s">
        <v>65</v>
      </c>
      <c r="H6506" s="2" t="s">
        <v>20</v>
      </c>
      <c r="I6506" s="2" t="s">
        <v>13549</v>
      </c>
      <c r="J6506" s="3" t="str">
        <f>HYPERLINK("https://www.boe.es/gazeta/dias/1813/04/07/pdfs/GMD-1813-97.pdf#page=1","Abrir facsímil")</f>
        <v>Abrir facsímil</v>
      </c>
      <c r="K6506" s="3" t="s">
        <v>22</v>
      </c>
    </row>
    <row r="6507" spans="1:11" ht="42" customHeight="1">
      <c r="A6507" s="2" t="s">
        <v>13550</v>
      </c>
      <c r="B6507" s="2" t="s">
        <v>13550</v>
      </c>
      <c r="C6507" s="2" t="s">
        <v>16</v>
      </c>
      <c r="D6507" s="2" t="s">
        <v>17</v>
      </c>
      <c r="E6507" s="5">
        <v>-31659</v>
      </c>
      <c r="F6507" s="3" t="s">
        <v>3041</v>
      </c>
      <c r="G6507" s="3" t="s">
        <v>65</v>
      </c>
      <c r="H6507" s="2" t="s">
        <v>20</v>
      </c>
      <c r="I6507" s="2" t="s">
        <v>13551</v>
      </c>
      <c r="J6507" s="3" t="str">
        <f>HYPERLINK("https://www.boe.es/gazeta/dias/1813/04/26/pdfs/GMD-1813-116.pdf#page=1","Abrir facsímil")</f>
        <v>Abrir facsímil</v>
      </c>
      <c r="K6507" s="3" t="s">
        <v>22</v>
      </c>
    </row>
    <row r="6508" spans="1:11" ht="42" customHeight="1">
      <c r="A6508" s="2" t="s">
        <v>13540</v>
      </c>
      <c r="B6508" s="2" t="s">
        <v>13540</v>
      </c>
      <c r="C6508" s="2" t="s">
        <v>16</v>
      </c>
      <c r="D6508" s="2" t="s">
        <v>17</v>
      </c>
      <c r="E6508" s="5">
        <v>-31653</v>
      </c>
      <c r="F6508" s="3" t="s">
        <v>3121</v>
      </c>
      <c r="G6508" s="3" t="s">
        <v>65</v>
      </c>
      <c r="H6508" s="2" t="s">
        <v>20</v>
      </c>
      <c r="I6508" s="2" t="s">
        <v>13552</v>
      </c>
      <c r="J6508" s="3" t="str">
        <f>HYPERLINK("https://www.boe.es/gazeta/dias/1813/05/02/pdfs/GMD-1813-122.pdf#page=1","Abrir facsímil")</f>
        <v>Abrir facsímil</v>
      </c>
      <c r="K6508" s="3" t="s">
        <v>22</v>
      </c>
    </row>
    <row r="6509" spans="1:11" ht="42" customHeight="1">
      <c r="A6509" s="2" t="s">
        <v>13540</v>
      </c>
      <c r="B6509" s="2" t="s">
        <v>13540</v>
      </c>
      <c r="C6509" s="2" t="s">
        <v>16</v>
      </c>
      <c r="D6509" s="2" t="s">
        <v>17</v>
      </c>
      <c r="E6509" s="5">
        <v>-31592</v>
      </c>
      <c r="F6509" s="3" t="s">
        <v>1538</v>
      </c>
      <c r="G6509" s="3" t="s">
        <v>2268</v>
      </c>
      <c r="H6509" s="2" t="s">
        <v>20</v>
      </c>
      <c r="I6509" s="2" t="s">
        <v>13553</v>
      </c>
      <c r="J6509" s="3" t="str">
        <f>HYPERLINK("https://www.boe.es/gazeta/dias/1813/07/02/pdfs/GMR-1813-14.pdf#page=6","Abrir facsímil")</f>
        <v>Abrir facsímil</v>
      </c>
      <c r="K6509" s="3" t="s">
        <v>22</v>
      </c>
    </row>
    <row r="6510" spans="1:11" ht="42" customHeight="1">
      <c r="A6510" s="2" t="s">
        <v>13540</v>
      </c>
      <c r="B6510" s="2" t="s">
        <v>13540</v>
      </c>
      <c r="C6510" s="2" t="s">
        <v>16</v>
      </c>
      <c r="D6510" s="2" t="s">
        <v>17</v>
      </c>
      <c r="E6510" s="5">
        <v>-31585</v>
      </c>
      <c r="F6510" s="3" t="s">
        <v>177</v>
      </c>
      <c r="G6510" s="3" t="s">
        <v>54</v>
      </c>
      <c r="H6510" s="2" t="s">
        <v>20</v>
      </c>
      <c r="I6510" s="2" t="s">
        <v>13554</v>
      </c>
      <c r="J6510" s="3" t="str">
        <f>HYPERLINK("https://www.boe.es/gazeta/dias/1813/07/09/pdfs/GMR-1813-16.pdf#page=3","Abrir facsímil")</f>
        <v>Abrir facsímil</v>
      </c>
      <c r="K6510" s="3" t="s">
        <v>22</v>
      </c>
    </row>
    <row r="6511" spans="1:11" ht="42" customHeight="1">
      <c r="A6511" s="2" t="s">
        <v>13540</v>
      </c>
      <c r="B6511" s="2" t="s">
        <v>13540</v>
      </c>
      <c r="C6511" s="2" t="s">
        <v>16</v>
      </c>
      <c r="D6511" s="2" t="s">
        <v>17</v>
      </c>
      <c r="E6511" s="5">
        <v>-31495</v>
      </c>
      <c r="F6511" s="3" t="s">
        <v>484</v>
      </c>
      <c r="G6511" s="3" t="s">
        <v>54</v>
      </c>
      <c r="H6511" s="2" t="s">
        <v>20</v>
      </c>
      <c r="I6511" s="2" t="s">
        <v>13555</v>
      </c>
      <c r="J6511" s="3" t="str">
        <f>HYPERLINK("https://www.boe.es/gazeta/dias/1813/10/07/pdfs/GRE-1813-131.pdf#page=3","Abrir facsímil")</f>
        <v>Abrir facsímil</v>
      </c>
      <c r="K6511" s="3" t="s">
        <v>22</v>
      </c>
    </row>
    <row r="6512" spans="1:11" ht="42" customHeight="1">
      <c r="A6512" s="2" t="s">
        <v>13540</v>
      </c>
      <c r="B6512" s="2" t="s">
        <v>13540</v>
      </c>
      <c r="C6512" s="2" t="s">
        <v>16</v>
      </c>
      <c r="D6512" s="2" t="s">
        <v>17</v>
      </c>
      <c r="E6512" s="5">
        <v>-31483</v>
      </c>
      <c r="F6512" s="3" t="s">
        <v>1292</v>
      </c>
      <c r="G6512" s="3" t="s">
        <v>54</v>
      </c>
      <c r="H6512" s="2" t="s">
        <v>20</v>
      </c>
      <c r="I6512" s="2" t="s">
        <v>13556</v>
      </c>
      <c r="J6512" s="3" t="str">
        <f>HYPERLINK("https://www.boe.es/gazeta/dias/1813/10/19/pdfs/GMR-1813-61.pdf#page=3","Abrir facsímil")</f>
        <v>Abrir facsímil</v>
      </c>
      <c r="K6512" s="3" t="s">
        <v>22</v>
      </c>
    </row>
    <row r="6513" spans="1:11" ht="42" customHeight="1">
      <c r="A6513" s="2" t="s">
        <v>13540</v>
      </c>
      <c r="B6513" s="2" t="s">
        <v>13540</v>
      </c>
      <c r="C6513" s="2" t="s">
        <v>16</v>
      </c>
      <c r="D6513" s="2" t="s">
        <v>17</v>
      </c>
      <c r="E6513" s="5">
        <v>-31481</v>
      </c>
      <c r="F6513" s="3" t="s">
        <v>380</v>
      </c>
      <c r="G6513" s="3" t="s">
        <v>54</v>
      </c>
      <c r="H6513" s="2" t="s">
        <v>20</v>
      </c>
      <c r="I6513" s="2" t="s">
        <v>13557</v>
      </c>
      <c r="J6513" s="3" t="str">
        <f>HYPERLINK("https://www.boe.es/gazeta/dias/1813/10/21/pdfs/GRE-1813-137.pdf#page=3","Abrir facsímil")</f>
        <v>Abrir facsímil</v>
      </c>
      <c r="K6513" s="3" t="s">
        <v>22</v>
      </c>
    </row>
    <row r="6514" spans="1:11" ht="42" customHeight="1">
      <c r="A6514" s="2" t="s">
        <v>13540</v>
      </c>
      <c r="B6514" s="2" t="s">
        <v>13540</v>
      </c>
      <c r="C6514" s="2" t="s">
        <v>16</v>
      </c>
      <c r="D6514" s="2" t="s">
        <v>17</v>
      </c>
      <c r="E6514" s="5">
        <v>-31479</v>
      </c>
      <c r="F6514" s="3" t="s">
        <v>322</v>
      </c>
      <c r="G6514" s="3" t="s">
        <v>58</v>
      </c>
      <c r="H6514" s="2" t="s">
        <v>20</v>
      </c>
      <c r="I6514" s="2" t="s">
        <v>13558</v>
      </c>
      <c r="J6514" s="3" t="str">
        <f>HYPERLINK("https://www.boe.es/gazeta/dias/1813/10/23/pdfs/GMR-1813-63.pdf#page=2","Abrir facsímil")</f>
        <v>Abrir facsímil</v>
      </c>
      <c r="K6514" s="3" t="s">
        <v>22</v>
      </c>
    </row>
    <row r="6515" spans="1:11" ht="42" customHeight="1">
      <c r="A6515" s="2" t="s">
        <v>13540</v>
      </c>
      <c r="B6515" s="2" t="s">
        <v>13540</v>
      </c>
      <c r="C6515" s="2" t="s">
        <v>16</v>
      </c>
      <c r="D6515" s="2" t="s">
        <v>17</v>
      </c>
      <c r="E6515" s="5">
        <v>-31453</v>
      </c>
      <c r="F6515" s="3" t="s">
        <v>887</v>
      </c>
      <c r="G6515" s="3" t="s">
        <v>2210</v>
      </c>
      <c r="H6515" s="2" t="s">
        <v>20</v>
      </c>
      <c r="I6515" s="2" t="s">
        <v>13559</v>
      </c>
      <c r="J6515" s="3" t="str">
        <f>HYPERLINK("https://www.boe.es/gazeta/dias/1813/11/18/pdfs/GMR-1813-76.pdf#page=9","Abrir facsímil")</f>
        <v>Abrir facsímil</v>
      </c>
      <c r="K6515" s="3" t="s">
        <v>22</v>
      </c>
    </row>
    <row r="6516" spans="1:11" ht="42" customHeight="1">
      <c r="A6516" s="2" t="s">
        <v>13540</v>
      </c>
      <c r="B6516" s="2" t="s">
        <v>13540</v>
      </c>
      <c r="C6516" s="2" t="s">
        <v>16</v>
      </c>
      <c r="D6516" s="2" t="s">
        <v>17</v>
      </c>
      <c r="E6516" s="5">
        <v>-31446</v>
      </c>
      <c r="F6516" s="3" t="s">
        <v>103</v>
      </c>
      <c r="G6516" s="3" t="s">
        <v>95</v>
      </c>
      <c r="H6516" s="2" t="s">
        <v>20</v>
      </c>
      <c r="I6516" s="2" t="s">
        <v>13560</v>
      </c>
      <c r="J6516" s="3" t="str">
        <f>HYPERLINK("https://www.boe.es/gazeta/dias/1813/11/25/pdfs/GMR-1813-79.pdf#page=6","Abrir facsímil")</f>
        <v>Abrir facsímil</v>
      </c>
      <c r="K6516" s="3" t="s">
        <v>22</v>
      </c>
    </row>
    <row r="6517" spans="1:11" ht="42" customHeight="1">
      <c r="A6517" s="2" t="s">
        <v>13561</v>
      </c>
      <c r="B6517" s="2" t="s">
        <v>13561</v>
      </c>
      <c r="C6517" s="2" t="s">
        <v>16</v>
      </c>
      <c r="D6517" s="2" t="s">
        <v>17</v>
      </c>
      <c r="E6517" s="5">
        <v>-31740</v>
      </c>
      <c r="F6517" s="3" t="s">
        <v>5259</v>
      </c>
      <c r="G6517" s="3" t="s">
        <v>58</v>
      </c>
      <c r="H6517" s="2" t="s">
        <v>20</v>
      </c>
      <c r="I6517" s="2" t="s">
        <v>13562</v>
      </c>
      <c r="J6517" s="3" t="str">
        <f>HYPERLINK("https://www.boe.es/gazeta/dias/1813/02/04/pdfs/GMD-1813-35.pdf#page=2","Abrir facsímil")</f>
        <v>Abrir facsímil</v>
      </c>
      <c r="K6517" s="3" t="s">
        <v>22</v>
      </c>
    </row>
    <row r="6518" spans="1:11" ht="42" customHeight="1">
      <c r="A6518" s="2" t="s">
        <v>13563</v>
      </c>
      <c r="B6518" s="2" t="s">
        <v>13563</v>
      </c>
      <c r="C6518" s="2" t="s">
        <v>16</v>
      </c>
      <c r="D6518" s="2" t="s">
        <v>17</v>
      </c>
      <c r="E6518" s="5">
        <v>-31653</v>
      </c>
      <c r="F6518" s="3" t="s">
        <v>3121</v>
      </c>
      <c r="G6518" s="3" t="s">
        <v>65</v>
      </c>
      <c r="H6518" s="2" t="s">
        <v>20</v>
      </c>
      <c r="I6518" s="2" t="s">
        <v>13564</v>
      </c>
      <c r="J6518" s="3" t="str">
        <f>HYPERLINK("https://www.boe.es/gazeta/dias/1813/05/02/pdfs/GMD-1813-122.pdf#page=1","Abrir facsímil")</f>
        <v>Abrir facsímil</v>
      </c>
      <c r="K6518" s="3" t="s">
        <v>22</v>
      </c>
    </row>
    <row r="6519" spans="1:11" ht="42" customHeight="1">
      <c r="A6519" s="2" t="s">
        <v>13565</v>
      </c>
      <c r="B6519" s="2" t="s">
        <v>13565</v>
      </c>
      <c r="C6519" s="2" t="s">
        <v>16</v>
      </c>
      <c r="D6519" s="2" t="s">
        <v>17</v>
      </c>
      <c r="E6519" s="5">
        <v>-31726</v>
      </c>
      <c r="F6519" s="3" t="s">
        <v>493</v>
      </c>
      <c r="G6519" s="3" t="s">
        <v>19</v>
      </c>
      <c r="H6519" s="2" t="s">
        <v>20</v>
      </c>
      <c r="I6519" s="2" t="s">
        <v>13566</v>
      </c>
      <c r="J6519" s="3" t="str">
        <f>HYPERLINK("https://www.boe.es/gazeta/dias/1813/02/18/pdfs/GMD-1813-49.pdf#page=4","Abrir facsímil")</f>
        <v>Abrir facsímil</v>
      </c>
      <c r="K6519" s="3" t="s">
        <v>22</v>
      </c>
    </row>
    <row r="6520" spans="1:11" ht="42" customHeight="1">
      <c r="A6520" s="2" t="s">
        <v>13567</v>
      </c>
      <c r="B6520" s="2" t="s">
        <v>13567</v>
      </c>
      <c r="C6520" s="2" t="s">
        <v>16</v>
      </c>
      <c r="D6520" s="2" t="s">
        <v>17</v>
      </c>
      <c r="E6520" s="5">
        <v>-31516</v>
      </c>
      <c r="F6520" s="3" t="s">
        <v>246</v>
      </c>
      <c r="G6520" s="3" t="s">
        <v>95</v>
      </c>
      <c r="H6520" s="2" t="s">
        <v>20</v>
      </c>
      <c r="I6520" s="2" t="s">
        <v>13568</v>
      </c>
      <c r="J6520" s="3" t="str">
        <f>HYPERLINK("https://www.boe.es/gazeta/dias/1813/09/16/pdfs/GMR-1813-43.pdf#page=6","Abrir facsímil")</f>
        <v>Abrir facsímil</v>
      </c>
      <c r="K6520" s="3" t="s">
        <v>22</v>
      </c>
    </row>
    <row r="6521" spans="1:11" ht="42" customHeight="1">
      <c r="A6521" s="2" t="s">
        <v>13569</v>
      </c>
      <c r="B6521" s="2" t="s">
        <v>13570</v>
      </c>
      <c r="C6521" s="2" t="s">
        <v>16</v>
      </c>
      <c r="D6521" s="2" t="s">
        <v>17</v>
      </c>
      <c r="E6521" s="5">
        <v>-31469</v>
      </c>
      <c r="F6521" s="3" t="s">
        <v>1311</v>
      </c>
      <c r="G6521" s="3" t="s">
        <v>13571</v>
      </c>
      <c r="H6521" s="2" t="s">
        <v>20</v>
      </c>
      <c r="I6521" s="2" t="s">
        <v>13572</v>
      </c>
      <c r="J6521" s="3" t="str">
        <f>HYPERLINK("https://www.boe.es/gazeta/dias/1813/11/02/pdfs/GMR-1813-67.pdf#page=6","Abrir facsímil")</f>
        <v>Abrir facsímil</v>
      </c>
      <c r="K6521" s="3" t="s">
        <v>22</v>
      </c>
    </row>
    <row r="6522" spans="1:11" ht="42" customHeight="1">
      <c r="A6522" s="2" t="s">
        <v>13573</v>
      </c>
      <c r="B6522" s="2" t="s">
        <v>13574</v>
      </c>
      <c r="C6522" s="2" t="s">
        <v>16</v>
      </c>
      <c r="D6522" s="2" t="s">
        <v>17</v>
      </c>
      <c r="E6522" s="5">
        <v>-31663</v>
      </c>
      <c r="F6522" s="3" t="s">
        <v>871</v>
      </c>
      <c r="G6522" s="3" t="s">
        <v>19</v>
      </c>
      <c r="H6522" s="2" t="s">
        <v>20</v>
      </c>
      <c r="I6522" s="2" t="s">
        <v>13575</v>
      </c>
      <c r="J6522" s="3" t="str">
        <f>HYPERLINK("https://www.boe.es/gazeta/dias/1813/04/22/pdfs/GMD-1813-112.pdf#page=4","Abrir facsímil")</f>
        <v>Abrir facsímil</v>
      </c>
      <c r="K6522" s="3" t="s">
        <v>22</v>
      </c>
    </row>
    <row r="6523" spans="1:11" ht="42" customHeight="1">
      <c r="A6523" s="2" t="s">
        <v>13576</v>
      </c>
      <c r="B6523" s="2" t="s">
        <v>13577</v>
      </c>
      <c r="C6523" s="2" t="s">
        <v>435</v>
      </c>
      <c r="D6523" s="2" t="s">
        <v>26</v>
      </c>
      <c r="E6523" s="5">
        <v>-31479</v>
      </c>
      <c r="F6523" s="3" t="s">
        <v>322</v>
      </c>
      <c r="G6523" s="3" t="s">
        <v>1307</v>
      </c>
      <c r="H6523" s="2" t="s">
        <v>20</v>
      </c>
      <c r="I6523" s="2" t="s">
        <v>13578</v>
      </c>
      <c r="J6523" s="3" t="str">
        <f>HYPERLINK("https://www.boe.es/gazeta/dias/1813/10/23/pdfs/GMR-1813-63.pdf#page=12","Abrir facsímil")</f>
        <v>Abrir facsímil</v>
      </c>
      <c r="K6523" s="3" t="s">
        <v>22</v>
      </c>
    </row>
    <row r="6524" spans="1:11" ht="42" customHeight="1">
      <c r="A6524" s="2" t="s">
        <v>13579</v>
      </c>
      <c r="B6524" s="2" t="s">
        <v>13579</v>
      </c>
      <c r="C6524" s="2" t="s">
        <v>16</v>
      </c>
      <c r="D6524" s="2" t="s">
        <v>17</v>
      </c>
      <c r="E6524" s="5">
        <v>-31654</v>
      </c>
      <c r="F6524" s="3" t="s">
        <v>1519</v>
      </c>
      <c r="G6524" s="3" t="s">
        <v>1638</v>
      </c>
      <c r="H6524" s="2" t="s">
        <v>20</v>
      </c>
      <c r="I6524" s="2" t="s">
        <v>13580</v>
      </c>
      <c r="J6524" s="3" t="str">
        <f>HYPERLINK("https://www.boe.es/gazeta/dias/1813/05/01/pdfs/GRE-1813-54.pdf#page=6","Abrir facsímil")</f>
        <v>Abrir facsímil</v>
      </c>
      <c r="K6524" s="3" t="s">
        <v>22</v>
      </c>
    </row>
    <row r="6525" spans="1:11" ht="42" customHeight="1">
      <c r="A6525" s="2" t="s">
        <v>13581</v>
      </c>
      <c r="B6525" s="2" t="s">
        <v>13581</v>
      </c>
      <c r="C6525" s="2" t="s">
        <v>16</v>
      </c>
      <c r="D6525" s="2" t="s">
        <v>17</v>
      </c>
      <c r="E6525" s="5">
        <v>-31646</v>
      </c>
      <c r="F6525" s="3" t="s">
        <v>1523</v>
      </c>
      <c r="G6525" s="3" t="s">
        <v>19</v>
      </c>
      <c r="H6525" s="2" t="s">
        <v>20</v>
      </c>
      <c r="I6525" s="2" t="s">
        <v>13582</v>
      </c>
      <c r="J6525" s="3" t="str">
        <f>HYPERLINK("https://www.boe.es/gazeta/dias/1813/05/09/pdfs/GMD-1813-129.pdf#page=4","Abrir facsímil")</f>
        <v>Abrir facsímil</v>
      </c>
      <c r="K6525" s="3" t="s">
        <v>22</v>
      </c>
    </row>
    <row r="6526" spans="1:11" ht="42" customHeight="1">
      <c r="A6526" s="2" t="s">
        <v>13583</v>
      </c>
      <c r="B6526" s="2" t="s">
        <v>13584</v>
      </c>
      <c r="C6526" s="2" t="s">
        <v>16</v>
      </c>
      <c r="D6526" s="2" t="s">
        <v>17</v>
      </c>
      <c r="E6526" s="5">
        <v>-31574</v>
      </c>
      <c r="F6526" s="3" t="s">
        <v>1343</v>
      </c>
      <c r="G6526" s="3" t="s">
        <v>1344</v>
      </c>
      <c r="H6526" s="2" t="s">
        <v>20</v>
      </c>
      <c r="I6526" s="2" t="s">
        <v>13585</v>
      </c>
      <c r="J6526" s="3" t="str">
        <f>HYPERLINK("https://www.boe.es/gazeta/dias/1813/07/20/pdfs/GMR-1813-19.pdf#page=12","Abrir facsímil")</f>
        <v>Abrir facsímil</v>
      </c>
      <c r="K6526" s="3" t="s">
        <v>22</v>
      </c>
    </row>
    <row r="6527" spans="1:11" ht="42" customHeight="1">
      <c r="A6527" s="2" t="s">
        <v>13583</v>
      </c>
      <c r="B6527" s="2" t="s">
        <v>13584</v>
      </c>
      <c r="C6527" s="2" t="s">
        <v>16</v>
      </c>
      <c r="D6527" s="2" t="s">
        <v>17</v>
      </c>
      <c r="E6527" s="5">
        <v>-31574</v>
      </c>
      <c r="F6527" s="3" t="s">
        <v>1343</v>
      </c>
      <c r="G6527" s="3" t="s">
        <v>178</v>
      </c>
      <c r="H6527" s="2" t="s">
        <v>20</v>
      </c>
      <c r="I6527" s="2" t="s">
        <v>13586</v>
      </c>
      <c r="J6527" s="3" t="str">
        <f>HYPERLINK("https://www.boe.es/gazeta/dias/1813/07/20/pdfs/GMR-1813-19.pdf#page=11","Abrir facsímil")</f>
        <v>Abrir facsímil</v>
      </c>
      <c r="K6527" s="3" t="s">
        <v>22</v>
      </c>
    </row>
    <row r="6528" spans="1:11" ht="42" customHeight="1">
      <c r="A6528" s="2" t="s">
        <v>13587</v>
      </c>
      <c r="B6528" s="2" t="s">
        <v>13587</v>
      </c>
      <c r="C6528" s="2" t="s">
        <v>34</v>
      </c>
      <c r="D6528" s="2" t="s">
        <v>35</v>
      </c>
      <c r="E6528" s="5">
        <v>-31715</v>
      </c>
      <c r="F6528" s="3" t="s">
        <v>3358</v>
      </c>
      <c r="G6528" s="3" t="s">
        <v>58</v>
      </c>
      <c r="H6528" s="2" t="s">
        <v>20</v>
      </c>
      <c r="I6528" s="2" t="s">
        <v>13588</v>
      </c>
      <c r="J6528" s="3" t="str">
        <f>HYPERLINK("https://www.boe.es/gazeta/dias/1813/03/01/pdfs/GMD-1813-60.pdf#page=2","Abrir facsímil")</f>
        <v>Abrir facsímil</v>
      </c>
      <c r="K6528" s="3" t="s">
        <v>22</v>
      </c>
    </row>
    <row r="6529" spans="1:11" ht="42" customHeight="1">
      <c r="A6529" s="2" t="s">
        <v>13589</v>
      </c>
      <c r="B6529" s="2" t="s">
        <v>13590</v>
      </c>
      <c r="C6529" s="2" t="s">
        <v>16</v>
      </c>
      <c r="D6529" s="2" t="s">
        <v>17</v>
      </c>
      <c r="E6529" s="5">
        <v>-31725</v>
      </c>
      <c r="F6529" s="3" t="s">
        <v>3928</v>
      </c>
      <c r="G6529" s="3" t="s">
        <v>65</v>
      </c>
      <c r="H6529" s="2" t="s">
        <v>20</v>
      </c>
      <c r="I6529" s="2" t="s">
        <v>13591</v>
      </c>
      <c r="J6529" s="3" t="str">
        <f>HYPERLINK("https://www.boe.es/gazeta/dias/1813/02/19/pdfs/GMD-1813-50.pdf#page=1","Abrir facsímil")</f>
        <v>Abrir facsímil</v>
      </c>
      <c r="K6529" s="3" t="s">
        <v>22</v>
      </c>
    </row>
    <row r="6530" spans="1:11" ht="42" customHeight="1">
      <c r="A6530" s="2" t="s">
        <v>13592</v>
      </c>
      <c r="B6530" s="2" t="s">
        <v>13592</v>
      </c>
      <c r="C6530" s="2" t="s">
        <v>16</v>
      </c>
      <c r="D6530" s="2" t="s">
        <v>17</v>
      </c>
      <c r="E6530" s="5">
        <v>-31705</v>
      </c>
      <c r="F6530" s="3" t="s">
        <v>243</v>
      </c>
      <c r="G6530" s="3" t="s">
        <v>58</v>
      </c>
      <c r="H6530" s="2" t="s">
        <v>20</v>
      </c>
      <c r="I6530" s="2" t="s">
        <v>13593</v>
      </c>
      <c r="J6530" s="3" t="str">
        <f>HYPERLINK("https://www.boe.es/gazeta/dias/1813/03/11/pdfs/GRE-1813-31.pdf#page=2","Abrir facsímil")</f>
        <v>Abrir facsímil</v>
      </c>
      <c r="K6530" s="3" t="s">
        <v>22</v>
      </c>
    </row>
    <row r="6531" spans="1:11" ht="42" customHeight="1">
      <c r="A6531" s="2" t="s">
        <v>13594</v>
      </c>
      <c r="B6531" s="2" t="s">
        <v>13595</v>
      </c>
      <c r="C6531" s="2" t="s">
        <v>16</v>
      </c>
      <c r="D6531" s="2" t="s">
        <v>97</v>
      </c>
      <c r="E6531" s="5">
        <v>-31479</v>
      </c>
      <c r="F6531" s="3" t="s">
        <v>290</v>
      </c>
      <c r="G6531" s="3" t="s">
        <v>313</v>
      </c>
      <c r="H6531" s="2" t="s">
        <v>20</v>
      </c>
      <c r="I6531" s="2" t="s">
        <v>13596</v>
      </c>
      <c r="J6531" s="3" t="str">
        <f>HYPERLINK("https://www.boe.es/gazeta/dias/1813/10/23/pdfs/GRE-1813-139E.pdf#page=9","Abrir facsímil")</f>
        <v>Abrir facsímil</v>
      </c>
      <c r="K6531" s="3" t="s">
        <v>22</v>
      </c>
    </row>
    <row r="6532" spans="1:11" ht="42" customHeight="1">
      <c r="A6532" s="2" t="s">
        <v>13597</v>
      </c>
      <c r="B6532" s="2" t="s">
        <v>13598</v>
      </c>
      <c r="C6532" s="2" t="s">
        <v>34</v>
      </c>
      <c r="D6532" s="2" t="s">
        <v>35</v>
      </c>
      <c r="E6532" s="5">
        <v>-31530</v>
      </c>
      <c r="F6532" s="3" t="s">
        <v>133</v>
      </c>
      <c r="G6532" s="3" t="s">
        <v>82</v>
      </c>
      <c r="H6532" s="2" t="s">
        <v>20</v>
      </c>
      <c r="I6532" s="2" t="s">
        <v>13599</v>
      </c>
      <c r="J6532" s="3" t="str">
        <f>HYPERLINK("https://www.boe.es/gazeta/dias/1813/09/02/pdfs/GMR-1813-36.pdf#page=5","Abrir facsímil")</f>
        <v>Abrir facsímil</v>
      </c>
      <c r="K6532" s="3" t="s">
        <v>22</v>
      </c>
    </row>
    <row r="6533" spans="1:11" ht="42" customHeight="1">
      <c r="A6533" s="2" t="s">
        <v>13600</v>
      </c>
      <c r="B6533" s="2" t="s">
        <v>13600</v>
      </c>
      <c r="C6533" s="2" t="s">
        <v>16</v>
      </c>
      <c r="D6533" s="2" t="s">
        <v>17</v>
      </c>
      <c r="E6533" s="5">
        <v>-31481</v>
      </c>
      <c r="F6533" s="3" t="s">
        <v>40</v>
      </c>
      <c r="G6533" s="3" t="s">
        <v>1894</v>
      </c>
      <c r="H6533" s="2" t="s">
        <v>20</v>
      </c>
      <c r="I6533" s="2" t="s">
        <v>13601</v>
      </c>
      <c r="J6533" s="3" t="str">
        <f>HYPERLINK("https://www.boe.es/gazeta/dias/1813/10/21/pdfs/GMR-1813-62.pdf#page=4","Abrir facsímil")</f>
        <v>Abrir facsímil</v>
      </c>
      <c r="K6533" s="3" t="s">
        <v>22</v>
      </c>
    </row>
    <row r="6534" spans="1:11" ht="42" customHeight="1">
      <c r="A6534" s="2" t="s">
        <v>13600</v>
      </c>
      <c r="B6534" s="2" t="s">
        <v>13600</v>
      </c>
      <c r="C6534" s="2" t="s">
        <v>16</v>
      </c>
      <c r="D6534" s="2" t="s">
        <v>17</v>
      </c>
      <c r="E6534" s="5">
        <v>-31474</v>
      </c>
      <c r="F6534" s="3" t="s">
        <v>130</v>
      </c>
      <c r="G6534" s="3" t="s">
        <v>87</v>
      </c>
      <c r="H6534" s="2" t="s">
        <v>20</v>
      </c>
      <c r="I6534" s="2" t="s">
        <v>13602</v>
      </c>
      <c r="J6534" s="3" t="str">
        <f>HYPERLINK("https://www.boe.es/gazeta/dias/1813/10/28/pdfs/GRE-1813-141.pdf#page=7","Abrir facsímil")</f>
        <v>Abrir facsímil</v>
      </c>
      <c r="K6534" s="3" t="s">
        <v>22</v>
      </c>
    </row>
    <row r="6535" spans="1:11" ht="42" customHeight="1">
      <c r="A6535" s="2" t="s">
        <v>13603</v>
      </c>
      <c r="B6535" s="2" t="s">
        <v>13603</v>
      </c>
      <c r="C6535" s="2" t="s">
        <v>25</v>
      </c>
      <c r="D6535" s="2" t="s">
        <v>26</v>
      </c>
      <c r="E6535" s="5">
        <v>-31738</v>
      </c>
      <c r="F6535" s="3" t="s">
        <v>2045</v>
      </c>
      <c r="G6535" s="3" t="s">
        <v>58</v>
      </c>
      <c r="H6535" s="2" t="s">
        <v>20</v>
      </c>
      <c r="I6535" s="2" t="s">
        <v>13604</v>
      </c>
      <c r="J6535" s="3" t="str">
        <f>HYPERLINK("https://www.boe.es/gazeta/dias/1813/02/06/pdfs/GMD-1813-37.pdf#page=2","Abrir facsímil")</f>
        <v>Abrir facsímil</v>
      </c>
      <c r="K6535" s="3" t="s">
        <v>22</v>
      </c>
    </row>
    <row r="6536" spans="1:11" ht="42" customHeight="1">
      <c r="A6536" s="2" t="s">
        <v>13605</v>
      </c>
      <c r="B6536" s="2" t="s">
        <v>13605</v>
      </c>
      <c r="C6536" s="2" t="s">
        <v>16</v>
      </c>
      <c r="D6536" s="2" t="s">
        <v>17</v>
      </c>
      <c r="E6536" s="5">
        <v>-31641</v>
      </c>
      <c r="F6536" s="3" t="s">
        <v>6522</v>
      </c>
      <c r="G6536" s="3" t="s">
        <v>19</v>
      </c>
      <c r="H6536" s="2" t="s">
        <v>20</v>
      </c>
      <c r="I6536" s="2" t="s">
        <v>13606</v>
      </c>
      <c r="J6536" s="3" t="str">
        <f>HYPERLINK("https://www.boe.es/gazeta/dias/1813/05/14/pdfs/GMD-1813-134.pdf#page=4","Abrir facsímil")</f>
        <v>Abrir facsímil</v>
      </c>
      <c r="K6536" s="3" t="s">
        <v>22</v>
      </c>
    </row>
    <row r="6537" spans="1:11" ht="42" customHeight="1">
      <c r="A6537" s="2" t="s">
        <v>13607</v>
      </c>
      <c r="B6537" s="2" t="s">
        <v>13608</v>
      </c>
      <c r="C6537" s="2" t="s">
        <v>16</v>
      </c>
      <c r="D6537" s="2" t="s">
        <v>17</v>
      </c>
      <c r="E6537" s="5">
        <v>-31691</v>
      </c>
      <c r="F6537" s="3" t="s">
        <v>1542</v>
      </c>
      <c r="G6537" s="3" t="s">
        <v>82</v>
      </c>
      <c r="H6537" s="2" t="s">
        <v>29</v>
      </c>
      <c r="I6537" s="2" t="s">
        <v>13609</v>
      </c>
      <c r="J6537" s="3" t="str">
        <f>HYPERLINK("https://www.boe.es/gazeta/dias/1813/03/25/pdfs/GRE-1813-37.pdf#page=5","Abrir facsímil")</f>
        <v>Abrir facsímil</v>
      </c>
      <c r="K6537" s="3" t="s">
        <v>31</v>
      </c>
    </row>
    <row r="6538" spans="1:11" ht="42" customHeight="1">
      <c r="A6538" s="2" t="s">
        <v>13610</v>
      </c>
      <c r="B6538" s="2" t="s">
        <v>13611</v>
      </c>
      <c r="C6538" s="2" t="s">
        <v>16</v>
      </c>
      <c r="D6538" s="2" t="s">
        <v>17</v>
      </c>
      <c r="E6538" s="5">
        <v>-31743</v>
      </c>
      <c r="F6538" s="3" t="s">
        <v>2711</v>
      </c>
      <c r="G6538" s="3" t="s">
        <v>58</v>
      </c>
      <c r="H6538" s="2" t="s">
        <v>20</v>
      </c>
      <c r="I6538" s="2" t="s">
        <v>13612</v>
      </c>
      <c r="J6538" s="3" t="str">
        <f>HYPERLINK("https://www.boe.es/gazeta/dias/1813/02/01/pdfs/GMD-1813-32.pdf#page=2","Abrir facsímil")</f>
        <v>Abrir facsímil</v>
      </c>
      <c r="K6538" s="3" t="s">
        <v>22</v>
      </c>
    </row>
    <row r="6539" spans="1:11" ht="42" customHeight="1">
      <c r="A6539" s="2" t="s">
        <v>13613</v>
      </c>
      <c r="B6539" s="2" t="s">
        <v>13614</v>
      </c>
      <c r="C6539" s="2" t="s">
        <v>16</v>
      </c>
      <c r="D6539" s="2" t="s">
        <v>17</v>
      </c>
      <c r="E6539" s="5">
        <v>-31743</v>
      </c>
      <c r="F6539" s="3" t="s">
        <v>2711</v>
      </c>
      <c r="G6539" s="3" t="s">
        <v>65</v>
      </c>
      <c r="H6539" s="2" t="s">
        <v>20</v>
      </c>
      <c r="I6539" s="2" t="s">
        <v>13615</v>
      </c>
      <c r="J6539" s="3" t="str">
        <f>HYPERLINK("https://www.boe.es/gazeta/dias/1813/02/01/pdfs/GMD-1813-32.pdf#page=1","Abrir facsímil")</f>
        <v>Abrir facsímil</v>
      </c>
      <c r="K6539" s="3" t="s">
        <v>22</v>
      </c>
    </row>
    <row r="6540" spans="1:11" ht="42" customHeight="1">
      <c r="A6540" s="2" t="s">
        <v>13616</v>
      </c>
      <c r="B6540" s="2" t="s">
        <v>13617</v>
      </c>
      <c r="C6540" s="2" t="s">
        <v>16</v>
      </c>
      <c r="D6540" s="2" t="s">
        <v>17</v>
      </c>
      <c r="E6540" s="5">
        <v>-31675</v>
      </c>
      <c r="F6540" s="3" t="s">
        <v>2552</v>
      </c>
      <c r="G6540" s="3" t="s">
        <v>65</v>
      </c>
      <c r="H6540" s="2" t="s">
        <v>20</v>
      </c>
      <c r="I6540" s="2" t="s">
        <v>13618</v>
      </c>
      <c r="J6540" s="3" t="str">
        <f>HYPERLINK("https://www.boe.es/gazeta/dias/1813/04/10/pdfs/GMD-1813-100.pdf#page=1","Abrir facsímil")</f>
        <v>Abrir facsímil</v>
      </c>
      <c r="K6540" s="3" t="s">
        <v>22</v>
      </c>
    </row>
    <row r="6541" spans="1:11" ht="42" customHeight="1">
      <c r="A6541" s="2" t="s">
        <v>13619</v>
      </c>
      <c r="B6541" s="2" t="s">
        <v>13619</v>
      </c>
      <c r="C6541" s="2" t="s">
        <v>25</v>
      </c>
      <c r="D6541" s="2" t="s">
        <v>26</v>
      </c>
      <c r="E6541" s="5">
        <v>-31698</v>
      </c>
      <c r="F6541" s="3" t="s">
        <v>470</v>
      </c>
      <c r="G6541" s="3" t="s">
        <v>54</v>
      </c>
      <c r="H6541" s="2" t="s">
        <v>20</v>
      </c>
      <c r="I6541" s="2" t="s">
        <v>13620</v>
      </c>
      <c r="J6541" s="3" t="str">
        <f>HYPERLINK("https://www.boe.es/gazeta/dias/1813/03/18/pdfs/GRE-1813-34.pdf#page=3","Abrir facsímil")</f>
        <v>Abrir facsímil</v>
      </c>
      <c r="K6541" s="3" t="s">
        <v>22</v>
      </c>
    </row>
    <row r="6542" spans="1:11" ht="42" customHeight="1">
      <c r="A6542" s="2" t="s">
        <v>13619</v>
      </c>
      <c r="B6542" s="2" t="s">
        <v>13619</v>
      </c>
      <c r="C6542" s="2" t="s">
        <v>16</v>
      </c>
      <c r="D6542" s="2" t="s">
        <v>17</v>
      </c>
      <c r="E6542" s="5">
        <v>-31679</v>
      </c>
      <c r="F6542" s="3" t="s">
        <v>571</v>
      </c>
      <c r="G6542" s="3" t="s">
        <v>95</v>
      </c>
      <c r="H6542" s="2" t="s">
        <v>20</v>
      </c>
      <c r="I6542" s="2" t="s">
        <v>13621</v>
      </c>
      <c r="J6542" s="3" t="str">
        <f>HYPERLINK("https://www.boe.es/gazeta/dias/1813/04/06/pdfs/GRE-1813-42.pdf#page=6","Abrir facsímil")</f>
        <v>Abrir facsímil</v>
      </c>
      <c r="K6542" s="3" t="s">
        <v>22</v>
      </c>
    </row>
    <row r="6543" spans="1:11" ht="42" customHeight="1">
      <c r="A6543" s="2" t="s">
        <v>13622</v>
      </c>
      <c r="B6543" s="2" t="s">
        <v>13623</v>
      </c>
      <c r="C6543" s="2" t="s">
        <v>25</v>
      </c>
      <c r="D6543" s="2" t="s">
        <v>26</v>
      </c>
      <c r="E6543" s="5">
        <v>-31544</v>
      </c>
      <c r="F6543" s="3" t="s">
        <v>44</v>
      </c>
      <c r="G6543" s="3" t="s">
        <v>49</v>
      </c>
      <c r="H6543" s="2" t="s">
        <v>29</v>
      </c>
      <c r="I6543" s="2" t="s">
        <v>13624</v>
      </c>
      <c r="J6543" s="3" t="str">
        <f>HYPERLINK("https://www.boe.es/gazeta/dias/1813/08/19/pdfs/GMR-1813-30.pdf#page=5","Abrir facsímil")</f>
        <v>Abrir facsímil</v>
      </c>
      <c r="K6543" s="3" t="s">
        <v>31</v>
      </c>
    </row>
    <row r="6544" spans="1:11" ht="42" customHeight="1">
      <c r="A6544" s="2" t="s">
        <v>13625</v>
      </c>
      <c r="B6544" s="2" t="s">
        <v>13626</v>
      </c>
      <c r="C6544" s="2" t="s">
        <v>34</v>
      </c>
      <c r="D6544" s="2" t="s">
        <v>35</v>
      </c>
      <c r="E6544" s="5">
        <v>-31709</v>
      </c>
      <c r="F6544" s="3" t="s">
        <v>36</v>
      </c>
      <c r="G6544" s="3" t="s">
        <v>19</v>
      </c>
      <c r="H6544" s="2" t="s">
        <v>20</v>
      </c>
      <c r="I6544" s="2" t="s">
        <v>13627</v>
      </c>
      <c r="J6544" s="3" t="str">
        <f>HYPERLINK("https://www.boe.es/gazeta/dias/1813/03/07/pdfs/GMD-1813-66.pdf#page=4","Abrir facsímil")</f>
        <v>Abrir facsímil</v>
      </c>
      <c r="K6544" s="3" t="s">
        <v>22</v>
      </c>
    </row>
    <row r="6545" spans="1:11" ht="42" customHeight="1">
      <c r="A6545" s="2" t="s">
        <v>13628</v>
      </c>
      <c r="B6545" s="2" t="s">
        <v>13628</v>
      </c>
      <c r="C6545" s="2" t="s">
        <v>16</v>
      </c>
      <c r="D6545" s="2" t="s">
        <v>17</v>
      </c>
      <c r="E6545" s="5">
        <v>-31413</v>
      </c>
      <c r="F6545" s="3" t="s">
        <v>149</v>
      </c>
      <c r="G6545" s="3" t="s">
        <v>95</v>
      </c>
      <c r="H6545" s="2" t="s">
        <v>20</v>
      </c>
      <c r="I6545" s="2" t="s">
        <v>13629</v>
      </c>
      <c r="J6545" s="3" t="str">
        <f>HYPERLINK("https://www.boe.es/gazeta/dias/1813/12/28/pdfs/GMR-1813-93.pdf#page=6","Abrir facsímil")</f>
        <v>Abrir facsímil</v>
      </c>
      <c r="K6545" s="3" t="s">
        <v>22</v>
      </c>
    </row>
    <row r="6546" spans="1:11" ht="42" customHeight="1">
      <c r="A6546" s="2" t="s">
        <v>13630</v>
      </c>
      <c r="B6546" s="2" t="s">
        <v>13630</v>
      </c>
      <c r="C6546" s="2" t="s">
        <v>16</v>
      </c>
      <c r="D6546" s="2" t="s">
        <v>17</v>
      </c>
      <c r="E6546" s="5">
        <v>-31497</v>
      </c>
      <c r="F6546" s="3" t="s">
        <v>223</v>
      </c>
      <c r="G6546" s="3" t="s">
        <v>58</v>
      </c>
      <c r="H6546" s="2" t="s">
        <v>20</v>
      </c>
      <c r="I6546" s="2" t="s">
        <v>13631</v>
      </c>
      <c r="J6546" s="3" t="str">
        <f>HYPERLINK("https://www.boe.es/gazeta/dias/1813/10/05/pdfs/GRE-1813-130.pdf#page=2","Abrir facsímil")</f>
        <v>Abrir facsímil</v>
      </c>
      <c r="K6546" s="3" t="s">
        <v>22</v>
      </c>
    </row>
    <row r="6547" spans="1:11" ht="42" customHeight="1">
      <c r="A6547" s="2" t="s">
        <v>13632</v>
      </c>
      <c r="B6547" s="2" t="s">
        <v>13633</v>
      </c>
      <c r="C6547" s="2" t="s">
        <v>25</v>
      </c>
      <c r="D6547" s="2" t="s">
        <v>26</v>
      </c>
      <c r="E6547" s="5">
        <v>-31773</v>
      </c>
      <c r="F6547" s="3" t="s">
        <v>7854</v>
      </c>
      <c r="G6547" s="3" t="s">
        <v>19</v>
      </c>
      <c r="H6547" s="2" t="s">
        <v>20</v>
      </c>
      <c r="I6547" s="2" t="s">
        <v>13634</v>
      </c>
      <c r="J6547" s="3" t="str">
        <f>HYPERLINK("https://www.boe.es/gazeta/dias/1813/01/02/pdfs/GMD-1813-2.pdf#page=4","Abrir facsímil")</f>
        <v>Abrir facsímil</v>
      </c>
      <c r="K6547" s="3" t="s">
        <v>22</v>
      </c>
    </row>
    <row r="6548" spans="1:11" ht="42" customHeight="1">
      <c r="A6548" s="2" t="s">
        <v>13635</v>
      </c>
      <c r="B6548" s="2" t="s">
        <v>13636</v>
      </c>
      <c r="C6548" s="2" t="s">
        <v>25</v>
      </c>
      <c r="D6548" s="2" t="s">
        <v>26</v>
      </c>
      <c r="E6548" s="5">
        <v>-31745</v>
      </c>
      <c r="F6548" s="3" t="s">
        <v>445</v>
      </c>
      <c r="G6548" s="3" t="s">
        <v>475</v>
      </c>
      <c r="H6548" s="2" t="s">
        <v>20</v>
      </c>
      <c r="I6548" s="2" t="s">
        <v>13637</v>
      </c>
      <c r="J6548" s="3" t="str">
        <f>HYPERLINK("https://www.boe.es/gazeta/dias/1813/01/30/pdfs/GRE-1813-13.pdf#page=7","Abrir facsímil")</f>
        <v>Abrir facsímil</v>
      </c>
      <c r="K6548" s="3" t="s">
        <v>22</v>
      </c>
    </row>
    <row r="6549" spans="1:11" ht="42" customHeight="1">
      <c r="A6549" s="2" t="s">
        <v>13638</v>
      </c>
      <c r="B6549" s="2" t="s">
        <v>13639</v>
      </c>
      <c r="C6549" s="2" t="s">
        <v>16</v>
      </c>
      <c r="D6549" s="2" t="s">
        <v>17</v>
      </c>
      <c r="E6549" s="5">
        <v>-31479</v>
      </c>
      <c r="F6549" s="3" t="s">
        <v>322</v>
      </c>
      <c r="G6549" s="3" t="s">
        <v>1307</v>
      </c>
      <c r="H6549" s="2" t="s">
        <v>20</v>
      </c>
      <c r="I6549" s="2" t="s">
        <v>13640</v>
      </c>
      <c r="J6549" s="3" t="str">
        <f>HYPERLINK("https://www.boe.es/gazeta/dias/1813/10/23/pdfs/GMR-1813-63.pdf#page=12","Abrir facsímil")</f>
        <v>Abrir facsímil</v>
      </c>
      <c r="K6549" s="3" t="s">
        <v>22</v>
      </c>
    </row>
    <row r="6550" spans="1:11" ht="42" customHeight="1">
      <c r="A6550" s="2" t="s">
        <v>13638</v>
      </c>
      <c r="B6550" s="2" t="s">
        <v>13639</v>
      </c>
      <c r="C6550" s="2" t="s">
        <v>34</v>
      </c>
      <c r="D6550" s="2" t="s">
        <v>35</v>
      </c>
      <c r="E6550" s="5">
        <v>-31469</v>
      </c>
      <c r="F6550" s="3" t="s">
        <v>1311</v>
      </c>
      <c r="G6550" s="3" t="s">
        <v>28</v>
      </c>
      <c r="H6550" s="2" t="s">
        <v>20</v>
      </c>
      <c r="I6550" s="2" t="s">
        <v>13641</v>
      </c>
      <c r="J6550" s="3" t="str">
        <f>HYPERLINK("https://www.boe.es/gazeta/dias/1813/11/02/pdfs/GMR-1813-67.pdf#page=8","Abrir facsímil")</f>
        <v>Abrir facsímil</v>
      </c>
      <c r="K6550" s="3" t="s">
        <v>22</v>
      </c>
    </row>
    <row r="6551" spans="1:11" ht="42" customHeight="1">
      <c r="A6551" s="2" t="s">
        <v>13642</v>
      </c>
      <c r="B6551" s="2" t="s">
        <v>13643</v>
      </c>
      <c r="C6551" s="2" t="s">
        <v>16</v>
      </c>
      <c r="D6551" s="2" t="s">
        <v>17</v>
      </c>
      <c r="E6551" s="5">
        <v>-31644</v>
      </c>
      <c r="F6551" s="3" t="s">
        <v>3904</v>
      </c>
      <c r="G6551" s="3" t="s">
        <v>8060</v>
      </c>
      <c r="H6551" s="2" t="s">
        <v>20</v>
      </c>
      <c r="I6551" s="2" t="s">
        <v>13644</v>
      </c>
      <c r="J6551" s="3" t="str">
        <f>HYPERLINK("https://www.boe.es/gazeta/dias/1813/05/11/pdfs/GRE-1813-58.pdf#page=5","Abrir facsímil")</f>
        <v>Abrir facsímil</v>
      </c>
      <c r="K6551" s="3" t="s">
        <v>22</v>
      </c>
    </row>
    <row r="6552" spans="1:11" ht="42" customHeight="1">
      <c r="A6552" s="2" t="s">
        <v>13645</v>
      </c>
      <c r="B6552" s="2" t="s">
        <v>13646</v>
      </c>
      <c r="C6552" s="2" t="s">
        <v>25</v>
      </c>
      <c r="D6552" s="2" t="s">
        <v>26</v>
      </c>
      <c r="E6552" s="5">
        <v>-31532</v>
      </c>
      <c r="F6552" s="3" t="s">
        <v>215</v>
      </c>
      <c r="G6552" s="3" t="s">
        <v>95</v>
      </c>
      <c r="H6552" s="2" t="s">
        <v>20</v>
      </c>
      <c r="I6552" s="2" t="s">
        <v>13647</v>
      </c>
      <c r="J6552" s="3" t="str">
        <f>HYPERLINK("https://www.boe.es/gazeta/dias/1813/08/31/pdfs/GRE-1813-111.pdf#page=6","Abrir facsímil")</f>
        <v>Abrir facsímil</v>
      </c>
      <c r="K6552" s="3" t="s">
        <v>22</v>
      </c>
    </row>
    <row r="6553" spans="1:11" ht="42" customHeight="1">
      <c r="A6553" s="2" t="s">
        <v>13648</v>
      </c>
      <c r="B6553" s="2" t="s">
        <v>13648</v>
      </c>
      <c r="C6553" s="2" t="s">
        <v>16</v>
      </c>
      <c r="D6553" s="2" t="s">
        <v>17</v>
      </c>
      <c r="E6553" s="5">
        <v>-31713</v>
      </c>
      <c r="F6553" s="3" t="s">
        <v>3677</v>
      </c>
      <c r="G6553" s="3" t="s">
        <v>58</v>
      </c>
      <c r="H6553" s="2" t="s">
        <v>20</v>
      </c>
      <c r="I6553" s="2" t="s">
        <v>13649</v>
      </c>
      <c r="J6553" s="3" t="str">
        <f>HYPERLINK("https://www.boe.es/gazeta/dias/1813/03/03/pdfs/GMD-1813-62.pdf#page=2","Abrir facsímil")</f>
        <v>Abrir facsímil</v>
      </c>
      <c r="K6553" s="3" t="s">
        <v>22</v>
      </c>
    </row>
    <row r="6554" spans="1:11" ht="42" customHeight="1">
      <c r="A6554" s="2" t="s">
        <v>13650</v>
      </c>
      <c r="B6554" s="2" t="s">
        <v>13650</v>
      </c>
      <c r="C6554" s="2" t="s">
        <v>16</v>
      </c>
      <c r="D6554" s="2" t="s">
        <v>17</v>
      </c>
      <c r="E6554" s="5">
        <v>-31434</v>
      </c>
      <c r="F6554" s="3" t="s">
        <v>948</v>
      </c>
      <c r="G6554" s="3" t="s">
        <v>58</v>
      </c>
      <c r="H6554" s="2" t="s">
        <v>20</v>
      </c>
      <c r="I6554" s="2" t="s">
        <v>13651</v>
      </c>
      <c r="J6554" s="3" t="str">
        <f>HYPERLINK("https://www.boe.es/gazeta/dias/1813/12/07/pdfs/GMR-1813-84.pdf#page=2","Abrir facsímil")</f>
        <v>Abrir facsímil</v>
      </c>
      <c r="K6554" s="3" t="s">
        <v>22</v>
      </c>
    </row>
    <row r="6555" spans="1:11" ht="42" customHeight="1">
      <c r="A6555" s="2" t="s">
        <v>13652</v>
      </c>
      <c r="B6555" s="2" t="s">
        <v>13652</v>
      </c>
      <c r="C6555" s="2" t="s">
        <v>16</v>
      </c>
      <c r="D6555" s="2" t="s">
        <v>17</v>
      </c>
      <c r="E6555" s="5">
        <v>-31474</v>
      </c>
      <c r="F6555" s="3" t="s">
        <v>130</v>
      </c>
      <c r="G6555" s="3" t="s">
        <v>54</v>
      </c>
      <c r="H6555" s="2" t="s">
        <v>20</v>
      </c>
      <c r="I6555" s="2" t="s">
        <v>13653</v>
      </c>
      <c r="J6555" s="3" t="str">
        <f>HYPERLINK("https://www.boe.es/gazeta/dias/1813/10/28/pdfs/GRE-1813-141.pdf#page=3","Abrir facsímil")</f>
        <v>Abrir facsímil</v>
      </c>
      <c r="K6555" s="3" t="s">
        <v>22</v>
      </c>
    </row>
    <row r="6556" spans="1:11" ht="42" customHeight="1">
      <c r="A6556" s="2" t="s">
        <v>13654</v>
      </c>
      <c r="B6556" s="2" t="s">
        <v>13655</v>
      </c>
      <c r="C6556" s="2" t="s">
        <v>16</v>
      </c>
      <c r="D6556" s="2" t="s">
        <v>17</v>
      </c>
      <c r="E6556" s="5">
        <v>-31497</v>
      </c>
      <c r="F6556" s="3" t="s">
        <v>1457</v>
      </c>
      <c r="G6556" s="3" t="s">
        <v>19</v>
      </c>
      <c r="H6556" s="2" t="s">
        <v>20</v>
      </c>
      <c r="I6556" s="2" t="s">
        <v>13656</v>
      </c>
      <c r="J6556" s="3" t="str">
        <f>HYPERLINK("https://www.boe.es/gazeta/dias/1813/10/05/pdfs/GMR-1813-54.pdf#page=4","Abrir facsímil")</f>
        <v>Abrir facsímil</v>
      </c>
      <c r="K6556" s="3" t="s">
        <v>22</v>
      </c>
    </row>
    <row r="6557" spans="1:11" ht="42" customHeight="1">
      <c r="A6557" s="2" t="s">
        <v>13657</v>
      </c>
      <c r="B6557" s="2" t="s">
        <v>13658</v>
      </c>
      <c r="C6557" s="2" t="s">
        <v>16</v>
      </c>
      <c r="D6557" s="2" t="s">
        <v>17</v>
      </c>
      <c r="E6557" s="5">
        <v>-31582</v>
      </c>
      <c r="F6557" s="3" t="s">
        <v>907</v>
      </c>
      <c r="G6557" s="3" t="s">
        <v>87</v>
      </c>
      <c r="H6557" s="2" t="s">
        <v>20</v>
      </c>
      <c r="I6557" s="2" t="s">
        <v>13659</v>
      </c>
      <c r="J6557" s="3" t="str">
        <f>HYPERLINK("https://www.boe.es/gazeta/dias/1813/07/12/pdfs/GRE-1813-87.pdf#page=7","Abrir facsímil")</f>
        <v>Abrir facsímil</v>
      </c>
      <c r="K6557" s="3" t="s">
        <v>22</v>
      </c>
    </row>
    <row r="6558" spans="1:11" ht="42" customHeight="1">
      <c r="A6558" s="2" t="s">
        <v>13660</v>
      </c>
      <c r="B6558" s="2" t="s">
        <v>13661</v>
      </c>
      <c r="C6558" s="2" t="s">
        <v>34</v>
      </c>
      <c r="D6558" s="2" t="s">
        <v>35</v>
      </c>
      <c r="E6558" s="5">
        <v>-31584</v>
      </c>
      <c r="F6558" s="3" t="s">
        <v>114</v>
      </c>
      <c r="G6558" s="3" t="s">
        <v>28</v>
      </c>
      <c r="H6558" s="2" t="s">
        <v>20</v>
      </c>
      <c r="I6558" s="2" t="s">
        <v>13662</v>
      </c>
      <c r="J6558" s="3" t="str">
        <f>HYPERLINK("https://www.boe.es/gazeta/dias/1813/07/10/pdfs/GRE-1813-86.pdf#page=8","Abrir facsímil")</f>
        <v>Abrir facsímil</v>
      </c>
      <c r="K6558" s="3" t="s">
        <v>22</v>
      </c>
    </row>
    <row r="6559" spans="1:11" ht="42" customHeight="1">
      <c r="A6559" s="2" t="s">
        <v>13663</v>
      </c>
      <c r="B6559" s="2" t="s">
        <v>13664</v>
      </c>
      <c r="C6559" s="2" t="s">
        <v>25</v>
      </c>
      <c r="D6559" s="2" t="s">
        <v>26</v>
      </c>
      <c r="E6559" s="5">
        <v>-31574</v>
      </c>
      <c r="F6559" s="3" t="s">
        <v>1343</v>
      </c>
      <c r="G6559" s="3" t="s">
        <v>82</v>
      </c>
      <c r="H6559" s="2" t="s">
        <v>20</v>
      </c>
      <c r="I6559" s="2" t="s">
        <v>13665</v>
      </c>
      <c r="J6559" s="3" t="str">
        <f>HYPERLINK("https://www.boe.es/gazeta/dias/1813/07/20/pdfs/GMR-1813-19.pdf#page=5","Abrir facsímil")</f>
        <v>Abrir facsímil</v>
      </c>
      <c r="K6559" s="3" t="s">
        <v>22</v>
      </c>
    </row>
    <row r="6560" spans="1:11" ht="42" customHeight="1">
      <c r="A6560" s="2" t="s">
        <v>13666</v>
      </c>
      <c r="B6560" s="2" t="s">
        <v>13667</v>
      </c>
      <c r="C6560" s="2" t="s">
        <v>16</v>
      </c>
      <c r="D6560" s="2" t="s">
        <v>17</v>
      </c>
      <c r="E6560" s="5">
        <v>-31460</v>
      </c>
      <c r="F6560" s="3" t="s">
        <v>1468</v>
      </c>
      <c r="G6560" s="3" t="s">
        <v>87</v>
      </c>
      <c r="H6560" s="2" t="s">
        <v>20</v>
      </c>
      <c r="I6560" s="2" t="s">
        <v>13668</v>
      </c>
      <c r="J6560" s="3" t="str">
        <f>HYPERLINK("https://www.boe.es/gazeta/dias/1813/11/11/pdfs/GRE-1813-147.pdf#page=7","Abrir facsímil")</f>
        <v>Abrir facsímil</v>
      </c>
      <c r="K6560" s="3" t="s">
        <v>22</v>
      </c>
    </row>
    <row r="6561" spans="1:11" ht="42" customHeight="1">
      <c r="A6561" s="2" t="s">
        <v>13669</v>
      </c>
      <c r="B6561" s="2" t="s">
        <v>13670</v>
      </c>
      <c r="C6561" s="2" t="s">
        <v>16</v>
      </c>
      <c r="D6561" s="2" t="s">
        <v>17</v>
      </c>
      <c r="E6561" s="5">
        <v>-31511</v>
      </c>
      <c r="F6561" s="3" t="s">
        <v>2149</v>
      </c>
      <c r="G6561" s="3" t="s">
        <v>95</v>
      </c>
      <c r="H6561" s="2" t="s">
        <v>20</v>
      </c>
      <c r="I6561" s="2" t="s">
        <v>13671</v>
      </c>
      <c r="J6561" s="3" t="str">
        <f>HYPERLINK("https://www.boe.es/gazeta/dias/1813/09/21/pdfs/GRE-1813-122.pdf#page=6","Abrir facsímil")</f>
        <v>Abrir facsímil</v>
      </c>
      <c r="K6561" s="3" t="s">
        <v>22</v>
      </c>
    </row>
    <row r="6562" spans="1:11" ht="42" customHeight="1">
      <c r="A6562" s="2" t="s">
        <v>13669</v>
      </c>
      <c r="B6562" s="2" t="s">
        <v>13670</v>
      </c>
      <c r="C6562" s="2" t="s">
        <v>16</v>
      </c>
      <c r="D6562" s="2" t="s">
        <v>17</v>
      </c>
      <c r="E6562" s="5">
        <v>-31502</v>
      </c>
      <c r="F6562" s="3" t="s">
        <v>257</v>
      </c>
      <c r="G6562" s="3" t="s">
        <v>2029</v>
      </c>
      <c r="H6562" s="2" t="s">
        <v>20</v>
      </c>
      <c r="I6562" s="2" t="s">
        <v>13672</v>
      </c>
      <c r="J6562" s="3" t="str">
        <f>HYPERLINK("https://www.boe.es/gazeta/dias/1813/09/30/pdfs/GMR-1813-51.pdf#page=6","Abrir facsímil")</f>
        <v>Abrir facsímil</v>
      </c>
      <c r="K6562" s="3" t="s">
        <v>22</v>
      </c>
    </row>
    <row r="6563" spans="1:11" ht="42" customHeight="1">
      <c r="A6563" s="2" t="s">
        <v>13673</v>
      </c>
      <c r="B6563" s="2" t="s">
        <v>13673</v>
      </c>
      <c r="C6563" s="2" t="s">
        <v>25</v>
      </c>
      <c r="D6563" s="2" t="s">
        <v>26</v>
      </c>
      <c r="E6563" s="5">
        <v>-31542</v>
      </c>
      <c r="F6563" s="3" t="s">
        <v>337</v>
      </c>
      <c r="G6563" s="3" t="s">
        <v>19</v>
      </c>
      <c r="H6563" s="2" t="s">
        <v>20</v>
      </c>
      <c r="I6563" s="2" t="s">
        <v>13674</v>
      </c>
      <c r="J6563" s="3" t="str">
        <f>HYPERLINK("https://www.boe.es/gazeta/dias/1813/08/21/pdfs/GRE-1813-107.pdf#page=4","Abrir facsímil")</f>
        <v>Abrir facsímil</v>
      </c>
      <c r="K6563" s="3" t="s">
        <v>22</v>
      </c>
    </row>
    <row r="6564" spans="1:11" ht="42" customHeight="1">
      <c r="A6564" s="2" t="s">
        <v>13675</v>
      </c>
      <c r="B6564" s="2" t="s">
        <v>13675</v>
      </c>
      <c r="C6564" s="2" t="s">
        <v>16</v>
      </c>
      <c r="D6564" s="2" t="s">
        <v>17</v>
      </c>
      <c r="E6564" s="5">
        <v>-31682</v>
      </c>
      <c r="F6564" s="3" t="s">
        <v>5159</v>
      </c>
      <c r="G6564" s="3" t="s">
        <v>5160</v>
      </c>
      <c r="H6564" s="2" t="s">
        <v>20</v>
      </c>
      <c r="I6564" s="2" t="s">
        <v>13676</v>
      </c>
      <c r="J6564" s="3" t="str">
        <f>HYPERLINK("https://www.boe.es/gazeta/dias/1813/04/03/pdfs/GRE-1813-41.pdf#page=7","Abrir facsímil")</f>
        <v>Abrir facsímil</v>
      </c>
      <c r="K6564" s="3" t="s">
        <v>22</v>
      </c>
    </row>
    <row r="6565" spans="1:11" ht="42" customHeight="1">
      <c r="A6565" s="2" t="s">
        <v>13677</v>
      </c>
      <c r="B6565" s="2" t="s">
        <v>13677</v>
      </c>
      <c r="C6565" s="2" t="s">
        <v>16</v>
      </c>
      <c r="D6565" s="2" t="s">
        <v>17</v>
      </c>
      <c r="E6565" s="5">
        <v>-31719</v>
      </c>
      <c r="F6565" s="3" t="s">
        <v>251</v>
      </c>
      <c r="G6565" s="3" t="s">
        <v>58</v>
      </c>
      <c r="H6565" s="2" t="s">
        <v>20</v>
      </c>
      <c r="I6565" s="2" t="s">
        <v>13678</v>
      </c>
      <c r="J6565" s="3" t="str">
        <f>HYPERLINK("https://www.boe.es/gazeta/dias/1813/02/25/pdfs/GMD-1813-56.pdf#page=2","Abrir facsímil")</f>
        <v>Abrir facsímil</v>
      </c>
      <c r="K6565" s="3" t="s">
        <v>22</v>
      </c>
    </row>
    <row r="6566" spans="1:11" ht="42" customHeight="1">
      <c r="A6566" s="2" t="s">
        <v>13679</v>
      </c>
      <c r="B6566" s="2" t="s">
        <v>13680</v>
      </c>
      <c r="C6566" s="2" t="s">
        <v>16</v>
      </c>
      <c r="D6566" s="2" t="s">
        <v>17</v>
      </c>
      <c r="E6566" s="5">
        <v>-31582</v>
      </c>
      <c r="F6566" s="3" t="s">
        <v>907</v>
      </c>
      <c r="G6566" s="3" t="s">
        <v>87</v>
      </c>
      <c r="H6566" s="2" t="s">
        <v>20</v>
      </c>
      <c r="I6566" s="2" t="s">
        <v>13681</v>
      </c>
      <c r="J6566" s="3" t="str">
        <f>HYPERLINK("https://www.boe.es/gazeta/dias/1813/07/12/pdfs/GRE-1813-87.pdf#page=7","Abrir facsímil")</f>
        <v>Abrir facsímil</v>
      </c>
      <c r="K6566" s="3" t="s">
        <v>22</v>
      </c>
    </row>
    <row r="6567" spans="1:11" ht="42" customHeight="1">
      <c r="A6567" s="2" t="s">
        <v>13682</v>
      </c>
      <c r="B6567" s="2" t="s">
        <v>13682</v>
      </c>
      <c r="C6567" s="2" t="s">
        <v>16</v>
      </c>
      <c r="D6567" s="2" t="s">
        <v>17</v>
      </c>
      <c r="E6567" s="5">
        <v>-31716</v>
      </c>
      <c r="F6567" s="3" t="s">
        <v>1652</v>
      </c>
      <c r="G6567" s="3" t="s">
        <v>65</v>
      </c>
      <c r="H6567" s="2" t="s">
        <v>20</v>
      </c>
      <c r="I6567" s="2" t="s">
        <v>13683</v>
      </c>
      <c r="J6567" s="3" t="str">
        <f>HYPERLINK("https://www.boe.es/gazeta/dias/1813/02/28/pdfs/GMD-1813-59.pdf#page=1","Abrir facsímil")</f>
        <v>Abrir facsímil</v>
      </c>
      <c r="K6567" s="3" t="s">
        <v>22</v>
      </c>
    </row>
    <row r="6568" spans="1:11" ht="42" customHeight="1">
      <c r="A6568" s="2" t="s">
        <v>13684</v>
      </c>
      <c r="B6568" s="2" t="s">
        <v>13684</v>
      </c>
      <c r="C6568" s="2" t="s">
        <v>16</v>
      </c>
      <c r="D6568" s="2" t="s">
        <v>17</v>
      </c>
      <c r="E6568" s="5">
        <v>-31723</v>
      </c>
      <c r="F6568" s="3" t="s">
        <v>273</v>
      </c>
      <c r="G6568" s="3" t="s">
        <v>65</v>
      </c>
      <c r="H6568" s="2" t="s">
        <v>20</v>
      </c>
      <c r="I6568" s="2" t="s">
        <v>13685</v>
      </c>
      <c r="J6568" s="3" t="str">
        <f>HYPERLINK("https://www.boe.es/gazeta/dias/1813/02/21/pdfs/GMD-1813-52.pdf#page=1","Abrir facsímil")</f>
        <v>Abrir facsímil</v>
      </c>
      <c r="K6568" s="3" t="s">
        <v>22</v>
      </c>
    </row>
    <row r="6569" spans="1:11" ht="42" customHeight="1">
      <c r="A6569" s="2" t="s">
        <v>13684</v>
      </c>
      <c r="B6569" s="2" t="s">
        <v>13684</v>
      </c>
      <c r="C6569" s="2" t="s">
        <v>16</v>
      </c>
      <c r="D6569" s="2" t="s">
        <v>17</v>
      </c>
      <c r="E6569" s="5">
        <v>-31700</v>
      </c>
      <c r="F6569" s="3" t="s">
        <v>778</v>
      </c>
      <c r="G6569" s="3" t="s">
        <v>13686</v>
      </c>
      <c r="H6569" s="2" t="s">
        <v>20</v>
      </c>
      <c r="I6569" s="2" t="s">
        <v>13687</v>
      </c>
      <c r="J6569" s="3" t="str">
        <f>HYPERLINK("https://www.boe.es/gazeta/dias/1813/03/16/pdfs/GMD-1813-75.pdf#page=2","Abrir facsímil")</f>
        <v>Abrir facsímil</v>
      </c>
      <c r="K6569" s="3" t="s">
        <v>22</v>
      </c>
    </row>
    <row r="6570" spans="1:11" ht="42" customHeight="1">
      <c r="A6570" s="2" t="s">
        <v>13684</v>
      </c>
      <c r="B6570" s="2" t="s">
        <v>13684</v>
      </c>
      <c r="C6570" s="2" t="s">
        <v>16</v>
      </c>
      <c r="D6570" s="2" t="s">
        <v>17</v>
      </c>
      <c r="E6570" s="5">
        <v>-31677</v>
      </c>
      <c r="F6570" s="3" t="s">
        <v>4220</v>
      </c>
      <c r="G6570" s="3" t="s">
        <v>58</v>
      </c>
      <c r="H6570" s="2" t="s">
        <v>20</v>
      </c>
      <c r="I6570" s="2" t="s">
        <v>13688</v>
      </c>
      <c r="J6570" s="3" t="str">
        <f>HYPERLINK("https://www.boe.es/gazeta/dias/1813/04/08/pdfs/GMD-1813-98.pdf#page=2","Abrir facsímil")</f>
        <v>Abrir facsímil</v>
      </c>
      <c r="K6570" s="3" t="s">
        <v>22</v>
      </c>
    </row>
    <row r="6571" spans="1:11" ht="42" customHeight="1">
      <c r="A6571" s="2" t="s">
        <v>13689</v>
      </c>
      <c r="B6571" s="2" t="s">
        <v>13689</v>
      </c>
      <c r="C6571" s="2" t="s">
        <v>16</v>
      </c>
      <c r="D6571" s="2" t="s">
        <v>17</v>
      </c>
      <c r="E6571" s="5">
        <v>-31750</v>
      </c>
      <c r="F6571" s="3" t="s">
        <v>8248</v>
      </c>
      <c r="G6571" s="3" t="s">
        <v>65</v>
      </c>
      <c r="H6571" s="2" t="s">
        <v>20</v>
      </c>
      <c r="I6571" s="2" t="s">
        <v>13690</v>
      </c>
      <c r="J6571" s="3" t="str">
        <f>HYPERLINK("https://www.boe.es/gazeta/dias/1813/01/25/pdfs/GMD-1813-25.pdf#page=1","Abrir facsímil")</f>
        <v>Abrir facsímil</v>
      </c>
      <c r="K6571" s="3" t="s">
        <v>22</v>
      </c>
    </row>
    <row r="6572" spans="1:11" ht="42" customHeight="1">
      <c r="A6572" s="2" t="s">
        <v>13691</v>
      </c>
      <c r="B6572" s="2" t="s">
        <v>13692</v>
      </c>
      <c r="C6572" s="2" t="s">
        <v>16</v>
      </c>
      <c r="D6572" s="2" t="s">
        <v>17</v>
      </c>
      <c r="E6572" s="5">
        <v>-31740</v>
      </c>
      <c r="F6572" s="3" t="s">
        <v>354</v>
      </c>
      <c r="G6572" s="3" t="s">
        <v>7152</v>
      </c>
      <c r="H6572" s="2" t="s">
        <v>20</v>
      </c>
      <c r="I6572" s="2" t="s">
        <v>13693</v>
      </c>
      <c r="J6572" s="3" t="str">
        <f>HYPERLINK("https://www.boe.es/gazeta/dias/1813/02/04/pdfs/GRE-1813-15.pdf#page=3","Abrir facsímil")</f>
        <v>Abrir facsímil</v>
      </c>
      <c r="K6572" s="3" t="s">
        <v>22</v>
      </c>
    </row>
    <row r="6573" spans="1:11" ht="42" customHeight="1">
      <c r="A6573" s="2" t="s">
        <v>13694</v>
      </c>
      <c r="B6573" s="2" t="s">
        <v>13694</v>
      </c>
      <c r="C6573" s="2" t="s">
        <v>16</v>
      </c>
      <c r="D6573" s="2" t="s">
        <v>17</v>
      </c>
      <c r="E6573" s="5">
        <v>-31691</v>
      </c>
      <c r="F6573" s="3" t="s">
        <v>1621</v>
      </c>
      <c r="G6573" s="3" t="s">
        <v>58</v>
      </c>
      <c r="H6573" s="2" t="s">
        <v>20</v>
      </c>
      <c r="I6573" s="2" t="s">
        <v>13695</v>
      </c>
      <c r="J6573" s="3" t="str">
        <f>HYPERLINK("https://www.boe.es/gazeta/dias/1813/03/25/pdfs/GMD-1813-84.pdf#page=2","Abrir facsímil")</f>
        <v>Abrir facsímil</v>
      </c>
      <c r="K6573" s="3" t="s">
        <v>22</v>
      </c>
    </row>
    <row r="6574" spans="1:11" ht="42" customHeight="1">
      <c r="A6574" s="2" t="s">
        <v>13696</v>
      </c>
      <c r="B6574" s="2" t="s">
        <v>13697</v>
      </c>
      <c r="C6574" s="2" t="s">
        <v>25</v>
      </c>
      <c r="D6574" s="2" t="s">
        <v>26</v>
      </c>
      <c r="E6574" s="5">
        <v>-31675</v>
      </c>
      <c r="F6574" s="3" t="s">
        <v>27</v>
      </c>
      <c r="G6574" s="3" t="s">
        <v>648</v>
      </c>
      <c r="H6574" s="2" t="s">
        <v>20</v>
      </c>
      <c r="I6574" s="2" t="s">
        <v>13698</v>
      </c>
      <c r="J6574" s="3" t="str">
        <f>HYPERLINK("https://www.boe.es/gazeta/dias/1813/04/10/pdfs/GRE-1813-44.pdf#page=7","Abrir facsímil")</f>
        <v>Abrir facsímil</v>
      </c>
      <c r="K6574" s="3" t="s">
        <v>22</v>
      </c>
    </row>
    <row r="6575" spans="1:11" ht="42" customHeight="1">
      <c r="A6575" s="2" t="s">
        <v>13699</v>
      </c>
      <c r="B6575" s="2" t="s">
        <v>13700</v>
      </c>
      <c r="C6575" s="2" t="s">
        <v>16</v>
      </c>
      <c r="D6575" s="2" t="s">
        <v>97</v>
      </c>
      <c r="E6575" s="5">
        <v>-31519</v>
      </c>
      <c r="F6575" s="3" t="s">
        <v>312</v>
      </c>
      <c r="G6575" s="3" t="s">
        <v>28</v>
      </c>
      <c r="H6575" s="2" t="s">
        <v>20</v>
      </c>
      <c r="I6575" s="2" t="s">
        <v>13701</v>
      </c>
      <c r="J6575" s="3" t="str">
        <f>HYPERLINK("https://www.boe.es/gazeta/dias/1813/09/13/pdfs/GRE-1813-118E.pdf#page=8","Abrir facsímil")</f>
        <v>Abrir facsímil</v>
      </c>
      <c r="K6575" s="3" t="s">
        <v>22</v>
      </c>
    </row>
    <row r="6576" spans="1:11" ht="42" customHeight="1">
      <c r="A6576" s="2" t="s">
        <v>13702</v>
      </c>
      <c r="B6576" s="2" t="s">
        <v>13703</v>
      </c>
      <c r="C6576" s="2" t="s">
        <v>16</v>
      </c>
      <c r="D6576" s="2" t="s">
        <v>17</v>
      </c>
      <c r="E6576" s="5">
        <v>-31565</v>
      </c>
      <c r="F6576" s="3" t="s">
        <v>306</v>
      </c>
      <c r="G6576" s="3" t="s">
        <v>87</v>
      </c>
      <c r="H6576" s="2" t="s">
        <v>20</v>
      </c>
      <c r="I6576" s="2" t="s">
        <v>13704</v>
      </c>
      <c r="J6576" s="3" t="str">
        <f>HYPERLINK("https://www.boe.es/gazeta/dias/1813/07/29/pdfs/GRE-1813-96.pdf#page=7","Abrir facsímil")</f>
        <v>Abrir facsímil</v>
      </c>
      <c r="K6576" s="3" t="s">
        <v>22</v>
      </c>
    </row>
    <row r="6577" spans="1:11" ht="42" customHeight="1">
      <c r="A6577" s="2" t="s">
        <v>13705</v>
      </c>
      <c r="B6577" s="2" t="s">
        <v>13705</v>
      </c>
      <c r="C6577" s="2" t="s">
        <v>16</v>
      </c>
      <c r="D6577" s="2" t="s">
        <v>17</v>
      </c>
      <c r="E6577" s="5">
        <v>-31696</v>
      </c>
      <c r="F6577" s="3" t="s">
        <v>520</v>
      </c>
      <c r="G6577" s="3" t="s">
        <v>529</v>
      </c>
      <c r="H6577" s="2" t="s">
        <v>20</v>
      </c>
      <c r="I6577" s="2" t="s">
        <v>13706</v>
      </c>
      <c r="J6577" s="3" t="str">
        <f>HYPERLINK("https://www.boe.es/gazeta/dias/1813/03/20/pdfs/GRE-1813-35.pdf#page=6","Abrir facsímil")</f>
        <v>Abrir facsímil</v>
      </c>
      <c r="K6577" s="3" t="s">
        <v>22</v>
      </c>
    </row>
    <row r="6578" spans="1:11" ht="42" customHeight="1">
      <c r="A6578" s="2" t="s">
        <v>13707</v>
      </c>
      <c r="B6578" s="2" t="s">
        <v>13708</v>
      </c>
      <c r="C6578" s="2" t="s">
        <v>34</v>
      </c>
      <c r="D6578" s="2" t="s">
        <v>35</v>
      </c>
      <c r="E6578" s="5">
        <v>-31709</v>
      </c>
      <c r="F6578" s="3" t="s">
        <v>36</v>
      </c>
      <c r="G6578" s="3" t="s">
        <v>303</v>
      </c>
      <c r="H6578" s="2" t="s">
        <v>20</v>
      </c>
      <c r="I6578" s="2" t="s">
        <v>13709</v>
      </c>
      <c r="J6578" s="3" t="str">
        <f>HYPERLINK("https://www.boe.es/gazeta/dias/1813/03/07/pdfs/GMD-1813-66.pdf#page=3","Abrir facsímil")</f>
        <v>Abrir facsímil</v>
      </c>
      <c r="K6578" s="3" t="s">
        <v>22</v>
      </c>
    </row>
    <row r="6579" spans="1:11" ht="42" customHeight="1">
      <c r="A6579" s="2" t="s">
        <v>13710</v>
      </c>
      <c r="B6579" s="2" t="s">
        <v>13711</v>
      </c>
      <c r="C6579" s="2" t="s">
        <v>16</v>
      </c>
      <c r="D6579" s="2" t="s">
        <v>17</v>
      </c>
      <c r="E6579" s="5">
        <v>-31598</v>
      </c>
      <c r="F6579" s="3" t="s">
        <v>286</v>
      </c>
      <c r="G6579" s="3" t="s">
        <v>87</v>
      </c>
      <c r="H6579" s="2" t="s">
        <v>20</v>
      </c>
      <c r="I6579" s="2" t="s">
        <v>13712</v>
      </c>
      <c r="J6579" s="3" t="str">
        <f>HYPERLINK("https://www.boe.es/gazeta/dias/1813/06/26/pdfs/GRE-1813-79.pdf#page=7","Abrir facsímil")</f>
        <v>Abrir facsímil</v>
      </c>
      <c r="K6579" s="3" t="s">
        <v>22</v>
      </c>
    </row>
    <row r="6580" spans="1:11" ht="42" customHeight="1">
      <c r="A6580" s="2" t="s">
        <v>13713</v>
      </c>
      <c r="B6580" s="2" t="s">
        <v>13714</v>
      </c>
      <c r="C6580" s="2" t="s">
        <v>34</v>
      </c>
      <c r="D6580" s="2" t="s">
        <v>35</v>
      </c>
      <c r="E6580" s="5">
        <v>-31469</v>
      </c>
      <c r="F6580" s="3" t="s">
        <v>1311</v>
      </c>
      <c r="G6580" s="3" t="s">
        <v>28</v>
      </c>
      <c r="H6580" s="2" t="s">
        <v>20</v>
      </c>
      <c r="I6580" s="2" t="s">
        <v>13715</v>
      </c>
      <c r="J6580" s="3" t="str">
        <f>HYPERLINK("https://www.boe.es/gazeta/dias/1813/11/02/pdfs/GMR-1813-67.pdf#page=8","Abrir facsímil")</f>
        <v>Abrir facsímil</v>
      </c>
      <c r="K6580" s="3" t="s">
        <v>22</v>
      </c>
    </row>
    <row r="6581" spans="1:11" ht="42" customHeight="1">
      <c r="A6581" s="2" t="s">
        <v>13716</v>
      </c>
      <c r="B6581" s="2" t="s">
        <v>13716</v>
      </c>
      <c r="C6581" s="2" t="s">
        <v>16</v>
      </c>
      <c r="D6581" s="2" t="s">
        <v>17</v>
      </c>
      <c r="E6581" s="5">
        <v>-31416</v>
      </c>
      <c r="F6581" s="3" t="s">
        <v>110</v>
      </c>
      <c r="G6581" s="3" t="s">
        <v>1590</v>
      </c>
      <c r="H6581" s="2" t="s">
        <v>20</v>
      </c>
      <c r="I6581" s="2" t="s">
        <v>13717</v>
      </c>
      <c r="J6581" s="3" t="str">
        <f>HYPERLINK("https://www.boe.es/gazeta/dias/1813/12/25/pdfs/GRE-1813-169.pdf#page=4","Abrir facsímil")</f>
        <v>Abrir facsímil</v>
      </c>
      <c r="K6581" s="3" t="s">
        <v>22</v>
      </c>
    </row>
    <row r="6582" spans="1:11" ht="42" customHeight="1">
      <c r="A6582" s="2" t="s">
        <v>13718</v>
      </c>
      <c r="B6582" s="2" t="s">
        <v>13718</v>
      </c>
      <c r="C6582" s="2" t="s">
        <v>16</v>
      </c>
      <c r="D6582" s="2" t="s">
        <v>17</v>
      </c>
      <c r="E6582" s="5">
        <v>-31738</v>
      </c>
      <c r="F6582" s="3" t="s">
        <v>556</v>
      </c>
      <c r="G6582" s="3" t="s">
        <v>13719</v>
      </c>
      <c r="H6582" s="2" t="s">
        <v>20</v>
      </c>
      <c r="I6582" s="2" t="s">
        <v>13720</v>
      </c>
      <c r="J6582" s="3" t="str">
        <f>HYPERLINK("https://www.boe.es/gazeta/dias/1813/02/06/pdfs/GRE-1813-16.pdf#page=6","Abrir facsímil")</f>
        <v>Abrir facsímil</v>
      </c>
      <c r="K6582" s="3" t="s">
        <v>22</v>
      </c>
    </row>
    <row r="6583" spans="1:11" ht="42" customHeight="1">
      <c r="A6583" s="2" t="s">
        <v>13721</v>
      </c>
      <c r="B6583" s="2" t="s">
        <v>13722</v>
      </c>
      <c r="C6583" s="2" t="s">
        <v>187</v>
      </c>
      <c r="D6583" s="2" t="s">
        <v>26</v>
      </c>
      <c r="E6583" s="5">
        <v>-31474</v>
      </c>
      <c r="F6583" s="3" t="s">
        <v>1082</v>
      </c>
      <c r="G6583" s="3" t="s">
        <v>28</v>
      </c>
      <c r="H6583" s="2" t="s">
        <v>20</v>
      </c>
      <c r="I6583" s="2" t="s">
        <v>13723</v>
      </c>
      <c r="J6583" s="3" t="str">
        <f>HYPERLINK("https://www.boe.es/gazeta/dias/1813/10/28/pdfs/GMR-1813-65.pdf#page=8","Abrir facsímil")</f>
        <v>Abrir facsímil</v>
      </c>
      <c r="K6583" s="3" t="s">
        <v>22</v>
      </c>
    </row>
    <row r="6584" spans="1:11" ht="42" customHeight="1">
      <c r="A6584" s="2" t="s">
        <v>13724</v>
      </c>
      <c r="B6584" s="2" t="s">
        <v>13725</v>
      </c>
      <c r="C6584" s="2" t="s">
        <v>16</v>
      </c>
      <c r="D6584" s="2" t="s">
        <v>17</v>
      </c>
      <c r="E6584" s="5">
        <v>-31465</v>
      </c>
      <c r="F6584" s="3" t="s">
        <v>2930</v>
      </c>
      <c r="G6584" s="3" t="s">
        <v>28</v>
      </c>
      <c r="H6584" s="2" t="s">
        <v>20</v>
      </c>
      <c r="I6584" s="2" t="s">
        <v>13726</v>
      </c>
      <c r="J6584" s="3" t="str">
        <f>HYPERLINK("https://www.boe.es/gazeta/dias/1813/11/06/pdfs/GRE-1813-145.pdf#page=8","Abrir facsímil")</f>
        <v>Abrir facsímil</v>
      </c>
      <c r="K6584" s="3" t="s">
        <v>22</v>
      </c>
    </row>
    <row r="6585" spans="1:11" ht="42" customHeight="1">
      <c r="A6585" s="2" t="s">
        <v>13727</v>
      </c>
      <c r="B6585" s="2" t="s">
        <v>13728</v>
      </c>
      <c r="C6585" s="2" t="s">
        <v>25</v>
      </c>
      <c r="D6585" s="2" t="s">
        <v>26</v>
      </c>
      <c r="E6585" s="5">
        <v>-31465</v>
      </c>
      <c r="F6585" s="3" t="s">
        <v>407</v>
      </c>
      <c r="G6585" s="3" t="s">
        <v>28</v>
      </c>
      <c r="H6585" s="2" t="s">
        <v>20</v>
      </c>
      <c r="I6585" s="2" t="s">
        <v>13729</v>
      </c>
      <c r="J6585" s="3" t="str">
        <f>HYPERLINK("https://www.boe.es/gazeta/dias/1813/11/06/pdfs/GMR-1813-70.pdf#page=8","Abrir facsímil")</f>
        <v>Abrir facsímil</v>
      </c>
      <c r="K6585" s="3" t="s">
        <v>22</v>
      </c>
    </row>
    <row r="6586" spans="1:11" ht="42" customHeight="1">
      <c r="A6586" s="2" t="s">
        <v>13730</v>
      </c>
      <c r="B6586" s="2" t="s">
        <v>13731</v>
      </c>
      <c r="C6586" s="2" t="s">
        <v>16</v>
      </c>
      <c r="D6586" s="2" t="s">
        <v>97</v>
      </c>
      <c r="E6586" s="5">
        <v>-31519</v>
      </c>
      <c r="F6586" s="3" t="s">
        <v>312</v>
      </c>
      <c r="G6586" s="3" t="s">
        <v>313</v>
      </c>
      <c r="H6586" s="2" t="s">
        <v>20</v>
      </c>
      <c r="I6586" s="2" t="s">
        <v>13732</v>
      </c>
      <c r="J6586" s="3" t="str">
        <f>HYPERLINK("https://www.boe.es/gazeta/dias/1813/09/13/pdfs/GRE-1813-118E.pdf#page=9","Abrir facsímil")</f>
        <v>Abrir facsímil</v>
      </c>
      <c r="K6586" s="3" t="s">
        <v>22</v>
      </c>
    </row>
    <row r="6587" spans="1:11" ht="42" customHeight="1">
      <c r="A6587" s="2" t="s">
        <v>13730</v>
      </c>
      <c r="B6587" s="2" t="s">
        <v>13731</v>
      </c>
      <c r="C6587" s="2" t="s">
        <v>16</v>
      </c>
      <c r="D6587" s="2" t="s">
        <v>17</v>
      </c>
      <c r="E6587" s="5">
        <v>-31507</v>
      </c>
      <c r="F6587" s="3" t="s">
        <v>61</v>
      </c>
      <c r="G6587" s="3" t="s">
        <v>28</v>
      </c>
      <c r="H6587" s="2" t="s">
        <v>20</v>
      </c>
      <c r="I6587" s="2" t="s">
        <v>13733</v>
      </c>
      <c r="J6587" s="3" t="str">
        <f>HYPERLINK("https://www.boe.es/gazeta/dias/1813/09/25/pdfs/GMR-1813-48.pdf#page=8","Abrir facsímil")</f>
        <v>Abrir facsímil</v>
      </c>
      <c r="K6587" s="3" t="s">
        <v>22</v>
      </c>
    </row>
    <row r="6588" spans="1:11" ht="42" customHeight="1">
      <c r="A6588" s="2" t="s">
        <v>13734</v>
      </c>
      <c r="B6588" s="2" t="s">
        <v>13735</v>
      </c>
      <c r="C6588" s="2" t="s">
        <v>16</v>
      </c>
      <c r="D6588" s="2" t="s">
        <v>17</v>
      </c>
      <c r="E6588" s="5">
        <v>-31772</v>
      </c>
      <c r="F6588" s="3" t="s">
        <v>709</v>
      </c>
      <c r="G6588" s="3" t="s">
        <v>82</v>
      </c>
      <c r="H6588" s="2" t="s">
        <v>20</v>
      </c>
      <c r="I6588" s="2" t="s">
        <v>13736</v>
      </c>
      <c r="J6588" s="3" t="str">
        <f>HYPERLINK("https://www.boe.es/gazeta/dias/1813/01/03/pdfs/GRE-1813-69.pdf#page=5","Abrir facsímil")</f>
        <v>Abrir facsímil</v>
      </c>
      <c r="K6588" s="3" t="s">
        <v>22</v>
      </c>
    </row>
    <row r="6589" spans="1:11" ht="42" customHeight="1">
      <c r="A6589" s="2" t="s">
        <v>13734</v>
      </c>
      <c r="B6589" s="2" t="s">
        <v>13735</v>
      </c>
      <c r="C6589" s="2" t="s">
        <v>16</v>
      </c>
      <c r="D6589" s="2" t="s">
        <v>17</v>
      </c>
      <c r="E6589" s="5">
        <v>-31621</v>
      </c>
      <c r="F6589" s="3" t="s">
        <v>709</v>
      </c>
      <c r="G6589" s="3" t="s">
        <v>82</v>
      </c>
      <c r="H6589" s="2" t="s">
        <v>20</v>
      </c>
      <c r="I6589" s="2" t="s">
        <v>13736</v>
      </c>
      <c r="J6589" s="3" t="str">
        <f>HYPERLINK("https://www.boe.es/gazeta/dias/1813/06/03/pdfs/GRE-1813-69.pdf#page=5","Abrir facsímil")</f>
        <v>Abrir facsímil</v>
      </c>
      <c r="K6589" s="3" t="s">
        <v>22</v>
      </c>
    </row>
    <row r="6590" spans="1:11" ht="42" customHeight="1">
      <c r="A6590" s="2" t="s">
        <v>13734</v>
      </c>
      <c r="B6590" s="2" t="s">
        <v>13735</v>
      </c>
      <c r="C6590" s="2" t="s">
        <v>16</v>
      </c>
      <c r="D6590" s="2" t="s">
        <v>17</v>
      </c>
      <c r="E6590" s="5">
        <v>-31614</v>
      </c>
      <c r="F6590" s="3" t="s">
        <v>498</v>
      </c>
      <c r="G6590" s="3" t="s">
        <v>95</v>
      </c>
      <c r="H6590" s="2" t="s">
        <v>20</v>
      </c>
      <c r="I6590" s="2" t="s">
        <v>13737</v>
      </c>
      <c r="J6590" s="3" t="str">
        <f>HYPERLINK("https://www.boe.es/gazeta/dias/1813/06/10/pdfs/GRE-1813-72.pdf#page=6","Abrir facsímil")</f>
        <v>Abrir facsímil</v>
      </c>
      <c r="K6590" s="3" t="s">
        <v>22</v>
      </c>
    </row>
    <row r="6591" spans="1:11" ht="42" customHeight="1">
      <c r="A6591" s="2" t="s">
        <v>13738</v>
      </c>
      <c r="B6591" s="2" t="s">
        <v>13739</v>
      </c>
      <c r="C6591" s="2" t="s">
        <v>16</v>
      </c>
      <c r="D6591" s="2" t="s">
        <v>17</v>
      </c>
      <c r="E6591" s="5">
        <v>-31605</v>
      </c>
      <c r="F6591" s="3" t="s">
        <v>884</v>
      </c>
      <c r="G6591" s="3" t="s">
        <v>95</v>
      </c>
      <c r="H6591" s="2" t="s">
        <v>20</v>
      </c>
      <c r="I6591" s="2" t="s">
        <v>13740</v>
      </c>
      <c r="J6591" s="3" t="str">
        <f>HYPERLINK("https://www.boe.es/gazeta/dias/1813/06/19/pdfs/GRE-1813-76.pdf#page=6","Abrir facsímil")</f>
        <v>Abrir facsímil</v>
      </c>
      <c r="K6591" s="3" t="s">
        <v>22</v>
      </c>
    </row>
    <row r="6592" spans="1:11" ht="42" customHeight="1">
      <c r="A6592" s="2" t="s">
        <v>13741</v>
      </c>
      <c r="B6592" s="2" t="s">
        <v>13742</v>
      </c>
      <c r="C6592" s="2" t="s">
        <v>34</v>
      </c>
      <c r="D6592" s="2" t="s">
        <v>35</v>
      </c>
      <c r="E6592" s="5">
        <v>-31709</v>
      </c>
      <c r="F6592" s="3" t="s">
        <v>36</v>
      </c>
      <c r="G6592" s="3" t="s">
        <v>19</v>
      </c>
      <c r="H6592" s="2" t="s">
        <v>20</v>
      </c>
      <c r="I6592" s="2" t="s">
        <v>13743</v>
      </c>
      <c r="J6592" s="3" t="str">
        <f>HYPERLINK("https://www.boe.es/gazeta/dias/1813/03/07/pdfs/GMD-1813-66.pdf#page=4","Abrir facsímil")</f>
        <v>Abrir facsímil</v>
      </c>
      <c r="K6592" s="3" t="s">
        <v>22</v>
      </c>
    </row>
    <row r="6593" spans="1:11" ht="42" customHeight="1">
      <c r="A6593" s="2" t="s">
        <v>13744</v>
      </c>
      <c r="B6593" s="2" t="s">
        <v>13745</v>
      </c>
      <c r="C6593" s="2" t="s">
        <v>16</v>
      </c>
      <c r="D6593" s="2" t="s">
        <v>17</v>
      </c>
      <c r="E6593" s="5">
        <v>-31521</v>
      </c>
      <c r="F6593" s="3" t="s">
        <v>1256</v>
      </c>
      <c r="G6593" s="3" t="s">
        <v>3407</v>
      </c>
      <c r="H6593" s="2" t="s">
        <v>20</v>
      </c>
      <c r="I6593" s="2" t="s">
        <v>13746</v>
      </c>
      <c r="J6593" s="3" t="str">
        <f>HYPERLINK("https://www.boe.es/gazeta/dias/1813/09/11/pdfs/GRE-1813-116.pdf#page=6","Abrir facsímil")</f>
        <v>Abrir facsímil</v>
      </c>
      <c r="K6593" s="3" t="s">
        <v>22</v>
      </c>
    </row>
    <row r="6594" spans="1:11" ht="42" customHeight="1">
      <c r="A6594" s="2" t="s">
        <v>13747</v>
      </c>
      <c r="B6594" s="2" t="s">
        <v>13748</v>
      </c>
      <c r="C6594" s="2" t="s">
        <v>16</v>
      </c>
      <c r="D6594" s="2" t="s">
        <v>17</v>
      </c>
      <c r="E6594" s="5">
        <v>-31507</v>
      </c>
      <c r="F6594" s="3" t="s">
        <v>61</v>
      </c>
      <c r="G6594" s="3" t="s">
        <v>28</v>
      </c>
      <c r="H6594" s="2" t="s">
        <v>20</v>
      </c>
      <c r="I6594" s="2" t="s">
        <v>13749</v>
      </c>
      <c r="J6594" s="3" t="str">
        <f>HYPERLINK("https://www.boe.es/gazeta/dias/1813/09/25/pdfs/GMR-1813-48.pdf#page=8","Abrir facsímil")</f>
        <v>Abrir facsímil</v>
      </c>
      <c r="K6594" s="3" t="s">
        <v>22</v>
      </c>
    </row>
    <row r="6595" spans="1:11" ht="42" customHeight="1">
      <c r="A6595" s="2" t="s">
        <v>13750</v>
      </c>
      <c r="B6595" s="2" t="s">
        <v>13750</v>
      </c>
      <c r="C6595" s="2" t="s">
        <v>16</v>
      </c>
      <c r="D6595" s="2" t="s">
        <v>17</v>
      </c>
      <c r="E6595" s="5">
        <v>-31654</v>
      </c>
      <c r="F6595" s="3" t="s">
        <v>852</v>
      </c>
      <c r="G6595" s="3" t="s">
        <v>54</v>
      </c>
      <c r="H6595" s="2" t="s">
        <v>20</v>
      </c>
      <c r="I6595" s="2" t="s">
        <v>13751</v>
      </c>
      <c r="J6595" s="3" t="str">
        <f>HYPERLINK("https://www.boe.es/gazeta/dias/1813/05/01/pdfs/GMD-1813-121.pdf#page=3","Abrir facsímil")</f>
        <v>Abrir facsímil</v>
      </c>
      <c r="K6595" s="3" t="s">
        <v>22</v>
      </c>
    </row>
    <row r="6596" spans="1:11" ht="42" customHeight="1">
      <c r="A6596" s="2" t="s">
        <v>13752</v>
      </c>
      <c r="B6596" s="2" t="s">
        <v>13752</v>
      </c>
      <c r="C6596" s="2" t="s">
        <v>16</v>
      </c>
      <c r="D6596" s="2" t="s">
        <v>17</v>
      </c>
      <c r="E6596" s="5">
        <v>-31739</v>
      </c>
      <c r="F6596" s="3" t="s">
        <v>784</v>
      </c>
      <c r="G6596" s="3" t="s">
        <v>19</v>
      </c>
      <c r="H6596" s="2" t="s">
        <v>20</v>
      </c>
      <c r="I6596" s="2" t="s">
        <v>13753</v>
      </c>
      <c r="J6596" s="3" t="str">
        <f>HYPERLINK("https://www.boe.es/gazeta/dias/1813/02/05/pdfs/GMD-1813-36.pdf#page=4","Abrir facsímil")</f>
        <v>Abrir facsímil</v>
      </c>
      <c r="K6596" s="3" t="s">
        <v>22</v>
      </c>
    </row>
    <row r="6597" spans="1:11" ht="42" customHeight="1">
      <c r="A6597" s="2" t="s">
        <v>13754</v>
      </c>
      <c r="B6597" s="2" t="s">
        <v>13755</v>
      </c>
      <c r="C6597" s="2" t="s">
        <v>16</v>
      </c>
      <c r="D6597" s="2" t="s">
        <v>17</v>
      </c>
      <c r="E6597" s="5">
        <v>-31560</v>
      </c>
      <c r="F6597" s="3" t="s">
        <v>590</v>
      </c>
      <c r="G6597" s="3" t="s">
        <v>87</v>
      </c>
      <c r="H6597" s="2" t="s">
        <v>20</v>
      </c>
      <c r="I6597" s="2" t="s">
        <v>13756</v>
      </c>
      <c r="J6597" s="3" t="str">
        <f>HYPERLINK("https://www.boe.es/gazeta/dias/1813/08/03/pdfs/GRE-1813-98.pdf#page=7","Abrir facsímil")</f>
        <v>Abrir facsímil</v>
      </c>
      <c r="K6597" s="3" t="s">
        <v>22</v>
      </c>
    </row>
    <row r="6598" spans="1:11" ht="42" customHeight="1">
      <c r="A6598" s="2" t="s">
        <v>13757</v>
      </c>
      <c r="B6598" s="2" t="s">
        <v>13758</v>
      </c>
      <c r="C6598" s="2" t="s">
        <v>16</v>
      </c>
      <c r="D6598" s="2" t="s">
        <v>17</v>
      </c>
      <c r="E6598" s="5">
        <v>-31630</v>
      </c>
      <c r="F6598" s="3" t="s">
        <v>1324</v>
      </c>
      <c r="G6598" s="3" t="s">
        <v>3155</v>
      </c>
      <c r="H6598" s="2" t="s">
        <v>20</v>
      </c>
      <c r="I6598" s="2" t="s">
        <v>13759</v>
      </c>
      <c r="J6598" s="3" t="str">
        <f>HYPERLINK("https://www.boe.es/gazeta/dias/1813/05/25/pdfs/GRE-1813-64.pdf#page=8","Abrir facsímil")</f>
        <v>Abrir facsímil</v>
      </c>
      <c r="K6598" s="3" t="s">
        <v>22</v>
      </c>
    </row>
    <row r="6599" spans="1:11" ht="42" customHeight="1">
      <c r="A6599" s="2" t="s">
        <v>13760</v>
      </c>
      <c r="B6599" s="2" t="s">
        <v>13760</v>
      </c>
      <c r="C6599" s="2" t="s">
        <v>16</v>
      </c>
      <c r="D6599" s="2" t="s">
        <v>17</v>
      </c>
      <c r="E6599" s="5">
        <v>-31679</v>
      </c>
      <c r="F6599" s="3" t="s">
        <v>6334</v>
      </c>
      <c r="G6599" s="3" t="s">
        <v>58</v>
      </c>
      <c r="H6599" s="2" t="s">
        <v>20</v>
      </c>
      <c r="I6599" s="2" t="s">
        <v>13761</v>
      </c>
      <c r="J6599" s="3" t="str">
        <f>HYPERLINK("https://www.boe.es/gazeta/dias/1813/04/06/pdfs/GMD-1813-96.pdf#page=2","Abrir facsímil")</f>
        <v>Abrir facsímil</v>
      </c>
      <c r="K6599" s="3" t="s">
        <v>22</v>
      </c>
    </row>
    <row r="6600" spans="1:11" ht="42" customHeight="1">
      <c r="A6600" s="2" t="s">
        <v>13762</v>
      </c>
      <c r="B6600" s="2" t="s">
        <v>13763</v>
      </c>
      <c r="C6600" s="2" t="s">
        <v>69</v>
      </c>
      <c r="D6600" s="2" t="s">
        <v>26</v>
      </c>
      <c r="E6600" s="5">
        <v>-31616</v>
      </c>
      <c r="F6600" s="3" t="s">
        <v>2201</v>
      </c>
      <c r="G6600" s="3" t="s">
        <v>19</v>
      </c>
      <c r="H6600" s="2" t="s">
        <v>20</v>
      </c>
      <c r="I6600" s="2" t="s">
        <v>13764</v>
      </c>
      <c r="J6600" s="3" t="str">
        <f>HYPERLINK("https://www.boe.es/gazeta/dias/1813/06/08/pdfs/GMR-1813-3.pdf#page=4","Abrir facsímil")</f>
        <v>Abrir facsímil</v>
      </c>
      <c r="K6600" s="3" t="s">
        <v>22</v>
      </c>
    </row>
    <row r="6601" spans="1:11" ht="42" customHeight="1">
      <c r="A6601" s="2" t="s">
        <v>13765</v>
      </c>
      <c r="B6601" s="2" t="s">
        <v>13766</v>
      </c>
      <c r="C6601" s="2" t="s">
        <v>34</v>
      </c>
      <c r="D6601" s="2" t="s">
        <v>35</v>
      </c>
      <c r="E6601" s="5">
        <v>-31465</v>
      </c>
      <c r="F6601" s="3" t="s">
        <v>407</v>
      </c>
      <c r="G6601" s="3" t="s">
        <v>28</v>
      </c>
      <c r="H6601" s="2" t="s">
        <v>20</v>
      </c>
      <c r="I6601" s="2" t="s">
        <v>13767</v>
      </c>
      <c r="J6601" s="3" t="str">
        <f>HYPERLINK("https://www.boe.es/gazeta/dias/1813/11/06/pdfs/GMR-1813-70.pdf#page=8","Abrir facsímil")</f>
        <v>Abrir facsímil</v>
      </c>
      <c r="K6601" s="3" t="s">
        <v>22</v>
      </c>
    </row>
    <row r="6602" spans="1:11" ht="42" customHeight="1">
      <c r="A6602" s="2" t="s">
        <v>13768</v>
      </c>
      <c r="B6602" s="2" t="s">
        <v>13769</v>
      </c>
      <c r="C6602" s="2" t="s">
        <v>25</v>
      </c>
      <c r="D6602" s="2" t="s">
        <v>26</v>
      </c>
      <c r="E6602" s="5">
        <v>-31544</v>
      </c>
      <c r="F6602" s="3" t="s">
        <v>44</v>
      </c>
      <c r="G6602" s="3" t="s">
        <v>49</v>
      </c>
      <c r="H6602" s="2" t="s">
        <v>20</v>
      </c>
      <c r="I6602" s="2" t="s">
        <v>13770</v>
      </c>
      <c r="J6602" s="3" t="str">
        <f>HYPERLINK("https://www.boe.es/gazeta/dias/1813/08/19/pdfs/GMR-1813-30.pdf#page=5","Abrir facsímil")</f>
        <v>Abrir facsímil</v>
      </c>
      <c r="K6602" s="3" t="s">
        <v>22</v>
      </c>
    </row>
    <row r="6603" spans="1:11" ht="42" customHeight="1">
      <c r="A6603" s="2" t="s">
        <v>13771</v>
      </c>
      <c r="B6603" s="2" t="s">
        <v>13772</v>
      </c>
      <c r="C6603" s="2" t="s">
        <v>34</v>
      </c>
      <c r="D6603" s="2" t="s">
        <v>35</v>
      </c>
      <c r="E6603" s="5">
        <v>-31709</v>
      </c>
      <c r="F6603" s="3" t="s">
        <v>36</v>
      </c>
      <c r="G6603" s="3" t="s">
        <v>303</v>
      </c>
      <c r="H6603" s="2" t="s">
        <v>20</v>
      </c>
      <c r="I6603" s="2" t="s">
        <v>13773</v>
      </c>
      <c r="J6603" s="3" t="str">
        <f>HYPERLINK("https://www.boe.es/gazeta/dias/1813/03/07/pdfs/GMD-1813-66.pdf#page=3","Abrir facsímil")</f>
        <v>Abrir facsímil</v>
      </c>
      <c r="K6603" s="3" t="s">
        <v>22</v>
      </c>
    </row>
    <row r="6604" spans="1:11" ht="42" customHeight="1">
      <c r="A6604" s="2" t="s">
        <v>13774</v>
      </c>
      <c r="B6604" s="2" t="s">
        <v>13775</v>
      </c>
      <c r="C6604" s="2" t="s">
        <v>16</v>
      </c>
      <c r="D6604" s="2" t="s">
        <v>17</v>
      </c>
      <c r="E6604" s="5">
        <v>-31709</v>
      </c>
      <c r="F6604" s="3" t="s">
        <v>36</v>
      </c>
      <c r="G6604" s="3" t="s">
        <v>58</v>
      </c>
      <c r="H6604" s="2" t="s">
        <v>20</v>
      </c>
      <c r="I6604" s="2" t="s">
        <v>13776</v>
      </c>
      <c r="J6604" s="3" t="str">
        <f>HYPERLINK("https://www.boe.es/gazeta/dias/1813/03/07/pdfs/GMD-1813-66.pdf#page=2","Abrir facsímil")</f>
        <v>Abrir facsímil</v>
      </c>
      <c r="K6604" s="3" t="s">
        <v>22</v>
      </c>
    </row>
    <row r="6605" spans="1:11" ht="42" customHeight="1">
      <c r="A6605" s="2" t="s">
        <v>13777</v>
      </c>
      <c r="B6605" s="2" t="s">
        <v>13777</v>
      </c>
      <c r="C6605" s="2" t="s">
        <v>16</v>
      </c>
      <c r="D6605" s="2" t="s">
        <v>17</v>
      </c>
      <c r="E6605" s="5">
        <v>-31616</v>
      </c>
      <c r="F6605" s="3" t="s">
        <v>2201</v>
      </c>
      <c r="G6605" s="3" t="s">
        <v>58</v>
      </c>
      <c r="H6605" s="2" t="s">
        <v>20</v>
      </c>
      <c r="I6605" s="2" t="s">
        <v>13778</v>
      </c>
      <c r="J6605" s="3" t="str">
        <f>HYPERLINK("https://www.boe.es/gazeta/dias/1813/06/08/pdfs/GMR-1813-3.pdf#page=2","Abrir facsímil")</f>
        <v>Abrir facsímil</v>
      </c>
      <c r="K6605" s="3" t="s">
        <v>22</v>
      </c>
    </row>
    <row r="6606" spans="1:11" ht="42" customHeight="1">
      <c r="A6606" s="2" t="s">
        <v>13779</v>
      </c>
      <c r="B6606" s="2" t="s">
        <v>13779</v>
      </c>
      <c r="C6606" s="2" t="s">
        <v>16</v>
      </c>
      <c r="D6606" s="2" t="s">
        <v>17</v>
      </c>
      <c r="E6606" s="5">
        <v>-31719</v>
      </c>
      <c r="F6606" s="3" t="s">
        <v>251</v>
      </c>
      <c r="G6606" s="3" t="s">
        <v>19</v>
      </c>
      <c r="H6606" s="2" t="s">
        <v>20</v>
      </c>
      <c r="I6606" s="2" t="s">
        <v>13780</v>
      </c>
      <c r="J6606" s="3" t="str">
        <f>HYPERLINK("https://www.boe.es/gazeta/dias/1813/02/25/pdfs/GMD-1813-56.pdf#page=4","Abrir facsímil")</f>
        <v>Abrir facsímil</v>
      </c>
      <c r="K6606" s="3" t="s">
        <v>22</v>
      </c>
    </row>
    <row r="6607" spans="1:11" ht="42" customHeight="1">
      <c r="A6607" s="2" t="s">
        <v>13781</v>
      </c>
      <c r="B6607" s="2" t="s">
        <v>13782</v>
      </c>
      <c r="C6607" s="2" t="s">
        <v>16</v>
      </c>
      <c r="D6607" s="2" t="s">
        <v>17</v>
      </c>
      <c r="E6607" s="5">
        <v>-31521</v>
      </c>
      <c r="F6607" s="3" t="s">
        <v>1282</v>
      </c>
      <c r="G6607" s="3" t="s">
        <v>28</v>
      </c>
      <c r="H6607" s="2" t="s">
        <v>20</v>
      </c>
      <c r="I6607" s="2" t="s">
        <v>13783</v>
      </c>
      <c r="J6607" s="3" t="str">
        <f>HYPERLINK("https://www.boe.es/gazeta/dias/1813/09/11/pdfs/GMR-1813-41.pdf#page=8","Abrir facsímil")</f>
        <v>Abrir facsímil</v>
      </c>
      <c r="K6607" s="3" t="s">
        <v>22</v>
      </c>
    </row>
    <row r="6608" spans="1:11" ht="42" customHeight="1">
      <c r="A6608" s="2" t="s">
        <v>13784</v>
      </c>
      <c r="B6608" s="2" t="s">
        <v>13785</v>
      </c>
      <c r="C6608" s="2" t="s">
        <v>16</v>
      </c>
      <c r="D6608" s="2" t="s">
        <v>17</v>
      </c>
      <c r="E6608" s="5">
        <v>-31759</v>
      </c>
      <c r="F6608" s="3" t="s">
        <v>419</v>
      </c>
      <c r="G6608" s="3" t="s">
        <v>420</v>
      </c>
      <c r="H6608" s="2" t="s">
        <v>20</v>
      </c>
      <c r="I6608" s="2" t="s">
        <v>13786</v>
      </c>
      <c r="J6608" s="3" t="str">
        <f>HYPERLINK("https://www.boe.es/gazeta/dias/1813/01/16/pdfs/GRE-1813-7.pdf#page=8","Abrir facsímil")</f>
        <v>Abrir facsímil</v>
      </c>
      <c r="K6608" s="3" t="s">
        <v>22</v>
      </c>
    </row>
    <row r="6609" spans="1:11" ht="42" customHeight="1">
      <c r="A6609" s="2" t="s">
        <v>13787</v>
      </c>
      <c r="B6609" s="2" t="s">
        <v>13788</v>
      </c>
      <c r="C6609" s="2" t="s">
        <v>16</v>
      </c>
      <c r="D6609" s="2" t="s">
        <v>17</v>
      </c>
      <c r="E6609" s="5">
        <v>-31585</v>
      </c>
      <c r="F6609" s="3" t="s">
        <v>177</v>
      </c>
      <c r="G6609" s="3" t="s">
        <v>71</v>
      </c>
      <c r="H6609" s="2" t="s">
        <v>20</v>
      </c>
      <c r="I6609" s="2" t="s">
        <v>13789</v>
      </c>
      <c r="J6609" s="3" t="str">
        <f>HYPERLINK("https://www.boe.es/gazeta/dias/1813/07/09/pdfs/GMR-1813-16.pdf#page=16","Abrir facsímil")</f>
        <v>Abrir facsímil</v>
      </c>
      <c r="K6609" s="3" t="s">
        <v>22</v>
      </c>
    </row>
    <row r="6610" spans="1:11" ht="42" customHeight="1">
      <c r="A6610" s="2" t="s">
        <v>13790</v>
      </c>
      <c r="B6610" s="2" t="s">
        <v>13791</v>
      </c>
      <c r="C6610" s="2" t="s">
        <v>16</v>
      </c>
      <c r="D6610" s="2" t="s">
        <v>17</v>
      </c>
      <c r="E6610" s="5">
        <v>-31570</v>
      </c>
      <c r="F6610" s="3" t="s">
        <v>1803</v>
      </c>
      <c r="G6610" s="3" t="s">
        <v>28</v>
      </c>
      <c r="H6610" s="2" t="s">
        <v>20</v>
      </c>
      <c r="I6610" s="2" t="s">
        <v>13792</v>
      </c>
      <c r="J6610" s="3" t="str">
        <f>HYPERLINK("https://www.boe.es/gazeta/dias/1813/07/24/pdfs/GRE-1813-94.pdf#page=8","Abrir facsímil")</f>
        <v>Abrir facsímil</v>
      </c>
      <c r="K6610" s="3" t="s">
        <v>22</v>
      </c>
    </row>
    <row r="6611" spans="1:11" ht="42" customHeight="1">
      <c r="A6611" s="2" t="s">
        <v>13790</v>
      </c>
      <c r="B6611" s="2" t="s">
        <v>13791</v>
      </c>
      <c r="C6611" s="2" t="s">
        <v>16</v>
      </c>
      <c r="D6611" s="2" t="s">
        <v>97</v>
      </c>
      <c r="E6611" s="5">
        <v>-31445</v>
      </c>
      <c r="F6611" s="3" t="s">
        <v>299</v>
      </c>
      <c r="G6611" s="3" t="s">
        <v>82</v>
      </c>
      <c r="H6611" s="2" t="s">
        <v>20</v>
      </c>
      <c r="I6611" s="2" t="s">
        <v>13793</v>
      </c>
      <c r="J6611" s="3" t="str">
        <f>HYPERLINK("https://www.boe.es/gazeta/dias/1813/11/26/pdfs/GRE-1813-156E.pdf#page=5","Abrir facsímil")</f>
        <v>Abrir facsímil</v>
      </c>
      <c r="K6611" s="3" t="s">
        <v>22</v>
      </c>
    </row>
    <row r="6612" spans="1:11" ht="42" customHeight="1">
      <c r="A6612" s="2" t="s">
        <v>13794</v>
      </c>
      <c r="B6612" s="2" t="s">
        <v>13794</v>
      </c>
      <c r="C6612" s="2" t="s">
        <v>16</v>
      </c>
      <c r="D6612" s="2" t="s">
        <v>17</v>
      </c>
      <c r="E6612" s="5">
        <v>-31530</v>
      </c>
      <c r="F6612" s="3" t="s">
        <v>133</v>
      </c>
      <c r="G6612" s="3" t="s">
        <v>19</v>
      </c>
      <c r="H6612" s="2" t="s">
        <v>20</v>
      </c>
      <c r="I6612" s="2" t="s">
        <v>13795</v>
      </c>
      <c r="J6612" s="3" t="str">
        <f>HYPERLINK("https://www.boe.es/gazeta/dias/1813/09/02/pdfs/GMR-1813-36.pdf#page=4","Abrir facsímil")</f>
        <v>Abrir facsímil</v>
      </c>
      <c r="K6612" s="3" t="s">
        <v>22</v>
      </c>
    </row>
    <row r="6613" spans="1:11" ht="42" customHeight="1">
      <c r="A6613" s="2" t="s">
        <v>13794</v>
      </c>
      <c r="B6613" s="2" t="s">
        <v>13794</v>
      </c>
      <c r="C6613" s="2" t="s">
        <v>25</v>
      </c>
      <c r="D6613" s="2" t="s">
        <v>26</v>
      </c>
      <c r="E6613" s="5">
        <v>-31525</v>
      </c>
      <c r="F6613" s="3" t="s">
        <v>135</v>
      </c>
      <c r="G6613" s="3" t="s">
        <v>19</v>
      </c>
      <c r="H6613" s="2" t="s">
        <v>20</v>
      </c>
      <c r="I6613" s="2" t="s">
        <v>13796</v>
      </c>
      <c r="J6613" s="3" t="str">
        <f>HYPERLINK("https://www.boe.es/gazeta/dias/1813/09/07/pdfs/GMR-1813-38.pdf#page=4","Abrir facsímil")</f>
        <v>Abrir facsímil</v>
      </c>
      <c r="K6613" s="3" t="s">
        <v>22</v>
      </c>
    </row>
    <row r="6614" spans="1:11" ht="42" customHeight="1">
      <c r="A6614" s="2" t="s">
        <v>13794</v>
      </c>
      <c r="B6614" s="2" t="s">
        <v>13794</v>
      </c>
      <c r="C6614" s="2" t="s">
        <v>16</v>
      </c>
      <c r="D6614" s="2" t="s">
        <v>17</v>
      </c>
      <c r="E6614" s="5">
        <v>-31472</v>
      </c>
      <c r="F6614" s="3" t="s">
        <v>143</v>
      </c>
      <c r="G6614" s="3" t="s">
        <v>58</v>
      </c>
      <c r="H6614" s="2" t="s">
        <v>20</v>
      </c>
      <c r="I6614" s="2" t="s">
        <v>13797</v>
      </c>
      <c r="J6614" s="3" t="str">
        <f>HYPERLINK("https://www.boe.es/gazeta/dias/1813/10/30/pdfs/GMR-1813-66.pdf#page=2","Abrir facsímil")</f>
        <v>Abrir facsímil</v>
      </c>
      <c r="K6614" s="3" t="s">
        <v>22</v>
      </c>
    </row>
    <row r="6615" spans="1:11" ht="42" customHeight="1">
      <c r="A6615" s="2" t="s">
        <v>13798</v>
      </c>
      <c r="B6615" s="2" t="s">
        <v>13799</v>
      </c>
      <c r="C6615" s="2" t="s">
        <v>34</v>
      </c>
      <c r="D6615" s="2" t="s">
        <v>35</v>
      </c>
      <c r="E6615" s="5">
        <v>-31441</v>
      </c>
      <c r="F6615" s="3" t="s">
        <v>1952</v>
      </c>
      <c r="G6615" s="3" t="s">
        <v>58</v>
      </c>
      <c r="H6615" s="2" t="s">
        <v>20</v>
      </c>
      <c r="I6615" s="2" t="s">
        <v>13800</v>
      </c>
      <c r="J6615" s="3" t="str">
        <f>HYPERLINK("https://www.boe.es/gazeta/dias/1813/11/30/pdfs/GRE-1813-158.pdf#page=2","Abrir facsímil")</f>
        <v>Abrir facsímil</v>
      </c>
      <c r="K6615" s="3" t="s">
        <v>22</v>
      </c>
    </row>
    <row r="6616" spans="1:11" ht="42" customHeight="1">
      <c r="A6616" s="2" t="s">
        <v>13801</v>
      </c>
      <c r="B6616" s="2" t="s">
        <v>13801</v>
      </c>
      <c r="C6616" s="2" t="s">
        <v>16</v>
      </c>
      <c r="D6616" s="2" t="s">
        <v>17</v>
      </c>
      <c r="E6616" s="5">
        <v>-31544</v>
      </c>
      <c r="F6616" s="3" t="s">
        <v>200</v>
      </c>
      <c r="G6616" s="3" t="s">
        <v>3017</v>
      </c>
      <c r="H6616" s="2" t="s">
        <v>20</v>
      </c>
      <c r="I6616" s="2" t="s">
        <v>13802</v>
      </c>
      <c r="J6616" s="3" t="str">
        <f>HYPERLINK("https://www.boe.es/gazeta/dias/1813/08/19/pdfs/GRE-1813-106.pdf#page=4","Abrir facsímil")</f>
        <v>Abrir facsímil</v>
      </c>
      <c r="K6616" s="3" t="s">
        <v>22</v>
      </c>
    </row>
    <row r="6617" spans="1:11" ht="42" customHeight="1">
      <c r="A6617" s="2" t="s">
        <v>13803</v>
      </c>
      <c r="B6617" s="2" t="s">
        <v>13803</v>
      </c>
      <c r="C6617" s="2" t="s">
        <v>16</v>
      </c>
      <c r="D6617" s="2" t="s">
        <v>17</v>
      </c>
      <c r="E6617" s="5">
        <v>-31418</v>
      </c>
      <c r="F6617" s="3" t="s">
        <v>1529</v>
      </c>
      <c r="G6617" s="3" t="s">
        <v>87</v>
      </c>
      <c r="H6617" s="2" t="s">
        <v>20</v>
      </c>
      <c r="I6617" s="2" t="s">
        <v>13804</v>
      </c>
      <c r="J6617" s="3" t="str">
        <f>HYPERLINK("https://www.boe.es/gazeta/dias/1813/12/23/pdfs/GMR-1813-91.pdf#page=7","Abrir facsímil")</f>
        <v>Abrir facsímil</v>
      </c>
      <c r="K6617" s="3" t="s">
        <v>22</v>
      </c>
    </row>
    <row r="6618" spans="1:11" ht="42" customHeight="1">
      <c r="A6618" s="2" t="s">
        <v>13805</v>
      </c>
      <c r="B6618" s="2" t="s">
        <v>13805</v>
      </c>
      <c r="C6618" s="2" t="s">
        <v>16</v>
      </c>
      <c r="D6618" s="2" t="s">
        <v>17</v>
      </c>
      <c r="E6618" s="5">
        <v>-31516</v>
      </c>
      <c r="F6618" s="3" t="s">
        <v>1685</v>
      </c>
      <c r="G6618" s="3" t="s">
        <v>54</v>
      </c>
      <c r="H6618" s="2" t="s">
        <v>20</v>
      </c>
      <c r="I6618" s="2" t="s">
        <v>13806</v>
      </c>
      <c r="J6618" s="3" t="str">
        <f>HYPERLINK("https://www.boe.es/gazeta/dias/1813/09/16/pdfs/GRE-1813-120.pdf#page=3","Abrir facsímil")</f>
        <v>Abrir facsímil</v>
      </c>
      <c r="K6618" s="3" t="s">
        <v>22</v>
      </c>
    </row>
    <row r="6619" spans="1:11" ht="42" customHeight="1">
      <c r="A6619" s="2" t="s">
        <v>13807</v>
      </c>
      <c r="B6619" s="2" t="s">
        <v>13807</v>
      </c>
      <c r="C6619" s="2" t="s">
        <v>16</v>
      </c>
      <c r="D6619" s="2" t="s">
        <v>17</v>
      </c>
      <c r="E6619" s="5">
        <v>-31647</v>
      </c>
      <c r="F6619" s="3" t="s">
        <v>1972</v>
      </c>
      <c r="G6619" s="3" t="s">
        <v>3167</v>
      </c>
      <c r="H6619" s="2" t="s">
        <v>20</v>
      </c>
      <c r="I6619" s="2" t="s">
        <v>13808</v>
      </c>
      <c r="J6619" s="3" t="str">
        <f>HYPERLINK("https://www.boe.es/gazeta/dias/1813/05/08/pdfs/GRE-1813-57.pdf#page=3","Abrir facsímil")</f>
        <v>Abrir facsímil</v>
      </c>
      <c r="K6619" s="3" t="s">
        <v>22</v>
      </c>
    </row>
    <row r="6620" spans="1:11" ht="42" customHeight="1">
      <c r="A6620" s="2" t="s">
        <v>13807</v>
      </c>
      <c r="B6620" s="2" t="s">
        <v>13807</v>
      </c>
      <c r="C6620" s="2" t="s">
        <v>16</v>
      </c>
      <c r="D6620" s="2" t="s">
        <v>17</v>
      </c>
      <c r="E6620" s="5">
        <v>-31585</v>
      </c>
      <c r="F6620" s="3" t="s">
        <v>177</v>
      </c>
      <c r="G6620" s="3" t="s">
        <v>313</v>
      </c>
      <c r="H6620" s="2" t="s">
        <v>20</v>
      </c>
      <c r="I6620" s="2" t="s">
        <v>13809</v>
      </c>
      <c r="J6620" s="3" t="str">
        <f>HYPERLINK("https://www.boe.es/gazeta/dias/1813/07/09/pdfs/GMR-1813-16.pdf#page=9","Abrir facsímil")</f>
        <v>Abrir facsímil</v>
      </c>
      <c r="K6620" s="3" t="s">
        <v>22</v>
      </c>
    </row>
    <row r="6621" spans="1:11" ht="42" customHeight="1">
      <c r="A6621" s="2" t="s">
        <v>13807</v>
      </c>
      <c r="B6621" s="2" t="s">
        <v>13807</v>
      </c>
      <c r="C6621" s="2" t="s">
        <v>16</v>
      </c>
      <c r="D6621" s="2" t="s">
        <v>17</v>
      </c>
      <c r="E6621" s="5">
        <v>-31516</v>
      </c>
      <c r="F6621" s="3" t="s">
        <v>1685</v>
      </c>
      <c r="G6621" s="3" t="s">
        <v>95</v>
      </c>
      <c r="H6621" s="2" t="s">
        <v>20</v>
      </c>
      <c r="I6621" s="2" t="s">
        <v>13810</v>
      </c>
      <c r="J6621" s="3" t="str">
        <f>HYPERLINK("https://www.boe.es/gazeta/dias/1813/09/16/pdfs/GRE-1813-120.pdf#page=6","Abrir facsímil")</f>
        <v>Abrir facsímil</v>
      </c>
      <c r="K6621" s="3" t="s">
        <v>22</v>
      </c>
    </row>
    <row r="6622" spans="1:11" ht="42" customHeight="1">
      <c r="A6622" s="2" t="s">
        <v>13807</v>
      </c>
      <c r="B6622" s="2" t="s">
        <v>13807</v>
      </c>
      <c r="C6622" s="2" t="s">
        <v>16</v>
      </c>
      <c r="D6622" s="2" t="s">
        <v>17</v>
      </c>
      <c r="E6622" s="5">
        <v>-31418</v>
      </c>
      <c r="F6622" s="3" t="s">
        <v>1529</v>
      </c>
      <c r="G6622" s="3" t="s">
        <v>95</v>
      </c>
      <c r="H6622" s="2" t="s">
        <v>20</v>
      </c>
      <c r="I6622" s="2" t="s">
        <v>13811</v>
      </c>
      <c r="J6622" s="3" t="str">
        <f>HYPERLINK("https://www.boe.es/gazeta/dias/1813/12/23/pdfs/GMR-1813-91.pdf#page=6","Abrir facsímil")</f>
        <v>Abrir facsímil</v>
      </c>
      <c r="K6622" s="3" t="s">
        <v>22</v>
      </c>
    </row>
    <row r="6623" spans="1:11" ht="42" customHeight="1">
      <c r="A6623" s="2" t="s">
        <v>13812</v>
      </c>
      <c r="B6623" s="2" t="s">
        <v>13813</v>
      </c>
      <c r="C6623" s="2" t="s">
        <v>25</v>
      </c>
      <c r="D6623" s="2" t="s">
        <v>26</v>
      </c>
      <c r="E6623" s="5">
        <v>-31619</v>
      </c>
      <c r="F6623" s="3" t="s">
        <v>749</v>
      </c>
      <c r="G6623" s="3" t="s">
        <v>54</v>
      </c>
      <c r="H6623" s="2" t="s">
        <v>20</v>
      </c>
      <c r="I6623" s="2" t="s">
        <v>13814</v>
      </c>
      <c r="J6623" s="3" t="str">
        <f>HYPERLINK("https://www.boe.es/gazeta/dias/1813/06/05/pdfs/GRE-1813-70.pdf#page=3","Abrir facsímil")</f>
        <v>Abrir facsímil</v>
      </c>
      <c r="K6623" s="3" t="s">
        <v>22</v>
      </c>
    </row>
    <row r="6624" spans="1:11" ht="42" customHeight="1">
      <c r="A6624" s="2" t="s">
        <v>13815</v>
      </c>
      <c r="B6624" s="2" t="s">
        <v>13815</v>
      </c>
      <c r="C6624" s="2" t="s">
        <v>16</v>
      </c>
      <c r="D6624" s="2" t="s">
        <v>17</v>
      </c>
      <c r="E6624" s="5">
        <v>-31542</v>
      </c>
      <c r="F6624" s="3" t="s">
        <v>337</v>
      </c>
      <c r="G6624" s="3" t="s">
        <v>87</v>
      </c>
      <c r="H6624" s="2" t="s">
        <v>20</v>
      </c>
      <c r="I6624" s="2" t="s">
        <v>13816</v>
      </c>
      <c r="J6624" s="3" t="str">
        <f>HYPERLINK("https://www.boe.es/gazeta/dias/1813/08/21/pdfs/GRE-1813-107.pdf#page=7","Abrir facsímil")</f>
        <v>Abrir facsímil</v>
      </c>
      <c r="K6624" s="3" t="s">
        <v>22</v>
      </c>
    </row>
    <row r="6625" spans="1:11" ht="42" customHeight="1">
      <c r="A6625" s="2" t="s">
        <v>13815</v>
      </c>
      <c r="B6625" s="2" t="s">
        <v>13815</v>
      </c>
      <c r="C6625" s="2" t="s">
        <v>16</v>
      </c>
      <c r="D6625" s="2" t="s">
        <v>17</v>
      </c>
      <c r="E6625" s="5">
        <v>-31525</v>
      </c>
      <c r="F6625" s="3" t="s">
        <v>135</v>
      </c>
      <c r="G6625" s="3" t="s">
        <v>82</v>
      </c>
      <c r="H6625" s="2" t="s">
        <v>20</v>
      </c>
      <c r="I6625" s="2" t="s">
        <v>13817</v>
      </c>
      <c r="J6625" s="3" t="str">
        <f>HYPERLINK("https://www.boe.es/gazeta/dias/1813/09/07/pdfs/GMR-1813-38.pdf#page=5","Abrir facsímil")</f>
        <v>Abrir facsímil</v>
      </c>
      <c r="K6625" s="3" t="s">
        <v>22</v>
      </c>
    </row>
    <row r="6626" spans="1:11" ht="42" customHeight="1">
      <c r="A6626" s="2" t="s">
        <v>13818</v>
      </c>
      <c r="B6626" s="2" t="s">
        <v>13818</v>
      </c>
      <c r="C6626" s="2" t="s">
        <v>16</v>
      </c>
      <c r="D6626" s="2" t="s">
        <v>17</v>
      </c>
      <c r="E6626" s="5">
        <v>-31668</v>
      </c>
      <c r="F6626" s="3" t="s">
        <v>574</v>
      </c>
      <c r="G6626" s="3" t="s">
        <v>6144</v>
      </c>
      <c r="H6626" s="2" t="s">
        <v>20</v>
      </c>
      <c r="I6626" s="2" t="s">
        <v>13819</v>
      </c>
      <c r="J6626" s="3" t="str">
        <f>HYPERLINK("https://www.boe.es/gazeta/dias/1813/04/17/pdfs/GRE-1813-48.pdf#page=7","Abrir facsímil")</f>
        <v>Abrir facsímil</v>
      </c>
      <c r="K6626" s="3" t="s">
        <v>22</v>
      </c>
    </row>
    <row r="6627" spans="1:11" ht="42" customHeight="1">
      <c r="A6627" s="2" t="s">
        <v>13818</v>
      </c>
      <c r="B6627" s="2" t="s">
        <v>13818</v>
      </c>
      <c r="C6627" s="2" t="s">
        <v>16</v>
      </c>
      <c r="D6627" s="2" t="s">
        <v>17</v>
      </c>
      <c r="E6627" s="5">
        <v>-31647</v>
      </c>
      <c r="F6627" s="3" t="s">
        <v>1972</v>
      </c>
      <c r="G6627" s="3" t="s">
        <v>3167</v>
      </c>
      <c r="H6627" s="2" t="s">
        <v>20</v>
      </c>
      <c r="I6627" s="2" t="s">
        <v>13820</v>
      </c>
      <c r="J6627" s="3" t="str">
        <f>HYPERLINK("https://www.boe.es/gazeta/dias/1813/05/08/pdfs/GRE-1813-57.pdf#page=3","Abrir facsímil")</f>
        <v>Abrir facsímil</v>
      </c>
      <c r="K6627" s="3" t="s">
        <v>22</v>
      </c>
    </row>
    <row r="6628" spans="1:11" ht="42" customHeight="1">
      <c r="A6628" s="2" t="s">
        <v>13818</v>
      </c>
      <c r="B6628" s="2" t="s">
        <v>13818</v>
      </c>
      <c r="C6628" s="2" t="s">
        <v>16</v>
      </c>
      <c r="D6628" s="2" t="s">
        <v>17</v>
      </c>
      <c r="E6628" s="5">
        <v>-31600</v>
      </c>
      <c r="F6628" s="3" t="s">
        <v>2121</v>
      </c>
      <c r="G6628" s="3" t="s">
        <v>19</v>
      </c>
      <c r="H6628" s="2" t="s">
        <v>20</v>
      </c>
      <c r="I6628" s="2" t="s">
        <v>13821</v>
      </c>
      <c r="J6628" s="3" t="str">
        <f>HYPERLINK("https://www.boe.es/gazeta/dias/1813/06/24/pdfs/GRE-1813-78.pdf#page=4","Abrir facsímil")</f>
        <v>Abrir facsímil</v>
      </c>
      <c r="K6628" s="3" t="s">
        <v>22</v>
      </c>
    </row>
    <row r="6629" spans="1:11" ht="42" customHeight="1">
      <c r="A6629" s="2" t="s">
        <v>13818</v>
      </c>
      <c r="B6629" s="2" t="s">
        <v>13818</v>
      </c>
      <c r="C6629" s="2" t="s">
        <v>16</v>
      </c>
      <c r="D6629" s="2" t="s">
        <v>17</v>
      </c>
      <c r="E6629" s="5">
        <v>-31588</v>
      </c>
      <c r="F6629" s="3" t="s">
        <v>1535</v>
      </c>
      <c r="G6629" s="3" t="s">
        <v>87</v>
      </c>
      <c r="H6629" s="2" t="s">
        <v>20</v>
      </c>
      <c r="I6629" s="2" t="s">
        <v>13822</v>
      </c>
      <c r="J6629" s="3" t="str">
        <f>HYPERLINK("https://www.boe.es/gazeta/dias/1813/07/06/pdfs/GMR-1813-15.pdf#page=7","Abrir facsímil")</f>
        <v>Abrir facsímil</v>
      </c>
      <c r="K6629" s="3" t="s">
        <v>22</v>
      </c>
    </row>
    <row r="6630" spans="1:11" ht="42" customHeight="1">
      <c r="A6630" s="2" t="s">
        <v>13818</v>
      </c>
      <c r="B6630" s="2" t="s">
        <v>13818</v>
      </c>
      <c r="C6630" s="2" t="s">
        <v>16</v>
      </c>
      <c r="D6630" s="2" t="s">
        <v>17</v>
      </c>
      <c r="E6630" s="5">
        <v>-31585</v>
      </c>
      <c r="F6630" s="3" t="s">
        <v>177</v>
      </c>
      <c r="G6630" s="3" t="s">
        <v>2126</v>
      </c>
      <c r="H6630" s="2" t="s">
        <v>20</v>
      </c>
      <c r="I6630" s="2" t="s">
        <v>13823</v>
      </c>
      <c r="J6630" s="3" t="str">
        <f>HYPERLINK("https://www.boe.es/gazeta/dias/1813/07/09/pdfs/GMR-1813-16.pdf#page=5","Abrir facsímil")</f>
        <v>Abrir facsímil</v>
      </c>
      <c r="K6630" s="3" t="s">
        <v>22</v>
      </c>
    </row>
    <row r="6631" spans="1:11" ht="42" customHeight="1">
      <c r="A6631" s="2" t="s">
        <v>13824</v>
      </c>
      <c r="B6631" s="2" t="s">
        <v>13825</v>
      </c>
      <c r="C6631" s="2" t="s">
        <v>16</v>
      </c>
      <c r="D6631" s="2" t="s">
        <v>17</v>
      </c>
      <c r="E6631" s="5">
        <v>-31602</v>
      </c>
      <c r="F6631" s="3" t="s">
        <v>2117</v>
      </c>
      <c r="G6631" s="3" t="s">
        <v>28</v>
      </c>
      <c r="H6631" s="2" t="s">
        <v>20</v>
      </c>
      <c r="I6631" s="2" t="s">
        <v>13826</v>
      </c>
      <c r="J6631" s="3" t="str">
        <f>HYPERLINK("https://www.boe.es/gazeta/dias/1813/06/22/pdfs/GMR-1813-9.pdf#page=8","Abrir facsímil")</f>
        <v>Abrir facsímil</v>
      </c>
      <c r="K6631" s="3" t="s">
        <v>22</v>
      </c>
    </row>
    <row r="6632" spans="1:11" ht="42" customHeight="1">
      <c r="A6632" s="2" t="s">
        <v>13824</v>
      </c>
      <c r="B6632" s="2" t="s">
        <v>13825</v>
      </c>
      <c r="C6632" s="2" t="s">
        <v>16</v>
      </c>
      <c r="D6632" s="2" t="s">
        <v>17</v>
      </c>
      <c r="E6632" s="5">
        <v>-31602</v>
      </c>
      <c r="F6632" s="3" t="s">
        <v>4545</v>
      </c>
      <c r="G6632" s="3" t="s">
        <v>95</v>
      </c>
      <c r="H6632" s="2" t="s">
        <v>20</v>
      </c>
      <c r="I6632" s="2" t="s">
        <v>13827</v>
      </c>
      <c r="J6632" s="3" t="str">
        <f>HYPERLINK("https://www.boe.es/gazeta/dias/1813/06/22/pdfs/GRE-1813-77.pdf#page=6","Abrir facsímil")</f>
        <v>Abrir facsímil</v>
      </c>
      <c r="K6632" s="3" t="s">
        <v>22</v>
      </c>
    </row>
    <row r="6633" spans="1:11" ht="42" customHeight="1">
      <c r="A6633" s="2" t="s">
        <v>13824</v>
      </c>
      <c r="B6633" s="2" t="s">
        <v>13825</v>
      </c>
      <c r="C6633" s="2" t="s">
        <v>16</v>
      </c>
      <c r="D6633" s="2" t="s">
        <v>17</v>
      </c>
      <c r="E6633" s="5">
        <v>-31599</v>
      </c>
      <c r="F6633" s="3" t="s">
        <v>2470</v>
      </c>
      <c r="G6633" s="3" t="s">
        <v>95</v>
      </c>
      <c r="H6633" s="2" t="s">
        <v>20</v>
      </c>
      <c r="I6633" s="2" t="s">
        <v>13828</v>
      </c>
      <c r="J6633" s="3" t="str">
        <f>HYPERLINK("https://www.boe.es/gazeta/dias/1813/06/25/pdfs/GMR-1813-11.pdf#page=6","Abrir facsímil")</f>
        <v>Abrir facsímil</v>
      </c>
      <c r="K6633" s="3" t="s">
        <v>22</v>
      </c>
    </row>
    <row r="6634" spans="1:11" ht="42" customHeight="1">
      <c r="A6634" s="2" t="s">
        <v>13829</v>
      </c>
      <c r="B6634" s="2" t="s">
        <v>13830</v>
      </c>
      <c r="C6634" s="2" t="s">
        <v>25</v>
      </c>
      <c r="D6634" s="2" t="s">
        <v>26</v>
      </c>
      <c r="E6634" s="5">
        <v>-31719</v>
      </c>
      <c r="F6634" s="3" t="s">
        <v>1770</v>
      </c>
      <c r="G6634" s="3" t="s">
        <v>28</v>
      </c>
      <c r="H6634" s="2" t="s">
        <v>20</v>
      </c>
      <c r="I6634" s="2" t="s">
        <v>13831</v>
      </c>
      <c r="J6634" s="3" t="str">
        <f>HYPERLINK("https://www.boe.es/gazeta/dias/1813/02/25/pdfs/GRE-1813-24.pdf#page=8","Abrir facsímil")</f>
        <v>Abrir facsímil</v>
      </c>
      <c r="K6634" s="3" t="s">
        <v>22</v>
      </c>
    </row>
    <row r="6635" spans="1:11" ht="42" customHeight="1">
      <c r="A6635" s="2" t="s">
        <v>13829</v>
      </c>
      <c r="B6635" s="2" t="s">
        <v>13830</v>
      </c>
      <c r="C6635" s="2" t="s">
        <v>25</v>
      </c>
      <c r="D6635" s="2" t="s">
        <v>26</v>
      </c>
      <c r="E6635" s="5">
        <v>-31717</v>
      </c>
      <c r="F6635" s="3" t="s">
        <v>2338</v>
      </c>
      <c r="G6635" s="3" t="s">
        <v>2339</v>
      </c>
      <c r="H6635" s="2" t="s">
        <v>20</v>
      </c>
      <c r="I6635" s="2" t="s">
        <v>13832</v>
      </c>
      <c r="J6635" s="3" t="str">
        <f>HYPERLINK("https://www.boe.es/gazeta/dias/1813/02/27/pdfs/GRE-1813-25.pdf#page=7","Abrir facsímil")</f>
        <v>Abrir facsímil</v>
      </c>
      <c r="K6635" s="3" t="s">
        <v>22</v>
      </c>
    </row>
    <row r="6636" spans="1:11" ht="42" customHeight="1">
      <c r="A6636" s="2" t="s">
        <v>13833</v>
      </c>
      <c r="B6636" s="2" t="s">
        <v>13834</v>
      </c>
      <c r="C6636" s="2" t="s">
        <v>34</v>
      </c>
      <c r="D6636" s="2" t="s">
        <v>35</v>
      </c>
      <c r="E6636" s="5">
        <v>-31709</v>
      </c>
      <c r="F6636" s="3" t="s">
        <v>36</v>
      </c>
      <c r="G6636" s="3" t="s">
        <v>19</v>
      </c>
      <c r="H6636" s="2" t="s">
        <v>20</v>
      </c>
      <c r="I6636" s="2" t="s">
        <v>13835</v>
      </c>
      <c r="J6636" s="3" t="str">
        <f>HYPERLINK("https://www.boe.es/gazeta/dias/1813/03/07/pdfs/GMD-1813-66.pdf#page=4","Abrir facsímil")</f>
        <v>Abrir facsímil</v>
      </c>
      <c r="K6636" s="3" t="s">
        <v>22</v>
      </c>
    </row>
    <row r="6637" spans="1:11" ht="42" customHeight="1">
      <c r="A6637" s="2" t="s">
        <v>13836</v>
      </c>
      <c r="B6637" s="2" t="s">
        <v>13837</v>
      </c>
      <c r="C6637" s="2" t="s">
        <v>25</v>
      </c>
      <c r="D6637" s="2" t="s">
        <v>26</v>
      </c>
      <c r="E6637" s="5">
        <v>-31677</v>
      </c>
      <c r="F6637" s="3" t="s">
        <v>76</v>
      </c>
      <c r="G6637" s="3" t="s">
        <v>28</v>
      </c>
      <c r="H6637" s="2" t="s">
        <v>20</v>
      </c>
      <c r="I6637" s="2" t="s">
        <v>13838</v>
      </c>
      <c r="J6637" s="3" t="str">
        <f>HYPERLINK("https://www.boe.es/gazeta/dias/1813/04/08/pdfs/GRE-1813-43.pdf#page=8","Abrir facsímil")</f>
        <v>Abrir facsímil</v>
      </c>
      <c r="K6637" s="3" t="s">
        <v>22</v>
      </c>
    </row>
    <row r="6638" spans="1:11" ht="42" customHeight="1">
      <c r="A6638" s="2" t="s">
        <v>13839</v>
      </c>
      <c r="B6638" s="2" t="s">
        <v>13839</v>
      </c>
      <c r="C6638" s="2" t="s">
        <v>25</v>
      </c>
      <c r="D6638" s="2" t="s">
        <v>26</v>
      </c>
      <c r="E6638" s="5">
        <v>-31476</v>
      </c>
      <c r="F6638" s="3" t="s">
        <v>158</v>
      </c>
      <c r="G6638" s="3" t="s">
        <v>54</v>
      </c>
      <c r="H6638" s="2" t="s">
        <v>20</v>
      </c>
      <c r="I6638" s="2" t="s">
        <v>13840</v>
      </c>
      <c r="J6638" s="3" t="str">
        <f>HYPERLINK("https://www.boe.es/gazeta/dias/1813/10/26/pdfs/GMR-1813-64.pdf#page=3","Abrir facsímil")</f>
        <v>Abrir facsímil</v>
      </c>
      <c r="K6638" s="3" t="s">
        <v>22</v>
      </c>
    </row>
    <row r="6639" spans="1:11" ht="42" customHeight="1">
      <c r="A6639" s="2" t="s">
        <v>13841</v>
      </c>
      <c r="B6639" s="2" t="s">
        <v>13842</v>
      </c>
      <c r="C6639" s="2" t="s">
        <v>16</v>
      </c>
      <c r="D6639" s="2" t="s">
        <v>17</v>
      </c>
      <c r="E6639" s="5">
        <v>-31630</v>
      </c>
      <c r="F6639" s="3" t="s">
        <v>1324</v>
      </c>
      <c r="G6639" s="3" t="s">
        <v>3731</v>
      </c>
      <c r="H6639" s="2" t="s">
        <v>20</v>
      </c>
      <c r="I6639" s="2" t="s">
        <v>13843</v>
      </c>
      <c r="J6639" s="3" t="str">
        <f>HYPERLINK("https://www.boe.es/gazeta/dias/1813/05/25/pdfs/GRE-1813-64.pdf#page=7","Abrir facsímil")</f>
        <v>Abrir facsímil</v>
      </c>
      <c r="K6639" s="3" t="s">
        <v>22</v>
      </c>
    </row>
    <row r="6640" spans="1:11" ht="42" customHeight="1">
      <c r="A6640" s="2" t="s">
        <v>13844</v>
      </c>
      <c r="B6640" s="2" t="s">
        <v>13845</v>
      </c>
      <c r="C6640" s="2" t="s">
        <v>25</v>
      </c>
      <c r="D6640" s="2" t="s">
        <v>26</v>
      </c>
      <c r="E6640" s="5">
        <v>-31677</v>
      </c>
      <c r="F6640" s="3" t="s">
        <v>76</v>
      </c>
      <c r="G6640" s="3" t="s">
        <v>28</v>
      </c>
      <c r="H6640" s="2" t="s">
        <v>20</v>
      </c>
      <c r="I6640" s="2" t="s">
        <v>13846</v>
      </c>
      <c r="J6640" s="3" t="str">
        <f>HYPERLINK("https://www.boe.es/gazeta/dias/1813/04/08/pdfs/GRE-1813-43.pdf#page=8","Abrir facsímil")</f>
        <v>Abrir facsímil</v>
      </c>
      <c r="K6640" s="3" t="s">
        <v>22</v>
      </c>
    </row>
    <row r="6641" spans="1:11" ht="42" customHeight="1">
      <c r="A6641" s="2" t="s">
        <v>13847</v>
      </c>
      <c r="B6641" s="2" t="s">
        <v>13848</v>
      </c>
      <c r="C6641" s="2" t="s">
        <v>25</v>
      </c>
      <c r="D6641" s="2" t="s">
        <v>26</v>
      </c>
      <c r="E6641" s="5">
        <v>-31745</v>
      </c>
      <c r="F6641" s="3" t="s">
        <v>445</v>
      </c>
      <c r="G6641" s="3" t="s">
        <v>28</v>
      </c>
      <c r="H6641" s="2" t="s">
        <v>20</v>
      </c>
      <c r="I6641" s="2" t="s">
        <v>13849</v>
      </c>
      <c r="J6641" s="3" t="str">
        <f>HYPERLINK("https://www.boe.es/gazeta/dias/1813/01/30/pdfs/GRE-1813-13.pdf#page=8","Abrir facsímil")</f>
        <v>Abrir facsímil</v>
      </c>
      <c r="K6641" s="3" t="s">
        <v>22</v>
      </c>
    </row>
    <row r="6642" spans="1:11" ht="42" customHeight="1">
      <c r="A6642" s="2" t="s">
        <v>13847</v>
      </c>
      <c r="B6642" s="2" t="s">
        <v>13848</v>
      </c>
      <c r="C6642" s="2" t="s">
        <v>16</v>
      </c>
      <c r="D6642" s="2" t="s">
        <v>17</v>
      </c>
      <c r="E6642" s="5">
        <v>-31537</v>
      </c>
      <c r="F6642" s="3" t="s">
        <v>5241</v>
      </c>
      <c r="G6642" s="3" t="s">
        <v>19</v>
      </c>
      <c r="H6642" s="2" t="s">
        <v>20</v>
      </c>
      <c r="I6642" s="2" t="s">
        <v>13850</v>
      </c>
      <c r="J6642" s="3" t="str">
        <f>HYPERLINK("https://www.boe.es/gazeta/dias/1813/08/26/pdfs/GRE-1813-109.pdf#page=4","Abrir facsímil")</f>
        <v>Abrir facsímil</v>
      </c>
      <c r="K6642" s="3" t="s">
        <v>22</v>
      </c>
    </row>
    <row r="6643" spans="1:11" ht="42" customHeight="1">
      <c r="A6643" s="2" t="s">
        <v>13847</v>
      </c>
      <c r="B6643" s="2" t="s">
        <v>13848</v>
      </c>
      <c r="C6643" s="2" t="s">
        <v>25</v>
      </c>
      <c r="D6643" s="2" t="s">
        <v>26</v>
      </c>
      <c r="E6643" s="5">
        <v>-31537</v>
      </c>
      <c r="F6643" s="3" t="s">
        <v>5241</v>
      </c>
      <c r="G6643" s="3" t="s">
        <v>95</v>
      </c>
      <c r="H6643" s="2" t="s">
        <v>20</v>
      </c>
      <c r="I6643" s="2" t="s">
        <v>13851</v>
      </c>
      <c r="J6643" s="3" t="str">
        <f>HYPERLINK("https://www.boe.es/gazeta/dias/1813/08/26/pdfs/GRE-1813-109.pdf#page=6","Abrir facsímil")</f>
        <v>Abrir facsímil</v>
      </c>
      <c r="K6643" s="3" t="s">
        <v>22</v>
      </c>
    </row>
    <row r="6644" spans="1:11" ht="42" customHeight="1">
      <c r="A6644" s="2" t="s">
        <v>13852</v>
      </c>
      <c r="B6644" s="2" t="s">
        <v>13853</v>
      </c>
      <c r="C6644" s="2" t="s">
        <v>16</v>
      </c>
      <c r="D6644" s="2" t="s">
        <v>17</v>
      </c>
      <c r="E6644" s="5">
        <v>-31691</v>
      </c>
      <c r="F6644" s="3" t="s">
        <v>1542</v>
      </c>
      <c r="G6644" s="3" t="s">
        <v>95</v>
      </c>
      <c r="H6644" s="2" t="s">
        <v>20</v>
      </c>
      <c r="I6644" s="2" t="s">
        <v>13854</v>
      </c>
      <c r="J6644" s="3" t="str">
        <f>HYPERLINK("https://www.boe.es/gazeta/dias/1813/03/25/pdfs/GRE-1813-37.pdf#page=6","Abrir facsímil")</f>
        <v>Abrir facsímil</v>
      </c>
      <c r="K6644" s="3" t="s">
        <v>22</v>
      </c>
    </row>
    <row r="6645" spans="1:11" ht="42" customHeight="1">
      <c r="A6645" s="2" t="s">
        <v>13855</v>
      </c>
      <c r="B6645" s="2" t="s">
        <v>13856</v>
      </c>
      <c r="C6645" s="2" t="s">
        <v>25</v>
      </c>
      <c r="D6645" s="2" t="s">
        <v>26</v>
      </c>
      <c r="E6645" s="5">
        <v>-31675</v>
      </c>
      <c r="F6645" s="3" t="s">
        <v>27</v>
      </c>
      <c r="G6645" s="3" t="s">
        <v>28</v>
      </c>
      <c r="H6645" s="2" t="s">
        <v>20</v>
      </c>
      <c r="I6645" s="2" t="s">
        <v>13857</v>
      </c>
      <c r="J6645" s="3" t="str">
        <f>HYPERLINK("https://www.boe.es/gazeta/dias/1813/04/10/pdfs/GRE-1813-44.pdf#page=8","Abrir facsímil")</f>
        <v>Abrir facsímil</v>
      </c>
      <c r="K6645" s="3" t="s">
        <v>22</v>
      </c>
    </row>
    <row r="6646" spans="1:11" ht="42" customHeight="1">
      <c r="A6646" s="2" t="s">
        <v>13858</v>
      </c>
      <c r="B6646" s="2" t="s">
        <v>13859</v>
      </c>
      <c r="C6646" s="2" t="s">
        <v>16</v>
      </c>
      <c r="D6646" s="2" t="s">
        <v>17</v>
      </c>
      <c r="E6646" s="5">
        <v>-31738</v>
      </c>
      <c r="F6646" s="3" t="s">
        <v>556</v>
      </c>
      <c r="G6646" s="3" t="s">
        <v>28</v>
      </c>
      <c r="H6646" s="2" t="s">
        <v>20</v>
      </c>
      <c r="I6646" s="2" t="s">
        <v>13860</v>
      </c>
      <c r="J6646" s="3" t="str">
        <f>HYPERLINK("https://www.boe.es/gazeta/dias/1813/02/06/pdfs/GRE-1813-16.pdf#page=8","Abrir facsímil")</f>
        <v>Abrir facsímil</v>
      </c>
      <c r="K6646" s="3" t="s">
        <v>22</v>
      </c>
    </row>
    <row r="6647" spans="1:11" ht="42" customHeight="1">
      <c r="A6647" s="2" t="s">
        <v>13861</v>
      </c>
      <c r="B6647" s="2" t="s">
        <v>13862</v>
      </c>
      <c r="C6647" s="2" t="s">
        <v>16</v>
      </c>
      <c r="D6647" s="2" t="s">
        <v>17</v>
      </c>
      <c r="E6647" s="5">
        <v>-31465</v>
      </c>
      <c r="F6647" s="3" t="s">
        <v>407</v>
      </c>
      <c r="G6647" s="3" t="s">
        <v>54</v>
      </c>
      <c r="H6647" s="2" t="s">
        <v>20</v>
      </c>
      <c r="I6647" s="2" t="s">
        <v>13863</v>
      </c>
      <c r="J6647" s="3" t="str">
        <f>HYPERLINK("https://www.boe.es/gazeta/dias/1813/11/06/pdfs/GMR-1813-70.pdf#page=3","Abrir facsímil")</f>
        <v>Abrir facsímil</v>
      </c>
      <c r="K6647" s="3" t="s">
        <v>22</v>
      </c>
    </row>
    <row r="6648" spans="1:11" ht="42" customHeight="1">
      <c r="A6648" s="2" t="s">
        <v>13864</v>
      </c>
      <c r="B6648" s="2" t="s">
        <v>13865</v>
      </c>
      <c r="C6648" s="2" t="s">
        <v>34</v>
      </c>
      <c r="D6648" s="2" t="s">
        <v>35</v>
      </c>
      <c r="E6648" s="5">
        <v>-31709</v>
      </c>
      <c r="F6648" s="3" t="s">
        <v>36</v>
      </c>
      <c r="G6648" s="3" t="s">
        <v>303</v>
      </c>
      <c r="H6648" s="2" t="s">
        <v>20</v>
      </c>
      <c r="I6648" s="2" t="s">
        <v>13866</v>
      </c>
      <c r="J6648" s="3" t="str">
        <f>HYPERLINK("https://www.boe.es/gazeta/dias/1813/03/07/pdfs/GMD-1813-66.pdf#page=3","Abrir facsímil")</f>
        <v>Abrir facsímil</v>
      </c>
      <c r="K6648" s="3" t="s">
        <v>22</v>
      </c>
    </row>
    <row r="6649" spans="1:11" ht="42" customHeight="1">
      <c r="A6649" s="2" t="s">
        <v>13867</v>
      </c>
      <c r="B6649" s="2" t="s">
        <v>13868</v>
      </c>
      <c r="C6649" s="2" t="s">
        <v>16</v>
      </c>
      <c r="D6649" s="2" t="s">
        <v>97</v>
      </c>
      <c r="E6649" s="5">
        <v>-31519</v>
      </c>
      <c r="F6649" s="3" t="s">
        <v>312</v>
      </c>
      <c r="G6649" s="3" t="s">
        <v>28</v>
      </c>
      <c r="H6649" s="2" t="s">
        <v>20</v>
      </c>
      <c r="I6649" s="2" t="s">
        <v>13869</v>
      </c>
      <c r="J6649" s="3" t="str">
        <f>HYPERLINK("https://www.boe.es/gazeta/dias/1813/09/13/pdfs/GRE-1813-118E.pdf#page=8","Abrir facsímil")</f>
        <v>Abrir facsímil</v>
      </c>
      <c r="K6649" s="3" t="s">
        <v>22</v>
      </c>
    </row>
    <row r="6650" spans="1:11" ht="42" customHeight="1">
      <c r="A6650" s="2" t="s">
        <v>13870</v>
      </c>
      <c r="B6650" s="2" t="s">
        <v>13871</v>
      </c>
      <c r="C6650" s="2" t="s">
        <v>16</v>
      </c>
      <c r="D6650" s="2" t="s">
        <v>17</v>
      </c>
      <c r="E6650" s="5">
        <v>-31539</v>
      </c>
      <c r="F6650" s="3" t="s">
        <v>1220</v>
      </c>
      <c r="G6650" s="3" t="s">
        <v>65</v>
      </c>
      <c r="H6650" s="2" t="s">
        <v>20</v>
      </c>
      <c r="I6650" s="2" t="s">
        <v>13872</v>
      </c>
      <c r="J6650" s="3" t="str">
        <f>HYPERLINK("https://www.boe.es/gazeta/dias/1813/08/24/pdfs/GRE-1813-108.pdf#page=1","Abrir facsímil")</f>
        <v>Abrir facsímil</v>
      </c>
      <c r="K6650" s="3" t="s">
        <v>22</v>
      </c>
    </row>
    <row r="6651" spans="1:11" ht="42" customHeight="1">
      <c r="A6651" s="2" t="s">
        <v>13870</v>
      </c>
      <c r="B6651" s="2" t="s">
        <v>13871</v>
      </c>
      <c r="C6651" s="2" t="s">
        <v>16</v>
      </c>
      <c r="D6651" s="2" t="s">
        <v>17</v>
      </c>
      <c r="E6651" s="5">
        <v>-31539</v>
      </c>
      <c r="F6651" s="3" t="s">
        <v>1220</v>
      </c>
      <c r="G6651" s="3" t="s">
        <v>58</v>
      </c>
      <c r="H6651" s="2" t="s">
        <v>20</v>
      </c>
      <c r="I6651" s="2" t="s">
        <v>13873</v>
      </c>
      <c r="J6651" s="3" t="str">
        <f>HYPERLINK("https://www.boe.es/gazeta/dias/1813/08/24/pdfs/GRE-1813-108.pdf#page=2","Abrir facsímil")</f>
        <v>Abrir facsímil</v>
      </c>
      <c r="K6651" s="3" t="s">
        <v>22</v>
      </c>
    </row>
    <row r="6652" spans="1:11" ht="42" customHeight="1">
      <c r="A6652" s="2" t="s">
        <v>13874</v>
      </c>
      <c r="B6652" s="2" t="s">
        <v>13875</v>
      </c>
      <c r="C6652" s="2" t="s">
        <v>25</v>
      </c>
      <c r="D6652" s="2" t="s">
        <v>26</v>
      </c>
      <c r="E6652" s="5">
        <v>-31530</v>
      </c>
      <c r="F6652" s="3" t="s">
        <v>133</v>
      </c>
      <c r="G6652" s="3" t="s">
        <v>95</v>
      </c>
      <c r="H6652" s="2" t="s">
        <v>20</v>
      </c>
      <c r="I6652" s="2" t="s">
        <v>13876</v>
      </c>
      <c r="J6652" s="3" t="str">
        <f>HYPERLINK("https://www.boe.es/gazeta/dias/1813/09/02/pdfs/GMR-1813-36.pdf#page=6","Abrir facsímil")</f>
        <v>Abrir facsímil</v>
      </c>
      <c r="K6652" s="3" t="s">
        <v>22</v>
      </c>
    </row>
    <row r="6653" spans="1:11" ht="42" customHeight="1">
      <c r="A6653" s="2" t="s">
        <v>13877</v>
      </c>
      <c r="B6653" s="2" t="s">
        <v>13878</v>
      </c>
      <c r="C6653" s="2" t="s">
        <v>25</v>
      </c>
      <c r="D6653" s="2" t="s">
        <v>26</v>
      </c>
      <c r="E6653" s="5">
        <v>-31546</v>
      </c>
      <c r="F6653" s="3" t="s">
        <v>2057</v>
      </c>
      <c r="G6653" s="3" t="s">
        <v>82</v>
      </c>
      <c r="H6653" s="2" t="s">
        <v>20</v>
      </c>
      <c r="I6653" s="2" t="s">
        <v>13879</v>
      </c>
      <c r="J6653" s="3" t="str">
        <f>HYPERLINK("https://www.boe.es/gazeta/dias/1813/08/17/pdfs/GRE-1813-105.pdf#page=5","Abrir facsímil")</f>
        <v>Abrir facsímil</v>
      </c>
      <c r="K6653" s="3" t="s">
        <v>22</v>
      </c>
    </row>
    <row r="6654" spans="1:11" ht="42" customHeight="1">
      <c r="A6654" s="2" t="s">
        <v>13877</v>
      </c>
      <c r="B6654" s="2" t="s">
        <v>13878</v>
      </c>
      <c r="C6654" s="2" t="s">
        <v>16</v>
      </c>
      <c r="D6654" s="2" t="s">
        <v>17</v>
      </c>
      <c r="E6654" s="5">
        <v>-31546</v>
      </c>
      <c r="F6654" s="3" t="s">
        <v>2057</v>
      </c>
      <c r="G6654" s="3" t="s">
        <v>87</v>
      </c>
      <c r="H6654" s="2" t="s">
        <v>20</v>
      </c>
      <c r="I6654" s="2" t="s">
        <v>13880</v>
      </c>
      <c r="J6654" s="3" t="str">
        <f>HYPERLINK("https://www.boe.es/gazeta/dias/1813/08/17/pdfs/GRE-1813-105.pdf#page=7","Abrir facsímil")</f>
        <v>Abrir facsímil</v>
      </c>
      <c r="K6654" s="3" t="s">
        <v>22</v>
      </c>
    </row>
    <row r="6655" spans="1:11" ht="42" customHeight="1">
      <c r="A6655" s="2" t="s">
        <v>13881</v>
      </c>
      <c r="B6655" s="2" t="s">
        <v>13882</v>
      </c>
      <c r="C6655" s="2" t="s">
        <v>25</v>
      </c>
      <c r="D6655" s="2" t="s">
        <v>26</v>
      </c>
      <c r="E6655" s="5">
        <v>-31539</v>
      </c>
      <c r="F6655" s="3" t="s">
        <v>1220</v>
      </c>
      <c r="G6655" s="3" t="s">
        <v>87</v>
      </c>
      <c r="H6655" s="2" t="s">
        <v>20</v>
      </c>
      <c r="I6655" s="2" t="s">
        <v>13883</v>
      </c>
      <c r="J6655" s="3" t="str">
        <f>HYPERLINK("https://www.boe.es/gazeta/dias/1813/08/24/pdfs/GRE-1813-108.pdf#page=7","Abrir facsímil")</f>
        <v>Abrir facsímil</v>
      </c>
      <c r="K6655" s="3" t="s">
        <v>22</v>
      </c>
    </row>
    <row r="6656" spans="1:11" ht="42" customHeight="1">
      <c r="A6656" s="2" t="s">
        <v>13884</v>
      </c>
      <c r="B6656" s="2" t="s">
        <v>13885</v>
      </c>
      <c r="C6656" s="2" t="s">
        <v>16</v>
      </c>
      <c r="D6656" s="2" t="s">
        <v>17</v>
      </c>
      <c r="E6656" s="5">
        <v>-31567</v>
      </c>
      <c r="F6656" s="3" t="s">
        <v>820</v>
      </c>
      <c r="G6656" s="3" t="s">
        <v>747</v>
      </c>
      <c r="H6656" s="2" t="s">
        <v>20</v>
      </c>
      <c r="I6656" s="2" t="s">
        <v>13886</v>
      </c>
      <c r="J6656" s="3" t="str">
        <f>HYPERLINK("https://www.boe.es/gazeta/dias/1813/07/27/pdfs/GMR-1813-21.pdf#page=10","Abrir facsímil")</f>
        <v>Abrir facsímil</v>
      </c>
      <c r="K6656" s="3" t="s">
        <v>22</v>
      </c>
    </row>
    <row r="6657" spans="1:11" ht="42" customHeight="1">
      <c r="A6657" s="2" t="s">
        <v>13887</v>
      </c>
      <c r="B6657" s="2" t="s">
        <v>13888</v>
      </c>
      <c r="C6657" s="2" t="s">
        <v>25</v>
      </c>
      <c r="D6657" s="2" t="s">
        <v>26</v>
      </c>
      <c r="E6657" s="5">
        <v>-31689</v>
      </c>
      <c r="F6657" s="3" t="s">
        <v>48</v>
      </c>
      <c r="G6657" s="3" t="s">
        <v>162</v>
      </c>
      <c r="H6657" s="2" t="s">
        <v>20</v>
      </c>
      <c r="I6657" s="2" t="s">
        <v>13889</v>
      </c>
      <c r="J6657" s="3" t="str">
        <f>HYPERLINK("https://www.boe.es/gazeta/dias/1813/03/27/pdfs/GRE-1813-38.pdf#page=8","Abrir facsímil")</f>
        <v>Abrir facsímil</v>
      </c>
      <c r="K6657" s="3" t="s">
        <v>22</v>
      </c>
    </row>
    <row r="6658" spans="1:11" ht="42" customHeight="1">
      <c r="A6658" s="2" t="s">
        <v>13890</v>
      </c>
      <c r="B6658" s="2" t="s">
        <v>13891</v>
      </c>
      <c r="C6658" s="2" t="s">
        <v>34</v>
      </c>
      <c r="D6658" s="2" t="s">
        <v>35</v>
      </c>
      <c r="E6658" s="5">
        <v>-31709</v>
      </c>
      <c r="F6658" s="3" t="s">
        <v>36</v>
      </c>
      <c r="G6658" s="3" t="s">
        <v>19</v>
      </c>
      <c r="H6658" s="2" t="s">
        <v>20</v>
      </c>
      <c r="I6658" s="2" t="s">
        <v>13892</v>
      </c>
      <c r="J6658" s="3" t="str">
        <f>HYPERLINK("https://www.boe.es/gazeta/dias/1813/03/07/pdfs/GMD-1813-66.pdf#page=4","Abrir facsímil")</f>
        <v>Abrir facsímil</v>
      </c>
      <c r="K6658" s="3" t="s">
        <v>22</v>
      </c>
    </row>
    <row r="6659" spans="1:11" ht="42" customHeight="1">
      <c r="A6659" s="2" t="s">
        <v>13893</v>
      </c>
      <c r="B6659" s="2" t="s">
        <v>13894</v>
      </c>
      <c r="C6659" s="2" t="s">
        <v>16</v>
      </c>
      <c r="D6659" s="2" t="s">
        <v>17</v>
      </c>
      <c r="E6659" s="5">
        <v>-31606</v>
      </c>
      <c r="F6659" s="3" t="s">
        <v>124</v>
      </c>
      <c r="G6659" s="3" t="s">
        <v>87</v>
      </c>
      <c r="H6659" s="2" t="s">
        <v>20</v>
      </c>
      <c r="I6659" s="2" t="s">
        <v>13895</v>
      </c>
      <c r="J6659" s="3" t="str">
        <f>HYPERLINK("https://www.boe.es/gazeta/dias/1813/06/18/pdfs/GMR-1813-7.pdf#page=7","Abrir facsímil")</f>
        <v>Abrir facsímil</v>
      </c>
      <c r="K6659" s="3" t="s">
        <v>22</v>
      </c>
    </row>
    <row r="6660" spans="1:11" ht="42" customHeight="1">
      <c r="A6660" s="2" t="s">
        <v>13896</v>
      </c>
      <c r="B6660" s="2" t="s">
        <v>13896</v>
      </c>
      <c r="C6660" s="2" t="s">
        <v>16</v>
      </c>
      <c r="D6660" s="2" t="s">
        <v>97</v>
      </c>
      <c r="E6660" s="5">
        <v>-31519</v>
      </c>
      <c r="F6660" s="3" t="s">
        <v>312</v>
      </c>
      <c r="G6660" s="3" t="s">
        <v>58</v>
      </c>
      <c r="H6660" s="2" t="s">
        <v>20</v>
      </c>
      <c r="I6660" s="2" t="s">
        <v>13897</v>
      </c>
      <c r="J6660" s="3" t="str">
        <f>HYPERLINK("https://www.boe.es/gazeta/dias/1813/09/13/pdfs/GRE-1813-118E.pdf#page=2","Abrir facsímil")</f>
        <v>Abrir facsímil</v>
      </c>
      <c r="K6660" s="3" t="s">
        <v>22</v>
      </c>
    </row>
    <row r="6661" spans="1:11" ht="42" customHeight="1">
      <c r="A6661" s="2" t="s">
        <v>13898</v>
      </c>
      <c r="B6661" s="2" t="s">
        <v>13898</v>
      </c>
      <c r="C6661" s="2" t="s">
        <v>16</v>
      </c>
      <c r="D6661" s="2" t="s">
        <v>17</v>
      </c>
      <c r="E6661" s="5">
        <v>-31511</v>
      </c>
      <c r="F6661" s="3" t="s">
        <v>935</v>
      </c>
      <c r="G6661" s="3" t="s">
        <v>313</v>
      </c>
      <c r="H6661" s="2" t="s">
        <v>20</v>
      </c>
      <c r="I6661" s="2" t="s">
        <v>13899</v>
      </c>
      <c r="J6661" s="3" t="str">
        <f>HYPERLINK("https://www.boe.es/gazeta/dias/1813/09/21/pdfs/GMR-1813-46.pdf#page=9","Abrir facsímil")</f>
        <v>Abrir facsímil</v>
      </c>
      <c r="K6661" s="3" t="s">
        <v>22</v>
      </c>
    </row>
    <row r="6662" spans="1:11" ht="42" customHeight="1">
      <c r="A6662" s="2" t="s">
        <v>13900</v>
      </c>
      <c r="B6662" s="2" t="s">
        <v>13901</v>
      </c>
      <c r="C6662" s="2" t="s">
        <v>16</v>
      </c>
      <c r="D6662" s="2" t="s">
        <v>17</v>
      </c>
      <c r="E6662" s="5">
        <v>-31592</v>
      </c>
      <c r="F6662" s="3" t="s">
        <v>175</v>
      </c>
      <c r="G6662" s="3" t="s">
        <v>19</v>
      </c>
      <c r="H6662" s="2" t="s">
        <v>20</v>
      </c>
      <c r="I6662" s="2" t="s">
        <v>13902</v>
      </c>
      <c r="J6662" s="3" t="str">
        <f>HYPERLINK("https://www.boe.es/gazeta/dias/1813/07/02/pdfs/GRE-1813-82.pdf#page=4","Abrir facsímil")</f>
        <v>Abrir facsímil</v>
      </c>
      <c r="K6662" s="3" t="s">
        <v>22</v>
      </c>
    </row>
    <row r="6663" spans="1:11" ht="42" customHeight="1">
      <c r="A6663" s="2" t="s">
        <v>13903</v>
      </c>
      <c r="B6663" s="2" t="s">
        <v>13903</v>
      </c>
      <c r="C6663" s="2" t="s">
        <v>25</v>
      </c>
      <c r="D6663" s="2" t="s">
        <v>26</v>
      </c>
      <c r="E6663" s="5">
        <v>-31734</v>
      </c>
      <c r="F6663" s="3" t="s">
        <v>362</v>
      </c>
      <c r="G6663" s="3" t="s">
        <v>58</v>
      </c>
      <c r="H6663" s="2" t="s">
        <v>20</v>
      </c>
      <c r="I6663" s="2" t="s">
        <v>13904</v>
      </c>
      <c r="J6663" s="3" t="str">
        <f>HYPERLINK("https://www.boe.es/gazeta/dias/1813/02/10/pdfs/GMD-1813-41.pdf#page=2","Abrir facsímil")</f>
        <v>Abrir facsímil</v>
      </c>
      <c r="K6663" s="3" t="s">
        <v>22</v>
      </c>
    </row>
    <row r="6664" spans="1:11" ht="42" customHeight="1">
      <c r="A6664" s="2" t="s">
        <v>13903</v>
      </c>
      <c r="B6664" s="2" t="s">
        <v>13903</v>
      </c>
      <c r="C6664" s="2" t="s">
        <v>109</v>
      </c>
      <c r="D6664" s="2" t="s">
        <v>26</v>
      </c>
      <c r="E6664" s="5">
        <v>-31664</v>
      </c>
      <c r="F6664" s="3" t="s">
        <v>1144</v>
      </c>
      <c r="G6664" s="3" t="s">
        <v>58</v>
      </c>
      <c r="H6664" s="2" t="s">
        <v>20</v>
      </c>
      <c r="I6664" s="2" t="s">
        <v>13905</v>
      </c>
      <c r="J6664" s="3" t="str">
        <f>HYPERLINK("https://www.boe.es/gazeta/dias/1813/04/21/pdfs/GMD-1813-111.pdf#page=2","Abrir facsímil")</f>
        <v>Abrir facsímil</v>
      </c>
      <c r="K6664" s="3" t="s">
        <v>22</v>
      </c>
    </row>
    <row r="6665" spans="1:11" ht="42" customHeight="1">
      <c r="A6665" s="2" t="s">
        <v>13906</v>
      </c>
      <c r="B6665" s="2" t="s">
        <v>13907</v>
      </c>
      <c r="C6665" s="2" t="s">
        <v>187</v>
      </c>
      <c r="D6665" s="2" t="s">
        <v>26</v>
      </c>
      <c r="E6665" s="5">
        <v>-31430</v>
      </c>
      <c r="F6665" s="3" t="s">
        <v>1161</v>
      </c>
      <c r="G6665" s="3" t="s">
        <v>28</v>
      </c>
      <c r="H6665" s="2" t="s">
        <v>29</v>
      </c>
      <c r="I6665" s="2" t="s">
        <v>13908</v>
      </c>
      <c r="J6665" s="3" t="str">
        <f>HYPERLINK("https://www.boe.es/gazeta/dias/1813/12/11/pdfs/GMR-1813-86.pdf#page=8","Abrir facsímil")</f>
        <v>Abrir facsímil</v>
      </c>
      <c r="K6665" s="3" t="s">
        <v>31</v>
      </c>
    </row>
    <row r="6666" spans="1:11" ht="42" customHeight="1">
      <c r="A6666" s="2" t="s">
        <v>13909</v>
      </c>
      <c r="B6666" s="2" t="s">
        <v>13909</v>
      </c>
      <c r="C6666" s="2" t="s">
        <v>16</v>
      </c>
      <c r="D6666" s="2" t="s">
        <v>17</v>
      </c>
      <c r="E6666" s="5">
        <v>-31738</v>
      </c>
      <c r="F6666" s="3" t="s">
        <v>556</v>
      </c>
      <c r="G6666" s="3" t="s">
        <v>19</v>
      </c>
      <c r="H6666" s="2" t="s">
        <v>20</v>
      </c>
      <c r="I6666" s="2" t="s">
        <v>13910</v>
      </c>
      <c r="J6666" s="3" t="str">
        <f>HYPERLINK("https://www.boe.es/gazeta/dias/1813/02/06/pdfs/GRE-1813-16.pdf#page=4","Abrir facsímil")</f>
        <v>Abrir facsímil</v>
      </c>
      <c r="K6666" s="3" t="s">
        <v>22</v>
      </c>
    </row>
    <row r="6667" spans="1:11" ht="42" customHeight="1">
      <c r="A6667" s="2" t="s">
        <v>13911</v>
      </c>
      <c r="B6667" s="2" t="s">
        <v>13912</v>
      </c>
      <c r="C6667" s="2" t="s">
        <v>16</v>
      </c>
      <c r="D6667" s="2" t="s">
        <v>17</v>
      </c>
      <c r="E6667" s="5">
        <v>-31537</v>
      </c>
      <c r="F6667" s="3" t="s">
        <v>138</v>
      </c>
      <c r="G6667" s="3" t="s">
        <v>82</v>
      </c>
      <c r="H6667" s="2" t="s">
        <v>20</v>
      </c>
      <c r="I6667" s="2" t="s">
        <v>13913</v>
      </c>
      <c r="J6667" s="3" t="str">
        <f>HYPERLINK("https://www.boe.es/gazeta/dias/1813/08/26/pdfs/GMR-1813-33.pdf#page=5","Abrir facsímil")</f>
        <v>Abrir facsímil</v>
      </c>
      <c r="K6667" s="3" t="s">
        <v>22</v>
      </c>
    </row>
    <row r="6668" spans="1:11" ht="42" customHeight="1">
      <c r="A6668" s="2" t="s">
        <v>13914</v>
      </c>
      <c r="B6668" s="2" t="s">
        <v>13914</v>
      </c>
      <c r="C6668" s="2" t="s">
        <v>16</v>
      </c>
      <c r="D6668" s="2" t="s">
        <v>17</v>
      </c>
      <c r="E6668" s="5">
        <v>-31693</v>
      </c>
      <c r="F6668" s="3" t="s">
        <v>1847</v>
      </c>
      <c r="G6668" s="3" t="s">
        <v>54</v>
      </c>
      <c r="H6668" s="2" t="s">
        <v>20</v>
      </c>
      <c r="I6668" s="2" t="s">
        <v>13915</v>
      </c>
      <c r="J6668" s="3" t="str">
        <f>HYPERLINK("https://www.boe.es/gazeta/dias/1813/03/23/pdfs/GMD-1813-82.pdf#page=3","Abrir facsímil")</f>
        <v>Abrir facsímil</v>
      </c>
      <c r="K6668" s="3" t="s">
        <v>22</v>
      </c>
    </row>
    <row r="6669" spans="1:11" ht="42" customHeight="1">
      <c r="A6669" s="2" t="s">
        <v>13916</v>
      </c>
      <c r="B6669" s="2" t="s">
        <v>13917</v>
      </c>
      <c r="C6669" s="2" t="s">
        <v>109</v>
      </c>
      <c r="D6669" s="2" t="s">
        <v>26</v>
      </c>
      <c r="E6669" s="5">
        <v>-31544</v>
      </c>
      <c r="F6669" s="3" t="s">
        <v>44</v>
      </c>
      <c r="G6669" s="3" t="s">
        <v>49</v>
      </c>
      <c r="H6669" s="2" t="s">
        <v>20</v>
      </c>
      <c r="I6669" s="2" t="s">
        <v>13918</v>
      </c>
      <c r="J6669" s="3" t="str">
        <f>HYPERLINK("https://www.boe.es/gazeta/dias/1813/08/19/pdfs/GMR-1813-30.pdf#page=5","Abrir facsímil")</f>
        <v>Abrir facsímil</v>
      </c>
      <c r="K6669" s="3" t="s">
        <v>22</v>
      </c>
    </row>
    <row r="6670" spans="1:11" ht="42" customHeight="1">
      <c r="A6670" s="2" t="s">
        <v>13919</v>
      </c>
      <c r="B6670" s="2" t="s">
        <v>13920</v>
      </c>
      <c r="C6670" s="2" t="s">
        <v>187</v>
      </c>
      <c r="D6670" s="2" t="s">
        <v>26</v>
      </c>
      <c r="E6670" s="5">
        <v>-31469</v>
      </c>
      <c r="F6670" s="3" t="s">
        <v>1452</v>
      </c>
      <c r="G6670" s="3" t="s">
        <v>2893</v>
      </c>
      <c r="H6670" s="2" t="s">
        <v>20</v>
      </c>
      <c r="I6670" s="2" t="s">
        <v>13921</v>
      </c>
      <c r="J6670" s="3" t="str">
        <f>HYPERLINK("https://www.boe.es/gazeta/dias/1813/11/02/pdfs/GRE-1813-143.pdf#page=8","Abrir facsímil")</f>
        <v>Abrir facsímil</v>
      </c>
      <c r="K6670" s="3" t="s">
        <v>22</v>
      </c>
    </row>
    <row r="6671" spans="1:11" ht="42" customHeight="1">
      <c r="A6671" s="2" t="s">
        <v>13922</v>
      </c>
      <c r="B6671" s="2" t="s">
        <v>13923</v>
      </c>
      <c r="C6671" s="2" t="s">
        <v>16</v>
      </c>
      <c r="D6671" s="2" t="s">
        <v>17</v>
      </c>
      <c r="E6671" s="5">
        <v>-31546</v>
      </c>
      <c r="F6671" s="3" t="s">
        <v>2057</v>
      </c>
      <c r="G6671" s="3" t="s">
        <v>87</v>
      </c>
      <c r="H6671" s="2" t="s">
        <v>20</v>
      </c>
      <c r="I6671" s="2" t="s">
        <v>13924</v>
      </c>
      <c r="J6671" s="3" t="str">
        <f>HYPERLINK("https://www.boe.es/gazeta/dias/1813/08/17/pdfs/GRE-1813-105.pdf#page=7","Abrir facsímil")</f>
        <v>Abrir facsímil</v>
      </c>
      <c r="K6671" s="3" t="s">
        <v>22</v>
      </c>
    </row>
    <row r="6672" spans="1:11" ht="42" customHeight="1">
      <c r="A6672" s="2" t="s">
        <v>13925</v>
      </c>
      <c r="B6672" s="2" t="s">
        <v>13926</v>
      </c>
      <c r="C6672" s="2" t="s">
        <v>277</v>
      </c>
      <c r="D6672" s="2" t="s">
        <v>26</v>
      </c>
      <c r="E6672" s="5">
        <v>-31434</v>
      </c>
      <c r="F6672" s="3" t="s">
        <v>948</v>
      </c>
      <c r="G6672" s="3" t="s">
        <v>87</v>
      </c>
      <c r="H6672" s="2" t="s">
        <v>20</v>
      </c>
      <c r="I6672" s="2" t="s">
        <v>13927</v>
      </c>
      <c r="J6672" s="3" t="str">
        <f>HYPERLINK("https://www.boe.es/gazeta/dias/1813/12/07/pdfs/GMR-1813-84.pdf#page=7","Abrir facsímil")</f>
        <v>Abrir facsímil</v>
      </c>
      <c r="K6672" s="3" t="s">
        <v>22</v>
      </c>
    </row>
    <row r="6673" spans="1:11" ht="42" customHeight="1">
      <c r="A6673" s="2" t="s">
        <v>13928</v>
      </c>
      <c r="B6673" s="2" t="s">
        <v>13928</v>
      </c>
      <c r="C6673" s="2" t="s">
        <v>16</v>
      </c>
      <c r="D6673" s="2" t="s">
        <v>17</v>
      </c>
      <c r="E6673" s="5">
        <v>-31592</v>
      </c>
      <c r="F6673" s="3" t="s">
        <v>175</v>
      </c>
      <c r="G6673" s="3" t="s">
        <v>19</v>
      </c>
      <c r="H6673" s="2" t="s">
        <v>20</v>
      </c>
      <c r="I6673" s="2" t="s">
        <v>13929</v>
      </c>
      <c r="J6673" s="3" t="str">
        <f>HYPERLINK("https://www.boe.es/gazeta/dias/1813/07/02/pdfs/GRE-1813-82.pdf#page=4","Abrir facsímil")</f>
        <v>Abrir facsímil</v>
      </c>
      <c r="K6673" s="3" t="s">
        <v>22</v>
      </c>
    </row>
    <row r="6674" spans="1:11" ht="42" customHeight="1">
      <c r="A6674" s="2" t="s">
        <v>13928</v>
      </c>
      <c r="B6674" s="2" t="s">
        <v>13928</v>
      </c>
      <c r="C6674" s="2" t="s">
        <v>16</v>
      </c>
      <c r="D6674" s="2" t="s">
        <v>17</v>
      </c>
      <c r="E6674" s="5">
        <v>-31585</v>
      </c>
      <c r="F6674" s="3" t="s">
        <v>177</v>
      </c>
      <c r="G6674" s="3" t="s">
        <v>207</v>
      </c>
      <c r="H6674" s="2" t="s">
        <v>20</v>
      </c>
      <c r="I6674" s="2" t="s">
        <v>13930</v>
      </c>
      <c r="J6674" s="3" t="str">
        <f>HYPERLINK("https://www.boe.es/gazeta/dias/1813/07/09/pdfs/GMR-1813-16.pdf#page=10","Abrir facsímil")</f>
        <v>Abrir facsímil</v>
      </c>
      <c r="K6674" s="3" t="s">
        <v>22</v>
      </c>
    </row>
    <row r="6675" spans="1:11" ht="42" customHeight="1">
      <c r="A6675" s="2" t="s">
        <v>13931</v>
      </c>
      <c r="B6675" s="2" t="s">
        <v>13932</v>
      </c>
      <c r="C6675" s="2" t="s">
        <v>25</v>
      </c>
      <c r="D6675" s="2" t="s">
        <v>26</v>
      </c>
      <c r="E6675" s="5">
        <v>-31738</v>
      </c>
      <c r="F6675" s="3" t="s">
        <v>556</v>
      </c>
      <c r="G6675" s="3" t="s">
        <v>3260</v>
      </c>
      <c r="H6675" s="2" t="s">
        <v>20</v>
      </c>
      <c r="I6675" s="2" t="s">
        <v>13933</v>
      </c>
      <c r="J6675" s="3" t="str">
        <f>HYPERLINK("https://www.boe.es/gazeta/dias/1813/02/06/pdfs/GRE-1813-16.pdf#page=7","Abrir facsímil")</f>
        <v>Abrir facsímil</v>
      </c>
      <c r="K6675" s="3" t="s">
        <v>22</v>
      </c>
    </row>
    <row r="6676" spans="1:11" ht="42" customHeight="1">
      <c r="A6676" s="2" t="s">
        <v>13934</v>
      </c>
      <c r="B6676" s="2" t="s">
        <v>13934</v>
      </c>
      <c r="C6676" s="2" t="s">
        <v>69</v>
      </c>
      <c r="D6676" s="2" t="s">
        <v>26</v>
      </c>
      <c r="E6676" s="5">
        <v>-31655</v>
      </c>
      <c r="F6676" s="3" t="s">
        <v>858</v>
      </c>
      <c r="G6676" s="3" t="s">
        <v>983</v>
      </c>
      <c r="H6676" s="2" t="s">
        <v>20</v>
      </c>
      <c r="I6676" s="2" t="s">
        <v>13935</v>
      </c>
      <c r="J6676" s="3" t="str">
        <f>HYPERLINK("https://www.boe.es/gazeta/dias/1813/04/30/pdfs/GMD-1813-120.pdf#page=3","Abrir facsímil")</f>
        <v>Abrir facsímil</v>
      </c>
      <c r="K6676" s="3" t="s">
        <v>22</v>
      </c>
    </row>
    <row r="6677" spans="1:11" ht="42" customHeight="1">
      <c r="A6677" s="2" t="s">
        <v>13936</v>
      </c>
      <c r="B6677" s="2" t="s">
        <v>13936</v>
      </c>
      <c r="C6677" s="2" t="s">
        <v>16</v>
      </c>
      <c r="D6677" s="2" t="s">
        <v>17</v>
      </c>
      <c r="E6677" s="5">
        <v>-31535</v>
      </c>
      <c r="F6677" s="3" t="s">
        <v>366</v>
      </c>
      <c r="G6677" s="3" t="s">
        <v>87</v>
      </c>
      <c r="H6677" s="2" t="s">
        <v>20</v>
      </c>
      <c r="I6677" s="2" t="s">
        <v>13937</v>
      </c>
      <c r="J6677" s="3" t="str">
        <f>HYPERLINK("https://www.boe.es/gazeta/dias/1813/08/28/pdfs/GRE-1813-110.pdf#page=7","Abrir facsímil")</f>
        <v>Abrir facsímil</v>
      </c>
      <c r="K6677" s="3" t="s">
        <v>22</v>
      </c>
    </row>
    <row r="6678" spans="1:11" ht="42" customHeight="1">
      <c r="A6678" s="2" t="s">
        <v>13936</v>
      </c>
      <c r="B6678" s="2" t="s">
        <v>13936</v>
      </c>
      <c r="C6678" s="2" t="s">
        <v>25</v>
      </c>
      <c r="D6678" s="2" t="s">
        <v>26</v>
      </c>
      <c r="E6678" s="5">
        <v>-31495</v>
      </c>
      <c r="F6678" s="3" t="s">
        <v>484</v>
      </c>
      <c r="G6678" s="3" t="s">
        <v>82</v>
      </c>
      <c r="H6678" s="2" t="s">
        <v>20</v>
      </c>
      <c r="I6678" s="2" t="s">
        <v>13938</v>
      </c>
      <c r="J6678" s="3" t="str">
        <f>HYPERLINK("https://www.boe.es/gazeta/dias/1813/10/07/pdfs/GRE-1813-131.pdf#page=5","Abrir facsímil")</f>
        <v>Abrir facsímil</v>
      </c>
      <c r="K6678" s="3" t="s">
        <v>22</v>
      </c>
    </row>
    <row r="6679" spans="1:11" ht="42" customHeight="1">
      <c r="A6679" s="2" t="s">
        <v>13939</v>
      </c>
      <c r="B6679" s="2" t="s">
        <v>13939</v>
      </c>
      <c r="C6679" s="2" t="s">
        <v>16</v>
      </c>
      <c r="D6679" s="2" t="s">
        <v>17</v>
      </c>
      <c r="E6679" s="5">
        <v>-31474</v>
      </c>
      <c r="F6679" s="3" t="s">
        <v>130</v>
      </c>
      <c r="G6679" s="3" t="s">
        <v>87</v>
      </c>
      <c r="H6679" s="2" t="s">
        <v>20</v>
      </c>
      <c r="I6679" s="2" t="s">
        <v>13940</v>
      </c>
      <c r="J6679" s="3" t="str">
        <f>HYPERLINK("https://www.boe.es/gazeta/dias/1813/10/28/pdfs/GRE-1813-141.pdf#page=7","Abrir facsímil")</f>
        <v>Abrir facsímil</v>
      </c>
      <c r="K6679" s="3" t="s">
        <v>22</v>
      </c>
    </row>
    <row r="6680" spans="1:11" ht="42" customHeight="1">
      <c r="A6680" s="2" t="s">
        <v>13941</v>
      </c>
      <c r="B6680" s="2" t="s">
        <v>13941</v>
      </c>
      <c r="C6680" s="2" t="s">
        <v>435</v>
      </c>
      <c r="D6680" s="2" t="s">
        <v>26</v>
      </c>
      <c r="E6680" s="5">
        <v>-31659</v>
      </c>
      <c r="F6680" s="3" t="s">
        <v>3041</v>
      </c>
      <c r="G6680" s="3" t="s">
        <v>1058</v>
      </c>
      <c r="H6680" s="2" t="s">
        <v>20</v>
      </c>
      <c r="I6680" s="2" t="s">
        <v>13942</v>
      </c>
      <c r="J6680" s="3" t="str">
        <f>HYPERLINK("https://www.boe.es/gazeta/dias/1813/04/26/pdfs/GMD-1813-116.pdf#page=4","Abrir facsímil")</f>
        <v>Abrir facsímil</v>
      </c>
      <c r="K6680" s="3" t="s">
        <v>22</v>
      </c>
    </row>
    <row r="6681" spans="1:11" ht="42" customHeight="1">
      <c r="A6681" s="2" t="s">
        <v>13941</v>
      </c>
      <c r="B6681" s="2" t="s">
        <v>13941</v>
      </c>
      <c r="C6681" s="2" t="s">
        <v>16</v>
      </c>
      <c r="D6681" s="2" t="s">
        <v>17</v>
      </c>
      <c r="E6681" s="5">
        <v>-31629</v>
      </c>
      <c r="F6681" s="3" t="s">
        <v>1146</v>
      </c>
      <c r="G6681" s="3" t="s">
        <v>19</v>
      </c>
      <c r="H6681" s="2" t="s">
        <v>20</v>
      </c>
      <c r="I6681" s="2" t="s">
        <v>13943</v>
      </c>
      <c r="J6681" s="3" t="str">
        <f>HYPERLINK("https://www.boe.es/gazeta/dias/1813/05/26/pdfs/GMD-1813-146.pdf#page=4","Abrir facsímil")</f>
        <v>Abrir facsímil</v>
      </c>
      <c r="K6681" s="3" t="s">
        <v>22</v>
      </c>
    </row>
    <row r="6682" spans="1:11" ht="42" customHeight="1">
      <c r="A6682" s="2" t="s">
        <v>13944</v>
      </c>
      <c r="B6682" s="2" t="s">
        <v>13945</v>
      </c>
      <c r="C6682" s="2" t="s">
        <v>25</v>
      </c>
      <c r="D6682" s="2" t="s">
        <v>26</v>
      </c>
      <c r="E6682" s="5">
        <v>-31754</v>
      </c>
      <c r="F6682" s="3" t="s">
        <v>899</v>
      </c>
      <c r="G6682" s="3" t="s">
        <v>900</v>
      </c>
      <c r="H6682" s="2" t="s">
        <v>20</v>
      </c>
      <c r="I6682" s="2" t="s">
        <v>13946</v>
      </c>
      <c r="J6682" s="3" t="str">
        <f>HYPERLINK("https://www.boe.es/gazeta/dias/1813/01/21/pdfs/GRE-1813-9.pdf#page=8","Abrir facsímil")</f>
        <v>Abrir facsímil</v>
      </c>
      <c r="K6682" s="3" t="s">
        <v>22</v>
      </c>
    </row>
    <row r="6683" spans="1:11" ht="42" customHeight="1">
      <c r="A6683" s="2" t="s">
        <v>13947</v>
      </c>
      <c r="B6683" s="2" t="s">
        <v>13948</v>
      </c>
      <c r="C6683" s="2" t="s">
        <v>16</v>
      </c>
      <c r="D6683" s="2" t="s">
        <v>17</v>
      </c>
      <c r="E6683" s="5">
        <v>-31644</v>
      </c>
      <c r="F6683" s="3" t="s">
        <v>3904</v>
      </c>
      <c r="G6683" s="3" t="s">
        <v>8054</v>
      </c>
      <c r="H6683" s="2" t="s">
        <v>20</v>
      </c>
      <c r="I6683" s="2" t="s">
        <v>13949</v>
      </c>
      <c r="J6683" s="3" t="str">
        <f>HYPERLINK("https://www.boe.es/gazeta/dias/1813/05/11/pdfs/GRE-1813-58.pdf#page=6","Abrir facsímil")</f>
        <v>Abrir facsímil</v>
      </c>
      <c r="K6683" s="3" t="s">
        <v>22</v>
      </c>
    </row>
    <row r="6684" spans="1:11" ht="42" customHeight="1">
      <c r="A6684" s="2" t="s">
        <v>13950</v>
      </c>
      <c r="B6684" s="2" t="s">
        <v>13951</v>
      </c>
      <c r="C6684" s="2" t="s">
        <v>34</v>
      </c>
      <c r="D6684" s="2" t="s">
        <v>97</v>
      </c>
      <c r="E6684" s="5">
        <v>-31519</v>
      </c>
      <c r="F6684" s="3" t="s">
        <v>312</v>
      </c>
      <c r="G6684" s="3" t="s">
        <v>95</v>
      </c>
      <c r="H6684" s="2" t="s">
        <v>20</v>
      </c>
      <c r="I6684" s="2" t="s">
        <v>13952</v>
      </c>
      <c r="J6684" s="3" t="str">
        <f>HYPERLINK("https://www.boe.es/gazeta/dias/1813/09/13/pdfs/GRE-1813-118E.pdf#page=6","Abrir facsímil")</f>
        <v>Abrir facsímil</v>
      </c>
      <c r="K6684" s="3" t="s">
        <v>22</v>
      </c>
    </row>
    <row r="6685" spans="1:11" ht="42" customHeight="1">
      <c r="A6685" s="2" t="s">
        <v>13953</v>
      </c>
      <c r="B6685" s="2" t="s">
        <v>13954</v>
      </c>
      <c r="C6685" s="2" t="s">
        <v>16</v>
      </c>
      <c r="D6685" s="2" t="s">
        <v>97</v>
      </c>
      <c r="E6685" s="5">
        <v>-31519</v>
      </c>
      <c r="F6685" s="3" t="s">
        <v>312</v>
      </c>
      <c r="G6685" s="3" t="s">
        <v>82</v>
      </c>
      <c r="H6685" s="2" t="s">
        <v>20</v>
      </c>
      <c r="I6685" s="2" t="s">
        <v>13955</v>
      </c>
      <c r="J6685" s="3" t="str">
        <f>HYPERLINK("https://www.boe.es/gazeta/dias/1813/09/13/pdfs/GRE-1813-118E.pdf#page=5","Abrir facsímil")</f>
        <v>Abrir facsímil</v>
      </c>
      <c r="K6685" s="3" t="s">
        <v>22</v>
      </c>
    </row>
    <row r="6686" spans="1:11" ht="42" customHeight="1">
      <c r="A6686" s="2" t="s">
        <v>13956</v>
      </c>
      <c r="B6686" s="2" t="s">
        <v>13956</v>
      </c>
      <c r="C6686" s="2" t="s">
        <v>16</v>
      </c>
      <c r="D6686" s="2" t="s">
        <v>17</v>
      </c>
      <c r="E6686" s="5">
        <v>-31707</v>
      </c>
      <c r="F6686" s="3" t="s">
        <v>2195</v>
      </c>
      <c r="G6686" s="3" t="s">
        <v>19</v>
      </c>
      <c r="H6686" s="2" t="s">
        <v>20</v>
      </c>
      <c r="I6686" s="2" t="s">
        <v>13957</v>
      </c>
      <c r="J6686" s="3" t="str">
        <f>HYPERLINK("https://www.boe.es/gazeta/dias/1813/03/09/pdfs/GMD-1813-68.pdf#page=4","Abrir facsímil")</f>
        <v>Abrir facsímil</v>
      </c>
      <c r="K6686" s="3" t="s">
        <v>22</v>
      </c>
    </row>
    <row r="6687" spans="1:11" ht="42" customHeight="1">
      <c r="A6687" s="2" t="s">
        <v>13958</v>
      </c>
      <c r="B6687" s="2" t="s">
        <v>13959</v>
      </c>
      <c r="C6687" s="2" t="s">
        <v>16</v>
      </c>
      <c r="D6687" s="2" t="s">
        <v>17</v>
      </c>
      <c r="E6687" s="5">
        <v>-31532</v>
      </c>
      <c r="F6687" s="3" t="s">
        <v>1728</v>
      </c>
      <c r="G6687" s="3" t="s">
        <v>65</v>
      </c>
      <c r="H6687" s="2" t="s">
        <v>20</v>
      </c>
      <c r="I6687" s="2" t="s">
        <v>13960</v>
      </c>
      <c r="J6687" s="3" t="str">
        <f>HYPERLINK("https://www.boe.es/gazeta/dias/1813/08/31/pdfs/GMR-1813-35.pdf#page=1","Abrir facsímil")</f>
        <v>Abrir facsímil</v>
      </c>
      <c r="K6687" s="3" t="s">
        <v>22</v>
      </c>
    </row>
    <row r="6688" spans="1:11" ht="42" customHeight="1">
      <c r="A6688" s="2" t="s">
        <v>13961</v>
      </c>
      <c r="B6688" s="2" t="s">
        <v>13962</v>
      </c>
      <c r="C6688" s="2" t="s">
        <v>25</v>
      </c>
      <c r="D6688" s="2" t="s">
        <v>26</v>
      </c>
      <c r="E6688" s="5">
        <v>-31675</v>
      </c>
      <c r="F6688" s="3" t="s">
        <v>27</v>
      </c>
      <c r="G6688" s="3" t="s">
        <v>28</v>
      </c>
      <c r="H6688" s="2" t="s">
        <v>20</v>
      </c>
      <c r="I6688" s="2" t="s">
        <v>13963</v>
      </c>
      <c r="J6688" s="3" t="str">
        <f>HYPERLINK("https://www.boe.es/gazeta/dias/1813/04/10/pdfs/GRE-1813-44.pdf#page=8","Abrir facsímil")</f>
        <v>Abrir facsímil</v>
      </c>
      <c r="K6688" s="3" t="s">
        <v>22</v>
      </c>
    </row>
    <row r="6689" spans="1:11" ht="42" customHeight="1">
      <c r="A6689" s="2" t="s">
        <v>13964</v>
      </c>
      <c r="B6689" s="2" t="s">
        <v>13964</v>
      </c>
      <c r="C6689" s="2" t="s">
        <v>16</v>
      </c>
      <c r="D6689" s="2" t="s">
        <v>17</v>
      </c>
      <c r="E6689" s="5">
        <v>-31592</v>
      </c>
      <c r="F6689" s="3" t="s">
        <v>175</v>
      </c>
      <c r="G6689" s="3" t="s">
        <v>471</v>
      </c>
      <c r="H6689" s="2" t="s">
        <v>20</v>
      </c>
      <c r="I6689" s="2" t="s">
        <v>13965</v>
      </c>
      <c r="J6689" s="3" t="str">
        <f>HYPERLINK("https://www.boe.es/gazeta/dias/1813/07/02/pdfs/GRE-1813-82.pdf#page=7","Abrir facsímil")</f>
        <v>Abrir facsímil</v>
      </c>
      <c r="K6689" s="3" t="s">
        <v>22</v>
      </c>
    </row>
    <row r="6690" spans="1:11" ht="42" customHeight="1">
      <c r="A6690" s="2" t="s">
        <v>13964</v>
      </c>
      <c r="B6690" s="2" t="s">
        <v>13964</v>
      </c>
      <c r="C6690" s="2" t="s">
        <v>16</v>
      </c>
      <c r="D6690" s="2" t="s">
        <v>17</v>
      </c>
      <c r="E6690" s="5">
        <v>-31585</v>
      </c>
      <c r="F6690" s="3" t="s">
        <v>177</v>
      </c>
      <c r="G6690" s="3" t="s">
        <v>258</v>
      </c>
      <c r="H6690" s="2" t="s">
        <v>20</v>
      </c>
      <c r="I6690" s="2" t="s">
        <v>13966</v>
      </c>
      <c r="J6690" s="3" t="str">
        <f>HYPERLINK("https://www.boe.es/gazeta/dias/1813/07/09/pdfs/GMR-1813-16.pdf#page=12","Abrir facsímil")</f>
        <v>Abrir facsímil</v>
      </c>
      <c r="K6690" s="3" t="s">
        <v>22</v>
      </c>
    </row>
    <row r="6691" spans="1:11" ht="42" customHeight="1">
      <c r="A6691" s="2" t="s">
        <v>13964</v>
      </c>
      <c r="B6691" s="2" t="s">
        <v>13964</v>
      </c>
      <c r="C6691" s="2" t="s">
        <v>16</v>
      </c>
      <c r="D6691" s="2" t="s">
        <v>97</v>
      </c>
      <c r="E6691" s="5">
        <v>-31548</v>
      </c>
      <c r="F6691" s="3" t="s">
        <v>1680</v>
      </c>
      <c r="G6691" s="3" t="s">
        <v>534</v>
      </c>
      <c r="H6691" s="2" t="s">
        <v>20</v>
      </c>
      <c r="I6691" s="2" t="s">
        <v>13967</v>
      </c>
      <c r="J6691" s="3" t="str">
        <f>HYPERLINK("https://www.boe.es/gazeta/dias/1813/08/15/pdfs/GRE-1813-104E.pdf#page=4","Abrir facsímil")</f>
        <v>Abrir facsímil</v>
      </c>
      <c r="K6691" s="3" t="s">
        <v>22</v>
      </c>
    </row>
    <row r="6692" spans="1:11" ht="42" customHeight="1">
      <c r="A6692" s="2" t="s">
        <v>13964</v>
      </c>
      <c r="B6692" s="2" t="s">
        <v>13964</v>
      </c>
      <c r="C6692" s="2" t="s">
        <v>16</v>
      </c>
      <c r="D6692" s="2" t="s">
        <v>17</v>
      </c>
      <c r="E6692" s="5">
        <v>-31537</v>
      </c>
      <c r="F6692" s="3" t="s">
        <v>138</v>
      </c>
      <c r="G6692" s="3" t="s">
        <v>3181</v>
      </c>
      <c r="H6692" s="2" t="s">
        <v>20</v>
      </c>
      <c r="I6692" s="2" t="s">
        <v>13968</v>
      </c>
      <c r="J6692" s="3" t="str">
        <f>HYPERLINK("https://www.boe.es/gazeta/dias/1813/08/26/pdfs/GMR-1813-33.pdf#page=10","Abrir facsímil")</f>
        <v>Abrir facsímil</v>
      </c>
      <c r="K6692" s="3" t="s">
        <v>22</v>
      </c>
    </row>
    <row r="6693" spans="1:11" ht="42" customHeight="1">
      <c r="A6693" s="2" t="s">
        <v>13969</v>
      </c>
      <c r="B6693" s="2" t="s">
        <v>13970</v>
      </c>
      <c r="C6693" s="2" t="s">
        <v>16</v>
      </c>
      <c r="D6693" s="2" t="s">
        <v>17</v>
      </c>
      <c r="E6693" s="5">
        <v>-31535</v>
      </c>
      <c r="F6693" s="3" t="s">
        <v>366</v>
      </c>
      <c r="G6693" s="3" t="s">
        <v>65</v>
      </c>
      <c r="H6693" s="2" t="s">
        <v>20</v>
      </c>
      <c r="I6693" s="2" t="s">
        <v>13971</v>
      </c>
      <c r="J6693" s="3" t="str">
        <f>HYPERLINK("https://www.boe.es/gazeta/dias/1813/08/28/pdfs/GRE-1813-110.pdf#page=1","Abrir facsímil")</f>
        <v>Abrir facsímil</v>
      </c>
      <c r="K6693" s="3" t="s">
        <v>22</v>
      </c>
    </row>
    <row r="6694" spans="1:11" ht="42" customHeight="1">
      <c r="A6694" s="2" t="s">
        <v>13972</v>
      </c>
      <c r="B6694" s="2" t="s">
        <v>13972</v>
      </c>
      <c r="C6694" s="2" t="s">
        <v>16</v>
      </c>
      <c r="D6694" s="2" t="s">
        <v>17</v>
      </c>
      <c r="E6694" s="5">
        <v>-31423</v>
      </c>
      <c r="F6694" s="3" t="s">
        <v>2465</v>
      </c>
      <c r="G6694" s="3" t="s">
        <v>19</v>
      </c>
      <c r="H6694" s="2" t="s">
        <v>20</v>
      </c>
      <c r="I6694" s="2" t="s">
        <v>13973</v>
      </c>
      <c r="J6694" s="3" t="str">
        <f>HYPERLINK("https://www.boe.es/gazeta/dias/1813/12/18/pdfs/GMR-1813-89.pdf#page=4","Abrir facsímil")</f>
        <v>Abrir facsímil</v>
      </c>
      <c r="K6694" s="3" t="s">
        <v>22</v>
      </c>
    </row>
    <row r="6695" spans="1:11" ht="42" customHeight="1">
      <c r="A6695" s="2" t="s">
        <v>13972</v>
      </c>
      <c r="B6695" s="2" t="s">
        <v>13972</v>
      </c>
      <c r="C6695" s="2" t="s">
        <v>16</v>
      </c>
      <c r="D6695" s="2" t="s">
        <v>17</v>
      </c>
      <c r="E6695" s="5">
        <v>-31416</v>
      </c>
      <c r="F6695" s="3" t="s">
        <v>110</v>
      </c>
      <c r="G6695" s="3" t="s">
        <v>65</v>
      </c>
      <c r="H6695" s="2" t="s">
        <v>20</v>
      </c>
      <c r="I6695" s="2" t="s">
        <v>13974</v>
      </c>
      <c r="J6695" s="3" t="str">
        <f>HYPERLINK("https://www.boe.es/gazeta/dias/1813/12/25/pdfs/GRE-1813-169.pdf#page=1","Abrir facsímil")</f>
        <v>Abrir facsímil</v>
      </c>
      <c r="K6695" s="3" t="s">
        <v>22</v>
      </c>
    </row>
    <row r="6696" spans="1:11" ht="42" customHeight="1">
      <c r="A6696" s="2" t="s">
        <v>13975</v>
      </c>
      <c r="B6696" s="2" t="s">
        <v>13975</v>
      </c>
      <c r="C6696" s="2" t="s">
        <v>16</v>
      </c>
      <c r="D6696" s="2" t="s">
        <v>17</v>
      </c>
      <c r="E6696" s="5">
        <v>-31726</v>
      </c>
      <c r="F6696" s="3" t="s">
        <v>493</v>
      </c>
      <c r="G6696" s="3" t="s">
        <v>19</v>
      </c>
      <c r="H6696" s="2" t="s">
        <v>20</v>
      </c>
      <c r="I6696" s="2" t="s">
        <v>13976</v>
      </c>
      <c r="J6696" s="3" t="str">
        <f>HYPERLINK("https://www.boe.es/gazeta/dias/1813/02/18/pdfs/GMD-1813-49.pdf#page=4","Abrir facsímil")</f>
        <v>Abrir facsímil</v>
      </c>
      <c r="K6696" s="3" t="s">
        <v>22</v>
      </c>
    </row>
    <row r="6697" spans="1:11" ht="42" customHeight="1">
      <c r="A6697" s="2" t="s">
        <v>13977</v>
      </c>
      <c r="B6697" s="2" t="s">
        <v>13977</v>
      </c>
      <c r="C6697" s="2" t="s">
        <v>16</v>
      </c>
      <c r="D6697" s="2" t="s">
        <v>17</v>
      </c>
      <c r="E6697" s="5">
        <v>-31685</v>
      </c>
      <c r="F6697" s="3" t="s">
        <v>2671</v>
      </c>
      <c r="G6697" s="3" t="s">
        <v>58</v>
      </c>
      <c r="H6697" s="2" t="s">
        <v>20</v>
      </c>
      <c r="I6697" s="2" t="s">
        <v>13978</v>
      </c>
      <c r="J6697" s="3" t="str">
        <f>HYPERLINK("https://www.boe.es/gazeta/dias/1813/03/31/pdfs/GMD-1813-90.pdf#page=2","Abrir facsímil")</f>
        <v>Abrir facsímil</v>
      </c>
      <c r="K6697" s="3" t="s">
        <v>22</v>
      </c>
    </row>
    <row r="6698" spans="1:11" ht="42" customHeight="1">
      <c r="A6698" s="2" t="s">
        <v>13979</v>
      </c>
      <c r="B6698" s="2" t="s">
        <v>13979</v>
      </c>
      <c r="C6698" s="2" t="s">
        <v>16</v>
      </c>
      <c r="D6698" s="2" t="s">
        <v>17</v>
      </c>
      <c r="E6698" s="5">
        <v>-31772</v>
      </c>
      <c r="F6698" s="3" t="s">
        <v>709</v>
      </c>
      <c r="G6698" s="3" t="s">
        <v>28</v>
      </c>
      <c r="H6698" s="2" t="s">
        <v>20</v>
      </c>
      <c r="I6698" s="2" t="s">
        <v>13980</v>
      </c>
      <c r="J6698" s="3" t="str">
        <f>HYPERLINK("https://www.boe.es/gazeta/dias/1813/01/03/pdfs/GRE-1813-69.pdf#page=8","Abrir facsímil")</f>
        <v>Abrir facsímil</v>
      </c>
      <c r="K6698" s="3" t="s">
        <v>22</v>
      </c>
    </row>
    <row r="6699" spans="1:11" ht="42" customHeight="1">
      <c r="A6699" s="2" t="s">
        <v>13979</v>
      </c>
      <c r="B6699" s="2" t="s">
        <v>13979</v>
      </c>
      <c r="C6699" s="2" t="s">
        <v>16</v>
      </c>
      <c r="D6699" s="2" t="s">
        <v>17</v>
      </c>
      <c r="E6699" s="5">
        <v>-31621</v>
      </c>
      <c r="F6699" s="3" t="s">
        <v>709</v>
      </c>
      <c r="G6699" s="3" t="s">
        <v>28</v>
      </c>
      <c r="H6699" s="2" t="s">
        <v>20</v>
      </c>
      <c r="I6699" s="2" t="s">
        <v>13980</v>
      </c>
      <c r="J6699" s="3" t="str">
        <f>HYPERLINK("https://www.boe.es/gazeta/dias/1813/06/03/pdfs/GRE-1813-69.pdf#page=8","Abrir facsímil")</f>
        <v>Abrir facsímil</v>
      </c>
      <c r="K6699" s="3" t="s">
        <v>22</v>
      </c>
    </row>
    <row r="6700" spans="1:11" ht="42" customHeight="1">
      <c r="A6700" s="2" t="s">
        <v>13979</v>
      </c>
      <c r="B6700" s="2" t="s">
        <v>13979</v>
      </c>
      <c r="C6700" s="2" t="s">
        <v>16</v>
      </c>
      <c r="D6700" s="2" t="s">
        <v>17</v>
      </c>
      <c r="E6700" s="5">
        <v>-31609</v>
      </c>
      <c r="F6700" s="3" t="s">
        <v>711</v>
      </c>
      <c r="G6700" s="3" t="s">
        <v>87</v>
      </c>
      <c r="H6700" s="2" t="s">
        <v>20</v>
      </c>
      <c r="I6700" s="2" t="s">
        <v>13981</v>
      </c>
      <c r="J6700" s="3" t="str">
        <f>HYPERLINK("https://www.boe.es/gazeta/dias/1813/06/15/pdfs/GMR-1813-6.pdf#page=7","Abrir facsímil")</f>
        <v>Abrir facsímil</v>
      </c>
      <c r="K6700" s="3" t="s">
        <v>22</v>
      </c>
    </row>
    <row r="6701" spans="1:11" ht="42" customHeight="1">
      <c r="A6701" s="2" t="s">
        <v>13982</v>
      </c>
      <c r="B6701" s="2" t="s">
        <v>13982</v>
      </c>
      <c r="C6701" s="2" t="s">
        <v>16</v>
      </c>
      <c r="D6701" s="2" t="s">
        <v>17</v>
      </c>
      <c r="E6701" s="5">
        <v>-31606</v>
      </c>
      <c r="F6701" s="3" t="s">
        <v>124</v>
      </c>
      <c r="G6701" s="3" t="s">
        <v>95</v>
      </c>
      <c r="H6701" s="2" t="s">
        <v>20</v>
      </c>
      <c r="I6701" s="2" t="s">
        <v>13983</v>
      </c>
      <c r="J6701" s="3" t="str">
        <f>HYPERLINK("https://www.boe.es/gazeta/dias/1813/06/18/pdfs/GMR-1813-7.pdf#page=6","Abrir facsímil")</f>
        <v>Abrir facsímil</v>
      </c>
      <c r="K6701" s="3" t="s">
        <v>22</v>
      </c>
    </row>
    <row r="6702" spans="1:11" ht="42" customHeight="1">
      <c r="A6702" s="2" t="s">
        <v>13984</v>
      </c>
      <c r="B6702" s="2" t="s">
        <v>13985</v>
      </c>
      <c r="C6702" s="2" t="s">
        <v>16</v>
      </c>
      <c r="D6702" s="2" t="s">
        <v>17</v>
      </c>
      <c r="E6702" s="5">
        <v>-31647</v>
      </c>
      <c r="F6702" s="3" t="s">
        <v>1972</v>
      </c>
      <c r="G6702" s="3" t="s">
        <v>11698</v>
      </c>
      <c r="H6702" s="2" t="s">
        <v>20</v>
      </c>
      <c r="I6702" s="2" t="s">
        <v>13986</v>
      </c>
      <c r="J6702" s="3" t="str">
        <f>HYPERLINK("https://www.boe.es/gazeta/dias/1813/05/08/pdfs/GRE-1813-57.pdf#page=6","Abrir facsímil")</f>
        <v>Abrir facsímil</v>
      </c>
      <c r="K6702" s="3" t="s">
        <v>22</v>
      </c>
    </row>
    <row r="6703" spans="1:11" ht="42" customHeight="1">
      <c r="A6703" s="2" t="s">
        <v>13984</v>
      </c>
      <c r="B6703" s="2" t="s">
        <v>13985</v>
      </c>
      <c r="C6703" s="2" t="s">
        <v>16</v>
      </c>
      <c r="D6703" s="2" t="s">
        <v>17</v>
      </c>
      <c r="E6703" s="5">
        <v>-31606</v>
      </c>
      <c r="F6703" s="3" t="s">
        <v>124</v>
      </c>
      <c r="G6703" s="3" t="s">
        <v>95</v>
      </c>
      <c r="H6703" s="2" t="s">
        <v>20</v>
      </c>
      <c r="I6703" s="2" t="s">
        <v>13987</v>
      </c>
      <c r="J6703" s="3" t="str">
        <f>HYPERLINK("https://www.boe.es/gazeta/dias/1813/06/18/pdfs/GMR-1813-7.pdf#page=6","Abrir facsímil")</f>
        <v>Abrir facsímil</v>
      </c>
      <c r="K6703" s="3" t="s">
        <v>22</v>
      </c>
    </row>
    <row r="6704" spans="1:11" ht="42" customHeight="1">
      <c r="A6704" s="2" t="s">
        <v>13984</v>
      </c>
      <c r="B6704" s="2" t="s">
        <v>13985</v>
      </c>
      <c r="C6704" s="2" t="s">
        <v>16</v>
      </c>
      <c r="D6704" s="2" t="s">
        <v>17</v>
      </c>
      <c r="E6704" s="5">
        <v>-31530</v>
      </c>
      <c r="F6704" s="3" t="s">
        <v>133</v>
      </c>
      <c r="G6704" s="3" t="s">
        <v>54</v>
      </c>
      <c r="H6704" s="2" t="s">
        <v>20</v>
      </c>
      <c r="I6704" s="2" t="s">
        <v>13988</v>
      </c>
      <c r="J6704" s="3" t="str">
        <f>HYPERLINK("https://www.boe.es/gazeta/dias/1813/09/02/pdfs/GMR-1813-36.pdf#page=3","Abrir facsímil")</f>
        <v>Abrir facsímil</v>
      </c>
      <c r="K6704" s="3" t="s">
        <v>22</v>
      </c>
    </row>
    <row r="6705" spans="1:11" ht="42" customHeight="1">
      <c r="A6705" s="2" t="s">
        <v>13984</v>
      </c>
      <c r="B6705" s="2" t="s">
        <v>13985</v>
      </c>
      <c r="C6705" s="2" t="s">
        <v>16</v>
      </c>
      <c r="D6705" s="2" t="s">
        <v>17</v>
      </c>
      <c r="E6705" s="5">
        <v>-31530</v>
      </c>
      <c r="F6705" s="3" t="s">
        <v>319</v>
      </c>
      <c r="G6705" s="3" t="s">
        <v>19</v>
      </c>
      <c r="H6705" s="2" t="s">
        <v>20</v>
      </c>
      <c r="I6705" s="2" t="s">
        <v>13989</v>
      </c>
      <c r="J6705" s="3" t="str">
        <f>HYPERLINK("https://www.boe.es/gazeta/dias/1813/09/02/pdfs/GRE-1813-112.pdf#page=4","Abrir facsímil")</f>
        <v>Abrir facsímil</v>
      </c>
      <c r="K6705" s="3" t="s">
        <v>22</v>
      </c>
    </row>
    <row r="6706" spans="1:11" ht="42" customHeight="1">
      <c r="A6706" s="2" t="s">
        <v>13990</v>
      </c>
      <c r="B6706" s="2" t="s">
        <v>13991</v>
      </c>
      <c r="C6706" s="2" t="s">
        <v>25</v>
      </c>
      <c r="D6706" s="2" t="s">
        <v>26</v>
      </c>
      <c r="E6706" s="5">
        <v>-31416</v>
      </c>
      <c r="F6706" s="3" t="s">
        <v>278</v>
      </c>
      <c r="G6706" s="3" t="s">
        <v>279</v>
      </c>
      <c r="H6706" s="2" t="s">
        <v>20</v>
      </c>
      <c r="I6706" s="2" t="s">
        <v>13992</v>
      </c>
      <c r="J6706" s="3" t="str">
        <f>HYPERLINK("https://www.boe.es/gazeta/dias/1813/12/25/pdfs/GMR-1813-92.pdf#page=11","Abrir facsímil")</f>
        <v>Abrir facsímil</v>
      </c>
      <c r="K6706" s="3" t="s">
        <v>22</v>
      </c>
    </row>
    <row r="6707" spans="1:11" ht="42" customHeight="1">
      <c r="A6707" s="2" t="s">
        <v>13993</v>
      </c>
      <c r="B6707" s="2" t="s">
        <v>13994</v>
      </c>
      <c r="C6707" s="2" t="s">
        <v>34</v>
      </c>
      <c r="D6707" s="2" t="s">
        <v>35</v>
      </c>
      <c r="E6707" s="5">
        <v>-31754</v>
      </c>
      <c r="F6707" s="3" t="s">
        <v>2608</v>
      </c>
      <c r="G6707" s="3" t="s">
        <v>54</v>
      </c>
      <c r="H6707" s="2" t="s">
        <v>20</v>
      </c>
      <c r="I6707" s="2" t="s">
        <v>13995</v>
      </c>
      <c r="J6707" s="3" t="str">
        <f>HYPERLINK("https://www.boe.es/gazeta/dias/1813/01/21/pdfs/GMD-1813-21.pdf#page=3","Abrir facsímil")</f>
        <v>Abrir facsímil</v>
      </c>
      <c r="K6707" s="3" t="s">
        <v>22</v>
      </c>
    </row>
    <row r="6708" spans="1:11" ht="42" customHeight="1">
      <c r="A6708" s="2" t="s">
        <v>13996</v>
      </c>
      <c r="B6708" s="2" t="s">
        <v>13997</v>
      </c>
      <c r="C6708" s="2" t="s">
        <v>16</v>
      </c>
      <c r="D6708" s="2" t="s">
        <v>17</v>
      </c>
      <c r="E6708" s="5">
        <v>-31521</v>
      </c>
      <c r="F6708" s="3" t="s">
        <v>1256</v>
      </c>
      <c r="G6708" s="3" t="s">
        <v>87</v>
      </c>
      <c r="H6708" s="2" t="s">
        <v>20</v>
      </c>
      <c r="I6708" s="2" t="s">
        <v>13998</v>
      </c>
      <c r="J6708" s="3" t="str">
        <f>HYPERLINK("https://www.boe.es/gazeta/dias/1813/09/11/pdfs/GRE-1813-116.pdf#page=7","Abrir facsímil")</f>
        <v>Abrir facsímil</v>
      </c>
      <c r="K6708" s="3" t="s">
        <v>22</v>
      </c>
    </row>
    <row r="6709" spans="1:11" ht="42" customHeight="1">
      <c r="A6709" s="2" t="s">
        <v>13999</v>
      </c>
      <c r="B6709" s="2" t="s">
        <v>14000</v>
      </c>
      <c r="C6709" s="2" t="s">
        <v>25</v>
      </c>
      <c r="D6709" s="2" t="s">
        <v>26</v>
      </c>
      <c r="E6709" s="5">
        <v>-31758</v>
      </c>
      <c r="F6709" s="3" t="s">
        <v>5810</v>
      </c>
      <c r="G6709" s="3" t="s">
        <v>5811</v>
      </c>
      <c r="H6709" s="2" t="s">
        <v>20</v>
      </c>
      <c r="I6709" s="2" t="s">
        <v>14001</v>
      </c>
      <c r="J6709" s="3" t="str">
        <f>HYPERLINK("https://www.boe.es/gazeta/dias/1813/01/17/pdfs/GMD-1813-17.pdf#page=4","Abrir facsímil")</f>
        <v>Abrir facsímil</v>
      </c>
      <c r="K6709" s="3" t="s">
        <v>22</v>
      </c>
    </row>
    <row r="6710" spans="1:11" ht="42" customHeight="1">
      <c r="A6710" s="2" t="s">
        <v>14002</v>
      </c>
      <c r="B6710" s="2" t="s">
        <v>14003</v>
      </c>
      <c r="C6710" s="2" t="s">
        <v>25</v>
      </c>
      <c r="D6710" s="2" t="s">
        <v>26</v>
      </c>
      <c r="E6710" s="5">
        <v>-31567</v>
      </c>
      <c r="F6710" s="3" t="s">
        <v>820</v>
      </c>
      <c r="G6710" s="3" t="s">
        <v>258</v>
      </c>
      <c r="H6710" s="2" t="s">
        <v>20</v>
      </c>
      <c r="I6710" s="2" t="s">
        <v>14004</v>
      </c>
      <c r="J6710" s="3" t="str">
        <f>HYPERLINK("https://www.boe.es/gazeta/dias/1813/07/27/pdfs/GMR-1813-21.pdf#page=12","Abrir facsímil")</f>
        <v>Abrir facsímil</v>
      </c>
      <c r="K6710" s="3" t="s">
        <v>22</v>
      </c>
    </row>
    <row r="6711" spans="1:11" ht="42" customHeight="1">
      <c r="A6711" s="2" t="s">
        <v>14005</v>
      </c>
      <c r="B6711" s="2" t="s">
        <v>14006</v>
      </c>
      <c r="C6711" s="2" t="s">
        <v>16</v>
      </c>
      <c r="D6711" s="2" t="s">
        <v>17</v>
      </c>
      <c r="E6711" s="5">
        <v>-31532</v>
      </c>
      <c r="F6711" s="3" t="s">
        <v>215</v>
      </c>
      <c r="G6711" s="3" t="s">
        <v>82</v>
      </c>
      <c r="H6711" s="2" t="s">
        <v>20</v>
      </c>
      <c r="I6711" s="2" t="s">
        <v>14007</v>
      </c>
      <c r="J6711" s="3" t="str">
        <f>HYPERLINK("https://www.boe.es/gazeta/dias/1813/08/31/pdfs/GRE-1813-111.pdf#page=5","Abrir facsímil")</f>
        <v>Abrir facsímil</v>
      </c>
      <c r="K6711" s="3" t="s">
        <v>22</v>
      </c>
    </row>
    <row r="6712" spans="1:11" ht="42" customHeight="1">
      <c r="A6712" s="2" t="s">
        <v>14008</v>
      </c>
      <c r="B6712" s="2" t="s">
        <v>14009</v>
      </c>
      <c r="C6712" s="2" t="s">
        <v>16</v>
      </c>
      <c r="D6712" s="2" t="s">
        <v>17</v>
      </c>
      <c r="E6712" s="5">
        <v>-31511</v>
      </c>
      <c r="F6712" s="3" t="s">
        <v>935</v>
      </c>
      <c r="G6712" s="3" t="s">
        <v>178</v>
      </c>
      <c r="H6712" s="2" t="s">
        <v>20</v>
      </c>
      <c r="I6712" s="2" t="s">
        <v>14010</v>
      </c>
      <c r="J6712" s="3" t="str">
        <f>HYPERLINK("https://www.boe.es/gazeta/dias/1813/09/21/pdfs/GMR-1813-46.pdf#page=11","Abrir facsímil")</f>
        <v>Abrir facsímil</v>
      </c>
      <c r="K6712" s="3" t="s">
        <v>22</v>
      </c>
    </row>
    <row r="6713" spans="1:11" ht="42" customHeight="1">
      <c r="A6713" s="2" t="s">
        <v>14011</v>
      </c>
      <c r="B6713" s="2" t="s">
        <v>14012</v>
      </c>
      <c r="C6713" s="2" t="s">
        <v>16</v>
      </c>
      <c r="D6713" s="2" t="s">
        <v>17</v>
      </c>
      <c r="E6713" s="5">
        <v>-31754</v>
      </c>
      <c r="F6713" s="3" t="s">
        <v>899</v>
      </c>
      <c r="G6713" s="3" t="s">
        <v>82</v>
      </c>
      <c r="H6713" s="2" t="s">
        <v>20</v>
      </c>
      <c r="I6713" s="2" t="s">
        <v>14013</v>
      </c>
      <c r="J6713" s="3" t="str">
        <f>HYPERLINK("https://www.boe.es/gazeta/dias/1813/01/21/pdfs/GRE-1813-9.pdf#page=5","Abrir facsímil")</f>
        <v>Abrir facsímil</v>
      </c>
      <c r="K6713" s="3" t="s">
        <v>22</v>
      </c>
    </row>
    <row r="6714" spans="1:11" ht="42" customHeight="1">
      <c r="A6714" s="2" t="s">
        <v>14014</v>
      </c>
      <c r="B6714" s="2" t="s">
        <v>14015</v>
      </c>
      <c r="C6714" s="2" t="s">
        <v>16</v>
      </c>
      <c r="D6714" s="2" t="s">
        <v>17</v>
      </c>
      <c r="E6714" s="5">
        <v>-31532</v>
      </c>
      <c r="F6714" s="3" t="s">
        <v>215</v>
      </c>
      <c r="G6714" s="3" t="s">
        <v>95</v>
      </c>
      <c r="H6714" s="2" t="s">
        <v>20</v>
      </c>
      <c r="I6714" s="2" t="s">
        <v>14016</v>
      </c>
      <c r="J6714" s="3" t="str">
        <f>HYPERLINK("https://www.boe.es/gazeta/dias/1813/08/31/pdfs/GRE-1813-111.pdf#page=6","Abrir facsímil")</f>
        <v>Abrir facsímil</v>
      </c>
      <c r="K6714" s="3" t="s">
        <v>22</v>
      </c>
    </row>
    <row r="6715" spans="1:11" ht="42" customHeight="1">
      <c r="A6715" s="2" t="s">
        <v>14017</v>
      </c>
      <c r="B6715" s="2" t="s">
        <v>14018</v>
      </c>
      <c r="C6715" s="2" t="s">
        <v>187</v>
      </c>
      <c r="D6715" s="2" t="s">
        <v>26</v>
      </c>
      <c r="E6715" s="5">
        <v>-31507</v>
      </c>
      <c r="F6715" s="3" t="s">
        <v>61</v>
      </c>
      <c r="G6715" s="3" t="s">
        <v>3122</v>
      </c>
      <c r="H6715" s="2" t="s">
        <v>20</v>
      </c>
      <c r="I6715" s="2" t="s">
        <v>14019</v>
      </c>
      <c r="J6715" s="3" t="str">
        <f>HYPERLINK("https://www.boe.es/gazeta/dias/1813/09/25/pdfs/GMR-1813-48.pdf#page=12","Abrir facsímil")</f>
        <v>Abrir facsímil</v>
      </c>
      <c r="K6715" s="3" t="s">
        <v>22</v>
      </c>
    </row>
    <row r="6716" spans="1:11" ht="42" customHeight="1">
      <c r="A6716" s="2" t="s">
        <v>14020</v>
      </c>
      <c r="B6716" s="2" t="s">
        <v>14021</v>
      </c>
      <c r="C6716" s="2" t="s">
        <v>34</v>
      </c>
      <c r="D6716" s="2" t="s">
        <v>35</v>
      </c>
      <c r="E6716" s="5">
        <v>-31430</v>
      </c>
      <c r="F6716" s="3" t="s">
        <v>1161</v>
      </c>
      <c r="G6716" s="3" t="s">
        <v>87</v>
      </c>
      <c r="H6716" s="2" t="s">
        <v>20</v>
      </c>
      <c r="I6716" s="2" t="s">
        <v>14022</v>
      </c>
      <c r="J6716" s="3" t="str">
        <f>HYPERLINK("https://www.boe.es/gazeta/dias/1813/12/11/pdfs/GMR-1813-86.pdf#page=7","Abrir facsímil")</f>
        <v>Abrir facsímil</v>
      </c>
      <c r="K6716" s="3" t="s">
        <v>22</v>
      </c>
    </row>
    <row r="6717" spans="1:11" ht="42" customHeight="1">
      <c r="A6717" s="2" t="s">
        <v>14023</v>
      </c>
      <c r="B6717" s="2" t="s">
        <v>14023</v>
      </c>
      <c r="C6717" s="2" t="s">
        <v>277</v>
      </c>
      <c r="D6717" s="2" t="s">
        <v>26</v>
      </c>
      <c r="E6717" s="5">
        <v>-31574</v>
      </c>
      <c r="F6717" s="3" t="s">
        <v>1343</v>
      </c>
      <c r="G6717" s="3" t="s">
        <v>87</v>
      </c>
      <c r="H6717" s="2" t="s">
        <v>20</v>
      </c>
      <c r="I6717" s="2" t="s">
        <v>14024</v>
      </c>
      <c r="J6717" s="3" t="str">
        <f>HYPERLINK("https://www.boe.es/gazeta/dias/1813/07/20/pdfs/GMR-1813-19.pdf#page=7","Abrir facsímil")</f>
        <v>Abrir facsímil</v>
      </c>
      <c r="K6717" s="3" t="s">
        <v>22</v>
      </c>
    </row>
    <row r="6718" spans="1:11" ht="42" customHeight="1">
      <c r="A6718" s="2" t="s">
        <v>14025</v>
      </c>
      <c r="B6718" s="2" t="s">
        <v>14025</v>
      </c>
      <c r="C6718" s="2" t="s">
        <v>16</v>
      </c>
      <c r="D6718" s="2" t="s">
        <v>17</v>
      </c>
      <c r="E6718" s="5">
        <v>-31731</v>
      </c>
      <c r="F6718" s="3" t="s">
        <v>866</v>
      </c>
      <c r="G6718" s="3" t="s">
        <v>87</v>
      </c>
      <c r="H6718" s="2" t="s">
        <v>20</v>
      </c>
      <c r="I6718" s="2" t="s">
        <v>14026</v>
      </c>
      <c r="J6718" s="3" t="str">
        <f>HYPERLINK("https://www.boe.es/gazeta/dias/1813/02/13/pdfs/GRE-1813-19.pdf#page=7","Abrir facsímil")</f>
        <v>Abrir facsímil</v>
      </c>
      <c r="K6718" s="3" t="s">
        <v>22</v>
      </c>
    </row>
    <row r="6719" spans="1:11" ht="42" customHeight="1">
      <c r="A6719" s="2" t="s">
        <v>14027</v>
      </c>
      <c r="B6719" s="2" t="s">
        <v>14028</v>
      </c>
      <c r="C6719" s="2" t="s">
        <v>25</v>
      </c>
      <c r="D6719" s="2" t="s">
        <v>26</v>
      </c>
      <c r="E6719" s="5">
        <v>-31689</v>
      </c>
      <c r="F6719" s="3" t="s">
        <v>48</v>
      </c>
      <c r="G6719" s="3" t="s">
        <v>162</v>
      </c>
      <c r="H6719" s="2" t="s">
        <v>20</v>
      </c>
      <c r="I6719" s="2" t="s">
        <v>14029</v>
      </c>
      <c r="J6719" s="3" t="str">
        <f>HYPERLINK("https://www.boe.es/gazeta/dias/1813/03/27/pdfs/GRE-1813-38.pdf#page=8","Abrir facsímil")</f>
        <v>Abrir facsímil</v>
      </c>
      <c r="K6719" s="3" t="s">
        <v>22</v>
      </c>
    </row>
    <row r="6720" spans="1:11" ht="42" customHeight="1">
      <c r="A6720" s="2" t="s">
        <v>14030</v>
      </c>
      <c r="B6720" s="2" t="s">
        <v>14031</v>
      </c>
      <c r="C6720" s="2" t="s">
        <v>25</v>
      </c>
      <c r="D6720" s="2" t="s">
        <v>26</v>
      </c>
      <c r="E6720" s="5">
        <v>-31745</v>
      </c>
      <c r="F6720" s="3" t="s">
        <v>445</v>
      </c>
      <c r="G6720" s="3" t="s">
        <v>28</v>
      </c>
      <c r="H6720" s="2" t="s">
        <v>20</v>
      </c>
      <c r="I6720" s="2" t="s">
        <v>14032</v>
      </c>
      <c r="J6720" s="3" t="str">
        <f>HYPERLINK("https://www.boe.es/gazeta/dias/1813/01/30/pdfs/GRE-1813-13.pdf#page=8","Abrir facsímil")</f>
        <v>Abrir facsímil</v>
      </c>
      <c r="K6720" s="3" t="s">
        <v>22</v>
      </c>
    </row>
    <row r="6721" spans="1:11" ht="42" customHeight="1">
      <c r="A6721" s="2" t="s">
        <v>14033</v>
      </c>
      <c r="B6721" s="2" t="s">
        <v>14034</v>
      </c>
      <c r="C6721" s="2" t="s">
        <v>25</v>
      </c>
      <c r="D6721" s="2" t="s">
        <v>26</v>
      </c>
      <c r="E6721" s="5">
        <v>-31745</v>
      </c>
      <c r="F6721" s="3" t="s">
        <v>445</v>
      </c>
      <c r="G6721" s="3" t="s">
        <v>28</v>
      </c>
      <c r="H6721" s="2" t="s">
        <v>20</v>
      </c>
      <c r="I6721" s="2" t="s">
        <v>14035</v>
      </c>
      <c r="J6721" s="3" t="str">
        <f>HYPERLINK("https://www.boe.es/gazeta/dias/1813/01/30/pdfs/GRE-1813-13.pdf#page=8","Abrir facsímil")</f>
        <v>Abrir facsímil</v>
      </c>
      <c r="K6721" s="3" t="s">
        <v>22</v>
      </c>
    </row>
    <row r="6722" spans="1:11" ht="42" customHeight="1">
      <c r="A6722" s="2" t="s">
        <v>14036</v>
      </c>
      <c r="B6722" s="2" t="s">
        <v>14037</v>
      </c>
      <c r="C6722" s="2" t="s">
        <v>16</v>
      </c>
      <c r="D6722" s="2" t="s">
        <v>17</v>
      </c>
      <c r="E6722" s="5">
        <v>-31582</v>
      </c>
      <c r="F6722" s="3" t="s">
        <v>907</v>
      </c>
      <c r="G6722" s="3" t="s">
        <v>87</v>
      </c>
      <c r="H6722" s="2" t="s">
        <v>20</v>
      </c>
      <c r="I6722" s="2" t="s">
        <v>14038</v>
      </c>
      <c r="J6722" s="3" t="str">
        <f>HYPERLINK("https://www.boe.es/gazeta/dias/1813/07/12/pdfs/GRE-1813-87.pdf#page=7","Abrir facsímil")</f>
        <v>Abrir facsímil</v>
      </c>
      <c r="K6722" s="3" t="s">
        <v>22</v>
      </c>
    </row>
    <row r="6723" spans="1:11" ht="42" customHeight="1">
      <c r="A6723" s="2" t="s">
        <v>14036</v>
      </c>
      <c r="B6723" s="2" t="s">
        <v>14037</v>
      </c>
      <c r="C6723" s="2" t="s">
        <v>435</v>
      </c>
      <c r="D6723" s="2" t="s">
        <v>26</v>
      </c>
      <c r="E6723" s="5">
        <v>-31560</v>
      </c>
      <c r="F6723" s="3" t="s">
        <v>590</v>
      </c>
      <c r="G6723" s="3" t="s">
        <v>87</v>
      </c>
      <c r="H6723" s="2" t="s">
        <v>20</v>
      </c>
      <c r="I6723" s="2" t="s">
        <v>14039</v>
      </c>
      <c r="J6723" s="3" t="str">
        <f>HYPERLINK("https://www.boe.es/gazeta/dias/1813/08/03/pdfs/GRE-1813-98.pdf#page=7","Abrir facsímil")</f>
        <v>Abrir facsímil</v>
      </c>
      <c r="K6723" s="3" t="s">
        <v>22</v>
      </c>
    </row>
    <row r="6724" spans="1:11" ht="42" customHeight="1">
      <c r="A6724" s="2" t="s">
        <v>14040</v>
      </c>
      <c r="B6724" s="2" t="s">
        <v>14041</v>
      </c>
      <c r="C6724" s="2" t="s">
        <v>34</v>
      </c>
      <c r="D6724" s="2" t="s">
        <v>35</v>
      </c>
      <c r="E6724" s="5">
        <v>-31709</v>
      </c>
      <c r="F6724" s="3" t="s">
        <v>36</v>
      </c>
      <c r="G6724" s="3" t="s">
        <v>58</v>
      </c>
      <c r="H6724" s="2" t="s">
        <v>20</v>
      </c>
      <c r="I6724" s="2" t="s">
        <v>14042</v>
      </c>
      <c r="J6724" s="3" t="str">
        <f>HYPERLINK("https://www.boe.es/gazeta/dias/1813/03/07/pdfs/GMD-1813-66.pdf#page=2","Abrir facsímil")</f>
        <v>Abrir facsímil</v>
      </c>
      <c r="K6724" s="3" t="s">
        <v>22</v>
      </c>
    </row>
    <row r="6725" spans="1:11" ht="42" customHeight="1">
      <c r="A6725" s="2" t="s">
        <v>14040</v>
      </c>
      <c r="B6725" s="2" t="s">
        <v>14041</v>
      </c>
      <c r="C6725" s="2" t="s">
        <v>16</v>
      </c>
      <c r="D6725" s="2" t="s">
        <v>17</v>
      </c>
      <c r="E6725" s="5">
        <v>-31574</v>
      </c>
      <c r="F6725" s="3" t="s">
        <v>1343</v>
      </c>
      <c r="G6725" s="3" t="s">
        <v>178</v>
      </c>
      <c r="H6725" s="2" t="s">
        <v>20</v>
      </c>
      <c r="I6725" s="2" t="s">
        <v>14043</v>
      </c>
      <c r="J6725" s="3" t="str">
        <f>HYPERLINK("https://www.boe.es/gazeta/dias/1813/07/20/pdfs/GMR-1813-19.pdf#page=11","Abrir facsímil")</f>
        <v>Abrir facsímil</v>
      </c>
      <c r="K6725" s="3" t="s">
        <v>22</v>
      </c>
    </row>
    <row r="6726" spans="1:11" ht="42" customHeight="1">
      <c r="A6726" s="2" t="s">
        <v>14044</v>
      </c>
      <c r="B6726" s="2" t="s">
        <v>14045</v>
      </c>
      <c r="C6726" s="2" t="s">
        <v>16</v>
      </c>
      <c r="D6726" s="2" t="s">
        <v>17</v>
      </c>
      <c r="E6726" s="5">
        <v>-31416</v>
      </c>
      <c r="F6726" s="3" t="s">
        <v>278</v>
      </c>
      <c r="G6726" s="3" t="s">
        <v>207</v>
      </c>
      <c r="H6726" s="2" t="s">
        <v>20</v>
      </c>
      <c r="I6726" s="2" t="s">
        <v>14046</v>
      </c>
      <c r="J6726" s="3" t="str">
        <f>HYPERLINK("https://www.boe.es/gazeta/dias/1813/12/25/pdfs/GMR-1813-92.pdf#page=10","Abrir facsímil")</f>
        <v>Abrir facsímil</v>
      </c>
      <c r="K6726" s="3" t="s">
        <v>22</v>
      </c>
    </row>
    <row r="6727" spans="1:11" ht="42" customHeight="1">
      <c r="A6727" s="2" t="s">
        <v>14047</v>
      </c>
      <c r="B6727" s="2" t="s">
        <v>14048</v>
      </c>
      <c r="C6727" s="2" t="s">
        <v>25</v>
      </c>
      <c r="D6727" s="2" t="s">
        <v>26</v>
      </c>
      <c r="E6727" s="5">
        <v>-31677</v>
      </c>
      <c r="F6727" s="3" t="s">
        <v>76</v>
      </c>
      <c r="G6727" s="3" t="s">
        <v>28</v>
      </c>
      <c r="H6727" s="2" t="s">
        <v>20</v>
      </c>
      <c r="I6727" s="2" t="s">
        <v>14049</v>
      </c>
      <c r="J6727" s="3" t="str">
        <f>HYPERLINK("https://www.boe.es/gazeta/dias/1813/04/08/pdfs/GRE-1813-43.pdf#page=8","Abrir facsímil")</f>
        <v>Abrir facsímil</v>
      </c>
      <c r="K6727" s="3" t="s">
        <v>22</v>
      </c>
    </row>
    <row r="6728" spans="1:11" ht="42" customHeight="1">
      <c r="A6728" s="2" t="s">
        <v>14050</v>
      </c>
      <c r="B6728" s="2" t="s">
        <v>14051</v>
      </c>
      <c r="C6728" s="2" t="s">
        <v>16</v>
      </c>
      <c r="D6728" s="2" t="s">
        <v>17</v>
      </c>
      <c r="E6728" s="5">
        <v>-31709</v>
      </c>
      <c r="F6728" s="3" t="s">
        <v>36</v>
      </c>
      <c r="G6728" s="3" t="s">
        <v>58</v>
      </c>
      <c r="H6728" s="2" t="s">
        <v>20</v>
      </c>
      <c r="I6728" s="2" t="s">
        <v>14052</v>
      </c>
      <c r="J6728" s="3" t="str">
        <f>HYPERLINK("https://www.boe.es/gazeta/dias/1813/03/07/pdfs/GMD-1813-66.pdf#page=2","Abrir facsímil")</f>
        <v>Abrir facsímil</v>
      </c>
      <c r="K6728" s="3" t="s">
        <v>22</v>
      </c>
    </row>
    <row r="6729" spans="1:11" ht="42" customHeight="1">
      <c r="A6729" s="2" t="s">
        <v>14053</v>
      </c>
      <c r="B6729" s="2" t="s">
        <v>14054</v>
      </c>
      <c r="C6729" s="2" t="s">
        <v>16</v>
      </c>
      <c r="D6729" s="2" t="s">
        <v>17</v>
      </c>
      <c r="E6729" s="5">
        <v>-31732</v>
      </c>
      <c r="F6729" s="3" t="s">
        <v>1904</v>
      </c>
      <c r="G6729" s="3" t="s">
        <v>54</v>
      </c>
      <c r="H6729" s="2" t="s">
        <v>20</v>
      </c>
      <c r="I6729" s="2" t="s">
        <v>14055</v>
      </c>
      <c r="J6729" s="3" t="str">
        <f>HYPERLINK("https://www.boe.es/gazeta/dias/1813/02/12/pdfs/GMD-1813-43.pdf#page=3","Abrir facsímil")</f>
        <v>Abrir facsímil</v>
      </c>
      <c r="K6729" s="3" t="s">
        <v>22</v>
      </c>
    </row>
    <row r="6730" spans="1:11" ht="42" customHeight="1">
      <c r="A6730" s="2" t="s">
        <v>14056</v>
      </c>
      <c r="B6730" s="2" t="s">
        <v>14056</v>
      </c>
      <c r="C6730" s="2" t="s">
        <v>16</v>
      </c>
      <c r="D6730" s="2" t="s">
        <v>17</v>
      </c>
      <c r="E6730" s="5">
        <v>-31516</v>
      </c>
      <c r="F6730" s="3" t="s">
        <v>1685</v>
      </c>
      <c r="G6730" s="3" t="s">
        <v>1686</v>
      </c>
      <c r="H6730" s="2" t="s">
        <v>20</v>
      </c>
      <c r="I6730" s="2" t="s">
        <v>14057</v>
      </c>
      <c r="J6730" s="3" t="str">
        <f>HYPERLINK("https://www.boe.es/gazeta/dias/1813/09/16/pdfs/GRE-1813-120.pdf#page=7","Abrir facsímil")</f>
        <v>Abrir facsímil</v>
      </c>
      <c r="K6730" s="3" t="s">
        <v>22</v>
      </c>
    </row>
    <row r="6731" spans="1:11" ht="42" customHeight="1">
      <c r="A6731" s="2" t="s">
        <v>14058</v>
      </c>
      <c r="B6731" s="2" t="s">
        <v>14059</v>
      </c>
      <c r="C6731" s="2" t="s">
        <v>34</v>
      </c>
      <c r="D6731" s="2" t="s">
        <v>35</v>
      </c>
      <c r="E6731" s="5">
        <v>-31719</v>
      </c>
      <c r="F6731" s="3" t="s">
        <v>1770</v>
      </c>
      <c r="G6731" s="3" t="s">
        <v>2633</v>
      </c>
      <c r="H6731" s="2" t="s">
        <v>20</v>
      </c>
      <c r="I6731" s="2" t="s">
        <v>14060</v>
      </c>
      <c r="J6731" s="3" t="str">
        <f>HYPERLINK("https://www.boe.es/gazeta/dias/1813/02/25/pdfs/GRE-1813-24.pdf#page=4","Abrir facsímil")</f>
        <v>Abrir facsímil</v>
      </c>
      <c r="K6731" s="3" t="s">
        <v>22</v>
      </c>
    </row>
    <row r="6732" spans="1:11" ht="42" customHeight="1">
      <c r="A6732" s="2" t="s">
        <v>14061</v>
      </c>
      <c r="B6732" s="2" t="s">
        <v>14062</v>
      </c>
      <c r="C6732" s="2" t="s">
        <v>16</v>
      </c>
      <c r="D6732" s="2" t="s">
        <v>17</v>
      </c>
      <c r="E6732" s="5">
        <v>-31679</v>
      </c>
      <c r="F6732" s="3" t="s">
        <v>6334</v>
      </c>
      <c r="G6732" s="3" t="s">
        <v>58</v>
      </c>
      <c r="H6732" s="2" t="s">
        <v>20</v>
      </c>
      <c r="I6732" s="2" t="s">
        <v>14063</v>
      </c>
      <c r="J6732" s="3" t="str">
        <f>HYPERLINK("https://www.boe.es/gazeta/dias/1813/04/06/pdfs/GMD-1813-96.pdf#page=2","Abrir facsímil")</f>
        <v>Abrir facsímil</v>
      </c>
      <c r="K6732" s="3" t="s">
        <v>22</v>
      </c>
    </row>
    <row r="6733" spans="1:11" ht="42" customHeight="1">
      <c r="A6733" s="2" t="s">
        <v>14064</v>
      </c>
      <c r="B6733" s="2" t="s">
        <v>14064</v>
      </c>
      <c r="C6733" s="2" t="s">
        <v>16</v>
      </c>
      <c r="D6733" s="2" t="s">
        <v>17</v>
      </c>
      <c r="E6733" s="5">
        <v>-31716</v>
      </c>
      <c r="F6733" s="3" t="s">
        <v>1652</v>
      </c>
      <c r="G6733" s="3" t="s">
        <v>65</v>
      </c>
      <c r="H6733" s="2" t="s">
        <v>20</v>
      </c>
      <c r="I6733" s="2" t="s">
        <v>14065</v>
      </c>
      <c r="J6733" s="3" t="str">
        <f>HYPERLINK("https://www.boe.es/gazeta/dias/1813/02/28/pdfs/GMD-1813-59.pdf#page=1","Abrir facsímil")</f>
        <v>Abrir facsímil</v>
      </c>
      <c r="K6733" s="3" t="s">
        <v>22</v>
      </c>
    </row>
    <row r="6734" spans="1:11" ht="42" customHeight="1">
      <c r="A6734" s="2" t="s">
        <v>14066</v>
      </c>
      <c r="B6734" s="2" t="s">
        <v>14066</v>
      </c>
      <c r="C6734" s="2" t="s">
        <v>16</v>
      </c>
      <c r="D6734" s="2" t="s">
        <v>17</v>
      </c>
      <c r="E6734" s="5">
        <v>-31754</v>
      </c>
      <c r="F6734" s="3" t="s">
        <v>899</v>
      </c>
      <c r="G6734" s="3" t="s">
        <v>82</v>
      </c>
      <c r="H6734" s="2" t="s">
        <v>20</v>
      </c>
      <c r="I6734" s="2" t="s">
        <v>14067</v>
      </c>
      <c r="J6734" s="3" t="str">
        <f>HYPERLINK("https://www.boe.es/gazeta/dias/1813/01/21/pdfs/GRE-1813-9.pdf#page=5","Abrir facsímil")</f>
        <v>Abrir facsímil</v>
      </c>
      <c r="K6734" s="3" t="s">
        <v>22</v>
      </c>
    </row>
    <row r="6735" spans="1:11" ht="42" customHeight="1">
      <c r="A6735" s="2" t="s">
        <v>14068</v>
      </c>
      <c r="B6735" s="2" t="s">
        <v>14068</v>
      </c>
      <c r="C6735" s="2" t="s">
        <v>16</v>
      </c>
      <c r="D6735" s="2" t="s">
        <v>17</v>
      </c>
      <c r="E6735" s="5">
        <v>-31497</v>
      </c>
      <c r="F6735" s="3" t="s">
        <v>223</v>
      </c>
      <c r="G6735" s="3" t="s">
        <v>87</v>
      </c>
      <c r="H6735" s="2" t="s">
        <v>20</v>
      </c>
      <c r="I6735" s="2" t="s">
        <v>14069</v>
      </c>
      <c r="J6735" s="3" t="str">
        <f>HYPERLINK("https://www.boe.es/gazeta/dias/1813/10/05/pdfs/GRE-1813-130.pdf#page=7","Abrir facsímil")</f>
        <v>Abrir facsímil</v>
      </c>
      <c r="K6735" s="3" t="s">
        <v>22</v>
      </c>
    </row>
    <row r="6736" spans="1:11" ht="42" customHeight="1">
      <c r="A6736" s="2" t="s">
        <v>14070</v>
      </c>
      <c r="B6736" s="2" t="s">
        <v>14070</v>
      </c>
      <c r="C6736" s="2" t="s">
        <v>16</v>
      </c>
      <c r="D6736" s="2" t="s">
        <v>17</v>
      </c>
      <c r="E6736" s="5">
        <v>-31733</v>
      </c>
      <c r="F6736" s="3" t="s">
        <v>3036</v>
      </c>
      <c r="G6736" s="3" t="s">
        <v>7278</v>
      </c>
      <c r="H6736" s="2" t="s">
        <v>20</v>
      </c>
      <c r="I6736" s="2" t="s">
        <v>14071</v>
      </c>
      <c r="J6736" s="3" t="str">
        <f>HYPERLINK("https://www.boe.es/gazeta/dias/1813/02/11/pdfs/GRE-1813-18.pdf#page=4","Abrir facsímil")</f>
        <v>Abrir facsímil</v>
      </c>
      <c r="K6736" s="3" t="s">
        <v>22</v>
      </c>
    </row>
    <row r="6737" spans="1:11" ht="42" customHeight="1">
      <c r="A6737" s="2" t="s">
        <v>14072</v>
      </c>
      <c r="B6737" s="2" t="s">
        <v>14073</v>
      </c>
      <c r="C6737" s="2" t="s">
        <v>16</v>
      </c>
      <c r="D6737" s="2" t="s">
        <v>97</v>
      </c>
      <c r="E6737" s="5">
        <v>-31519</v>
      </c>
      <c r="F6737" s="3" t="s">
        <v>312</v>
      </c>
      <c r="G6737" s="3" t="s">
        <v>28</v>
      </c>
      <c r="H6737" s="2" t="s">
        <v>20</v>
      </c>
      <c r="I6737" s="2" t="s">
        <v>14074</v>
      </c>
      <c r="J6737" s="3" t="str">
        <f>HYPERLINK("https://www.boe.es/gazeta/dias/1813/09/13/pdfs/GRE-1813-118E.pdf#page=8","Abrir facsímil")</f>
        <v>Abrir facsímil</v>
      </c>
      <c r="K6737" s="3" t="s">
        <v>22</v>
      </c>
    </row>
    <row r="6738" spans="1:11" ht="42" customHeight="1">
      <c r="A6738" s="2" t="s">
        <v>14075</v>
      </c>
      <c r="B6738" s="2" t="s">
        <v>14076</v>
      </c>
      <c r="C6738" s="2" t="s">
        <v>16</v>
      </c>
      <c r="D6738" s="2" t="s">
        <v>97</v>
      </c>
      <c r="E6738" s="5">
        <v>-31519</v>
      </c>
      <c r="F6738" s="3" t="s">
        <v>312</v>
      </c>
      <c r="G6738" s="3" t="s">
        <v>28</v>
      </c>
      <c r="H6738" s="2" t="s">
        <v>20</v>
      </c>
      <c r="I6738" s="2" t="s">
        <v>14077</v>
      </c>
      <c r="J6738" s="3" t="str">
        <f>HYPERLINK("https://www.boe.es/gazeta/dias/1813/09/13/pdfs/GRE-1813-118E.pdf#page=8","Abrir facsímil")</f>
        <v>Abrir facsímil</v>
      </c>
      <c r="K6738" s="3" t="s">
        <v>22</v>
      </c>
    </row>
    <row r="6739" spans="1:11" ht="42" customHeight="1">
      <c r="A6739" s="2" t="s">
        <v>14078</v>
      </c>
      <c r="B6739" s="2" t="s">
        <v>14078</v>
      </c>
      <c r="C6739" s="2" t="s">
        <v>16</v>
      </c>
      <c r="D6739" s="2" t="s">
        <v>17</v>
      </c>
      <c r="E6739" s="5">
        <v>-31679</v>
      </c>
      <c r="F6739" s="3" t="s">
        <v>571</v>
      </c>
      <c r="G6739" s="3" t="s">
        <v>54</v>
      </c>
      <c r="H6739" s="2" t="s">
        <v>20</v>
      </c>
      <c r="I6739" s="2" t="s">
        <v>14079</v>
      </c>
      <c r="J6739" s="3" t="str">
        <f>HYPERLINK("https://www.boe.es/gazeta/dias/1813/04/06/pdfs/GRE-1813-42.pdf#page=3","Abrir facsímil")</f>
        <v>Abrir facsímil</v>
      </c>
      <c r="K6739" s="3" t="s">
        <v>22</v>
      </c>
    </row>
    <row r="6740" spans="1:11" ht="42" customHeight="1">
      <c r="A6740" s="2" t="s">
        <v>14080</v>
      </c>
      <c r="B6740" s="2" t="s">
        <v>14081</v>
      </c>
      <c r="C6740" s="2" t="s">
        <v>187</v>
      </c>
      <c r="D6740" s="2" t="s">
        <v>26</v>
      </c>
      <c r="E6740" s="5">
        <v>-31675</v>
      </c>
      <c r="F6740" s="3" t="s">
        <v>27</v>
      </c>
      <c r="G6740" s="3" t="s">
        <v>28</v>
      </c>
      <c r="H6740" s="2" t="s">
        <v>29</v>
      </c>
      <c r="I6740" s="2" t="s">
        <v>14082</v>
      </c>
      <c r="J6740" s="3" t="str">
        <f>HYPERLINK("https://www.boe.es/gazeta/dias/1813/04/10/pdfs/GRE-1813-44.pdf#page=8","Abrir facsímil")</f>
        <v>Abrir facsímil</v>
      </c>
      <c r="K6740" s="3" t="s">
        <v>31</v>
      </c>
    </row>
    <row r="6741" spans="1:11" ht="42" customHeight="1">
      <c r="A6741" s="2" t="s">
        <v>14083</v>
      </c>
      <c r="B6741" s="2" t="s">
        <v>14084</v>
      </c>
      <c r="C6741" s="2" t="s">
        <v>16</v>
      </c>
      <c r="D6741" s="2" t="s">
        <v>17</v>
      </c>
      <c r="E6741" s="5">
        <v>-31619</v>
      </c>
      <c r="F6741" s="3" t="s">
        <v>1350</v>
      </c>
      <c r="G6741" s="3" t="s">
        <v>2984</v>
      </c>
      <c r="H6741" s="2" t="s">
        <v>20</v>
      </c>
      <c r="I6741" s="2" t="s">
        <v>14085</v>
      </c>
      <c r="J6741" s="3" t="str">
        <f>HYPERLINK("https://www.boe.es/gazeta/dias/1813/06/05/pdfs/GMR-1813-2.pdf#page=4","Abrir facsímil")</f>
        <v>Abrir facsímil</v>
      </c>
      <c r="K6741" s="3" t="s">
        <v>22</v>
      </c>
    </row>
    <row r="6742" spans="1:11" ht="42" customHeight="1">
      <c r="A6742" s="2" t="s">
        <v>14086</v>
      </c>
      <c r="B6742" s="2" t="s">
        <v>14087</v>
      </c>
      <c r="C6742" s="2" t="s">
        <v>34</v>
      </c>
      <c r="D6742" s="2" t="s">
        <v>35</v>
      </c>
      <c r="E6742" s="5">
        <v>-31690</v>
      </c>
      <c r="F6742" s="3" t="s">
        <v>2575</v>
      </c>
      <c r="G6742" s="3" t="s">
        <v>19</v>
      </c>
      <c r="H6742" s="2" t="s">
        <v>20</v>
      </c>
      <c r="I6742" s="2" t="s">
        <v>14088</v>
      </c>
      <c r="J6742" s="3" t="str">
        <f>HYPERLINK("https://www.boe.es/gazeta/dias/1813/03/26/pdfs/GMD-1813-85.pdf#page=4","Abrir facsímil")</f>
        <v>Abrir facsímil</v>
      </c>
      <c r="K6742" s="3" t="s">
        <v>22</v>
      </c>
    </row>
    <row r="6743" spans="1:11" ht="42" customHeight="1">
      <c r="A6743" s="2" t="s">
        <v>14089</v>
      </c>
      <c r="B6743" s="2" t="s">
        <v>14090</v>
      </c>
      <c r="C6743" s="2" t="s">
        <v>34</v>
      </c>
      <c r="D6743" s="2" t="s">
        <v>35</v>
      </c>
      <c r="E6743" s="5">
        <v>-31703</v>
      </c>
      <c r="F6743" s="3" t="s">
        <v>526</v>
      </c>
      <c r="G6743" s="3" t="s">
        <v>54</v>
      </c>
      <c r="H6743" s="2" t="s">
        <v>20</v>
      </c>
      <c r="I6743" s="2" t="s">
        <v>14091</v>
      </c>
      <c r="J6743" s="3" t="str">
        <f>HYPERLINK("https://www.boe.es/gazeta/dias/1813/03/13/pdfs/GMD-1813-72.pdf#page=3","Abrir facsímil")</f>
        <v>Abrir facsímil</v>
      </c>
      <c r="K6743" s="3" t="s">
        <v>22</v>
      </c>
    </row>
    <row r="6744" spans="1:11" ht="42" customHeight="1">
      <c r="A6744" s="2" t="s">
        <v>14092</v>
      </c>
      <c r="B6744" s="2" t="s">
        <v>14093</v>
      </c>
      <c r="C6744" s="2" t="s">
        <v>16</v>
      </c>
      <c r="D6744" s="2" t="s">
        <v>17</v>
      </c>
      <c r="E6744" s="5">
        <v>-31537</v>
      </c>
      <c r="F6744" s="3" t="s">
        <v>138</v>
      </c>
      <c r="G6744" s="3" t="s">
        <v>82</v>
      </c>
      <c r="H6744" s="2" t="s">
        <v>20</v>
      </c>
      <c r="I6744" s="2" t="s">
        <v>14094</v>
      </c>
      <c r="J6744" s="3" t="str">
        <f>HYPERLINK("https://www.boe.es/gazeta/dias/1813/08/26/pdfs/GMR-1813-33.pdf#page=5","Abrir facsímil")</f>
        <v>Abrir facsímil</v>
      </c>
      <c r="K6744" s="3" t="s">
        <v>22</v>
      </c>
    </row>
    <row r="6745" spans="1:11" ht="42" customHeight="1">
      <c r="A6745" s="2" t="s">
        <v>14095</v>
      </c>
      <c r="B6745" s="2" t="s">
        <v>14096</v>
      </c>
      <c r="C6745" s="2" t="s">
        <v>25</v>
      </c>
      <c r="D6745" s="2" t="s">
        <v>26</v>
      </c>
      <c r="E6745" s="5">
        <v>-31549</v>
      </c>
      <c r="F6745" s="3" t="s">
        <v>332</v>
      </c>
      <c r="G6745" s="3" t="s">
        <v>19</v>
      </c>
      <c r="H6745" s="2" t="s">
        <v>20</v>
      </c>
      <c r="I6745" s="2" t="s">
        <v>14097</v>
      </c>
      <c r="J6745" s="3" t="str">
        <f>HYPERLINK("https://www.boe.es/gazeta/dias/1813/08/14/pdfs/GMR-1813-28.pdf#page=4","Abrir facsímil")</f>
        <v>Abrir facsímil</v>
      </c>
      <c r="K6745" s="3" t="s">
        <v>22</v>
      </c>
    </row>
    <row r="6746" spans="1:11" ht="42" customHeight="1">
      <c r="A6746" s="2" t="s">
        <v>14098</v>
      </c>
      <c r="B6746" s="2" t="s">
        <v>14099</v>
      </c>
      <c r="C6746" s="2" t="s">
        <v>16</v>
      </c>
      <c r="D6746" s="2" t="s">
        <v>17</v>
      </c>
      <c r="E6746" s="5">
        <v>-31567</v>
      </c>
      <c r="F6746" s="3" t="s">
        <v>1471</v>
      </c>
      <c r="G6746" s="3" t="s">
        <v>95</v>
      </c>
      <c r="H6746" s="2" t="s">
        <v>20</v>
      </c>
      <c r="I6746" s="2" t="s">
        <v>14100</v>
      </c>
      <c r="J6746" s="3" t="str">
        <f>HYPERLINK("https://www.boe.es/gazeta/dias/1813/07/27/pdfs/GRE-1813-95.pdf#page=6","Abrir facsímil")</f>
        <v>Abrir facsímil</v>
      </c>
      <c r="K6746" s="3" t="s">
        <v>22</v>
      </c>
    </row>
    <row r="6747" spans="1:11" ht="42" customHeight="1">
      <c r="A6747" s="2" t="s">
        <v>14101</v>
      </c>
      <c r="B6747" s="2" t="s">
        <v>14102</v>
      </c>
      <c r="C6747" s="2" t="s">
        <v>16</v>
      </c>
      <c r="D6747" s="2" t="s">
        <v>17</v>
      </c>
      <c r="E6747" s="5">
        <v>-31567</v>
      </c>
      <c r="F6747" s="3" t="s">
        <v>820</v>
      </c>
      <c r="G6747" s="3" t="s">
        <v>747</v>
      </c>
      <c r="H6747" s="2" t="s">
        <v>20</v>
      </c>
      <c r="I6747" s="2" t="s">
        <v>14103</v>
      </c>
      <c r="J6747" s="3" t="str">
        <f>HYPERLINK("https://www.boe.es/gazeta/dias/1813/07/27/pdfs/GMR-1813-21.pdf#page=10","Abrir facsímil")</f>
        <v>Abrir facsímil</v>
      </c>
      <c r="K6747" s="3" t="s">
        <v>22</v>
      </c>
    </row>
    <row r="6748" spans="1:11" ht="42" customHeight="1">
      <c r="A6748" s="2" t="s">
        <v>14104</v>
      </c>
      <c r="B6748" s="2" t="s">
        <v>14105</v>
      </c>
      <c r="C6748" s="2" t="s">
        <v>109</v>
      </c>
      <c r="D6748" s="2" t="s">
        <v>26</v>
      </c>
      <c r="E6748" s="5">
        <v>-31574</v>
      </c>
      <c r="F6748" s="3" t="s">
        <v>509</v>
      </c>
      <c r="G6748" s="3" t="s">
        <v>28</v>
      </c>
      <c r="H6748" s="2" t="s">
        <v>20</v>
      </c>
      <c r="I6748" s="2" t="s">
        <v>14106</v>
      </c>
      <c r="J6748" s="3" t="str">
        <f>HYPERLINK("https://www.boe.es/gazeta/dias/1813/07/20/pdfs/GRE-1813-92.pdf#page=8","Abrir facsímil")</f>
        <v>Abrir facsímil</v>
      </c>
      <c r="K6748" s="3" t="s">
        <v>22</v>
      </c>
    </row>
    <row r="6749" spans="1:11" ht="42" customHeight="1">
      <c r="A6749" s="2" t="s">
        <v>14107</v>
      </c>
      <c r="B6749" s="2" t="s">
        <v>14107</v>
      </c>
      <c r="C6749" s="2" t="s">
        <v>16</v>
      </c>
      <c r="D6749" s="2" t="s">
        <v>17</v>
      </c>
      <c r="E6749" s="5">
        <v>-31763</v>
      </c>
      <c r="F6749" s="3" t="s">
        <v>668</v>
      </c>
      <c r="G6749" s="3" t="s">
        <v>82</v>
      </c>
      <c r="H6749" s="2" t="s">
        <v>20</v>
      </c>
      <c r="I6749" s="2" t="s">
        <v>14108</v>
      </c>
      <c r="J6749" s="3" t="str">
        <f>HYPERLINK("https://www.boe.es/gazeta/dias/1813/01/12/pdfs/GRE-1813-5.pdf#page=5","Abrir facsímil")</f>
        <v>Abrir facsímil</v>
      </c>
      <c r="K6749" s="3" t="s">
        <v>22</v>
      </c>
    </row>
    <row r="6750" spans="1:11" ht="42" customHeight="1">
      <c r="A6750" s="2" t="s">
        <v>14107</v>
      </c>
      <c r="B6750" s="2" t="s">
        <v>14107</v>
      </c>
      <c r="C6750" s="2" t="s">
        <v>16</v>
      </c>
      <c r="D6750" s="2" t="s">
        <v>17</v>
      </c>
      <c r="E6750" s="5">
        <v>-31752</v>
      </c>
      <c r="F6750" s="3" t="s">
        <v>182</v>
      </c>
      <c r="G6750" s="3" t="s">
        <v>58</v>
      </c>
      <c r="H6750" s="2" t="s">
        <v>20</v>
      </c>
      <c r="I6750" s="2" t="s">
        <v>14109</v>
      </c>
      <c r="J6750" s="3" t="str">
        <f>HYPERLINK("https://www.boe.es/gazeta/dias/1813/01/23/pdfs/GRE-1813-10.pdf#page=2","Abrir facsímil")</f>
        <v>Abrir facsímil</v>
      </c>
      <c r="K6750" s="3" t="s">
        <v>22</v>
      </c>
    </row>
    <row r="6751" spans="1:11" ht="42" customHeight="1">
      <c r="A6751" s="2" t="s">
        <v>14107</v>
      </c>
      <c r="B6751" s="2" t="s">
        <v>14107</v>
      </c>
      <c r="C6751" s="2" t="s">
        <v>16</v>
      </c>
      <c r="D6751" s="2" t="s">
        <v>17</v>
      </c>
      <c r="E6751" s="5">
        <v>-31723</v>
      </c>
      <c r="F6751" s="3" t="s">
        <v>273</v>
      </c>
      <c r="G6751" s="3" t="s">
        <v>65</v>
      </c>
      <c r="H6751" s="2" t="s">
        <v>20</v>
      </c>
      <c r="I6751" s="2" t="s">
        <v>14110</v>
      </c>
      <c r="J6751" s="3" t="str">
        <f>HYPERLINK("https://www.boe.es/gazeta/dias/1813/02/21/pdfs/GMD-1813-52.pdf#page=1","Abrir facsímil")</f>
        <v>Abrir facsímil</v>
      </c>
      <c r="K6751" s="3" t="s">
        <v>22</v>
      </c>
    </row>
    <row r="6752" spans="1:11" ht="42" customHeight="1">
      <c r="A6752" s="2" t="s">
        <v>14107</v>
      </c>
      <c r="B6752" s="2" t="s">
        <v>14107</v>
      </c>
      <c r="C6752" s="2" t="s">
        <v>16</v>
      </c>
      <c r="D6752" s="2" t="s">
        <v>17</v>
      </c>
      <c r="E6752" s="5">
        <v>-31698</v>
      </c>
      <c r="F6752" s="3" t="s">
        <v>470</v>
      </c>
      <c r="G6752" s="3" t="s">
        <v>471</v>
      </c>
      <c r="H6752" s="2" t="s">
        <v>20</v>
      </c>
      <c r="I6752" s="2" t="s">
        <v>14111</v>
      </c>
      <c r="J6752" s="3" t="str">
        <f>HYPERLINK("https://www.boe.es/gazeta/dias/1813/03/18/pdfs/GRE-1813-34.pdf#page=7","Abrir facsímil")</f>
        <v>Abrir facsímil</v>
      </c>
      <c r="K6752" s="3" t="s">
        <v>22</v>
      </c>
    </row>
    <row r="6753" spans="1:11" ht="42" customHeight="1">
      <c r="A6753" s="2" t="s">
        <v>14107</v>
      </c>
      <c r="B6753" s="2" t="s">
        <v>14107</v>
      </c>
      <c r="C6753" s="2" t="s">
        <v>16</v>
      </c>
      <c r="D6753" s="2" t="s">
        <v>17</v>
      </c>
      <c r="E6753" s="5">
        <v>-31698</v>
      </c>
      <c r="F6753" s="3" t="s">
        <v>470</v>
      </c>
      <c r="G6753" s="3" t="s">
        <v>2413</v>
      </c>
      <c r="H6753" s="2" t="s">
        <v>20</v>
      </c>
      <c r="I6753" s="2" t="s">
        <v>14112</v>
      </c>
      <c r="J6753" s="3" t="str">
        <f>HYPERLINK("https://www.boe.es/gazeta/dias/1813/03/18/pdfs/GRE-1813-34.pdf#page=5","Abrir facsímil")</f>
        <v>Abrir facsímil</v>
      </c>
      <c r="K6753" s="3" t="s">
        <v>22</v>
      </c>
    </row>
    <row r="6754" spans="1:11" ht="42" customHeight="1">
      <c r="A6754" s="2" t="s">
        <v>14107</v>
      </c>
      <c r="B6754" s="2" t="s">
        <v>14107</v>
      </c>
      <c r="C6754" s="2" t="s">
        <v>16</v>
      </c>
      <c r="D6754" s="2" t="s">
        <v>17</v>
      </c>
      <c r="E6754" s="5">
        <v>-31679</v>
      </c>
      <c r="F6754" s="3" t="s">
        <v>571</v>
      </c>
      <c r="G6754" s="3" t="s">
        <v>54</v>
      </c>
      <c r="H6754" s="2" t="s">
        <v>20</v>
      </c>
      <c r="I6754" s="2" t="s">
        <v>14113</v>
      </c>
      <c r="J6754" s="3" t="str">
        <f>HYPERLINK("https://www.boe.es/gazeta/dias/1813/04/06/pdfs/GRE-1813-42.pdf#page=3","Abrir facsímil")</f>
        <v>Abrir facsímil</v>
      </c>
      <c r="K6754" s="3" t="s">
        <v>22</v>
      </c>
    </row>
    <row r="6755" spans="1:11" ht="42" customHeight="1">
      <c r="A6755" s="2" t="s">
        <v>14107</v>
      </c>
      <c r="B6755" s="2" t="s">
        <v>14107</v>
      </c>
      <c r="C6755" s="2" t="s">
        <v>16</v>
      </c>
      <c r="D6755" s="2" t="s">
        <v>17</v>
      </c>
      <c r="E6755" s="5">
        <v>-31613</v>
      </c>
      <c r="F6755" s="3" t="s">
        <v>1629</v>
      </c>
      <c r="G6755" s="3" t="s">
        <v>19</v>
      </c>
      <c r="H6755" s="2" t="s">
        <v>20</v>
      </c>
      <c r="I6755" s="2" t="s">
        <v>14114</v>
      </c>
      <c r="J6755" s="3" t="str">
        <f>HYPERLINK("https://www.boe.es/gazeta/dias/1813/06/11/pdfs/GMR-1813-4.pdf#page=4","Abrir facsímil")</f>
        <v>Abrir facsímil</v>
      </c>
      <c r="K6755" s="3" t="s">
        <v>22</v>
      </c>
    </row>
    <row r="6756" spans="1:11" ht="42" customHeight="1">
      <c r="A6756" s="2" t="s">
        <v>14107</v>
      </c>
      <c r="B6756" s="2" t="s">
        <v>14107</v>
      </c>
      <c r="C6756" s="2" t="s">
        <v>16</v>
      </c>
      <c r="D6756" s="2" t="s">
        <v>17</v>
      </c>
      <c r="E6756" s="5">
        <v>-31588</v>
      </c>
      <c r="F6756" s="3" t="s">
        <v>1535</v>
      </c>
      <c r="G6756" s="3" t="s">
        <v>9831</v>
      </c>
      <c r="H6756" s="2" t="s">
        <v>20</v>
      </c>
      <c r="I6756" s="2" t="s">
        <v>14115</v>
      </c>
      <c r="J6756" s="3" t="str">
        <f>HYPERLINK("https://www.boe.es/gazeta/dias/1813/07/06/pdfs/GMR-1813-15.pdf#page=12","Abrir facsímil")</f>
        <v>Abrir facsímil</v>
      </c>
      <c r="K6756" s="3" t="s">
        <v>22</v>
      </c>
    </row>
    <row r="6757" spans="1:11" ht="42" customHeight="1">
      <c r="A6757" s="2" t="s">
        <v>14107</v>
      </c>
      <c r="B6757" s="2" t="s">
        <v>14107</v>
      </c>
      <c r="C6757" s="2" t="s">
        <v>16</v>
      </c>
      <c r="D6757" s="2" t="s">
        <v>97</v>
      </c>
      <c r="E6757" s="5">
        <v>-31499</v>
      </c>
      <c r="F6757" s="3" t="s">
        <v>220</v>
      </c>
      <c r="G6757" s="3" t="s">
        <v>28</v>
      </c>
      <c r="H6757" s="2" t="s">
        <v>20</v>
      </c>
      <c r="I6757" s="2" t="s">
        <v>14116</v>
      </c>
      <c r="J6757" s="3" t="str">
        <f>HYPERLINK("https://www.boe.es/gazeta/dias/1813/10/03/pdfs/GMR-1813-53E.pdf#page=8","Abrir facsímil")</f>
        <v>Abrir facsímil</v>
      </c>
      <c r="K6757" s="3" t="s">
        <v>22</v>
      </c>
    </row>
    <row r="6758" spans="1:11" ht="42" customHeight="1">
      <c r="A6758" s="2" t="s">
        <v>14117</v>
      </c>
      <c r="B6758" s="2" t="s">
        <v>14117</v>
      </c>
      <c r="C6758" s="2" t="s">
        <v>16</v>
      </c>
      <c r="D6758" s="2" t="s">
        <v>17</v>
      </c>
      <c r="E6758" s="5">
        <v>-31582</v>
      </c>
      <c r="F6758" s="3" t="s">
        <v>907</v>
      </c>
      <c r="G6758" s="3" t="s">
        <v>54</v>
      </c>
      <c r="H6758" s="2" t="s">
        <v>20</v>
      </c>
      <c r="I6758" s="2" t="s">
        <v>14118</v>
      </c>
      <c r="J6758" s="3" t="str">
        <f>HYPERLINK("https://www.boe.es/gazeta/dias/1813/07/12/pdfs/GRE-1813-87.pdf#page=3","Abrir facsímil")</f>
        <v>Abrir facsímil</v>
      </c>
      <c r="K6758" s="3" t="s">
        <v>22</v>
      </c>
    </row>
    <row r="6759" spans="1:11" ht="42" customHeight="1">
      <c r="A6759" s="2" t="s">
        <v>14117</v>
      </c>
      <c r="B6759" s="2" t="s">
        <v>14117</v>
      </c>
      <c r="C6759" s="2" t="s">
        <v>16</v>
      </c>
      <c r="D6759" s="2" t="s">
        <v>17</v>
      </c>
      <c r="E6759" s="5">
        <v>-31559</v>
      </c>
      <c r="F6759" s="3" t="s">
        <v>1485</v>
      </c>
      <c r="G6759" s="3" t="s">
        <v>6308</v>
      </c>
      <c r="H6759" s="2" t="s">
        <v>20</v>
      </c>
      <c r="I6759" s="2" t="s">
        <v>14119</v>
      </c>
      <c r="J6759" s="3" t="str">
        <f>HYPERLINK("https://www.boe.es/gazeta/dias/1813/08/04/pdfs/GRE-1813-113.pdf#page=6","Abrir facsímil")</f>
        <v>Abrir facsímil</v>
      </c>
      <c r="K6759" s="3" t="s">
        <v>22</v>
      </c>
    </row>
    <row r="6760" spans="1:11" ht="42" customHeight="1">
      <c r="A6760" s="2" t="s">
        <v>14117</v>
      </c>
      <c r="B6760" s="2" t="s">
        <v>14117</v>
      </c>
      <c r="C6760" s="2" t="s">
        <v>16</v>
      </c>
      <c r="D6760" s="2" t="s">
        <v>17</v>
      </c>
      <c r="E6760" s="5">
        <v>-31528</v>
      </c>
      <c r="F6760" s="3" t="s">
        <v>1485</v>
      </c>
      <c r="G6760" s="3" t="s">
        <v>6308</v>
      </c>
      <c r="H6760" s="2" t="s">
        <v>20</v>
      </c>
      <c r="I6760" s="2" t="s">
        <v>14119</v>
      </c>
      <c r="J6760" s="3" t="str">
        <f>HYPERLINK("https://www.boe.es/gazeta/dias/1813/09/04/pdfs/GRE-1813-113.pdf#page=6","Abrir facsímil")</f>
        <v>Abrir facsímil</v>
      </c>
      <c r="K6760" s="3" t="s">
        <v>22</v>
      </c>
    </row>
    <row r="6761" spans="1:11" ht="42" customHeight="1">
      <c r="A6761" s="2" t="s">
        <v>14120</v>
      </c>
      <c r="B6761" s="2" t="s">
        <v>14120</v>
      </c>
      <c r="C6761" s="2" t="s">
        <v>16</v>
      </c>
      <c r="D6761" s="2" t="s">
        <v>17</v>
      </c>
      <c r="E6761" s="5">
        <v>-31749</v>
      </c>
      <c r="F6761" s="3" t="s">
        <v>1515</v>
      </c>
      <c r="G6761" s="3" t="s">
        <v>3722</v>
      </c>
      <c r="H6761" s="2" t="s">
        <v>20</v>
      </c>
      <c r="I6761" s="2" t="s">
        <v>14121</v>
      </c>
      <c r="J6761" s="3" t="str">
        <f>HYPERLINK("https://www.boe.es/gazeta/dias/1813/01/26/pdfs/GRE-1813-11.pdf#page=2","Abrir facsímil")</f>
        <v>Abrir facsímil</v>
      </c>
      <c r="K6761" s="3" t="s">
        <v>22</v>
      </c>
    </row>
    <row r="6762" spans="1:11" ht="42" customHeight="1">
      <c r="A6762" s="2" t="s">
        <v>14120</v>
      </c>
      <c r="B6762" s="2" t="s">
        <v>14120</v>
      </c>
      <c r="C6762" s="2" t="s">
        <v>16</v>
      </c>
      <c r="D6762" s="2" t="s">
        <v>17</v>
      </c>
      <c r="E6762" s="5">
        <v>-31736</v>
      </c>
      <c r="F6762" s="3" t="s">
        <v>1936</v>
      </c>
      <c r="G6762" s="3" t="s">
        <v>65</v>
      </c>
      <c r="H6762" s="2" t="s">
        <v>20</v>
      </c>
      <c r="I6762" s="2" t="s">
        <v>14122</v>
      </c>
      <c r="J6762" s="3" t="str">
        <f>HYPERLINK("https://www.boe.es/gazeta/dias/1813/02/08/pdfs/GMD-1813-39.pdf#page=1","Abrir facsímil")</f>
        <v>Abrir facsímil</v>
      </c>
      <c r="K6762" s="3" t="s">
        <v>22</v>
      </c>
    </row>
    <row r="6763" spans="1:11" ht="42" customHeight="1">
      <c r="A6763" s="2" t="s">
        <v>14120</v>
      </c>
      <c r="B6763" s="2" t="s">
        <v>14120</v>
      </c>
      <c r="C6763" s="2" t="s">
        <v>16</v>
      </c>
      <c r="D6763" s="2" t="s">
        <v>17</v>
      </c>
      <c r="E6763" s="5">
        <v>-31733</v>
      </c>
      <c r="F6763" s="3" t="s">
        <v>3036</v>
      </c>
      <c r="G6763" s="3" t="s">
        <v>82</v>
      </c>
      <c r="H6763" s="2" t="s">
        <v>20</v>
      </c>
      <c r="I6763" s="2" t="s">
        <v>14123</v>
      </c>
      <c r="J6763" s="3" t="str">
        <f>HYPERLINK("https://www.boe.es/gazeta/dias/1813/02/11/pdfs/GRE-1813-18.pdf#page=5","Abrir facsímil")</f>
        <v>Abrir facsímil</v>
      </c>
      <c r="K6763" s="3" t="s">
        <v>22</v>
      </c>
    </row>
    <row r="6764" spans="1:11" ht="42" customHeight="1">
      <c r="A6764" s="2" t="s">
        <v>14120</v>
      </c>
      <c r="B6764" s="2" t="s">
        <v>14120</v>
      </c>
      <c r="C6764" s="2" t="s">
        <v>16</v>
      </c>
      <c r="D6764" s="2" t="s">
        <v>17</v>
      </c>
      <c r="E6764" s="5">
        <v>-31732</v>
      </c>
      <c r="F6764" s="3" t="s">
        <v>1904</v>
      </c>
      <c r="G6764" s="3" t="s">
        <v>65</v>
      </c>
      <c r="H6764" s="2" t="s">
        <v>20</v>
      </c>
      <c r="I6764" s="2" t="s">
        <v>14124</v>
      </c>
      <c r="J6764" s="3" t="str">
        <f>HYPERLINK("https://www.boe.es/gazeta/dias/1813/02/12/pdfs/GMD-1813-43.pdf#page=1","Abrir facsímil")</f>
        <v>Abrir facsímil</v>
      </c>
      <c r="K6764" s="3" t="s">
        <v>22</v>
      </c>
    </row>
    <row r="6765" spans="1:11" ht="42" customHeight="1">
      <c r="A6765" s="2" t="s">
        <v>14120</v>
      </c>
      <c r="B6765" s="2" t="s">
        <v>14120</v>
      </c>
      <c r="C6765" s="2" t="s">
        <v>16</v>
      </c>
      <c r="D6765" s="2" t="s">
        <v>17</v>
      </c>
      <c r="E6765" s="5">
        <v>-31731</v>
      </c>
      <c r="F6765" s="3" t="s">
        <v>866</v>
      </c>
      <c r="G6765" s="3" t="s">
        <v>4688</v>
      </c>
      <c r="H6765" s="2" t="s">
        <v>20</v>
      </c>
      <c r="I6765" s="2" t="s">
        <v>14125</v>
      </c>
      <c r="J6765" s="3" t="str">
        <f>HYPERLINK("https://www.boe.es/gazeta/dias/1813/02/13/pdfs/GRE-1813-19.pdf#page=5","Abrir facsímil")</f>
        <v>Abrir facsímil</v>
      </c>
      <c r="K6765" s="3" t="s">
        <v>22</v>
      </c>
    </row>
    <row r="6766" spans="1:11" ht="42" customHeight="1">
      <c r="A6766" s="2" t="s">
        <v>14120</v>
      </c>
      <c r="B6766" s="2" t="s">
        <v>14120</v>
      </c>
      <c r="C6766" s="2" t="s">
        <v>16</v>
      </c>
      <c r="D6766" s="2" t="s">
        <v>17</v>
      </c>
      <c r="E6766" s="5">
        <v>-31728</v>
      </c>
      <c r="F6766" s="3" t="s">
        <v>1434</v>
      </c>
      <c r="G6766" s="3" t="s">
        <v>12966</v>
      </c>
      <c r="H6766" s="2" t="s">
        <v>20</v>
      </c>
      <c r="I6766" s="2" t="s">
        <v>14126</v>
      </c>
      <c r="J6766" s="3" t="str">
        <f>HYPERLINK("https://www.boe.es/gazeta/dias/1813/02/16/pdfs/GRE-1813-20.pdf#page=4","Abrir facsímil")</f>
        <v>Abrir facsímil</v>
      </c>
      <c r="K6766" s="3" t="s">
        <v>22</v>
      </c>
    </row>
    <row r="6767" spans="1:11" ht="42" customHeight="1">
      <c r="A6767" s="2" t="s">
        <v>14127</v>
      </c>
      <c r="B6767" s="2" t="s">
        <v>14127</v>
      </c>
      <c r="C6767" s="2" t="s">
        <v>16</v>
      </c>
      <c r="D6767" s="2" t="s">
        <v>17</v>
      </c>
      <c r="E6767" s="5">
        <v>-31728</v>
      </c>
      <c r="F6767" s="3" t="s">
        <v>1434</v>
      </c>
      <c r="G6767" s="3" t="s">
        <v>54</v>
      </c>
      <c r="H6767" s="2" t="s">
        <v>20</v>
      </c>
      <c r="I6767" s="2" t="s">
        <v>14128</v>
      </c>
      <c r="J6767" s="3" t="str">
        <f>HYPERLINK("https://www.boe.es/gazeta/dias/1813/02/16/pdfs/GRE-1813-20.pdf#page=3","Abrir facsímil")</f>
        <v>Abrir facsímil</v>
      </c>
      <c r="K6767" s="3" t="s">
        <v>22</v>
      </c>
    </row>
    <row r="6768" spans="1:11" ht="42" customHeight="1">
      <c r="A6768" s="2" t="s">
        <v>14120</v>
      </c>
      <c r="B6768" s="2" t="s">
        <v>14120</v>
      </c>
      <c r="C6768" s="2" t="s">
        <v>16</v>
      </c>
      <c r="D6768" s="2" t="s">
        <v>17</v>
      </c>
      <c r="E6768" s="5">
        <v>-31472</v>
      </c>
      <c r="F6768" s="3" t="s">
        <v>1942</v>
      </c>
      <c r="G6768" s="3" t="s">
        <v>54</v>
      </c>
      <c r="H6768" s="2" t="s">
        <v>20</v>
      </c>
      <c r="I6768" s="2" t="s">
        <v>14129</v>
      </c>
      <c r="J6768" s="3" t="str">
        <f>HYPERLINK("https://www.boe.es/gazeta/dias/1813/10/30/pdfs/GRE-1813-142.pdf#page=3","Abrir facsímil")</f>
        <v>Abrir facsímil</v>
      </c>
      <c r="K6768" s="3" t="s">
        <v>22</v>
      </c>
    </row>
    <row r="6769" spans="1:11" ht="42" customHeight="1">
      <c r="A6769" s="2" t="s">
        <v>14120</v>
      </c>
      <c r="B6769" s="2" t="s">
        <v>14120</v>
      </c>
      <c r="C6769" s="2" t="s">
        <v>16</v>
      </c>
      <c r="D6769" s="2" t="s">
        <v>17</v>
      </c>
      <c r="E6769" s="5">
        <v>-31460</v>
      </c>
      <c r="F6769" s="3" t="s">
        <v>599</v>
      </c>
      <c r="G6769" s="3" t="s">
        <v>58</v>
      </c>
      <c r="H6769" s="2" t="s">
        <v>20</v>
      </c>
      <c r="I6769" s="2" t="s">
        <v>14130</v>
      </c>
      <c r="J6769" s="3" t="str">
        <f>HYPERLINK("https://www.boe.es/gazeta/dias/1813/11/11/pdfs/GMR-1813-72.pdf#page=2","Abrir facsímil")</f>
        <v>Abrir facsímil</v>
      </c>
      <c r="K6769" s="3" t="s">
        <v>22</v>
      </c>
    </row>
    <row r="6770" spans="1:11" ht="42" customHeight="1">
      <c r="A6770" s="2" t="s">
        <v>14120</v>
      </c>
      <c r="B6770" s="2" t="s">
        <v>14120</v>
      </c>
      <c r="C6770" s="2" t="s">
        <v>16</v>
      </c>
      <c r="D6770" s="2" t="s">
        <v>17</v>
      </c>
      <c r="E6770" s="5">
        <v>-31446</v>
      </c>
      <c r="F6770" s="3" t="s">
        <v>103</v>
      </c>
      <c r="G6770" s="3" t="s">
        <v>58</v>
      </c>
      <c r="H6770" s="2" t="s">
        <v>20</v>
      </c>
      <c r="I6770" s="2" t="s">
        <v>14131</v>
      </c>
      <c r="J6770" s="3" t="str">
        <f>HYPERLINK("https://www.boe.es/gazeta/dias/1813/11/25/pdfs/GMR-1813-79.pdf#page=2","Abrir facsímil")</f>
        <v>Abrir facsímil</v>
      </c>
      <c r="K6770" s="3" t="s">
        <v>22</v>
      </c>
    </row>
    <row r="6771" spans="1:11" ht="42" customHeight="1">
      <c r="A6771" s="2" t="s">
        <v>14132</v>
      </c>
      <c r="B6771" s="2" t="s">
        <v>14133</v>
      </c>
      <c r="C6771" s="2" t="s">
        <v>16</v>
      </c>
      <c r="D6771" s="2" t="s">
        <v>17</v>
      </c>
      <c r="E6771" s="5">
        <v>-31446</v>
      </c>
      <c r="F6771" s="3" t="s">
        <v>103</v>
      </c>
      <c r="G6771" s="3" t="s">
        <v>58</v>
      </c>
      <c r="H6771" s="2" t="s">
        <v>20</v>
      </c>
      <c r="I6771" s="2" t="s">
        <v>14134</v>
      </c>
      <c r="J6771" s="3" t="str">
        <f>HYPERLINK("https://www.boe.es/gazeta/dias/1813/11/25/pdfs/GMR-1813-79.pdf#page=2","Abrir facsímil")</f>
        <v>Abrir facsímil</v>
      </c>
      <c r="K6771" s="3" t="s">
        <v>22</v>
      </c>
    </row>
    <row r="6772" spans="1:11" ht="42" customHeight="1">
      <c r="A6772" s="2" t="s">
        <v>14135</v>
      </c>
      <c r="B6772" s="2" t="s">
        <v>14135</v>
      </c>
      <c r="C6772" s="2" t="s">
        <v>16</v>
      </c>
      <c r="D6772" s="2" t="s">
        <v>17</v>
      </c>
      <c r="E6772" s="5">
        <v>-31732</v>
      </c>
      <c r="F6772" s="3" t="s">
        <v>1904</v>
      </c>
      <c r="G6772" s="3" t="s">
        <v>58</v>
      </c>
      <c r="H6772" s="2" t="s">
        <v>20</v>
      </c>
      <c r="I6772" s="2" t="s">
        <v>14136</v>
      </c>
      <c r="J6772" s="3" t="str">
        <f>HYPERLINK("https://www.boe.es/gazeta/dias/1813/02/12/pdfs/GMD-1813-43.pdf#page=2","Abrir facsímil")</f>
        <v>Abrir facsímil</v>
      </c>
      <c r="K6772" s="3" t="s">
        <v>22</v>
      </c>
    </row>
    <row r="6773" spans="1:11" ht="42" customHeight="1">
      <c r="A6773" s="2" t="s">
        <v>14137</v>
      </c>
      <c r="B6773" s="2" t="s">
        <v>14137</v>
      </c>
      <c r="C6773" s="2" t="s">
        <v>25</v>
      </c>
      <c r="D6773" s="2" t="s">
        <v>26</v>
      </c>
      <c r="E6773" s="5">
        <v>-31764</v>
      </c>
      <c r="F6773" s="3" t="s">
        <v>2677</v>
      </c>
      <c r="G6773" s="3" t="s">
        <v>19</v>
      </c>
      <c r="H6773" s="2" t="s">
        <v>20</v>
      </c>
      <c r="I6773" s="2" t="s">
        <v>14138</v>
      </c>
      <c r="J6773" s="3" t="str">
        <f>HYPERLINK("https://www.boe.es/gazeta/dias/1813/01/11/pdfs/GMD-1813-11.pdf#page=4","Abrir facsímil")</f>
        <v>Abrir facsímil</v>
      </c>
      <c r="K6773" s="3" t="s">
        <v>22</v>
      </c>
    </row>
    <row r="6774" spans="1:11" ht="42" customHeight="1">
      <c r="A6774" s="2" t="s">
        <v>14139</v>
      </c>
      <c r="B6774" s="2" t="s">
        <v>14140</v>
      </c>
      <c r="C6774" s="2" t="s">
        <v>25</v>
      </c>
      <c r="D6774" s="2" t="s">
        <v>26</v>
      </c>
      <c r="E6774" s="5">
        <v>-31745</v>
      </c>
      <c r="F6774" s="3" t="s">
        <v>445</v>
      </c>
      <c r="G6774" s="3" t="s">
        <v>28</v>
      </c>
      <c r="H6774" s="2" t="s">
        <v>20</v>
      </c>
      <c r="I6774" s="2" t="s">
        <v>14141</v>
      </c>
      <c r="J6774" s="3" t="str">
        <f>HYPERLINK("https://www.boe.es/gazeta/dias/1813/01/30/pdfs/GRE-1813-13.pdf#page=8","Abrir facsímil")</f>
        <v>Abrir facsímil</v>
      </c>
      <c r="K6774" s="3" t="s">
        <v>22</v>
      </c>
    </row>
    <row r="6775" spans="1:11" ht="42" customHeight="1">
      <c r="A6775" s="2" t="s">
        <v>14142</v>
      </c>
      <c r="B6775" s="2" t="s">
        <v>14143</v>
      </c>
      <c r="C6775" s="2" t="s">
        <v>16</v>
      </c>
      <c r="D6775" s="2" t="s">
        <v>17</v>
      </c>
      <c r="E6775" s="5">
        <v>-31451</v>
      </c>
      <c r="F6775" s="3" t="s">
        <v>127</v>
      </c>
      <c r="G6775" s="3" t="s">
        <v>19</v>
      </c>
      <c r="H6775" s="2" t="s">
        <v>20</v>
      </c>
      <c r="I6775" s="2" t="s">
        <v>14144</v>
      </c>
      <c r="J6775" s="3" t="str">
        <f>HYPERLINK("https://www.boe.es/gazeta/dias/1813/11/20/pdfs/GRE-1813-152.pdf#page=4","Abrir facsímil")</f>
        <v>Abrir facsímil</v>
      </c>
      <c r="K6775" s="3" t="s">
        <v>22</v>
      </c>
    </row>
    <row r="6776" spans="1:11" ht="42" customHeight="1">
      <c r="A6776" s="2" t="s">
        <v>14145</v>
      </c>
      <c r="B6776" s="2" t="s">
        <v>14146</v>
      </c>
      <c r="C6776" s="2" t="s">
        <v>16</v>
      </c>
      <c r="D6776" s="2" t="s">
        <v>17</v>
      </c>
      <c r="E6776" s="5">
        <v>-31593</v>
      </c>
      <c r="F6776" s="3" t="s">
        <v>5942</v>
      </c>
      <c r="G6776" s="3" t="s">
        <v>28</v>
      </c>
      <c r="H6776" s="2" t="s">
        <v>20</v>
      </c>
      <c r="I6776" s="2" t="s">
        <v>14147</v>
      </c>
      <c r="J6776" s="3" t="str">
        <f>HYPERLINK("https://www.boe.es/gazeta/dias/1813/07/01/pdfs/GRE-1813-81.pdf#page=8","Abrir facsímil")</f>
        <v>Abrir facsímil</v>
      </c>
      <c r="K6776" s="3" t="s">
        <v>22</v>
      </c>
    </row>
    <row r="6777" spans="1:11" ht="42" customHeight="1">
      <c r="A6777" s="2" t="s">
        <v>14148</v>
      </c>
      <c r="B6777" s="2" t="s">
        <v>14149</v>
      </c>
      <c r="C6777" s="2" t="s">
        <v>25</v>
      </c>
      <c r="D6777" s="2" t="s">
        <v>26</v>
      </c>
      <c r="E6777" s="5">
        <v>-31689</v>
      </c>
      <c r="F6777" s="3" t="s">
        <v>48</v>
      </c>
      <c r="G6777" s="3" t="s">
        <v>162</v>
      </c>
      <c r="H6777" s="2" t="s">
        <v>20</v>
      </c>
      <c r="I6777" s="2" t="s">
        <v>14150</v>
      </c>
      <c r="J6777" s="3" t="str">
        <f>HYPERLINK("https://www.boe.es/gazeta/dias/1813/03/27/pdfs/GRE-1813-38.pdf#page=8","Abrir facsímil")</f>
        <v>Abrir facsímil</v>
      </c>
      <c r="K6777" s="3" t="s">
        <v>22</v>
      </c>
    </row>
    <row r="6778" spans="1:11" ht="42" customHeight="1">
      <c r="A6778" s="2" t="s">
        <v>14151</v>
      </c>
      <c r="B6778" s="2" t="s">
        <v>14152</v>
      </c>
      <c r="C6778" s="2" t="s">
        <v>34</v>
      </c>
      <c r="D6778" s="2" t="s">
        <v>35</v>
      </c>
      <c r="E6778" s="5">
        <v>-31631</v>
      </c>
      <c r="F6778" s="3" t="s">
        <v>2792</v>
      </c>
      <c r="G6778" s="3" t="s">
        <v>19</v>
      </c>
      <c r="H6778" s="2" t="s">
        <v>20</v>
      </c>
      <c r="I6778" s="2" t="s">
        <v>14153</v>
      </c>
      <c r="J6778" s="3" t="str">
        <f>HYPERLINK("https://www.boe.es/gazeta/dias/1813/05/24/pdfs/GMD-1813-144.pdf#page=4","Abrir facsímil")</f>
        <v>Abrir facsímil</v>
      </c>
      <c r="K6778" s="3" t="s">
        <v>22</v>
      </c>
    </row>
    <row r="6779" spans="1:11" ht="42" customHeight="1">
      <c r="A6779" s="2" t="s">
        <v>14154</v>
      </c>
      <c r="B6779" s="2" t="s">
        <v>14155</v>
      </c>
      <c r="C6779" s="2" t="s">
        <v>34</v>
      </c>
      <c r="D6779" s="2" t="s">
        <v>35</v>
      </c>
      <c r="E6779" s="5">
        <v>-31709</v>
      </c>
      <c r="F6779" s="3" t="s">
        <v>36</v>
      </c>
      <c r="G6779" s="3" t="s">
        <v>19</v>
      </c>
      <c r="H6779" s="2" t="s">
        <v>20</v>
      </c>
      <c r="I6779" s="2" t="s">
        <v>14156</v>
      </c>
      <c r="J6779" s="3" t="str">
        <f>HYPERLINK("https://www.boe.es/gazeta/dias/1813/03/07/pdfs/GMD-1813-66.pdf#page=4","Abrir facsímil")</f>
        <v>Abrir facsímil</v>
      </c>
      <c r="K6779" s="3" t="s">
        <v>22</v>
      </c>
    </row>
    <row r="6780" spans="1:11" ht="42" customHeight="1">
      <c r="A6780" s="2" t="s">
        <v>14157</v>
      </c>
      <c r="B6780" s="2" t="s">
        <v>14157</v>
      </c>
      <c r="C6780" s="2" t="s">
        <v>16</v>
      </c>
      <c r="D6780" s="2" t="s">
        <v>17</v>
      </c>
      <c r="E6780" s="5">
        <v>-31525</v>
      </c>
      <c r="F6780" s="3" t="s">
        <v>135</v>
      </c>
      <c r="G6780" s="3" t="s">
        <v>54</v>
      </c>
      <c r="H6780" s="2" t="s">
        <v>20</v>
      </c>
      <c r="I6780" s="2" t="s">
        <v>14158</v>
      </c>
      <c r="J6780" s="3" t="str">
        <f>HYPERLINK("https://www.boe.es/gazeta/dias/1813/09/07/pdfs/GMR-1813-38.pdf#page=3","Abrir facsímil")</f>
        <v>Abrir facsímil</v>
      </c>
      <c r="K6780" s="3" t="s">
        <v>22</v>
      </c>
    </row>
    <row r="6781" spans="1:11" ht="42" customHeight="1">
      <c r="A6781" s="2" t="s">
        <v>14159</v>
      </c>
      <c r="B6781" s="2" t="s">
        <v>14160</v>
      </c>
      <c r="C6781" s="2" t="s">
        <v>16</v>
      </c>
      <c r="D6781" s="2" t="s">
        <v>17</v>
      </c>
      <c r="E6781" s="5">
        <v>-31574</v>
      </c>
      <c r="F6781" s="3" t="s">
        <v>1343</v>
      </c>
      <c r="G6781" s="3" t="s">
        <v>178</v>
      </c>
      <c r="H6781" s="2" t="s">
        <v>29</v>
      </c>
      <c r="I6781" s="2" t="s">
        <v>14161</v>
      </c>
      <c r="J6781" s="3" t="str">
        <f>HYPERLINK("https://www.boe.es/gazeta/dias/1813/07/20/pdfs/GMR-1813-19.pdf#page=11","Abrir facsímil")</f>
        <v>Abrir facsímil</v>
      </c>
      <c r="K6781" s="3" t="s">
        <v>31</v>
      </c>
    </row>
    <row r="6782" spans="1:11" ht="42" customHeight="1">
      <c r="A6782" s="2" t="s">
        <v>14162</v>
      </c>
      <c r="B6782" s="2" t="s">
        <v>14163</v>
      </c>
      <c r="C6782" s="2" t="s">
        <v>25</v>
      </c>
      <c r="D6782" s="2" t="s">
        <v>26</v>
      </c>
      <c r="E6782" s="5">
        <v>-31747</v>
      </c>
      <c r="F6782" s="3" t="s">
        <v>86</v>
      </c>
      <c r="G6782" s="3" t="s">
        <v>28</v>
      </c>
      <c r="H6782" s="2" t="s">
        <v>20</v>
      </c>
      <c r="I6782" s="2" t="s">
        <v>14164</v>
      </c>
      <c r="J6782" s="3" t="str">
        <f>HYPERLINK("https://www.boe.es/gazeta/dias/1813/01/28/pdfs/GRE-1813-12.pdf#page=8","Abrir facsímil")</f>
        <v>Abrir facsímil</v>
      </c>
      <c r="K6782" s="3" t="s">
        <v>22</v>
      </c>
    </row>
    <row r="6783" spans="1:11" ht="42" customHeight="1">
      <c r="A6783" s="2" t="s">
        <v>14165</v>
      </c>
      <c r="B6783" s="2" t="s">
        <v>14166</v>
      </c>
      <c r="C6783" s="2" t="s">
        <v>25</v>
      </c>
      <c r="D6783" s="2" t="s">
        <v>97</v>
      </c>
      <c r="E6783" s="5">
        <v>-31519</v>
      </c>
      <c r="F6783" s="3" t="s">
        <v>312</v>
      </c>
      <c r="G6783" s="3" t="s">
        <v>28</v>
      </c>
      <c r="H6783" s="2" t="s">
        <v>20</v>
      </c>
      <c r="I6783" s="2" t="s">
        <v>14167</v>
      </c>
      <c r="J6783" s="3" t="str">
        <f>HYPERLINK("https://www.boe.es/gazeta/dias/1813/09/13/pdfs/GRE-1813-118E.pdf#page=8","Abrir facsímil")</f>
        <v>Abrir facsímil</v>
      </c>
      <c r="K6783" s="3" t="s">
        <v>22</v>
      </c>
    </row>
    <row r="6784" spans="1:11" ht="42" customHeight="1">
      <c r="A6784" s="2" t="s">
        <v>14168</v>
      </c>
      <c r="B6784" s="2" t="s">
        <v>14169</v>
      </c>
      <c r="C6784" s="2" t="s">
        <v>16</v>
      </c>
      <c r="D6784" s="2" t="s">
        <v>17</v>
      </c>
      <c r="E6784" s="5">
        <v>-31647</v>
      </c>
      <c r="F6784" s="3" t="s">
        <v>5110</v>
      </c>
      <c r="G6784" s="3" t="s">
        <v>54</v>
      </c>
      <c r="H6784" s="2" t="s">
        <v>20</v>
      </c>
      <c r="I6784" s="2" t="s">
        <v>14170</v>
      </c>
      <c r="J6784" s="3" t="str">
        <f>HYPERLINK("https://www.boe.es/gazeta/dias/1813/05/08/pdfs/GMD-1813-128.pdf#page=3","Abrir facsímil")</f>
        <v>Abrir facsímil</v>
      </c>
      <c r="K6784" s="3" t="s">
        <v>22</v>
      </c>
    </row>
    <row r="6785" spans="1:11" ht="42" customHeight="1">
      <c r="A6785" s="2" t="s">
        <v>14171</v>
      </c>
      <c r="B6785" s="2" t="s">
        <v>14171</v>
      </c>
      <c r="C6785" s="2" t="s">
        <v>25</v>
      </c>
      <c r="D6785" s="2" t="s">
        <v>26</v>
      </c>
      <c r="E6785" s="5">
        <v>-31504</v>
      </c>
      <c r="F6785" s="3" t="s">
        <v>192</v>
      </c>
      <c r="G6785" s="3" t="s">
        <v>58</v>
      </c>
      <c r="H6785" s="2" t="s">
        <v>20</v>
      </c>
      <c r="I6785" s="2" t="s">
        <v>14172</v>
      </c>
      <c r="J6785" s="3" t="str">
        <f>HYPERLINK("https://www.boe.es/gazeta/dias/1813/09/28/pdfs/GRE-1813-127.pdf#page=2","Abrir facsímil")</f>
        <v>Abrir facsímil</v>
      </c>
      <c r="K6785" s="3" t="s">
        <v>22</v>
      </c>
    </row>
    <row r="6786" spans="1:11" ht="42" customHeight="1">
      <c r="A6786" s="2" t="s">
        <v>14173</v>
      </c>
      <c r="B6786" s="2" t="s">
        <v>14173</v>
      </c>
      <c r="C6786" s="2" t="s">
        <v>16</v>
      </c>
      <c r="D6786" s="2" t="s">
        <v>17</v>
      </c>
      <c r="E6786" s="5">
        <v>-31648</v>
      </c>
      <c r="F6786" s="3" t="s">
        <v>3263</v>
      </c>
      <c r="G6786" s="3" t="s">
        <v>58</v>
      </c>
      <c r="H6786" s="2" t="s">
        <v>20</v>
      </c>
      <c r="I6786" s="2" t="s">
        <v>14174</v>
      </c>
      <c r="J6786" s="3" t="str">
        <f>HYPERLINK("https://www.boe.es/gazeta/dias/1813/05/07/pdfs/GMD-1813-127.pdf#page=2","Abrir facsímil")</f>
        <v>Abrir facsímil</v>
      </c>
      <c r="K6786" s="3" t="s">
        <v>22</v>
      </c>
    </row>
    <row r="6787" spans="1:11" ht="42" customHeight="1">
      <c r="A6787" s="2" t="s">
        <v>14173</v>
      </c>
      <c r="B6787" s="2" t="s">
        <v>14173</v>
      </c>
      <c r="C6787" s="2" t="s">
        <v>16</v>
      </c>
      <c r="D6787" s="2" t="s">
        <v>17</v>
      </c>
      <c r="E6787" s="5">
        <v>-31647</v>
      </c>
      <c r="F6787" s="3" t="s">
        <v>5110</v>
      </c>
      <c r="G6787" s="3" t="s">
        <v>54</v>
      </c>
      <c r="H6787" s="2" t="s">
        <v>20</v>
      </c>
      <c r="I6787" s="2" t="s">
        <v>14175</v>
      </c>
      <c r="J6787" s="3" t="str">
        <f>HYPERLINK("https://www.boe.es/gazeta/dias/1813/05/08/pdfs/GMD-1813-128.pdf#page=3","Abrir facsímil")</f>
        <v>Abrir facsímil</v>
      </c>
      <c r="K6787" s="3" t="s">
        <v>22</v>
      </c>
    </row>
    <row r="6788" spans="1:11" ht="42" customHeight="1">
      <c r="A6788" s="2" t="s">
        <v>14176</v>
      </c>
      <c r="B6788" s="2" t="s">
        <v>14177</v>
      </c>
      <c r="C6788" s="2" t="s">
        <v>16</v>
      </c>
      <c r="D6788" s="2" t="s">
        <v>17</v>
      </c>
      <c r="E6788" s="5">
        <v>-31649</v>
      </c>
      <c r="F6788" s="3" t="s">
        <v>3961</v>
      </c>
      <c r="G6788" s="3" t="s">
        <v>19</v>
      </c>
      <c r="H6788" s="2" t="s">
        <v>20</v>
      </c>
      <c r="I6788" s="2" t="s">
        <v>14178</v>
      </c>
      <c r="J6788" s="3" t="str">
        <f>HYPERLINK("https://www.boe.es/gazeta/dias/1813/05/06/pdfs/GMD-1813-126.pdf#page=4","Abrir facsímil")</f>
        <v>Abrir facsímil</v>
      </c>
      <c r="K6788" s="3" t="s">
        <v>22</v>
      </c>
    </row>
    <row r="6789" spans="1:11" ht="42" customHeight="1">
      <c r="A6789" s="2" t="s">
        <v>14176</v>
      </c>
      <c r="B6789" s="2" t="s">
        <v>14177</v>
      </c>
      <c r="C6789" s="2" t="s">
        <v>16</v>
      </c>
      <c r="D6789" s="2" t="s">
        <v>17</v>
      </c>
      <c r="E6789" s="5">
        <v>-31647</v>
      </c>
      <c r="F6789" s="3" t="s">
        <v>5110</v>
      </c>
      <c r="G6789" s="3" t="s">
        <v>54</v>
      </c>
      <c r="H6789" s="2" t="s">
        <v>20</v>
      </c>
      <c r="I6789" s="2" t="s">
        <v>14179</v>
      </c>
      <c r="J6789" s="3" t="str">
        <f>HYPERLINK("https://www.boe.es/gazeta/dias/1813/05/08/pdfs/GMD-1813-128.pdf#page=3","Abrir facsímil")</f>
        <v>Abrir facsímil</v>
      </c>
      <c r="K6789" s="3" t="s">
        <v>22</v>
      </c>
    </row>
    <row r="6790" spans="1:11" ht="42" customHeight="1">
      <c r="A6790" s="2" t="s">
        <v>14180</v>
      </c>
      <c r="B6790" s="2" t="s">
        <v>14181</v>
      </c>
      <c r="C6790" s="2" t="s">
        <v>16</v>
      </c>
      <c r="D6790" s="2" t="s">
        <v>17</v>
      </c>
      <c r="E6790" s="5">
        <v>-31674</v>
      </c>
      <c r="F6790" s="3" t="s">
        <v>2773</v>
      </c>
      <c r="G6790" s="3" t="s">
        <v>65</v>
      </c>
      <c r="H6790" s="2" t="s">
        <v>20</v>
      </c>
      <c r="I6790" s="2" t="s">
        <v>14182</v>
      </c>
      <c r="J6790" s="3" t="str">
        <f>HYPERLINK("https://www.boe.es/gazeta/dias/1813/04/11/pdfs/GMD-1813-101.pdf#page=1","Abrir facsímil")</f>
        <v>Abrir facsímil</v>
      </c>
      <c r="K6790" s="3" t="s">
        <v>22</v>
      </c>
    </row>
    <row r="6791" spans="1:11" ht="42" customHeight="1">
      <c r="A6791" s="2" t="s">
        <v>14183</v>
      </c>
      <c r="B6791" s="2" t="s">
        <v>14184</v>
      </c>
      <c r="C6791" s="2" t="s">
        <v>16</v>
      </c>
      <c r="D6791" s="2" t="s">
        <v>17</v>
      </c>
      <c r="E6791" s="5">
        <v>-31653</v>
      </c>
      <c r="F6791" s="3" t="s">
        <v>3121</v>
      </c>
      <c r="G6791" s="3" t="s">
        <v>3122</v>
      </c>
      <c r="H6791" s="2" t="s">
        <v>20</v>
      </c>
      <c r="I6791" s="2" t="s">
        <v>14185</v>
      </c>
      <c r="J6791" s="3" t="str">
        <f>HYPERLINK("https://www.boe.es/gazeta/dias/1813/05/02/pdfs/GMD-1813-122.pdf#page=2","Abrir facsímil")</f>
        <v>Abrir facsímil</v>
      </c>
      <c r="K6791" s="3" t="s">
        <v>22</v>
      </c>
    </row>
    <row r="6792" spans="1:11" ht="42" customHeight="1">
      <c r="A6792" s="2" t="s">
        <v>14186</v>
      </c>
      <c r="B6792" s="2" t="s">
        <v>14186</v>
      </c>
      <c r="C6792" s="2" t="s">
        <v>435</v>
      </c>
      <c r="D6792" s="2" t="s">
        <v>26</v>
      </c>
      <c r="E6792" s="5">
        <v>-31644</v>
      </c>
      <c r="F6792" s="3" t="s">
        <v>1979</v>
      </c>
      <c r="G6792" s="3" t="s">
        <v>19</v>
      </c>
      <c r="H6792" s="2" t="s">
        <v>20</v>
      </c>
      <c r="I6792" s="2" t="s">
        <v>14187</v>
      </c>
      <c r="J6792" s="3" t="str">
        <f>HYPERLINK("https://www.boe.es/gazeta/dias/1813/05/11/pdfs/GMD-1813-131.pdf#page=4","Abrir facsímil")</f>
        <v>Abrir facsímil</v>
      </c>
      <c r="K6792" s="3" t="s">
        <v>22</v>
      </c>
    </row>
    <row r="6793" spans="1:11" ht="42" customHeight="1">
      <c r="A6793" s="2" t="s">
        <v>14186</v>
      </c>
      <c r="B6793" s="2" t="s">
        <v>14186</v>
      </c>
      <c r="C6793" s="2" t="s">
        <v>16</v>
      </c>
      <c r="D6793" s="2" t="s">
        <v>17</v>
      </c>
      <c r="E6793" s="5">
        <v>-31616</v>
      </c>
      <c r="F6793" s="3" t="s">
        <v>545</v>
      </c>
      <c r="G6793" s="3" t="s">
        <v>19</v>
      </c>
      <c r="H6793" s="2" t="s">
        <v>20</v>
      </c>
      <c r="I6793" s="2" t="s">
        <v>14188</v>
      </c>
      <c r="J6793" s="3" t="str">
        <f>HYPERLINK("https://www.boe.es/gazeta/dias/1813/06/08/pdfs/GRE-1813-71.pdf#page=4","Abrir facsímil")</f>
        <v>Abrir facsímil</v>
      </c>
      <c r="K6793" s="3" t="s">
        <v>22</v>
      </c>
    </row>
    <row r="6794" spans="1:11" ht="42" customHeight="1">
      <c r="A6794" s="2" t="s">
        <v>14189</v>
      </c>
      <c r="B6794" s="2" t="s">
        <v>14190</v>
      </c>
      <c r="C6794" s="2" t="s">
        <v>16</v>
      </c>
      <c r="D6794" s="2" t="s">
        <v>17</v>
      </c>
      <c r="E6794" s="5">
        <v>-31725</v>
      </c>
      <c r="F6794" s="3" t="s">
        <v>3928</v>
      </c>
      <c r="G6794" s="3" t="s">
        <v>65</v>
      </c>
      <c r="H6794" s="2" t="s">
        <v>20</v>
      </c>
      <c r="I6794" s="2" t="s">
        <v>14191</v>
      </c>
      <c r="J6794" s="3" t="str">
        <f>HYPERLINK("https://www.boe.es/gazeta/dias/1813/02/19/pdfs/GMD-1813-50.pdf#page=1","Abrir facsímil")</f>
        <v>Abrir facsímil</v>
      </c>
      <c r="K6794" s="3" t="s">
        <v>22</v>
      </c>
    </row>
    <row r="6795" spans="1:11" ht="42" customHeight="1">
      <c r="A6795" s="2" t="s">
        <v>14192</v>
      </c>
      <c r="B6795" s="2" t="s">
        <v>14193</v>
      </c>
      <c r="C6795" s="2" t="s">
        <v>187</v>
      </c>
      <c r="D6795" s="2" t="s">
        <v>26</v>
      </c>
      <c r="E6795" s="5">
        <v>-31500</v>
      </c>
      <c r="F6795" s="3" t="s">
        <v>938</v>
      </c>
      <c r="G6795" s="3" t="s">
        <v>28</v>
      </c>
      <c r="H6795" s="2" t="s">
        <v>20</v>
      </c>
      <c r="I6795" s="2" t="s">
        <v>14194</v>
      </c>
      <c r="J6795" s="3" t="str">
        <f>HYPERLINK("https://www.boe.es/gazeta/dias/1813/10/02/pdfs/GMR-1813-52.pdf#page=8","Abrir facsímil")</f>
        <v>Abrir facsímil</v>
      </c>
      <c r="K6795" s="3" t="s">
        <v>22</v>
      </c>
    </row>
    <row r="6796" spans="1:11" ht="42" customHeight="1">
      <c r="A6796" s="2" t="s">
        <v>14195</v>
      </c>
      <c r="B6796" s="2" t="s">
        <v>14195</v>
      </c>
      <c r="C6796" s="2" t="s">
        <v>16</v>
      </c>
      <c r="D6796" s="2" t="s">
        <v>17</v>
      </c>
      <c r="E6796" s="5">
        <v>-31677</v>
      </c>
      <c r="F6796" s="3" t="s">
        <v>76</v>
      </c>
      <c r="G6796" s="3" t="s">
        <v>8102</v>
      </c>
      <c r="H6796" s="2" t="s">
        <v>20</v>
      </c>
      <c r="I6796" s="2" t="s">
        <v>14196</v>
      </c>
      <c r="J6796" s="3" t="str">
        <f>HYPERLINK("https://www.boe.es/gazeta/dias/1813/04/08/pdfs/GRE-1813-43.pdf#page=2","Abrir facsímil")</f>
        <v>Abrir facsímil</v>
      </c>
      <c r="K6796" s="3" t="s">
        <v>22</v>
      </c>
    </row>
    <row r="6797" spans="1:11" ht="42" customHeight="1">
      <c r="A6797" s="2" t="s">
        <v>14195</v>
      </c>
      <c r="B6797" s="2" t="s">
        <v>14195</v>
      </c>
      <c r="C6797" s="2" t="s">
        <v>16</v>
      </c>
      <c r="D6797" s="2" t="s">
        <v>17</v>
      </c>
      <c r="E6797" s="5">
        <v>-31677</v>
      </c>
      <c r="F6797" s="3" t="s">
        <v>76</v>
      </c>
      <c r="G6797" s="3" t="s">
        <v>65</v>
      </c>
      <c r="H6797" s="2" t="s">
        <v>20</v>
      </c>
      <c r="I6797" s="2" t="s">
        <v>14197</v>
      </c>
      <c r="J6797" s="3" t="str">
        <f>HYPERLINK("https://www.boe.es/gazeta/dias/1813/04/08/pdfs/GRE-1813-43.pdf#page=1","Abrir facsímil")</f>
        <v>Abrir facsímil</v>
      </c>
      <c r="K6797" s="3" t="s">
        <v>22</v>
      </c>
    </row>
    <row r="6798" spans="1:11" ht="42" customHeight="1">
      <c r="A6798" s="2" t="s">
        <v>14198</v>
      </c>
      <c r="B6798" s="2" t="s">
        <v>14199</v>
      </c>
      <c r="C6798" s="2" t="s">
        <v>34</v>
      </c>
      <c r="D6798" s="2" t="s">
        <v>35</v>
      </c>
      <c r="E6798" s="5">
        <v>-31704</v>
      </c>
      <c r="F6798" s="3" t="s">
        <v>6300</v>
      </c>
      <c r="G6798" s="3" t="s">
        <v>19</v>
      </c>
      <c r="H6798" s="2" t="s">
        <v>20</v>
      </c>
      <c r="I6798" s="2" t="s">
        <v>14200</v>
      </c>
      <c r="J6798" s="3" t="str">
        <f>HYPERLINK("https://www.boe.es/gazeta/dias/1813/03/12/pdfs/GMD-1813-71.pdf#page=4","Abrir facsímil")</f>
        <v>Abrir facsímil</v>
      </c>
      <c r="K6798" s="3" t="s">
        <v>22</v>
      </c>
    </row>
    <row r="6799" spans="1:11" ht="42" customHeight="1">
      <c r="A6799" s="2" t="s">
        <v>14201</v>
      </c>
      <c r="B6799" s="2" t="s">
        <v>14202</v>
      </c>
      <c r="C6799" s="2" t="s">
        <v>16</v>
      </c>
      <c r="D6799" s="2" t="s">
        <v>17</v>
      </c>
      <c r="E6799" s="5">
        <v>-31564</v>
      </c>
      <c r="F6799" s="3" t="s">
        <v>206</v>
      </c>
      <c r="G6799" s="3" t="s">
        <v>207</v>
      </c>
      <c r="H6799" s="2" t="s">
        <v>20</v>
      </c>
      <c r="I6799" s="2" t="s">
        <v>14203</v>
      </c>
      <c r="J6799" s="3" t="str">
        <f>HYPERLINK("https://www.boe.es/gazeta/dias/1813/07/30/pdfs/GMR-1813-22.pdf#page=10","Abrir facsímil")</f>
        <v>Abrir facsímil</v>
      </c>
      <c r="K6799" s="3" t="s">
        <v>22</v>
      </c>
    </row>
    <row r="6800" spans="1:11" ht="42" customHeight="1">
      <c r="A6800" s="2" t="s">
        <v>14204</v>
      </c>
      <c r="B6800" s="2" t="s">
        <v>14205</v>
      </c>
      <c r="C6800" s="2" t="s">
        <v>25</v>
      </c>
      <c r="D6800" s="2" t="s">
        <v>26</v>
      </c>
      <c r="E6800" s="5">
        <v>-31752</v>
      </c>
      <c r="F6800" s="3" t="s">
        <v>182</v>
      </c>
      <c r="G6800" s="3" t="s">
        <v>183</v>
      </c>
      <c r="H6800" s="2" t="s">
        <v>20</v>
      </c>
      <c r="I6800" s="2" t="s">
        <v>14206</v>
      </c>
      <c r="J6800" s="3" t="str">
        <f>HYPERLINK("https://www.boe.es/gazeta/dias/1813/01/23/pdfs/GRE-1813-10.pdf#page=8","Abrir facsímil")</f>
        <v>Abrir facsímil</v>
      </c>
      <c r="K6800" s="3" t="s">
        <v>22</v>
      </c>
    </row>
    <row r="6801" spans="1:11" ht="42" customHeight="1">
      <c r="A6801" s="2" t="s">
        <v>14207</v>
      </c>
      <c r="B6801" s="2" t="s">
        <v>14208</v>
      </c>
      <c r="C6801" s="2" t="s">
        <v>16</v>
      </c>
      <c r="D6801" s="2" t="s">
        <v>97</v>
      </c>
      <c r="E6801" s="5">
        <v>-31519</v>
      </c>
      <c r="F6801" s="3" t="s">
        <v>312</v>
      </c>
      <c r="G6801" s="3" t="s">
        <v>313</v>
      </c>
      <c r="H6801" s="2" t="s">
        <v>20</v>
      </c>
      <c r="I6801" s="2" t="s">
        <v>14209</v>
      </c>
      <c r="J6801" s="3" t="str">
        <f>HYPERLINK("https://www.boe.es/gazeta/dias/1813/09/13/pdfs/GRE-1813-118E.pdf#page=9","Abrir facsímil")</f>
        <v>Abrir facsímil</v>
      </c>
      <c r="K6801" s="3" t="s">
        <v>22</v>
      </c>
    </row>
    <row r="6802" spans="1:11" ht="42" customHeight="1">
      <c r="A6802" s="2" t="s">
        <v>14210</v>
      </c>
      <c r="B6802" s="2" t="s">
        <v>14211</v>
      </c>
      <c r="C6802" s="2" t="s">
        <v>16</v>
      </c>
      <c r="D6802" s="2" t="s">
        <v>97</v>
      </c>
      <c r="E6802" s="5">
        <v>-31479</v>
      </c>
      <c r="F6802" s="3" t="s">
        <v>290</v>
      </c>
      <c r="G6802" s="3" t="s">
        <v>207</v>
      </c>
      <c r="H6802" s="2" t="s">
        <v>20</v>
      </c>
      <c r="I6802" s="2" t="s">
        <v>14212</v>
      </c>
      <c r="J6802" s="3" t="str">
        <f>HYPERLINK("https://www.boe.es/gazeta/dias/1813/10/23/pdfs/GRE-1813-139E.pdf#page=10","Abrir facsímil")</f>
        <v>Abrir facsímil</v>
      </c>
      <c r="K6802" s="3" t="s">
        <v>22</v>
      </c>
    </row>
    <row r="6803" spans="1:11" ht="42" customHeight="1">
      <c r="A6803" s="2" t="s">
        <v>14210</v>
      </c>
      <c r="B6803" s="2" t="s">
        <v>14211</v>
      </c>
      <c r="C6803" s="2" t="s">
        <v>16</v>
      </c>
      <c r="D6803" s="2" t="s">
        <v>17</v>
      </c>
      <c r="E6803" s="5">
        <v>-31462</v>
      </c>
      <c r="F6803" s="3" t="s">
        <v>1028</v>
      </c>
      <c r="G6803" s="3" t="s">
        <v>258</v>
      </c>
      <c r="H6803" s="2" t="s">
        <v>20</v>
      </c>
      <c r="I6803" s="2" t="s">
        <v>14213</v>
      </c>
      <c r="J6803" s="3" t="str">
        <f>HYPERLINK("https://www.boe.es/gazeta/dias/1813/11/09/pdfs/GMR-1813-71.pdf#page=12","Abrir facsímil")</f>
        <v>Abrir facsímil</v>
      </c>
      <c r="K6803" s="3" t="s">
        <v>22</v>
      </c>
    </row>
    <row r="6804" spans="1:11" ht="42" customHeight="1">
      <c r="A6804" s="2" t="s">
        <v>14214</v>
      </c>
      <c r="B6804" s="2" t="s">
        <v>14215</v>
      </c>
      <c r="C6804" s="2" t="s">
        <v>16</v>
      </c>
      <c r="D6804" s="2" t="s">
        <v>17</v>
      </c>
      <c r="E6804" s="5">
        <v>-31582</v>
      </c>
      <c r="F6804" s="3" t="s">
        <v>907</v>
      </c>
      <c r="G6804" s="3" t="s">
        <v>87</v>
      </c>
      <c r="H6804" s="2" t="s">
        <v>29</v>
      </c>
      <c r="I6804" s="2" t="s">
        <v>14216</v>
      </c>
      <c r="J6804" s="3" t="str">
        <f>HYPERLINK("https://www.boe.es/gazeta/dias/1813/07/12/pdfs/GRE-1813-87.pdf#page=7","Abrir facsímil")</f>
        <v>Abrir facsímil</v>
      </c>
      <c r="K6804" s="3" t="s">
        <v>31</v>
      </c>
    </row>
    <row r="6805" spans="1:11" ht="42" customHeight="1">
      <c r="A6805" s="2" t="s">
        <v>14217</v>
      </c>
      <c r="B6805" s="2" t="s">
        <v>14218</v>
      </c>
      <c r="C6805" s="2" t="s">
        <v>34</v>
      </c>
      <c r="D6805" s="2" t="s">
        <v>35</v>
      </c>
      <c r="E6805" s="5">
        <v>-31690</v>
      </c>
      <c r="F6805" s="3" t="s">
        <v>2575</v>
      </c>
      <c r="G6805" s="3" t="s">
        <v>19</v>
      </c>
      <c r="H6805" s="2" t="s">
        <v>20</v>
      </c>
      <c r="I6805" s="2" t="s">
        <v>14219</v>
      </c>
      <c r="J6805" s="3" t="str">
        <f>HYPERLINK("https://www.boe.es/gazeta/dias/1813/03/26/pdfs/GMD-1813-85.pdf#page=4","Abrir facsímil")</f>
        <v>Abrir facsímil</v>
      </c>
      <c r="K6805" s="3" t="s">
        <v>22</v>
      </c>
    </row>
    <row r="6806" spans="1:11" ht="42" customHeight="1">
      <c r="A6806" s="2" t="s">
        <v>14220</v>
      </c>
      <c r="B6806" s="2" t="s">
        <v>14221</v>
      </c>
      <c r="C6806" s="2" t="s">
        <v>34</v>
      </c>
      <c r="D6806" s="2" t="s">
        <v>35</v>
      </c>
      <c r="E6806" s="5">
        <v>-31691</v>
      </c>
      <c r="F6806" s="3" t="s">
        <v>1542</v>
      </c>
      <c r="G6806" s="3" t="s">
        <v>95</v>
      </c>
      <c r="H6806" s="2" t="s">
        <v>20</v>
      </c>
      <c r="I6806" s="2" t="s">
        <v>14222</v>
      </c>
      <c r="J6806" s="3" t="str">
        <f>HYPERLINK("https://www.boe.es/gazeta/dias/1813/03/25/pdfs/GRE-1813-37.pdf#page=6","Abrir facsímil")</f>
        <v>Abrir facsímil</v>
      </c>
      <c r="K6806" s="3" t="s">
        <v>22</v>
      </c>
    </row>
    <row r="6807" spans="1:11" ht="42" customHeight="1">
      <c r="A6807" s="2" t="s">
        <v>14223</v>
      </c>
      <c r="B6807" s="2" t="s">
        <v>14224</v>
      </c>
      <c r="C6807" s="2" t="s">
        <v>16</v>
      </c>
      <c r="D6807" s="2" t="s">
        <v>17</v>
      </c>
      <c r="E6807" s="5">
        <v>-31434</v>
      </c>
      <c r="F6807" s="3" t="s">
        <v>948</v>
      </c>
      <c r="G6807" s="3" t="s">
        <v>54</v>
      </c>
      <c r="H6807" s="2" t="s">
        <v>20</v>
      </c>
      <c r="I6807" s="2" t="s">
        <v>14225</v>
      </c>
      <c r="J6807" s="3" t="str">
        <f>HYPERLINK("https://www.boe.es/gazeta/dias/1813/12/07/pdfs/GMR-1813-84.pdf#page=3","Abrir facsímil")</f>
        <v>Abrir facsímil</v>
      </c>
      <c r="K6807" s="3" t="s">
        <v>22</v>
      </c>
    </row>
    <row r="6808" spans="1:11" ht="42" customHeight="1">
      <c r="A6808" s="2" t="s">
        <v>14226</v>
      </c>
      <c r="B6808" s="2" t="s">
        <v>14227</v>
      </c>
      <c r="C6808" s="2" t="s">
        <v>16</v>
      </c>
      <c r="D6808" s="2" t="s">
        <v>17</v>
      </c>
      <c r="E6808" s="5">
        <v>-31467</v>
      </c>
      <c r="F6808" s="3" t="s">
        <v>120</v>
      </c>
      <c r="G6808" s="3" t="s">
        <v>87</v>
      </c>
      <c r="H6808" s="2" t="s">
        <v>20</v>
      </c>
      <c r="I6808" s="2" t="s">
        <v>14228</v>
      </c>
      <c r="J6808" s="3" t="str">
        <f>HYPERLINK("https://www.boe.es/gazeta/dias/1813/11/04/pdfs/GMR-1813-68.pdf#page=7","Abrir facsímil")</f>
        <v>Abrir facsímil</v>
      </c>
      <c r="K6808" s="3" t="s">
        <v>22</v>
      </c>
    </row>
    <row r="6809" spans="1:11" ht="42" customHeight="1">
      <c r="A6809" s="2" t="s">
        <v>14226</v>
      </c>
      <c r="B6809" s="2" t="s">
        <v>14227</v>
      </c>
      <c r="C6809" s="2" t="s">
        <v>16</v>
      </c>
      <c r="D6809" s="2" t="s">
        <v>17</v>
      </c>
      <c r="E6809" s="5">
        <v>-31458</v>
      </c>
      <c r="F6809" s="3" t="s">
        <v>1171</v>
      </c>
      <c r="G6809" s="3" t="s">
        <v>95</v>
      </c>
      <c r="H6809" s="2" t="s">
        <v>20</v>
      </c>
      <c r="I6809" s="2" t="s">
        <v>14229</v>
      </c>
      <c r="J6809" s="3" t="str">
        <f>HYPERLINK("https://www.boe.es/gazeta/dias/1813/11/13/pdfs/GRE-1813-149.pdf#page=6","Abrir facsímil")</f>
        <v>Abrir facsímil</v>
      </c>
      <c r="K6809" s="3" t="s">
        <v>22</v>
      </c>
    </row>
    <row r="6810" spans="1:11" ht="42" customHeight="1">
      <c r="A6810" s="2" t="s">
        <v>14230</v>
      </c>
      <c r="B6810" s="2" t="s">
        <v>14231</v>
      </c>
      <c r="C6810" s="2" t="s">
        <v>277</v>
      </c>
      <c r="D6810" s="2" t="s">
        <v>26</v>
      </c>
      <c r="E6810" s="5">
        <v>-31483</v>
      </c>
      <c r="F6810" s="3" t="s">
        <v>1292</v>
      </c>
      <c r="G6810" s="3" t="s">
        <v>1293</v>
      </c>
      <c r="H6810" s="2" t="s">
        <v>20</v>
      </c>
      <c r="I6810" s="2" t="s">
        <v>14232</v>
      </c>
      <c r="J6810" s="3" t="str">
        <f>HYPERLINK("https://www.boe.es/gazeta/dias/1813/10/19/pdfs/GMR-1813-61.pdf#page=12","Abrir facsímil")</f>
        <v>Abrir facsímil</v>
      </c>
      <c r="K6810" s="3" t="s">
        <v>22</v>
      </c>
    </row>
    <row r="6811" spans="1:11" ht="42" customHeight="1">
      <c r="A6811" s="2" t="s">
        <v>14230</v>
      </c>
      <c r="B6811" s="2" t="s">
        <v>14231</v>
      </c>
      <c r="C6811" s="2" t="s">
        <v>277</v>
      </c>
      <c r="D6811" s="2" t="s">
        <v>26</v>
      </c>
      <c r="E6811" s="5">
        <v>-31469</v>
      </c>
      <c r="F6811" s="3" t="s">
        <v>1452</v>
      </c>
      <c r="G6811" s="3" t="s">
        <v>2893</v>
      </c>
      <c r="H6811" s="2" t="s">
        <v>20</v>
      </c>
      <c r="I6811" s="2" t="s">
        <v>14233</v>
      </c>
      <c r="J6811" s="3" t="str">
        <f>HYPERLINK("https://www.boe.es/gazeta/dias/1813/11/02/pdfs/GRE-1813-143.pdf#page=8","Abrir facsímil")</f>
        <v>Abrir facsímil</v>
      </c>
      <c r="K6811" s="3" t="s">
        <v>22</v>
      </c>
    </row>
    <row r="6812" spans="1:11" ht="42" customHeight="1">
      <c r="A6812" s="2" t="s">
        <v>14234</v>
      </c>
      <c r="B6812" s="2" t="s">
        <v>14235</v>
      </c>
      <c r="C6812" s="2" t="s">
        <v>16</v>
      </c>
      <c r="D6812" s="2" t="s">
        <v>17</v>
      </c>
      <c r="E6812" s="5">
        <v>-31709</v>
      </c>
      <c r="F6812" s="3" t="s">
        <v>36</v>
      </c>
      <c r="G6812" s="3" t="s">
        <v>58</v>
      </c>
      <c r="H6812" s="2" t="s">
        <v>20</v>
      </c>
      <c r="I6812" s="2" t="s">
        <v>14236</v>
      </c>
      <c r="J6812" s="3" t="str">
        <f>HYPERLINK("https://www.boe.es/gazeta/dias/1813/03/07/pdfs/GMD-1813-66.pdf#page=2","Abrir facsímil")</f>
        <v>Abrir facsímil</v>
      </c>
      <c r="K6812" s="3" t="s">
        <v>22</v>
      </c>
    </row>
    <row r="6813" spans="1:11" ht="42" customHeight="1">
      <c r="A6813" s="2" t="s">
        <v>14237</v>
      </c>
      <c r="B6813" s="2" t="s">
        <v>14237</v>
      </c>
      <c r="C6813" s="2" t="s">
        <v>25</v>
      </c>
      <c r="D6813" s="2" t="s">
        <v>26</v>
      </c>
      <c r="E6813" s="5">
        <v>-31584</v>
      </c>
      <c r="F6813" s="3" t="s">
        <v>114</v>
      </c>
      <c r="G6813" s="3" t="s">
        <v>95</v>
      </c>
      <c r="H6813" s="2" t="s">
        <v>20</v>
      </c>
      <c r="I6813" s="2" t="s">
        <v>14238</v>
      </c>
      <c r="J6813" s="3" t="str">
        <f>HYPERLINK("https://www.boe.es/gazeta/dias/1813/07/10/pdfs/GRE-1813-86.pdf#page=6","Abrir facsímil")</f>
        <v>Abrir facsímil</v>
      </c>
      <c r="K6813" s="3" t="s">
        <v>22</v>
      </c>
    </row>
    <row r="6814" spans="1:11" ht="42" customHeight="1">
      <c r="A6814" s="2" t="s">
        <v>14239</v>
      </c>
      <c r="B6814" s="2" t="s">
        <v>14240</v>
      </c>
      <c r="C6814" s="2" t="s">
        <v>25</v>
      </c>
      <c r="D6814" s="2" t="s">
        <v>26</v>
      </c>
      <c r="E6814" s="5">
        <v>-31507</v>
      </c>
      <c r="F6814" s="3" t="s">
        <v>61</v>
      </c>
      <c r="G6814" s="3" t="s">
        <v>28</v>
      </c>
      <c r="H6814" s="2" t="s">
        <v>20</v>
      </c>
      <c r="I6814" s="2" t="s">
        <v>14241</v>
      </c>
      <c r="J6814" s="3" t="str">
        <f>HYPERLINK("https://www.boe.es/gazeta/dias/1813/09/25/pdfs/GMR-1813-48.pdf#page=8","Abrir facsímil")</f>
        <v>Abrir facsímil</v>
      </c>
      <c r="K6814" s="3" t="s">
        <v>22</v>
      </c>
    </row>
    <row r="6815" spans="1:11" ht="42" customHeight="1">
      <c r="A6815" s="2" t="s">
        <v>14242</v>
      </c>
      <c r="B6815" s="2" t="s">
        <v>14243</v>
      </c>
      <c r="C6815" s="2" t="s">
        <v>34</v>
      </c>
      <c r="D6815" s="2" t="s">
        <v>35</v>
      </c>
      <c r="E6815" s="5">
        <v>-31709</v>
      </c>
      <c r="F6815" s="3" t="s">
        <v>36</v>
      </c>
      <c r="G6815" s="3" t="s">
        <v>303</v>
      </c>
      <c r="H6815" s="2" t="s">
        <v>20</v>
      </c>
      <c r="I6815" s="2" t="s">
        <v>14244</v>
      </c>
      <c r="J6815" s="3" t="str">
        <f>HYPERLINK("https://www.boe.es/gazeta/dias/1813/03/07/pdfs/GMD-1813-66.pdf#page=3","Abrir facsímil")</f>
        <v>Abrir facsímil</v>
      </c>
      <c r="K6815" s="3" t="s">
        <v>22</v>
      </c>
    </row>
    <row r="6816" spans="1:11" ht="42" customHeight="1">
      <c r="A6816" s="2" t="s">
        <v>14245</v>
      </c>
      <c r="B6816" s="2" t="s">
        <v>14245</v>
      </c>
      <c r="C6816" s="2" t="s">
        <v>16</v>
      </c>
      <c r="D6816" s="2" t="s">
        <v>17</v>
      </c>
      <c r="E6816" s="5">
        <v>-31446</v>
      </c>
      <c r="F6816" s="3" t="s">
        <v>103</v>
      </c>
      <c r="G6816" s="3" t="s">
        <v>54</v>
      </c>
      <c r="H6816" s="2" t="s">
        <v>20</v>
      </c>
      <c r="I6816" s="2" t="s">
        <v>14246</v>
      </c>
      <c r="J6816" s="3" t="str">
        <f>HYPERLINK("https://www.boe.es/gazeta/dias/1813/11/25/pdfs/GMR-1813-79.pdf#page=3","Abrir facsímil")</f>
        <v>Abrir facsímil</v>
      </c>
      <c r="K6816" s="3" t="s">
        <v>22</v>
      </c>
    </row>
    <row r="6817" spans="1:11" ht="42" customHeight="1">
      <c r="A6817" s="2" t="s">
        <v>14247</v>
      </c>
      <c r="B6817" s="2" t="s">
        <v>14248</v>
      </c>
      <c r="C6817" s="2" t="s">
        <v>16</v>
      </c>
      <c r="D6817" s="2" t="s">
        <v>17</v>
      </c>
      <c r="E6817" s="5">
        <v>-31507</v>
      </c>
      <c r="F6817" s="3" t="s">
        <v>61</v>
      </c>
      <c r="G6817" s="3" t="s">
        <v>28</v>
      </c>
      <c r="H6817" s="2" t="s">
        <v>20</v>
      </c>
      <c r="I6817" s="2" t="s">
        <v>14249</v>
      </c>
      <c r="J6817" s="3" t="str">
        <f>HYPERLINK("https://www.boe.es/gazeta/dias/1813/09/25/pdfs/GMR-1813-48.pdf#page=8","Abrir facsímil")</f>
        <v>Abrir facsímil</v>
      </c>
      <c r="K6817" s="3" t="s">
        <v>22</v>
      </c>
    </row>
    <row r="6818" spans="1:11" ht="42" customHeight="1">
      <c r="A6818" s="2" t="s">
        <v>14250</v>
      </c>
      <c r="B6818" s="2" t="s">
        <v>14251</v>
      </c>
      <c r="C6818" s="2" t="s">
        <v>16</v>
      </c>
      <c r="D6818" s="2" t="s">
        <v>97</v>
      </c>
      <c r="E6818" s="5">
        <v>-31519</v>
      </c>
      <c r="F6818" s="3" t="s">
        <v>312</v>
      </c>
      <c r="G6818" s="3" t="s">
        <v>28</v>
      </c>
      <c r="H6818" s="2" t="s">
        <v>20</v>
      </c>
      <c r="I6818" s="2" t="s">
        <v>14252</v>
      </c>
      <c r="J6818" s="3" t="str">
        <f>HYPERLINK("https://www.boe.es/gazeta/dias/1813/09/13/pdfs/GRE-1813-118E.pdf#page=8","Abrir facsímil")</f>
        <v>Abrir facsímil</v>
      </c>
      <c r="K6818" s="3" t="s">
        <v>22</v>
      </c>
    </row>
    <row r="6819" spans="1:11" ht="42" customHeight="1">
      <c r="A6819" s="2" t="s">
        <v>14253</v>
      </c>
      <c r="B6819" s="2" t="s">
        <v>14253</v>
      </c>
      <c r="C6819" s="2" t="s">
        <v>16</v>
      </c>
      <c r="D6819" s="2" t="s">
        <v>17</v>
      </c>
      <c r="E6819" s="5">
        <v>-31446</v>
      </c>
      <c r="F6819" s="3" t="s">
        <v>103</v>
      </c>
      <c r="G6819" s="3" t="s">
        <v>945</v>
      </c>
      <c r="H6819" s="2" t="s">
        <v>20</v>
      </c>
      <c r="I6819" s="2" t="s">
        <v>14254</v>
      </c>
      <c r="J6819" s="3" t="str">
        <f>HYPERLINK("https://www.boe.es/gazeta/dias/1813/11/25/pdfs/GMR-1813-79.pdf#page=8","Abrir facsímil")</f>
        <v>Abrir facsímil</v>
      </c>
      <c r="K6819" s="3" t="s">
        <v>22</v>
      </c>
    </row>
    <row r="6820" spans="1:11" ht="42" customHeight="1">
      <c r="A6820" s="2" t="s">
        <v>14255</v>
      </c>
      <c r="B6820" s="2" t="s">
        <v>14256</v>
      </c>
      <c r="C6820" s="2" t="s">
        <v>16</v>
      </c>
      <c r="D6820" s="2" t="s">
        <v>17</v>
      </c>
      <c r="E6820" s="5">
        <v>-31481</v>
      </c>
      <c r="F6820" s="3" t="s">
        <v>40</v>
      </c>
      <c r="G6820" s="3" t="s">
        <v>87</v>
      </c>
      <c r="H6820" s="2" t="s">
        <v>20</v>
      </c>
      <c r="I6820" s="2" t="s">
        <v>14257</v>
      </c>
      <c r="J6820" s="3" t="str">
        <f>HYPERLINK("https://www.boe.es/gazeta/dias/1813/10/21/pdfs/GMR-1813-62.pdf#page=7","Abrir facsímil")</f>
        <v>Abrir facsímil</v>
      </c>
      <c r="K6820" s="3" t="s">
        <v>22</v>
      </c>
    </row>
    <row r="6821" spans="1:11" ht="42" customHeight="1">
      <c r="A6821" s="2" t="s">
        <v>14258</v>
      </c>
      <c r="B6821" s="2" t="s">
        <v>14259</v>
      </c>
      <c r="C6821" s="2" t="s">
        <v>16</v>
      </c>
      <c r="D6821" s="2" t="s">
        <v>17</v>
      </c>
      <c r="E6821" s="5">
        <v>-31521</v>
      </c>
      <c r="F6821" s="3" t="s">
        <v>1282</v>
      </c>
      <c r="G6821" s="3" t="s">
        <v>95</v>
      </c>
      <c r="H6821" s="2" t="s">
        <v>20</v>
      </c>
      <c r="I6821" s="2" t="s">
        <v>14260</v>
      </c>
      <c r="J6821" s="3" t="str">
        <f>HYPERLINK("https://www.boe.es/gazeta/dias/1813/09/11/pdfs/GMR-1813-41.pdf#page=6","Abrir facsímil")</f>
        <v>Abrir facsímil</v>
      </c>
      <c r="K6821" s="3" t="s">
        <v>22</v>
      </c>
    </row>
    <row r="6822" spans="1:11" ht="42" customHeight="1">
      <c r="A6822" s="2" t="s">
        <v>14258</v>
      </c>
      <c r="B6822" s="2" t="s">
        <v>14259</v>
      </c>
      <c r="C6822" s="2" t="s">
        <v>16</v>
      </c>
      <c r="D6822" s="2" t="s">
        <v>97</v>
      </c>
      <c r="E6822" s="5">
        <v>-31519</v>
      </c>
      <c r="F6822" s="3" t="s">
        <v>312</v>
      </c>
      <c r="G6822" s="3" t="s">
        <v>82</v>
      </c>
      <c r="H6822" s="2" t="s">
        <v>20</v>
      </c>
      <c r="I6822" s="2" t="s">
        <v>14261</v>
      </c>
      <c r="J6822" s="3" t="str">
        <f>HYPERLINK("https://www.boe.es/gazeta/dias/1813/09/13/pdfs/GRE-1813-118E.pdf#page=5","Abrir facsímil")</f>
        <v>Abrir facsímil</v>
      </c>
      <c r="K6822" s="3" t="s">
        <v>22</v>
      </c>
    </row>
    <row r="6823" spans="1:11" ht="42" customHeight="1">
      <c r="A6823" s="2" t="s">
        <v>14258</v>
      </c>
      <c r="B6823" s="2" t="s">
        <v>14259</v>
      </c>
      <c r="C6823" s="2" t="s">
        <v>16</v>
      </c>
      <c r="D6823" s="2" t="s">
        <v>97</v>
      </c>
      <c r="E6823" s="5">
        <v>-31519</v>
      </c>
      <c r="F6823" s="3" t="s">
        <v>312</v>
      </c>
      <c r="G6823" s="3" t="s">
        <v>95</v>
      </c>
      <c r="H6823" s="2" t="s">
        <v>20</v>
      </c>
      <c r="I6823" s="2" t="s">
        <v>14262</v>
      </c>
      <c r="J6823" s="3" t="str">
        <f>HYPERLINK("https://www.boe.es/gazeta/dias/1813/09/13/pdfs/GRE-1813-118E.pdf#page=6","Abrir facsímil")</f>
        <v>Abrir facsímil</v>
      </c>
      <c r="K6823" s="3" t="s">
        <v>22</v>
      </c>
    </row>
    <row r="6824" spans="1:11" ht="42" customHeight="1">
      <c r="A6824" s="2" t="s">
        <v>14263</v>
      </c>
      <c r="B6824" s="2" t="s">
        <v>14264</v>
      </c>
      <c r="C6824" s="2" t="s">
        <v>25</v>
      </c>
      <c r="D6824" s="2" t="s">
        <v>26</v>
      </c>
      <c r="E6824" s="5">
        <v>-31752</v>
      </c>
      <c r="F6824" s="3" t="s">
        <v>182</v>
      </c>
      <c r="G6824" s="3" t="s">
        <v>183</v>
      </c>
      <c r="H6824" s="2" t="s">
        <v>20</v>
      </c>
      <c r="I6824" s="2" t="s">
        <v>14265</v>
      </c>
      <c r="J6824" s="3" t="str">
        <f>HYPERLINK("https://www.boe.es/gazeta/dias/1813/01/23/pdfs/GRE-1813-10.pdf#page=8","Abrir facsímil")</f>
        <v>Abrir facsímil</v>
      </c>
      <c r="K6824" s="3" t="s">
        <v>22</v>
      </c>
    </row>
    <row r="6825" spans="1:11" ht="42" customHeight="1">
      <c r="A6825" s="2" t="s">
        <v>14266</v>
      </c>
      <c r="B6825" s="2" t="s">
        <v>14267</v>
      </c>
      <c r="C6825" s="2" t="s">
        <v>25</v>
      </c>
      <c r="D6825" s="2" t="s">
        <v>26</v>
      </c>
      <c r="E6825" s="5">
        <v>-31565</v>
      </c>
      <c r="F6825" s="3" t="s">
        <v>306</v>
      </c>
      <c r="G6825" s="3" t="s">
        <v>28</v>
      </c>
      <c r="H6825" s="2" t="s">
        <v>20</v>
      </c>
      <c r="I6825" s="2" t="s">
        <v>14268</v>
      </c>
      <c r="J6825" s="3" t="str">
        <f>HYPERLINK("https://www.boe.es/gazeta/dias/1813/07/29/pdfs/GRE-1813-96.pdf#page=8","Abrir facsímil")</f>
        <v>Abrir facsímil</v>
      </c>
      <c r="K6825" s="3" t="s">
        <v>22</v>
      </c>
    </row>
    <row r="6826" spans="1:11" ht="42" customHeight="1">
      <c r="A6826" s="2" t="s">
        <v>14269</v>
      </c>
      <c r="B6826" s="2" t="s">
        <v>14270</v>
      </c>
      <c r="C6826" s="2" t="s">
        <v>16</v>
      </c>
      <c r="D6826" s="2" t="s">
        <v>17</v>
      </c>
      <c r="E6826" s="5">
        <v>-31595</v>
      </c>
      <c r="F6826" s="3" t="s">
        <v>1319</v>
      </c>
      <c r="G6826" s="3" t="s">
        <v>28</v>
      </c>
      <c r="H6826" s="2" t="s">
        <v>20</v>
      </c>
      <c r="I6826" s="2" t="s">
        <v>14271</v>
      </c>
      <c r="J6826" s="3" t="str">
        <f>HYPERLINK("https://www.boe.es/gazeta/dias/1813/06/29/pdfs/GRE-1813-80.pdf#page=8","Abrir facsímil")</f>
        <v>Abrir facsímil</v>
      </c>
      <c r="K6826" s="3" t="s">
        <v>22</v>
      </c>
    </row>
    <row r="6827" spans="1:11" ht="42" customHeight="1">
      <c r="A6827" s="2" t="s">
        <v>14272</v>
      </c>
      <c r="B6827" s="2" t="s">
        <v>14273</v>
      </c>
      <c r="C6827" s="2" t="s">
        <v>16</v>
      </c>
      <c r="D6827" s="2" t="s">
        <v>17</v>
      </c>
      <c r="E6827" s="5">
        <v>-31539</v>
      </c>
      <c r="F6827" s="3" t="s">
        <v>1220</v>
      </c>
      <c r="G6827" s="3" t="s">
        <v>82</v>
      </c>
      <c r="H6827" s="2" t="s">
        <v>20</v>
      </c>
      <c r="I6827" s="2" t="s">
        <v>14274</v>
      </c>
      <c r="J6827" s="3" t="str">
        <f>HYPERLINK("https://www.boe.es/gazeta/dias/1813/08/24/pdfs/GRE-1813-108.pdf#page=5","Abrir facsímil")</f>
        <v>Abrir facsímil</v>
      </c>
      <c r="K6827" s="3" t="s">
        <v>22</v>
      </c>
    </row>
    <row r="6828" spans="1:11" ht="42" customHeight="1">
      <c r="A6828" s="2" t="s">
        <v>14272</v>
      </c>
      <c r="B6828" s="2" t="s">
        <v>14273</v>
      </c>
      <c r="C6828" s="2" t="s">
        <v>187</v>
      </c>
      <c r="D6828" s="2" t="s">
        <v>26</v>
      </c>
      <c r="E6828" s="5">
        <v>-31539</v>
      </c>
      <c r="F6828" s="3" t="s">
        <v>1220</v>
      </c>
      <c r="G6828" s="3" t="s">
        <v>28</v>
      </c>
      <c r="H6828" s="2" t="s">
        <v>20</v>
      </c>
      <c r="I6828" s="2" t="s">
        <v>14275</v>
      </c>
      <c r="J6828" s="3" t="str">
        <f>HYPERLINK("https://www.boe.es/gazeta/dias/1813/08/24/pdfs/GRE-1813-108.pdf#page=8","Abrir facsímil")</f>
        <v>Abrir facsímil</v>
      </c>
      <c r="K6828" s="3" t="s">
        <v>22</v>
      </c>
    </row>
    <row r="6829" spans="1:11" ht="42" customHeight="1">
      <c r="A6829" s="2" t="s">
        <v>14276</v>
      </c>
      <c r="B6829" s="2" t="s">
        <v>14277</v>
      </c>
      <c r="C6829" s="2" t="s">
        <v>16</v>
      </c>
      <c r="D6829" s="2" t="s">
        <v>17</v>
      </c>
      <c r="E6829" s="5">
        <v>-31630</v>
      </c>
      <c r="F6829" s="3" t="s">
        <v>1324</v>
      </c>
      <c r="G6829" s="3" t="s">
        <v>3731</v>
      </c>
      <c r="H6829" s="2" t="s">
        <v>20</v>
      </c>
      <c r="I6829" s="2" t="s">
        <v>14278</v>
      </c>
      <c r="J6829" s="3" t="str">
        <f>HYPERLINK("https://www.boe.es/gazeta/dias/1813/05/25/pdfs/GRE-1813-64.pdf#page=7","Abrir facsímil")</f>
        <v>Abrir facsímil</v>
      </c>
      <c r="K6829" s="3" t="s">
        <v>22</v>
      </c>
    </row>
    <row r="6830" spans="1:11" ht="42" customHeight="1">
      <c r="A6830" s="2" t="s">
        <v>14279</v>
      </c>
      <c r="B6830" s="2" t="s">
        <v>14279</v>
      </c>
      <c r="C6830" s="2" t="s">
        <v>25</v>
      </c>
      <c r="D6830" s="2" t="s">
        <v>26</v>
      </c>
      <c r="E6830" s="5">
        <v>-31626</v>
      </c>
      <c r="F6830" s="3" t="s">
        <v>64</v>
      </c>
      <c r="G6830" s="3" t="s">
        <v>87</v>
      </c>
      <c r="H6830" s="2" t="s">
        <v>20</v>
      </c>
      <c r="I6830" s="2" t="s">
        <v>14280</v>
      </c>
      <c r="J6830" s="3" t="str">
        <f>HYPERLINK("https://www.boe.es/gazeta/dias/1813/05/29/pdfs/GRE-1813-66.pdf#page=7","Abrir facsímil")</f>
        <v>Abrir facsímil</v>
      </c>
      <c r="K6830" s="3" t="s">
        <v>22</v>
      </c>
    </row>
    <row r="6831" spans="1:11" ht="42" customHeight="1">
      <c r="A6831" s="2" t="s">
        <v>14279</v>
      </c>
      <c r="B6831" s="2" t="s">
        <v>14279</v>
      </c>
      <c r="C6831" s="2" t="s">
        <v>16</v>
      </c>
      <c r="D6831" s="2" t="s">
        <v>17</v>
      </c>
      <c r="E6831" s="5">
        <v>-31437</v>
      </c>
      <c r="F6831" s="3" t="s">
        <v>217</v>
      </c>
      <c r="G6831" s="3" t="s">
        <v>58</v>
      </c>
      <c r="H6831" s="2" t="s">
        <v>20</v>
      </c>
      <c r="I6831" s="2" t="s">
        <v>14281</v>
      </c>
      <c r="J6831" s="3" t="str">
        <f>HYPERLINK("https://www.boe.es/gazeta/dias/1813/12/04/pdfs/GRE-1813-160.pdf#page=2","Abrir facsímil")</f>
        <v>Abrir facsímil</v>
      </c>
      <c r="K6831" s="3" t="s">
        <v>22</v>
      </c>
    </row>
    <row r="6832" spans="1:11" ht="42" customHeight="1">
      <c r="A6832" s="2" t="s">
        <v>14282</v>
      </c>
      <c r="B6832" s="2" t="s">
        <v>14283</v>
      </c>
      <c r="C6832" s="2" t="s">
        <v>16</v>
      </c>
      <c r="D6832" s="2" t="s">
        <v>97</v>
      </c>
      <c r="E6832" s="5">
        <v>-31479</v>
      </c>
      <c r="F6832" s="3" t="s">
        <v>290</v>
      </c>
      <c r="G6832" s="3" t="s">
        <v>3006</v>
      </c>
      <c r="H6832" s="2" t="s">
        <v>20</v>
      </c>
      <c r="I6832" s="2" t="s">
        <v>14284</v>
      </c>
      <c r="J6832" s="3" t="str">
        <f>HYPERLINK("https://www.boe.es/gazeta/dias/1813/10/23/pdfs/GRE-1813-139E.pdf#page=15","Abrir facsímil")</f>
        <v>Abrir facsímil</v>
      </c>
      <c r="K6832" s="3" t="s">
        <v>22</v>
      </c>
    </row>
    <row r="6833" spans="1:11" ht="42" customHeight="1">
      <c r="A6833" s="2" t="s">
        <v>14285</v>
      </c>
      <c r="B6833" s="2" t="s">
        <v>14286</v>
      </c>
      <c r="C6833" s="2" t="s">
        <v>16</v>
      </c>
      <c r="D6833" s="2" t="s">
        <v>17</v>
      </c>
      <c r="E6833" s="5">
        <v>-31546</v>
      </c>
      <c r="F6833" s="3" t="s">
        <v>2057</v>
      </c>
      <c r="G6833" s="3" t="s">
        <v>87</v>
      </c>
      <c r="H6833" s="2" t="s">
        <v>20</v>
      </c>
      <c r="I6833" s="2" t="s">
        <v>14287</v>
      </c>
      <c r="J6833" s="3" t="str">
        <f>HYPERLINK("https://www.boe.es/gazeta/dias/1813/08/17/pdfs/GRE-1813-105.pdf#page=7","Abrir facsímil")</f>
        <v>Abrir facsímil</v>
      </c>
      <c r="K6833" s="3" t="s">
        <v>22</v>
      </c>
    </row>
    <row r="6834" spans="1:11" ht="42" customHeight="1">
      <c r="A6834" s="2" t="s">
        <v>14288</v>
      </c>
      <c r="B6834" s="2" t="s">
        <v>14288</v>
      </c>
      <c r="C6834" s="2" t="s">
        <v>34</v>
      </c>
      <c r="D6834" s="2" t="s">
        <v>35</v>
      </c>
      <c r="E6834" s="5">
        <v>-31638</v>
      </c>
      <c r="F6834" s="3" t="s">
        <v>1635</v>
      </c>
      <c r="G6834" s="3" t="s">
        <v>58</v>
      </c>
      <c r="H6834" s="2" t="s">
        <v>20</v>
      </c>
      <c r="I6834" s="2" t="s">
        <v>14289</v>
      </c>
      <c r="J6834" s="3" t="str">
        <f>HYPERLINK("https://www.boe.es/gazeta/dias/1813/05/17/pdfs/GMD-1813-137.pdf#page=2","Abrir facsímil")</f>
        <v>Abrir facsímil</v>
      </c>
      <c r="K6834" s="3" t="s">
        <v>22</v>
      </c>
    </row>
    <row r="6835" spans="1:11" ht="42" customHeight="1">
      <c r="A6835" s="2" t="s">
        <v>14290</v>
      </c>
      <c r="B6835" s="2" t="s">
        <v>14291</v>
      </c>
      <c r="C6835" s="2" t="s">
        <v>16</v>
      </c>
      <c r="D6835" s="2" t="s">
        <v>17</v>
      </c>
      <c r="E6835" s="5">
        <v>-31591</v>
      </c>
      <c r="F6835" s="3" t="s">
        <v>2123</v>
      </c>
      <c r="G6835" s="3" t="s">
        <v>87</v>
      </c>
      <c r="H6835" s="2" t="s">
        <v>20</v>
      </c>
      <c r="I6835" s="2" t="s">
        <v>14292</v>
      </c>
      <c r="J6835" s="3" t="str">
        <f>HYPERLINK("https://www.boe.es/gazeta/dias/1813/07/03/pdfs/GRE-1813-83.pdf#page=7","Abrir facsímil")</f>
        <v>Abrir facsímil</v>
      </c>
      <c r="K6835" s="3" t="s">
        <v>22</v>
      </c>
    </row>
    <row r="6836" spans="1:11" ht="42" customHeight="1">
      <c r="A6836" s="2" t="s">
        <v>14293</v>
      </c>
      <c r="B6836" s="2" t="s">
        <v>14293</v>
      </c>
      <c r="C6836" s="2" t="s">
        <v>16</v>
      </c>
      <c r="D6836" s="2" t="s">
        <v>17</v>
      </c>
      <c r="E6836" s="5">
        <v>-31539</v>
      </c>
      <c r="F6836" s="3" t="s">
        <v>1220</v>
      </c>
      <c r="G6836" s="3" t="s">
        <v>58</v>
      </c>
      <c r="H6836" s="2" t="s">
        <v>20</v>
      </c>
      <c r="I6836" s="2" t="s">
        <v>14294</v>
      </c>
      <c r="J6836" s="3" t="str">
        <f>HYPERLINK("https://www.boe.es/gazeta/dias/1813/08/24/pdfs/GRE-1813-108.pdf#page=2","Abrir facsímil")</f>
        <v>Abrir facsímil</v>
      </c>
      <c r="K6836" s="3" t="s">
        <v>22</v>
      </c>
    </row>
    <row r="6837" spans="1:11" ht="42" customHeight="1">
      <c r="A6837" s="2" t="s">
        <v>14293</v>
      </c>
      <c r="B6837" s="2" t="s">
        <v>14293</v>
      </c>
      <c r="C6837" s="2" t="s">
        <v>16</v>
      </c>
      <c r="D6837" s="2" t="s">
        <v>17</v>
      </c>
      <c r="E6837" s="5">
        <v>-31539</v>
      </c>
      <c r="F6837" s="3" t="s">
        <v>1220</v>
      </c>
      <c r="G6837" s="3" t="s">
        <v>54</v>
      </c>
      <c r="H6837" s="2" t="s">
        <v>20</v>
      </c>
      <c r="I6837" s="2" t="s">
        <v>14295</v>
      </c>
      <c r="J6837" s="3" t="str">
        <f>HYPERLINK("https://www.boe.es/gazeta/dias/1813/08/24/pdfs/GRE-1813-108.pdf#page=3","Abrir facsímil")</f>
        <v>Abrir facsímil</v>
      </c>
      <c r="K6837" s="3" t="s">
        <v>22</v>
      </c>
    </row>
    <row r="6838" spans="1:11" ht="42" customHeight="1">
      <c r="A6838" s="2" t="s">
        <v>14293</v>
      </c>
      <c r="B6838" s="2" t="s">
        <v>14293</v>
      </c>
      <c r="C6838" s="2" t="s">
        <v>16</v>
      </c>
      <c r="D6838" s="2" t="s">
        <v>17</v>
      </c>
      <c r="E6838" s="5">
        <v>-31537</v>
      </c>
      <c r="F6838" s="3" t="s">
        <v>5241</v>
      </c>
      <c r="G6838" s="3" t="s">
        <v>54</v>
      </c>
      <c r="H6838" s="2" t="s">
        <v>20</v>
      </c>
      <c r="I6838" s="2" t="s">
        <v>14296</v>
      </c>
      <c r="J6838" s="3" t="str">
        <f>HYPERLINK("https://www.boe.es/gazeta/dias/1813/08/26/pdfs/GRE-1813-109.pdf#page=3","Abrir facsímil")</f>
        <v>Abrir facsímil</v>
      </c>
      <c r="K6838" s="3" t="s">
        <v>22</v>
      </c>
    </row>
    <row r="6839" spans="1:11" ht="42" customHeight="1">
      <c r="A6839" s="2" t="s">
        <v>14293</v>
      </c>
      <c r="B6839" s="2" t="s">
        <v>14293</v>
      </c>
      <c r="C6839" s="2" t="s">
        <v>16</v>
      </c>
      <c r="D6839" s="2" t="s">
        <v>17</v>
      </c>
      <c r="E6839" s="5">
        <v>-31537</v>
      </c>
      <c r="F6839" s="3" t="s">
        <v>5241</v>
      </c>
      <c r="G6839" s="3" t="s">
        <v>95</v>
      </c>
      <c r="H6839" s="2" t="s">
        <v>20</v>
      </c>
      <c r="I6839" s="2" t="s">
        <v>14297</v>
      </c>
      <c r="J6839" s="3" t="str">
        <f>HYPERLINK("https://www.boe.es/gazeta/dias/1813/08/26/pdfs/GRE-1813-109.pdf#page=6","Abrir facsímil")</f>
        <v>Abrir facsímil</v>
      </c>
      <c r="K6839" s="3" t="s">
        <v>22</v>
      </c>
    </row>
    <row r="6840" spans="1:11" ht="42" customHeight="1">
      <c r="A6840" s="2" t="s">
        <v>14298</v>
      </c>
      <c r="B6840" s="2" t="s">
        <v>14299</v>
      </c>
      <c r="C6840" s="2" t="s">
        <v>16</v>
      </c>
      <c r="D6840" s="2" t="s">
        <v>17</v>
      </c>
      <c r="E6840" s="5">
        <v>-31439</v>
      </c>
      <c r="F6840" s="3" t="s">
        <v>1298</v>
      </c>
      <c r="G6840" s="3" t="s">
        <v>95</v>
      </c>
      <c r="H6840" s="2" t="s">
        <v>20</v>
      </c>
      <c r="I6840" s="2" t="s">
        <v>14300</v>
      </c>
      <c r="J6840" s="3" t="str">
        <f>HYPERLINK("https://www.boe.es/gazeta/dias/1813/12/02/pdfs/GMR-1813-82.pdf#page=6","Abrir facsímil")</f>
        <v>Abrir facsímil</v>
      </c>
      <c r="K6840" s="3" t="s">
        <v>22</v>
      </c>
    </row>
    <row r="6841" spans="1:11" ht="42" customHeight="1">
      <c r="A6841" s="2" t="s">
        <v>14301</v>
      </c>
      <c r="B6841" s="2" t="s">
        <v>14302</v>
      </c>
      <c r="C6841" s="2" t="s">
        <v>16</v>
      </c>
      <c r="D6841" s="2" t="s">
        <v>17</v>
      </c>
      <c r="E6841" s="5">
        <v>-31759</v>
      </c>
      <c r="F6841" s="3" t="s">
        <v>419</v>
      </c>
      <c r="G6841" s="3" t="s">
        <v>420</v>
      </c>
      <c r="H6841" s="2" t="s">
        <v>20</v>
      </c>
      <c r="I6841" s="2" t="s">
        <v>14303</v>
      </c>
      <c r="J6841" s="3" t="str">
        <f>HYPERLINK("https://www.boe.es/gazeta/dias/1813/01/16/pdfs/GRE-1813-7.pdf#page=8","Abrir facsímil")</f>
        <v>Abrir facsímil</v>
      </c>
      <c r="K6841" s="3" t="s">
        <v>22</v>
      </c>
    </row>
    <row r="6842" spans="1:11" ht="42" customHeight="1">
      <c r="A6842" s="2" t="s">
        <v>14301</v>
      </c>
      <c r="B6842" s="2" t="s">
        <v>14302</v>
      </c>
      <c r="C6842" s="2" t="s">
        <v>34</v>
      </c>
      <c r="D6842" s="2" t="s">
        <v>35</v>
      </c>
      <c r="E6842" s="5">
        <v>-31535</v>
      </c>
      <c r="F6842" s="3" t="s">
        <v>366</v>
      </c>
      <c r="G6842" s="3" t="s">
        <v>28</v>
      </c>
      <c r="H6842" s="2" t="s">
        <v>20</v>
      </c>
      <c r="I6842" s="2" t="s">
        <v>14304</v>
      </c>
      <c r="J6842" s="3" t="str">
        <f>HYPERLINK("https://www.boe.es/gazeta/dias/1813/08/28/pdfs/GRE-1813-110.pdf#page=8","Abrir facsímil")</f>
        <v>Abrir facsímil</v>
      </c>
      <c r="K6842" s="3" t="s">
        <v>22</v>
      </c>
    </row>
    <row r="6843" spans="1:11" ht="42" customHeight="1">
      <c r="A6843" s="2" t="s">
        <v>14305</v>
      </c>
      <c r="B6843" s="2" t="s">
        <v>14306</v>
      </c>
      <c r="C6843" s="2" t="s">
        <v>16</v>
      </c>
      <c r="D6843" s="2" t="s">
        <v>17</v>
      </c>
      <c r="E6843" s="5">
        <v>-31772</v>
      </c>
      <c r="F6843" s="3" t="s">
        <v>709</v>
      </c>
      <c r="G6843" s="3" t="s">
        <v>28</v>
      </c>
      <c r="H6843" s="2" t="s">
        <v>20</v>
      </c>
      <c r="I6843" s="2" t="s">
        <v>14307</v>
      </c>
      <c r="J6843" s="3" t="str">
        <f>HYPERLINK("https://www.boe.es/gazeta/dias/1813/01/03/pdfs/GRE-1813-69.pdf#page=8","Abrir facsímil")</f>
        <v>Abrir facsímil</v>
      </c>
      <c r="K6843" s="3" t="s">
        <v>22</v>
      </c>
    </row>
    <row r="6844" spans="1:11" ht="42" customHeight="1">
      <c r="A6844" s="2" t="s">
        <v>14305</v>
      </c>
      <c r="B6844" s="2" t="s">
        <v>14306</v>
      </c>
      <c r="C6844" s="2" t="s">
        <v>16</v>
      </c>
      <c r="D6844" s="2" t="s">
        <v>17</v>
      </c>
      <c r="E6844" s="5">
        <v>-31711</v>
      </c>
      <c r="F6844" s="3" t="s">
        <v>385</v>
      </c>
      <c r="G6844" s="3" t="s">
        <v>28</v>
      </c>
      <c r="H6844" s="2" t="s">
        <v>20</v>
      </c>
      <c r="I6844" s="2" t="s">
        <v>14308</v>
      </c>
      <c r="J6844" s="3" t="str">
        <f>HYPERLINK("https://www.boe.es/gazeta/dias/1813/03/05/pdfs/GRE-1813-99.pdf#page=8","Abrir facsímil")</f>
        <v>Abrir facsímil</v>
      </c>
      <c r="K6844" s="3" t="s">
        <v>22</v>
      </c>
    </row>
    <row r="6845" spans="1:11" ht="42" customHeight="1">
      <c r="A6845" s="2" t="s">
        <v>14305</v>
      </c>
      <c r="B6845" s="2" t="s">
        <v>14306</v>
      </c>
      <c r="C6845" s="2" t="s">
        <v>16</v>
      </c>
      <c r="D6845" s="2" t="s">
        <v>17</v>
      </c>
      <c r="E6845" s="5">
        <v>-31621</v>
      </c>
      <c r="F6845" s="3" t="s">
        <v>709</v>
      </c>
      <c r="G6845" s="3" t="s">
        <v>28</v>
      </c>
      <c r="H6845" s="2" t="s">
        <v>20</v>
      </c>
      <c r="I6845" s="2" t="s">
        <v>14307</v>
      </c>
      <c r="J6845" s="3" t="str">
        <f>HYPERLINK("https://www.boe.es/gazeta/dias/1813/06/03/pdfs/GRE-1813-69.pdf#page=8","Abrir facsímil")</f>
        <v>Abrir facsímil</v>
      </c>
      <c r="K6845" s="3" t="s">
        <v>22</v>
      </c>
    </row>
    <row r="6846" spans="1:11" ht="42" customHeight="1">
      <c r="A6846" s="2" t="s">
        <v>14305</v>
      </c>
      <c r="B6846" s="2" t="s">
        <v>14306</v>
      </c>
      <c r="C6846" s="2" t="s">
        <v>16</v>
      </c>
      <c r="D6846" s="2" t="s">
        <v>17</v>
      </c>
      <c r="E6846" s="5">
        <v>-31612</v>
      </c>
      <c r="F6846" s="3" t="s">
        <v>5784</v>
      </c>
      <c r="G6846" s="3" t="s">
        <v>28</v>
      </c>
      <c r="H6846" s="2" t="s">
        <v>20</v>
      </c>
      <c r="I6846" s="2" t="s">
        <v>14309</v>
      </c>
      <c r="J6846" s="3" t="str">
        <f>HYPERLINK("https://www.boe.es/gazeta/dias/1813/06/12/pdfs/GRE-1813-73.pdf#page=8","Abrir facsímil")</f>
        <v>Abrir facsímil</v>
      </c>
      <c r="K6846" s="3" t="s">
        <v>22</v>
      </c>
    </row>
    <row r="6847" spans="1:11" ht="42" customHeight="1">
      <c r="A6847" s="2" t="s">
        <v>14305</v>
      </c>
      <c r="B6847" s="2" t="s">
        <v>14306</v>
      </c>
      <c r="C6847" s="2" t="s">
        <v>16</v>
      </c>
      <c r="D6847" s="2" t="s">
        <v>17</v>
      </c>
      <c r="E6847" s="5">
        <v>-31609</v>
      </c>
      <c r="F6847" s="3" t="s">
        <v>711</v>
      </c>
      <c r="G6847" s="3" t="s">
        <v>87</v>
      </c>
      <c r="H6847" s="2" t="s">
        <v>20</v>
      </c>
      <c r="I6847" s="2" t="s">
        <v>14310</v>
      </c>
      <c r="J6847" s="3" t="str">
        <f>HYPERLINK("https://www.boe.es/gazeta/dias/1813/06/15/pdfs/GMR-1813-6.pdf#page=7","Abrir facsímil")</f>
        <v>Abrir facsímil</v>
      </c>
      <c r="K6847" s="3" t="s">
        <v>22</v>
      </c>
    </row>
    <row r="6848" spans="1:11" ht="42" customHeight="1">
      <c r="A6848" s="2" t="s">
        <v>14305</v>
      </c>
      <c r="B6848" s="2" t="s">
        <v>14306</v>
      </c>
      <c r="C6848" s="2" t="s">
        <v>16</v>
      </c>
      <c r="D6848" s="2" t="s">
        <v>17</v>
      </c>
      <c r="E6848" s="5">
        <v>-31607</v>
      </c>
      <c r="F6848" s="3" t="s">
        <v>3370</v>
      </c>
      <c r="G6848" s="3" t="s">
        <v>3371</v>
      </c>
      <c r="H6848" s="2" t="s">
        <v>20</v>
      </c>
      <c r="I6848" s="2" t="s">
        <v>14311</v>
      </c>
      <c r="J6848" s="3" t="str">
        <f>HYPERLINK("https://www.boe.es/gazeta/dias/1813/06/17/pdfs/GRE-1813-75.pdf#page=6","Abrir facsímil")</f>
        <v>Abrir facsímil</v>
      </c>
      <c r="K6848" s="3" t="s">
        <v>22</v>
      </c>
    </row>
    <row r="6849" spans="1:11" ht="42" customHeight="1">
      <c r="A6849" s="2" t="s">
        <v>14305</v>
      </c>
      <c r="B6849" s="2" t="s">
        <v>14306</v>
      </c>
      <c r="C6849" s="2" t="s">
        <v>16</v>
      </c>
      <c r="D6849" s="2" t="s">
        <v>17</v>
      </c>
      <c r="E6849" s="5">
        <v>-31605</v>
      </c>
      <c r="F6849" s="3" t="s">
        <v>884</v>
      </c>
      <c r="G6849" s="3" t="s">
        <v>87</v>
      </c>
      <c r="H6849" s="2" t="s">
        <v>20</v>
      </c>
      <c r="I6849" s="2" t="s">
        <v>14312</v>
      </c>
      <c r="J6849" s="3" t="str">
        <f>HYPERLINK("https://www.boe.es/gazeta/dias/1813/06/19/pdfs/GRE-1813-76.pdf#page=7","Abrir facsímil")</f>
        <v>Abrir facsímil</v>
      </c>
      <c r="K6849" s="3" t="s">
        <v>22</v>
      </c>
    </row>
    <row r="6850" spans="1:11" ht="42" customHeight="1">
      <c r="A6850" s="2" t="s">
        <v>14305</v>
      </c>
      <c r="B6850" s="2" t="s">
        <v>14306</v>
      </c>
      <c r="C6850" s="2" t="s">
        <v>16</v>
      </c>
      <c r="D6850" s="2" t="s">
        <v>17</v>
      </c>
      <c r="E6850" s="5">
        <v>-31598</v>
      </c>
      <c r="F6850" s="3" t="s">
        <v>286</v>
      </c>
      <c r="G6850" s="3" t="s">
        <v>28</v>
      </c>
      <c r="H6850" s="2" t="s">
        <v>20</v>
      </c>
      <c r="I6850" s="2" t="s">
        <v>14313</v>
      </c>
      <c r="J6850" s="3" t="str">
        <f>HYPERLINK("https://www.boe.es/gazeta/dias/1813/06/26/pdfs/GRE-1813-79.pdf#page=8","Abrir facsímil")</f>
        <v>Abrir facsímil</v>
      </c>
      <c r="K6850" s="3" t="s">
        <v>22</v>
      </c>
    </row>
    <row r="6851" spans="1:11" ht="42" customHeight="1">
      <c r="A6851" s="2" t="s">
        <v>14305</v>
      </c>
      <c r="B6851" s="2" t="s">
        <v>14306</v>
      </c>
      <c r="C6851" s="2" t="s">
        <v>69</v>
      </c>
      <c r="D6851" s="2" t="s">
        <v>26</v>
      </c>
      <c r="E6851" s="5">
        <v>-31595</v>
      </c>
      <c r="F6851" s="3" t="s">
        <v>70</v>
      </c>
      <c r="G6851" s="3" t="s">
        <v>71</v>
      </c>
      <c r="H6851" s="2" t="s">
        <v>20</v>
      </c>
      <c r="I6851" s="2" t="s">
        <v>14314</v>
      </c>
      <c r="J6851" s="3" t="str">
        <f>HYPERLINK("https://www.boe.es/gazeta/dias/1813/06/29/pdfs/GMR-1813-13.pdf#page=16","Abrir facsímil")</f>
        <v>Abrir facsímil</v>
      </c>
      <c r="K6851" s="3" t="s">
        <v>22</v>
      </c>
    </row>
    <row r="6852" spans="1:11" ht="42" customHeight="1">
      <c r="A6852" s="2" t="s">
        <v>14305</v>
      </c>
      <c r="B6852" s="2" t="s">
        <v>14306</v>
      </c>
      <c r="C6852" s="2" t="s">
        <v>25</v>
      </c>
      <c r="D6852" s="2" t="s">
        <v>26</v>
      </c>
      <c r="E6852" s="5">
        <v>-31585</v>
      </c>
      <c r="F6852" s="3" t="s">
        <v>177</v>
      </c>
      <c r="G6852" s="3" t="s">
        <v>95</v>
      </c>
      <c r="H6852" s="2" t="s">
        <v>20</v>
      </c>
      <c r="I6852" s="2" t="s">
        <v>14315</v>
      </c>
      <c r="J6852" s="3" t="str">
        <f>HYPERLINK("https://www.boe.es/gazeta/dias/1813/07/09/pdfs/GMR-1813-16.pdf#page=6","Abrir facsímil")</f>
        <v>Abrir facsímil</v>
      </c>
      <c r="K6852" s="3" t="s">
        <v>22</v>
      </c>
    </row>
    <row r="6853" spans="1:11" ht="42" customHeight="1">
      <c r="A6853" s="2" t="s">
        <v>14305</v>
      </c>
      <c r="B6853" s="2" t="s">
        <v>14306</v>
      </c>
      <c r="C6853" s="2" t="s">
        <v>16</v>
      </c>
      <c r="D6853" s="2" t="s">
        <v>17</v>
      </c>
      <c r="E6853" s="5">
        <v>-31582</v>
      </c>
      <c r="F6853" s="3" t="s">
        <v>907</v>
      </c>
      <c r="G6853" s="3" t="s">
        <v>65</v>
      </c>
      <c r="H6853" s="2" t="s">
        <v>20</v>
      </c>
      <c r="I6853" s="2" t="s">
        <v>14316</v>
      </c>
      <c r="J6853" s="3" t="str">
        <f>HYPERLINK("https://www.boe.es/gazeta/dias/1813/07/12/pdfs/GRE-1813-87.pdf#page=1","Abrir facsímil")</f>
        <v>Abrir facsímil</v>
      </c>
      <c r="K6853" s="3" t="s">
        <v>22</v>
      </c>
    </row>
    <row r="6854" spans="1:11" ht="42" customHeight="1">
      <c r="A6854" s="2" t="s">
        <v>14305</v>
      </c>
      <c r="B6854" s="2" t="s">
        <v>14306</v>
      </c>
      <c r="C6854" s="2" t="s">
        <v>16</v>
      </c>
      <c r="D6854" s="2" t="s">
        <v>17</v>
      </c>
      <c r="E6854" s="5">
        <v>-31574</v>
      </c>
      <c r="F6854" s="3" t="s">
        <v>1343</v>
      </c>
      <c r="G6854" s="3" t="s">
        <v>313</v>
      </c>
      <c r="H6854" s="2" t="s">
        <v>20</v>
      </c>
      <c r="I6854" s="2" t="s">
        <v>14317</v>
      </c>
      <c r="J6854" s="3" t="str">
        <f>HYPERLINK("https://www.boe.es/gazeta/dias/1813/07/20/pdfs/GMR-1813-19.pdf#page=9","Abrir facsímil")</f>
        <v>Abrir facsímil</v>
      </c>
      <c r="K6854" s="3" t="s">
        <v>22</v>
      </c>
    </row>
    <row r="6855" spans="1:11" ht="42" customHeight="1">
      <c r="A6855" s="2" t="s">
        <v>14305</v>
      </c>
      <c r="B6855" s="2" t="s">
        <v>14306</v>
      </c>
      <c r="C6855" s="2" t="s">
        <v>16</v>
      </c>
      <c r="D6855" s="2" t="s">
        <v>17</v>
      </c>
      <c r="E6855" s="5">
        <v>-31558</v>
      </c>
      <c r="F6855" s="3" t="s">
        <v>385</v>
      </c>
      <c r="G6855" s="3" t="s">
        <v>28</v>
      </c>
      <c r="H6855" s="2" t="s">
        <v>20</v>
      </c>
      <c r="I6855" s="2" t="s">
        <v>14308</v>
      </c>
      <c r="J6855" s="3" t="str">
        <f>HYPERLINK("https://www.boe.es/gazeta/dias/1813/08/05/pdfs/GRE-1813-99.pdf#page=8","Abrir facsímil")</f>
        <v>Abrir facsímil</v>
      </c>
      <c r="K6855" s="3" t="s">
        <v>22</v>
      </c>
    </row>
    <row r="6856" spans="1:11" ht="42" customHeight="1">
      <c r="A6856" s="2" t="s">
        <v>14305</v>
      </c>
      <c r="B6856" s="2" t="s">
        <v>14306</v>
      </c>
      <c r="C6856" s="2" t="s">
        <v>16</v>
      </c>
      <c r="D6856" s="2" t="s">
        <v>17</v>
      </c>
      <c r="E6856" s="5">
        <v>-31539</v>
      </c>
      <c r="F6856" s="3" t="s">
        <v>1220</v>
      </c>
      <c r="G6856" s="3" t="s">
        <v>58</v>
      </c>
      <c r="H6856" s="2" t="s">
        <v>20</v>
      </c>
      <c r="I6856" s="2" t="s">
        <v>14318</v>
      </c>
      <c r="J6856" s="3" t="str">
        <f>HYPERLINK("https://www.boe.es/gazeta/dias/1813/08/24/pdfs/GRE-1813-108.pdf#page=2","Abrir facsímil")</f>
        <v>Abrir facsímil</v>
      </c>
      <c r="K6856" s="3" t="s">
        <v>22</v>
      </c>
    </row>
    <row r="6857" spans="1:11" ht="42" customHeight="1">
      <c r="A6857" s="2" t="s">
        <v>14305</v>
      </c>
      <c r="B6857" s="2" t="s">
        <v>14306</v>
      </c>
      <c r="C6857" s="2" t="s">
        <v>16</v>
      </c>
      <c r="D6857" s="2" t="s">
        <v>17</v>
      </c>
      <c r="E6857" s="5">
        <v>-31502</v>
      </c>
      <c r="F6857" s="3" t="s">
        <v>257</v>
      </c>
      <c r="G6857" s="3" t="s">
        <v>28</v>
      </c>
      <c r="H6857" s="2" t="s">
        <v>20</v>
      </c>
      <c r="I6857" s="2" t="s">
        <v>14319</v>
      </c>
      <c r="J6857" s="3" t="str">
        <f>HYPERLINK("https://www.boe.es/gazeta/dias/1813/09/30/pdfs/GMR-1813-51.pdf#page=8","Abrir facsímil")</f>
        <v>Abrir facsímil</v>
      </c>
      <c r="K6857" s="3" t="s">
        <v>22</v>
      </c>
    </row>
    <row r="6858" spans="1:11" ht="42" customHeight="1">
      <c r="A6858" s="2" t="s">
        <v>14320</v>
      </c>
      <c r="B6858" s="2" t="s">
        <v>14321</v>
      </c>
      <c r="C6858" s="2" t="s">
        <v>34</v>
      </c>
      <c r="D6858" s="2" t="s">
        <v>35</v>
      </c>
      <c r="E6858" s="5">
        <v>-31549</v>
      </c>
      <c r="F6858" s="3" t="s">
        <v>332</v>
      </c>
      <c r="G6858" s="3" t="s">
        <v>19</v>
      </c>
      <c r="H6858" s="2" t="s">
        <v>20</v>
      </c>
      <c r="I6858" s="2" t="s">
        <v>14322</v>
      </c>
      <c r="J6858" s="3" t="str">
        <f>HYPERLINK("https://www.boe.es/gazeta/dias/1813/08/14/pdfs/GMR-1813-28.pdf#page=4","Abrir facsímil")</f>
        <v>Abrir facsímil</v>
      </c>
      <c r="K6858" s="3" t="s">
        <v>22</v>
      </c>
    </row>
    <row r="6859" spans="1:11" ht="42" customHeight="1">
      <c r="A6859" s="2" t="s">
        <v>14323</v>
      </c>
      <c r="B6859" s="2" t="s">
        <v>14324</v>
      </c>
      <c r="C6859" s="2" t="s">
        <v>16</v>
      </c>
      <c r="D6859" s="2" t="s">
        <v>97</v>
      </c>
      <c r="E6859" s="5">
        <v>-31519</v>
      </c>
      <c r="F6859" s="3" t="s">
        <v>312</v>
      </c>
      <c r="G6859" s="3" t="s">
        <v>313</v>
      </c>
      <c r="H6859" s="2" t="s">
        <v>20</v>
      </c>
      <c r="I6859" s="2" t="s">
        <v>14325</v>
      </c>
      <c r="J6859" s="3" t="str">
        <f>HYPERLINK("https://www.boe.es/gazeta/dias/1813/09/13/pdfs/GRE-1813-118E.pdf#page=9","Abrir facsímil")</f>
        <v>Abrir facsímil</v>
      </c>
      <c r="K6859" s="3" t="s">
        <v>22</v>
      </c>
    </row>
    <row r="6860" spans="1:11" ht="42" customHeight="1">
      <c r="A6860" s="2" t="s">
        <v>14323</v>
      </c>
      <c r="B6860" s="2" t="s">
        <v>14324</v>
      </c>
      <c r="C6860" s="2" t="s">
        <v>16</v>
      </c>
      <c r="D6860" s="2" t="s">
        <v>17</v>
      </c>
      <c r="E6860" s="5">
        <v>-31507</v>
      </c>
      <c r="F6860" s="3" t="s">
        <v>61</v>
      </c>
      <c r="G6860" s="3" t="s">
        <v>28</v>
      </c>
      <c r="H6860" s="2" t="s">
        <v>20</v>
      </c>
      <c r="I6860" s="2" t="s">
        <v>14326</v>
      </c>
      <c r="J6860" s="3" t="str">
        <f>HYPERLINK("https://www.boe.es/gazeta/dias/1813/09/25/pdfs/GMR-1813-48.pdf#page=8","Abrir facsímil")</f>
        <v>Abrir facsímil</v>
      </c>
      <c r="K6860" s="3" t="s">
        <v>22</v>
      </c>
    </row>
    <row r="6861" spans="1:11" ht="42" customHeight="1">
      <c r="A6861" s="2" t="s">
        <v>14327</v>
      </c>
      <c r="B6861" s="2" t="s">
        <v>14328</v>
      </c>
      <c r="C6861" s="2" t="s">
        <v>69</v>
      </c>
      <c r="D6861" s="2" t="s">
        <v>26</v>
      </c>
      <c r="E6861" s="5">
        <v>-31567</v>
      </c>
      <c r="F6861" s="3" t="s">
        <v>820</v>
      </c>
      <c r="G6861" s="3" t="s">
        <v>313</v>
      </c>
      <c r="H6861" s="2" t="s">
        <v>20</v>
      </c>
      <c r="I6861" s="2" t="s">
        <v>14329</v>
      </c>
      <c r="J6861" s="3" t="str">
        <f>HYPERLINK("https://www.boe.es/gazeta/dias/1813/07/27/pdfs/GMR-1813-21.pdf#page=9","Abrir facsímil")</f>
        <v>Abrir facsímil</v>
      </c>
      <c r="K6861" s="3" t="s">
        <v>22</v>
      </c>
    </row>
    <row r="6862" spans="1:11" ht="42" customHeight="1">
      <c r="A6862" s="2" t="s">
        <v>14330</v>
      </c>
      <c r="B6862" s="2" t="s">
        <v>14330</v>
      </c>
      <c r="C6862" s="2" t="s">
        <v>16</v>
      </c>
      <c r="D6862" s="2" t="s">
        <v>17</v>
      </c>
      <c r="E6862" s="5">
        <v>-31658</v>
      </c>
      <c r="F6862" s="3" t="s">
        <v>1113</v>
      </c>
      <c r="G6862" s="3" t="s">
        <v>54</v>
      </c>
      <c r="H6862" s="2" t="s">
        <v>20</v>
      </c>
      <c r="I6862" s="2" t="s">
        <v>14331</v>
      </c>
      <c r="J6862" s="3" t="str">
        <f>HYPERLINK("https://www.boe.es/gazeta/dias/1813/04/27/pdfs/GRE-1813-52.pdf#page=3","Abrir facsímil")</f>
        <v>Abrir facsímil</v>
      </c>
      <c r="K6862" s="3" t="s">
        <v>22</v>
      </c>
    </row>
    <row r="6863" spans="1:11" ht="42" customHeight="1">
      <c r="A6863" s="2" t="s">
        <v>14330</v>
      </c>
      <c r="B6863" s="2" t="s">
        <v>14330</v>
      </c>
      <c r="C6863" s="2" t="s">
        <v>16</v>
      </c>
      <c r="D6863" s="2" t="s">
        <v>17</v>
      </c>
      <c r="E6863" s="5">
        <v>-31578</v>
      </c>
      <c r="F6863" s="3" t="s">
        <v>974</v>
      </c>
      <c r="G6863" s="3" t="s">
        <v>6206</v>
      </c>
      <c r="H6863" s="2" t="s">
        <v>20</v>
      </c>
      <c r="I6863" s="2" t="s">
        <v>14332</v>
      </c>
      <c r="J6863" s="3" t="str">
        <f>HYPERLINK("https://www.boe.es/gazeta/dias/1813/07/16/pdfs/GMR-1813-18.pdf#page=2","Abrir facsímil")</f>
        <v>Abrir facsímil</v>
      </c>
      <c r="K6863" s="3" t="s">
        <v>22</v>
      </c>
    </row>
    <row r="6864" spans="1:11" ht="42" customHeight="1">
      <c r="A6864" s="2" t="s">
        <v>14330</v>
      </c>
      <c r="B6864" s="2" t="s">
        <v>14330</v>
      </c>
      <c r="C6864" s="2" t="s">
        <v>16</v>
      </c>
      <c r="D6864" s="2" t="s">
        <v>17</v>
      </c>
      <c r="E6864" s="5">
        <v>-31434</v>
      </c>
      <c r="F6864" s="3" t="s">
        <v>18</v>
      </c>
      <c r="G6864" s="3" t="s">
        <v>95</v>
      </c>
      <c r="H6864" s="2" t="s">
        <v>20</v>
      </c>
      <c r="I6864" s="2" t="s">
        <v>14333</v>
      </c>
      <c r="J6864" s="3" t="str">
        <f>HYPERLINK("https://www.boe.es/gazeta/dias/1813/12/07/pdfs/GRE-1813-161.pdf#page=6","Abrir facsímil")</f>
        <v>Abrir facsímil</v>
      </c>
      <c r="K6864" s="3" t="s">
        <v>22</v>
      </c>
    </row>
    <row r="6865" spans="1:11" ht="42" customHeight="1">
      <c r="A6865" s="2" t="s">
        <v>14334</v>
      </c>
      <c r="B6865" s="2" t="s">
        <v>14334</v>
      </c>
      <c r="C6865" s="2" t="s">
        <v>16</v>
      </c>
      <c r="D6865" s="2" t="s">
        <v>17</v>
      </c>
      <c r="E6865" s="5">
        <v>-31507</v>
      </c>
      <c r="F6865" s="3" t="s">
        <v>61</v>
      </c>
      <c r="G6865" s="3" t="s">
        <v>65</v>
      </c>
      <c r="H6865" s="2" t="s">
        <v>20</v>
      </c>
      <c r="I6865" s="2" t="s">
        <v>14335</v>
      </c>
      <c r="J6865" s="3" t="str">
        <f>HYPERLINK("https://www.boe.es/gazeta/dias/1813/09/25/pdfs/GMR-1813-48.pdf#page=1","Abrir facsímil")</f>
        <v>Abrir facsímil</v>
      </c>
      <c r="K6865" s="3" t="s">
        <v>22</v>
      </c>
    </row>
    <row r="6866" spans="1:11" ht="42" customHeight="1">
      <c r="A6866" s="2" t="s">
        <v>14336</v>
      </c>
      <c r="B6866" s="2" t="s">
        <v>14337</v>
      </c>
      <c r="C6866" s="2" t="s">
        <v>16</v>
      </c>
      <c r="D6866" s="2" t="s">
        <v>17</v>
      </c>
      <c r="E6866" s="5">
        <v>-31723</v>
      </c>
      <c r="F6866" s="3" t="s">
        <v>273</v>
      </c>
      <c r="G6866" s="3" t="s">
        <v>58</v>
      </c>
      <c r="H6866" s="2" t="s">
        <v>20</v>
      </c>
      <c r="I6866" s="2" t="s">
        <v>14338</v>
      </c>
      <c r="J6866" s="3" t="str">
        <f>HYPERLINK("https://www.boe.es/gazeta/dias/1813/02/21/pdfs/GMD-1813-52.pdf#page=2","Abrir facsímil")</f>
        <v>Abrir facsímil</v>
      </c>
      <c r="K6866" s="3" t="s">
        <v>22</v>
      </c>
    </row>
    <row r="6867" spans="1:11" ht="42" customHeight="1">
      <c r="A6867" s="2" t="s">
        <v>14336</v>
      </c>
      <c r="B6867" s="2" t="s">
        <v>14337</v>
      </c>
      <c r="C6867" s="2" t="s">
        <v>16</v>
      </c>
      <c r="D6867" s="2" t="s">
        <v>17</v>
      </c>
      <c r="E6867" s="5">
        <v>-31700</v>
      </c>
      <c r="F6867" s="3" t="s">
        <v>778</v>
      </c>
      <c r="G6867" s="3" t="s">
        <v>65</v>
      </c>
      <c r="H6867" s="2" t="s">
        <v>20</v>
      </c>
      <c r="I6867" s="2" t="s">
        <v>14339</v>
      </c>
      <c r="J6867" s="3" t="str">
        <f>HYPERLINK("https://www.boe.es/gazeta/dias/1813/03/16/pdfs/GMD-1813-75.pdf#page=1","Abrir facsímil")</f>
        <v>Abrir facsímil</v>
      </c>
      <c r="K6867" s="3" t="s">
        <v>22</v>
      </c>
    </row>
    <row r="6868" spans="1:11" ht="42" customHeight="1">
      <c r="A6868" s="2" t="s">
        <v>14340</v>
      </c>
      <c r="B6868" s="2" t="s">
        <v>14340</v>
      </c>
      <c r="C6868" s="2" t="s">
        <v>16</v>
      </c>
      <c r="D6868" s="2" t="s">
        <v>17</v>
      </c>
      <c r="E6868" s="5">
        <v>-31712</v>
      </c>
      <c r="F6868" s="3" t="s">
        <v>3469</v>
      </c>
      <c r="G6868" s="3" t="s">
        <v>65</v>
      </c>
      <c r="H6868" s="2" t="s">
        <v>20</v>
      </c>
      <c r="I6868" s="2" t="s">
        <v>14341</v>
      </c>
      <c r="J6868" s="3" t="str">
        <f>HYPERLINK("https://www.boe.es/gazeta/dias/1813/03/04/pdfs/GRE-1813-28.pdf#page=1","Abrir facsímil")</f>
        <v>Abrir facsímil</v>
      </c>
      <c r="K6868" s="3" t="s">
        <v>22</v>
      </c>
    </row>
    <row r="6869" spans="1:11" ht="42" customHeight="1">
      <c r="A6869" s="2" t="s">
        <v>14342</v>
      </c>
      <c r="B6869" s="2" t="s">
        <v>14342</v>
      </c>
      <c r="C6869" s="2" t="s">
        <v>16</v>
      </c>
      <c r="D6869" s="2" t="s">
        <v>17</v>
      </c>
      <c r="E6869" s="5">
        <v>-31737</v>
      </c>
      <c r="F6869" s="3" t="s">
        <v>5824</v>
      </c>
      <c r="G6869" s="3" t="s">
        <v>58</v>
      </c>
      <c r="H6869" s="2" t="s">
        <v>20</v>
      </c>
      <c r="I6869" s="2" t="s">
        <v>14343</v>
      </c>
      <c r="J6869" s="3" t="str">
        <f>HYPERLINK("https://www.boe.es/gazeta/dias/1813/02/07/pdfs/GMD-1813-38.pdf#page=2","Abrir facsímil")</f>
        <v>Abrir facsímil</v>
      </c>
      <c r="K6869" s="3" t="s">
        <v>22</v>
      </c>
    </row>
    <row r="6870" spans="1:11" ht="42" customHeight="1">
      <c r="A6870" s="2" t="s">
        <v>14344</v>
      </c>
      <c r="B6870" s="2" t="s">
        <v>14345</v>
      </c>
      <c r="C6870" s="2" t="s">
        <v>25</v>
      </c>
      <c r="D6870" s="2" t="s">
        <v>26</v>
      </c>
      <c r="E6870" s="5">
        <v>-31719</v>
      </c>
      <c r="F6870" s="3" t="s">
        <v>251</v>
      </c>
      <c r="G6870" s="3" t="s">
        <v>19</v>
      </c>
      <c r="H6870" s="2" t="s">
        <v>20</v>
      </c>
      <c r="I6870" s="2" t="s">
        <v>14346</v>
      </c>
      <c r="J6870" s="3" t="str">
        <f>HYPERLINK("https://www.boe.es/gazeta/dias/1813/02/25/pdfs/GMD-1813-56.pdf#page=4","Abrir facsímil")</f>
        <v>Abrir facsímil</v>
      </c>
      <c r="K6870" s="3" t="s">
        <v>22</v>
      </c>
    </row>
    <row r="6871" spans="1:11" ht="42" customHeight="1">
      <c r="A6871" s="2" t="s">
        <v>14347</v>
      </c>
      <c r="B6871" s="2" t="s">
        <v>14347</v>
      </c>
      <c r="C6871" s="2" t="s">
        <v>16</v>
      </c>
      <c r="D6871" s="2" t="s">
        <v>17</v>
      </c>
      <c r="E6871" s="5">
        <v>-31736</v>
      </c>
      <c r="F6871" s="3" t="s">
        <v>1936</v>
      </c>
      <c r="G6871" s="3" t="s">
        <v>54</v>
      </c>
      <c r="H6871" s="2" t="s">
        <v>20</v>
      </c>
      <c r="I6871" s="2" t="s">
        <v>14348</v>
      </c>
      <c r="J6871" s="3" t="str">
        <f>HYPERLINK("https://www.boe.es/gazeta/dias/1813/02/08/pdfs/GMD-1813-39.pdf#page=3","Abrir facsímil")</f>
        <v>Abrir facsímil</v>
      </c>
      <c r="K6871" s="3" t="s">
        <v>22</v>
      </c>
    </row>
    <row r="6872" spans="1:11" ht="42" customHeight="1">
      <c r="A6872" s="2" t="s">
        <v>14349</v>
      </c>
      <c r="B6872" s="2" t="s">
        <v>14350</v>
      </c>
      <c r="C6872" s="2" t="s">
        <v>16</v>
      </c>
      <c r="D6872" s="2" t="s">
        <v>17</v>
      </c>
      <c r="E6872" s="5">
        <v>-31732</v>
      </c>
      <c r="F6872" s="3" t="s">
        <v>1904</v>
      </c>
      <c r="G6872" s="3" t="s">
        <v>54</v>
      </c>
      <c r="H6872" s="2" t="s">
        <v>20</v>
      </c>
      <c r="I6872" s="2" t="s">
        <v>14351</v>
      </c>
      <c r="J6872" s="3" t="str">
        <f>HYPERLINK("https://www.boe.es/gazeta/dias/1813/02/12/pdfs/GMD-1813-43.pdf#page=3","Abrir facsímil")</f>
        <v>Abrir facsímil</v>
      </c>
      <c r="K6872" s="3" t="s">
        <v>22</v>
      </c>
    </row>
    <row r="6873" spans="1:11" ht="42" customHeight="1">
      <c r="A6873" s="2" t="s">
        <v>14352</v>
      </c>
      <c r="B6873" s="2" t="s">
        <v>14353</v>
      </c>
      <c r="C6873" s="2" t="s">
        <v>16</v>
      </c>
      <c r="D6873" s="2" t="s">
        <v>17</v>
      </c>
      <c r="E6873" s="5">
        <v>-31623</v>
      </c>
      <c r="F6873" s="3" t="s">
        <v>267</v>
      </c>
      <c r="G6873" s="3" t="s">
        <v>676</v>
      </c>
      <c r="H6873" s="2" t="s">
        <v>20</v>
      </c>
      <c r="I6873" s="2" t="s">
        <v>14354</v>
      </c>
      <c r="J6873" s="3" t="str">
        <f>HYPERLINK("https://www.boe.es/gazeta/dias/1813/06/01/pdfs/GRE-1813-67.pdf#page=4","Abrir facsímil")</f>
        <v>Abrir facsímil</v>
      </c>
      <c r="K6873" s="3" t="s">
        <v>22</v>
      </c>
    </row>
    <row r="6874" spans="1:11" ht="42" customHeight="1">
      <c r="A6874" s="2" t="s">
        <v>14355</v>
      </c>
      <c r="B6874" s="2" t="s">
        <v>14355</v>
      </c>
      <c r="C6874" s="2" t="s">
        <v>34</v>
      </c>
      <c r="D6874" s="2" t="s">
        <v>35</v>
      </c>
      <c r="E6874" s="5">
        <v>-31709</v>
      </c>
      <c r="F6874" s="3" t="s">
        <v>36</v>
      </c>
      <c r="G6874" s="3" t="s">
        <v>303</v>
      </c>
      <c r="H6874" s="2" t="s">
        <v>20</v>
      </c>
      <c r="I6874" s="2" t="s">
        <v>14356</v>
      </c>
      <c r="J6874" s="3" t="str">
        <f>HYPERLINK("https://www.boe.es/gazeta/dias/1813/03/07/pdfs/GMD-1813-66.pdf#page=3","Abrir facsímil")</f>
        <v>Abrir facsímil</v>
      </c>
      <c r="K6874" s="3" t="s">
        <v>22</v>
      </c>
    </row>
    <row r="6875" spans="1:11" ht="42" customHeight="1">
      <c r="A6875" s="2" t="s">
        <v>14355</v>
      </c>
      <c r="B6875" s="2" t="s">
        <v>14355</v>
      </c>
      <c r="C6875" s="2" t="s">
        <v>277</v>
      </c>
      <c r="D6875" s="2" t="s">
        <v>26</v>
      </c>
      <c r="E6875" s="5">
        <v>-31558</v>
      </c>
      <c r="F6875" s="3" t="s">
        <v>1288</v>
      </c>
      <c r="G6875" s="3" t="s">
        <v>28</v>
      </c>
      <c r="H6875" s="2" t="s">
        <v>20</v>
      </c>
      <c r="I6875" s="2" t="s">
        <v>14357</v>
      </c>
      <c r="J6875" s="3" t="str">
        <f>HYPERLINK("https://www.boe.es/gazeta/dias/1813/08/05/pdfs/GMR-1813-24.pdf#page=8","Abrir facsímil")</f>
        <v>Abrir facsímil</v>
      </c>
      <c r="K6875" s="3" t="s">
        <v>22</v>
      </c>
    </row>
    <row r="6876" spans="1:11" ht="42" customHeight="1">
      <c r="A6876" s="2" t="s">
        <v>14355</v>
      </c>
      <c r="B6876" s="2" t="s">
        <v>14355</v>
      </c>
      <c r="C6876" s="2" t="s">
        <v>16</v>
      </c>
      <c r="D6876" s="2" t="s">
        <v>17</v>
      </c>
      <c r="E6876" s="5">
        <v>-31530</v>
      </c>
      <c r="F6876" s="3" t="s">
        <v>133</v>
      </c>
      <c r="G6876" s="3" t="s">
        <v>82</v>
      </c>
      <c r="H6876" s="2" t="s">
        <v>20</v>
      </c>
      <c r="I6876" s="2" t="s">
        <v>14358</v>
      </c>
      <c r="J6876" s="3" t="str">
        <f>HYPERLINK("https://www.boe.es/gazeta/dias/1813/09/02/pdfs/GMR-1813-36.pdf#page=5","Abrir facsímil")</f>
        <v>Abrir facsímil</v>
      </c>
      <c r="K6876" s="3" t="s">
        <v>22</v>
      </c>
    </row>
    <row r="6877" spans="1:11" ht="42" customHeight="1">
      <c r="A6877" s="2" t="s">
        <v>14355</v>
      </c>
      <c r="B6877" s="2" t="s">
        <v>14355</v>
      </c>
      <c r="C6877" s="2" t="s">
        <v>16</v>
      </c>
      <c r="D6877" s="2" t="s">
        <v>17</v>
      </c>
      <c r="E6877" s="5">
        <v>-31416</v>
      </c>
      <c r="F6877" s="3" t="s">
        <v>278</v>
      </c>
      <c r="G6877" s="3" t="s">
        <v>207</v>
      </c>
      <c r="H6877" s="2" t="s">
        <v>20</v>
      </c>
      <c r="I6877" s="2" t="s">
        <v>14359</v>
      </c>
      <c r="J6877" s="3" t="str">
        <f>HYPERLINK("https://www.boe.es/gazeta/dias/1813/12/25/pdfs/GMR-1813-92.pdf#page=10","Abrir facsímil")</f>
        <v>Abrir facsímil</v>
      </c>
      <c r="K6877" s="3" t="s">
        <v>22</v>
      </c>
    </row>
    <row r="6878" spans="1:11" ht="42" customHeight="1">
      <c r="A6878" s="2" t="s">
        <v>14360</v>
      </c>
      <c r="B6878" s="2" t="s">
        <v>14361</v>
      </c>
      <c r="C6878" s="2" t="s">
        <v>25</v>
      </c>
      <c r="D6878" s="2" t="s">
        <v>26</v>
      </c>
      <c r="E6878" s="5">
        <v>-31677</v>
      </c>
      <c r="F6878" s="3" t="s">
        <v>76</v>
      </c>
      <c r="G6878" s="3" t="s">
        <v>28</v>
      </c>
      <c r="H6878" s="2" t="s">
        <v>20</v>
      </c>
      <c r="I6878" s="2" t="s">
        <v>14362</v>
      </c>
      <c r="J6878" s="3" t="str">
        <f>HYPERLINK("https://www.boe.es/gazeta/dias/1813/04/08/pdfs/GRE-1813-43.pdf#page=8","Abrir facsímil")</f>
        <v>Abrir facsímil</v>
      </c>
      <c r="K6878" s="3" t="s">
        <v>22</v>
      </c>
    </row>
    <row r="6879" spans="1:11" ht="42" customHeight="1">
      <c r="A6879" s="2" t="s">
        <v>14363</v>
      </c>
      <c r="B6879" s="2" t="s">
        <v>14364</v>
      </c>
      <c r="C6879" s="2" t="s">
        <v>34</v>
      </c>
      <c r="D6879" s="2" t="s">
        <v>35</v>
      </c>
      <c r="E6879" s="5">
        <v>-31709</v>
      </c>
      <c r="F6879" s="3" t="s">
        <v>36</v>
      </c>
      <c r="G6879" s="3" t="s">
        <v>19</v>
      </c>
      <c r="H6879" s="2" t="s">
        <v>20</v>
      </c>
      <c r="I6879" s="2" t="s">
        <v>14365</v>
      </c>
      <c r="J6879" s="3" t="str">
        <f>HYPERLINK("https://www.boe.es/gazeta/dias/1813/03/07/pdfs/GMD-1813-66.pdf#page=4","Abrir facsímil")</f>
        <v>Abrir facsímil</v>
      </c>
      <c r="K6879" s="3" t="s">
        <v>22</v>
      </c>
    </row>
    <row r="6880" spans="1:11" ht="42" customHeight="1">
      <c r="A6880" s="2" t="s">
        <v>14366</v>
      </c>
      <c r="B6880" s="2" t="s">
        <v>14366</v>
      </c>
      <c r="C6880" s="2" t="s">
        <v>25</v>
      </c>
      <c r="D6880" s="2" t="s">
        <v>26</v>
      </c>
      <c r="E6880" s="5">
        <v>-31720</v>
      </c>
      <c r="F6880" s="3" t="s">
        <v>672</v>
      </c>
      <c r="G6880" s="3" t="s">
        <v>54</v>
      </c>
      <c r="H6880" s="2" t="s">
        <v>20</v>
      </c>
      <c r="I6880" s="2" t="s">
        <v>14367</v>
      </c>
      <c r="J6880" s="3" t="str">
        <f>HYPERLINK("https://www.boe.es/gazeta/dias/1813/02/24/pdfs/GMD-1813-55.pdf#page=3","Abrir facsímil")</f>
        <v>Abrir facsímil</v>
      </c>
      <c r="K6880" s="3" t="s">
        <v>22</v>
      </c>
    </row>
    <row r="6881" spans="1:11" ht="42" customHeight="1">
      <c r="A6881" s="2" t="s">
        <v>14368</v>
      </c>
      <c r="B6881" s="2" t="s">
        <v>14369</v>
      </c>
      <c r="C6881" s="2" t="s">
        <v>16</v>
      </c>
      <c r="D6881" s="2" t="s">
        <v>17</v>
      </c>
      <c r="E6881" s="5">
        <v>-31754</v>
      </c>
      <c r="F6881" s="3" t="s">
        <v>899</v>
      </c>
      <c r="G6881" s="3" t="s">
        <v>900</v>
      </c>
      <c r="H6881" s="2" t="s">
        <v>20</v>
      </c>
      <c r="I6881" s="2" t="s">
        <v>14370</v>
      </c>
      <c r="J6881" s="3" t="str">
        <f>HYPERLINK("https://www.boe.es/gazeta/dias/1813/01/21/pdfs/GRE-1813-9.pdf#page=8","Abrir facsímil")</f>
        <v>Abrir facsímil</v>
      </c>
      <c r="K6881" s="3" t="s">
        <v>22</v>
      </c>
    </row>
    <row r="6882" spans="1:11" ht="42" customHeight="1">
      <c r="A6882" s="2" t="s">
        <v>14371</v>
      </c>
      <c r="B6882" s="2" t="s">
        <v>14372</v>
      </c>
      <c r="C6882" s="2" t="s">
        <v>187</v>
      </c>
      <c r="D6882" s="2" t="s">
        <v>26</v>
      </c>
      <c r="E6882" s="5">
        <v>-31745</v>
      </c>
      <c r="F6882" s="3" t="s">
        <v>445</v>
      </c>
      <c r="G6882" s="3" t="s">
        <v>28</v>
      </c>
      <c r="H6882" s="2" t="s">
        <v>20</v>
      </c>
      <c r="I6882" s="2" t="s">
        <v>14373</v>
      </c>
      <c r="J6882" s="3" t="str">
        <f>HYPERLINK("https://www.boe.es/gazeta/dias/1813/01/30/pdfs/GRE-1813-13.pdf#page=8","Abrir facsímil")</f>
        <v>Abrir facsímil</v>
      </c>
      <c r="K6882" s="3" t="s">
        <v>22</v>
      </c>
    </row>
    <row r="6883" spans="1:11" ht="42" customHeight="1">
      <c r="A6883" s="2" t="s">
        <v>14371</v>
      </c>
      <c r="B6883" s="2" t="s">
        <v>14372</v>
      </c>
      <c r="C6883" s="2" t="s">
        <v>16</v>
      </c>
      <c r="D6883" s="2" t="s">
        <v>17</v>
      </c>
      <c r="E6883" s="5">
        <v>-31577</v>
      </c>
      <c r="F6883" s="3" t="s">
        <v>586</v>
      </c>
      <c r="G6883" s="3" t="s">
        <v>95</v>
      </c>
      <c r="H6883" s="2" t="s">
        <v>20</v>
      </c>
      <c r="I6883" s="2" t="s">
        <v>14374</v>
      </c>
      <c r="J6883" s="3" t="str">
        <f>HYPERLINK("https://www.boe.es/gazeta/dias/1813/07/17/pdfs/GRE-1813-90.pdf#page=6","Abrir facsímil")</f>
        <v>Abrir facsímil</v>
      </c>
      <c r="K6883" s="3" t="s">
        <v>22</v>
      </c>
    </row>
    <row r="6884" spans="1:11" ht="42" customHeight="1">
      <c r="A6884" s="2" t="s">
        <v>14375</v>
      </c>
      <c r="B6884" s="2" t="s">
        <v>14376</v>
      </c>
      <c r="C6884" s="2" t="s">
        <v>34</v>
      </c>
      <c r="D6884" s="2" t="s">
        <v>35</v>
      </c>
      <c r="E6884" s="5">
        <v>-31518</v>
      </c>
      <c r="F6884" s="3" t="s">
        <v>155</v>
      </c>
      <c r="G6884" s="3" t="s">
        <v>82</v>
      </c>
      <c r="H6884" s="2" t="s">
        <v>20</v>
      </c>
      <c r="I6884" s="2" t="s">
        <v>14377</v>
      </c>
      <c r="J6884" s="3" t="str">
        <f>HYPERLINK("https://www.boe.es/gazeta/dias/1813/09/14/pdfs/GRE-1813-119.pdf#page=5","Abrir facsímil")</f>
        <v>Abrir facsímil</v>
      </c>
      <c r="K6884" s="3" t="s">
        <v>22</v>
      </c>
    </row>
    <row r="6885" spans="1:11" ht="42" customHeight="1">
      <c r="A6885" s="2" t="s">
        <v>14378</v>
      </c>
      <c r="B6885" s="2" t="s">
        <v>14379</v>
      </c>
      <c r="C6885" s="2" t="s">
        <v>34</v>
      </c>
      <c r="D6885" s="2" t="s">
        <v>35</v>
      </c>
      <c r="E6885" s="5">
        <v>-31564</v>
      </c>
      <c r="F6885" s="3" t="s">
        <v>206</v>
      </c>
      <c r="G6885" s="3" t="s">
        <v>313</v>
      </c>
      <c r="H6885" s="2" t="s">
        <v>20</v>
      </c>
      <c r="I6885" s="2" t="s">
        <v>14380</v>
      </c>
      <c r="J6885" s="3" t="str">
        <f>HYPERLINK("https://www.boe.es/gazeta/dias/1813/07/30/pdfs/GMR-1813-22.pdf#page=9","Abrir facsímil")</f>
        <v>Abrir facsímil</v>
      </c>
      <c r="K6885" s="3" t="s">
        <v>22</v>
      </c>
    </row>
    <row r="6886" spans="1:11" ht="42" customHeight="1">
      <c r="A6886" s="2" t="s">
        <v>14378</v>
      </c>
      <c r="B6886" s="2" t="s">
        <v>14379</v>
      </c>
      <c r="C6886" s="2" t="s">
        <v>34</v>
      </c>
      <c r="D6886" s="2" t="s">
        <v>35</v>
      </c>
      <c r="E6886" s="5">
        <v>-31514</v>
      </c>
      <c r="F6886" s="3" t="s">
        <v>2099</v>
      </c>
      <c r="G6886" s="3" t="s">
        <v>4358</v>
      </c>
      <c r="H6886" s="2" t="s">
        <v>20</v>
      </c>
      <c r="I6886" s="2" t="s">
        <v>14381</v>
      </c>
      <c r="J6886" s="3" t="str">
        <f>HYPERLINK("https://www.boe.es/gazeta/dias/1813/09/18/pdfs/GMR-1813-45.pdf#page=7","Abrir facsímil")</f>
        <v>Abrir facsímil</v>
      </c>
      <c r="K6886" s="3" t="s">
        <v>22</v>
      </c>
    </row>
    <row r="6887" spans="1:11" ht="42" customHeight="1">
      <c r="A6887" s="2" t="s">
        <v>14378</v>
      </c>
      <c r="B6887" s="2" t="s">
        <v>14379</v>
      </c>
      <c r="C6887" s="2" t="s">
        <v>16</v>
      </c>
      <c r="D6887" s="2" t="s">
        <v>17</v>
      </c>
      <c r="E6887" s="5">
        <v>-31416</v>
      </c>
      <c r="F6887" s="3" t="s">
        <v>278</v>
      </c>
      <c r="G6887" s="3" t="s">
        <v>207</v>
      </c>
      <c r="H6887" s="2" t="s">
        <v>20</v>
      </c>
      <c r="I6887" s="2" t="s">
        <v>14382</v>
      </c>
      <c r="J6887" s="3" t="str">
        <f>HYPERLINK("https://www.boe.es/gazeta/dias/1813/12/25/pdfs/GMR-1813-92.pdf#page=10","Abrir facsímil")</f>
        <v>Abrir facsímil</v>
      </c>
      <c r="K6887" s="3" t="s">
        <v>22</v>
      </c>
    </row>
    <row r="6888" spans="1:11" ht="42" customHeight="1">
      <c r="A6888" s="2" t="s">
        <v>14383</v>
      </c>
      <c r="B6888" s="2" t="s">
        <v>14384</v>
      </c>
      <c r="C6888" s="2" t="s">
        <v>16</v>
      </c>
      <c r="D6888" s="2" t="s">
        <v>17</v>
      </c>
      <c r="E6888" s="5">
        <v>-31567</v>
      </c>
      <c r="F6888" s="3" t="s">
        <v>820</v>
      </c>
      <c r="G6888" s="3" t="s">
        <v>313</v>
      </c>
      <c r="H6888" s="2" t="s">
        <v>20</v>
      </c>
      <c r="I6888" s="2" t="s">
        <v>14385</v>
      </c>
      <c r="J6888" s="3" t="str">
        <f>HYPERLINK("https://www.boe.es/gazeta/dias/1813/07/27/pdfs/GMR-1813-21.pdf#page=9","Abrir facsímil")</f>
        <v>Abrir facsímil</v>
      </c>
      <c r="K6888" s="3" t="s">
        <v>22</v>
      </c>
    </row>
    <row r="6889" spans="1:11" ht="42" customHeight="1">
      <c r="A6889" s="2" t="s">
        <v>14386</v>
      </c>
      <c r="B6889" s="2" t="s">
        <v>14387</v>
      </c>
      <c r="C6889" s="2" t="s">
        <v>16</v>
      </c>
      <c r="D6889" s="2" t="s">
        <v>17</v>
      </c>
      <c r="E6889" s="5">
        <v>-31481</v>
      </c>
      <c r="F6889" s="3" t="s">
        <v>380</v>
      </c>
      <c r="G6889" s="3" t="s">
        <v>794</v>
      </c>
      <c r="H6889" s="2" t="s">
        <v>20</v>
      </c>
      <c r="I6889" s="2" t="s">
        <v>14388</v>
      </c>
      <c r="J6889" s="3" t="str">
        <f>HYPERLINK("https://www.boe.es/gazeta/dias/1813/10/21/pdfs/GRE-1813-137.pdf#page=7","Abrir facsímil")</f>
        <v>Abrir facsímil</v>
      </c>
      <c r="K6889" s="3" t="s">
        <v>22</v>
      </c>
    </row>
    <row r="6890" spans="1:11" ht="42" customHeight="1">
      <c r="A6890" s="2" t="s">
        <v>14389</v>
      </c>
      <c r="B6890" s="2" t="s">
        <v>14390</v>
      </c>
      <c r="C6890" s="2" t="s">
        <v>25</v>
      </c>
      <c r="D6890" s="2" t="s">
        <v>26</v>
      </c>
      <c r="E6890" s="5">
        <v>-31567</v>
      </c>
      <c r="F6890" s="3" t="s">
        <v>820</v>
      </c>
      <c r="G6890" s="3" t="s">
        <v>258</v>
      </c>
      <c r="H6890" s="2" t="s">
        <v>20</v>
      </c>
      <c r="I6890" s="2" t="s">
        <v>14391</v>
      </c>
      <c r="J6890" s="3" t="str">
        <f>HYPERLINK("https://www.boe.es/gazeta/dias/1813/07/27/pdfs/GMR-1813-21.pdf#page=12","Abrir facsímil")</f>
        <v>Abrir facsímil</v>
      </c>
      <c r="K6890" s="3" t="s">
        <v>22</v>
      </c>
    </row>
    <row r="6891" spans="1:11" ht="42" customHeight="1">
      <c r="A6891" s="2" t="s">
        <v>14392</v>
      </c>
      <c r="B6891" s="2" t="s">
        <v>14393</v>
      </c>
      <c r="C6891" s="2" t="s">
        <v>25</v>
      </c>
      <c r="D6891" s="2" t="s">
        <v>26</v>
      </c>
      <c r="E6891" s="5">
        <v>-31502</v>
      </c>
      <c r="F6891" s="3" t="s">
        <v>257</v>
      </c>
      <c r="G6891" s="3" t="s">
        <v>258</v>
      </c>
      <c r="H6891" s="2" t="s">
        <v>20</v>
      </c>
      <c r="I6891" s="2" t="s">
        <v>14394</v>
      </c>
      <c r="J6891" s="3" t="str">
        <f>HYPERLINK("https://www.boe.es/gazeta/dias/1813/09/30/pdfs/GMR-1813-51.pdf#page=12","Abrir facsímil")</f>
        <v>Abrir facsímil</v>
      </c>
      <c r="K6891" s="3" t="s">
        <v>22</v>
      </c>
    </row>
    <row r="6892" spans="1:11" ht="42" customHeight="1">
      <c r="A6892" s="2" t="s">
        <v>14395</v>
      </c>
      <c r="B6892" s="2" t="s">
        <v>14396</v>
      </c>
      <c r="C6892" s="2" t="s">
        <v>34</v>
      </c>
      <c r="D6892" s="2" t="s">
        <v>35</v>
      </c>
      <c r="E6892" s="5">
        <v>-31530</v>
      </c>
      <c r="F6892" s="3" t="s">
        <v>133</v>
      </c>
      <c r="G6892" s="3" t="s">
        <v>82</v>
      </c>
      <c r="H6892" s="2" t="s">
        <v>20</v>
      </c>
      <c r="I6892" s="2" t="s">
        <v>14397</v>
      </c>
      <c r="J6892" s="3" t="str">
        <f>HYPERLINK("https://www.boe.es/gazeta/dias/1813/09/02/pdfs/GMR-1813-36.pdf#page=5","Abrir facsímil")</f>
        <v>Abrir facsímil</v>
      </c>
      <c r="K6892" s="3" t="s">
        <v>22</v>
      </c>
    </row>
    <row r="6893" spans="1:11" ht="42" customHeight="1">
      <c r="A6893" s="2" t="s">
        <v>14398</v>
      </c>
      <c r="B6893" s="2" t="s">
        <v>14399</v>
      </c>
      <c r="C6893" s="2" t="s">
        <v>25</v>
      </c>
      <c r="D6893" s="2" t="s">
        <v>26</v>
      </c>
      <c r="E6893" s="5">
        <v>-31752</v>
      </c>
      <c r="F6893" s="3" t="s">
        <v>182</v>
      </c>
      <c r="G6893" s="3" t="s">
        <v>183</v>
      </c>
      <c r="H6893" s="2" t="s">
        <v>20</v>
      </c>
      <c r="I6893" s="2" t="s">
        <v>14400</v>
      </c>
      <c r="J6893" s="3" t="str">
        <f>HYPERLINK("https://www.boe.es/gazeta/dias/1813/01/23/pdfs/GRE-1813-10.pdf#page=8","Abrir facsímil")</f>
        <v>Abrir facsímil</v>
      </c>
      <c r="K6893" s="3" t="s">
        <v>22</v>
      </c>
    </row>
    <row r="6894" spans="1:11" ht="42" customHeight="1">
      <c r="A6894" s="2" t="s">
        <v>14401</v>
      </c>
      <c r="B6894" s="2" t="s">
        <v>14402</v>
      </c>
      <c r="C6894" s="2" t="s">
        <v>16</v>
      </c>
      <c r="D6894" s="2" t="s">
        <v>17</v>
      </c>
      <c r="E6894" s="5">
        <v>-31740</v>
      </c>
      <c r="F6894" s="3" t="s">
        <v>354</v>
      </c>
      <c r="G6894" s="3" t="s">
        <v>95</v>
      </c>
      <c r="H6894" s="2" t="s">
        <v>20</v>
      </c>
      <c r="I6894" s="2" t="s">
        <v>14403</v>
      </c>
      <c r="J6894" s="3" t="str">
        <f>HYPERLINK("https://www.boe.es/gazeta/dias/1813/02/04/pdfs/GRE-1813-15.pdf#page=6","Abrir facsímil")</f>
        <v>Abrir facsímil</v>
      </c>
      <c r="K6894" s="3" t="s">
        <v>22</v>
      </c>
    </row>
    <row r="6895" spans="1:11" ht="42" customHeight="1">
      <c r="A6895" s="2" t="s">
        <v>14401</v>
      </c>
      <c r="B6895" s="2" t="s">
        <v>14402</v>
      </c>
      <c r="C6895" s="2" t="s">
        <v>16</v>
      </c>
      <c r="D6895" s="2" t="s">
        <v>17</v>
      </c>
      <c r="E6895" s="5">
        <v>-31710</v>
      </c>
      <c r="F6895" s="3" t="s">
        <v>2689</v>
      </c>
      <c r="G6895" s="3" t="s">
        <v>2690</v>
      </c>
      <c r="H6895" s="2" t="s">
        <v>20</v>
      </c>
      <c r="I6895" s="2" t="s">
        <v>14404</v>
      </c>
      <c r="J6895" s="3" t="str">
        <f>HYPERLINK("https://www.boe.es/gazeta/dias/1813/03/06/pdfs/GRE-1813-29.pdf#page=4","Abrir facsímil")</f>
        <v>Abrir facsímil</v>
      </c>
      <c r="K6895" s="3" t="s">
        <v>22</v>
      </c>
    </row>
    <row r="6896" spans="1:11" ht="42" customHeight="1">
      <c r="A6896" s="2" t="s">
        <v>14401</v>
      </c>
      <c r="B6896" s="2" t="s">
        <v>14402</v>
      </c>
      <c r="C6896" s="2" t="s">
        <v>16</v>
      </c>
      <c r="D6896" s="2" t="s">
        <v>17</v>
      </c>
      <c r="E6896" s="5">
        <v>-31700</v>
      </c>
      <c r="F6896" s="3" t="s">
        <v>226</v>
      </c>
      <c r="G6896" s="3" t="s">
        <v>14405</v>
      </c>
      <c r="H6896" s="2" t="s">
        <v>20</v>
      </c>
      <c r="I6896" s="2" t="s">
        <v>14406</v>
      </c>
      <c r="J6896" s="3" t="str">
        <f>HYPERLINK("https://www.boe.es/gazeta/dias/1813/03/16/pdfs/GRE-1813-33.pdf#page=8","Abrir facsímil")</f>
        <v>Abrir facsímil</v>
      </c>
      <c r="K6896" s="3" t="s">
        <v>22</v>
      </c>
    </row>
    <row r="6897" spans="1:11" ht="42" customHeight="1">
      <c r="A6897" s="2" t="s">
        <v>14407</v>
      </c>
      <c r="B6897" s="2" t="s">
        <v>14408</v>
      </c>
      <c r="C6897" s="2" t="s">
        <v>25</v>
      </c>
      <c r="D6897" s="2" t="s">
        <v>26</v>
      </c>
      <c r="E6897" s="5">
        <v>-31675</v>
      </c>
      <c r="F6897" s="3" t="s">
        <v>27</v>
      </c>
      <c r="G6897" s="3" t="s">
        <v>28</v>
      </c>
      <c r="H6897" s="2" t="s">
        <v>20</v>
      </c>
      <c r="I6897" s="2" t="s">
        <v>14409</v>
      </c>
      <c r="J6897" s="3" t="str">
        <f>HYPERLINK("https://www.boe.es/gazeta/dias/1813/04/10/pdfs/GRE-1813-44.pdf#page=8","Abrir facsímil")</f>
        <v>Abrir facsímil</v>
      </c>
      <c r="K6897" s="3" t="s">
        <v>22</v>
      </c>
    </row>
    <row r="6898" spans="1:11" ht="42" customHeight="1">
      <c r="A6898" s="2" t="s">
        <v>14410</v>
      </c>
      <c r="B6898" s="2" t="s">
        <v>14410</v>
      </c>
      <c r="C6898" s="2" t="s">
        <v>16</v>
      </c>
      <c r="D6898" s="2" t="s">
        <v>17</v>
      </c>
      <c r="E6898" s="5">
        <v>-31574</v>
      </c>
      <c r="F6898" s="3" t="s">
        <v>509</v>
      </c>
      <c r="G6898" s="3" t="s">
        <v>54</v>
      </c>
      <c r="H6898" s="2" t="s">
        <v>20</v>
      </c>
      <c r="I6898" s="2" t="s">
        <v>14411</v>
      </c>
      <c r="J6898" s="3" t="str">
        <f>HYPERLINK("https://www.boe.es/gazeta/dias/1813/07/20/pdfs/GRE-1813-92.pdf#page=3","Abrir facsímil")</f>
        <v>Abrir facsímil</v>
      </c>
      <c r="K6898" s="3" t="s">
        <v>22</v>
      </c>
    </row>
    <row r="6899" spans="1:11" ht="42" customHeight="1">
      <c r="A6899" s="2" t="s">
        <v>14412</v>
      </c>
      <c r="B6899" s="2" t="s">
        <v>14413</v>
      </c>
      <c r="C6899" s="2" t="s">
        <v>16</v>
      </c>
      <c r="D6899" s="2" t="s">
        <v>17</v>
      </c>
      <c r="E6899" s="5">
        <v>-31467</v>
      </c>
      <c r="F6899" s="3" t="s">
        <v>1464</v>
      </c>
      <c r="G6899" s="3" t="s">
        <v>19</v>
      </c>
      <c r="H6899" s="2" t="s">
        <v>20</v>
      </c>
      <c r="I6899" s="2" t="s">
        <v>14414</v>
      </c>
      <c r="J6899" s="3" t="str">
        <f>HYPERLINK("https://www.boe.es/gazeta/dias/1813/11/04/pdfs/GRE-1813-144.pdf#page=4","Abrir facsímil")</f>
        <v>Abrir facsímil</v>
      </c>
      <c r="K6899" s="3" t="s">
        <v>22</v>
      </c>
    </row>
    <row r="6900" spans="1:11" ht="42" customHeight="1">
      <c r="A6900" s="2" t="s">
        <v>14415</v>
      </c>
      <c r="B6900" s="2" t="s">
        <v>14416</v>
      </c>
      <c r="C6900" s="2" t="s">
        <v>25</v>
      </c>
      <c r="D6900" s="2" t="s">
        <v>26</v>
      </c>
      <c r="E6900" s="5">
        <v>-31752</v>
      </c>
      <c r="F6900" s="3" t="s">
        <v>182</v>
      </c>
      <c r="G6900" s="3" t="s">
        <v>183</v>
      </c>
      <c r="H6900" s="2" t="s">
        <v>20</v>
      </c>
      <c r="I6900" s="2" t="s">
        <v>14417</v>
      </c>
      <c r="J6900" s="3" t="str">
        <f>HYPERLINK("https://www.boe.es/gazeta/dias/1813/01/23/pdfs/GRE-1813-10.pdf#page=8","Abrir facsímil")</f>
        <v>Abrir facsímil</v>
      </c>
      <c r="K6900" s="3" t="s">
        <v>22</v>
      </c>
    </row>
    <row r="6901" spans="1:11" ht="42" customHeight="1">
      <c r="A6901" s="2" t="s">
        <v>14418</v>
      </c>
      <c r="B6901" s="2" t="s">
        <v>14419</v>
      </c>
      <c r="C6901" s="2" t="s">
        <v>16</v>
      </c>
      <c r="D6901" s="2" t="s">
        <v>17</v>
      </c>
      <c r="E6901" s="5">
        <v>-31467</v>
      </c>
      <c r="F6901" s="3" t="s">
        <v>1464</v>
      </c>
      <c r="G6901" s="3" t="s">
        <v>82</v>
      </c>
      <c r="H6901" s="2" t="s">
        <v>20</v>
      </c>
      <c r="I6901" s="2" t="s">
        <v>14420</v>
      </c>
      <c r="J6901" s="3" t="str">
        <f>HYPERLINK("https://www.boe.es/gazeta/dias/1813/11/04/pdfs/GRE-1813-144.pdf#page=5","Abrir facsímil")</f>
        <v>Abrir facsímil</v>
      </c>
      <c r="K6901" s="3" t="s">
        <v>22</v>
      </c>
    </row>
    <row r="6902" spans="1:11" ht="42" customHeight="1">
      <c r="A6902" s="2" t="s">
        <v>14421</v>
      </c>
      <c r="B6902" s="2" t="s">
        <v>14422</v>
      </c>
      <c r="C6902" s="2" t="s">
        <v>16</v>
      </c>
      <c r="D6902" s="2" t="s">
        <v>17</v>
      </c>
      <c r="E6902" s="5">
        <v>-31582</v>
      </c>
      <c r="F6902" s="3" t="s">
        <v>907</v>
      </c>
      <c r="G6902" s="3" t="s">
        <v>87</v>
      </c>
      <c r="H6902" s="2" t="s">
        <v>20</v>
      </c>
      <c r="I6902" s="2" t="s">
        <v>14423</v>
      </c>
      <c r="J6902" s="3" t="str">
        <f>HYPERLINK("https://www.boe.es/gazeta/dias/1813/07/12/pdfs/GRE-1813-87.pdf#page=7","Abrir facsímil")</f>
        <v>Abrir facsímil</v>
      </c>
      <c r="K6902" s="3" t="s">
        <v>22</v>
      </c>
    </row>
    <row r="6903" spans="1:11" ht="42" customHeight="1">
      <c r="A6903" s="2" t="s">
        <v>14424</v>
      </c>
      <c r="B6903" s="2" t="s">
        <v>14425</v>
      </c>
      <c r="C6903" s="2" t="s">
        <v>16</v>
      </c>
      <c r="D6903" s="2" t="s">
        <v>17</v>
      </c>
      <c r="E6903" s="5">
        <v>-31574</v>
      </c>
      <c r="F6903" s="3" t="s">
        <v>1343</v>
      </c>
      <c r="G6903" s="3" t="s">
        <v>178</v>
      </c>
      <c r="H6903" s="2" t="s">
        <v>20</v>
      </c>
      <c r="I6903" s="2" t="s">
        <v>14426</v>
      </c>
      <c r="J6903" s="3" t="str">
        <f>HYPERLINK("https://www.boe.es/gazeta/dias/1813/07/20/pdfs/GMR-1813-19.pdf#page=11","Abrir facsímil")</f>
        <v>Abrir facsímil</v>
      </c>
      <c r="K6903" s="3" t="s">
        <v>22</v>
      </c>
    </row>
    <row r="6904" spans="1:11" ht="42" customHeight="1">
      <c r="A6904" s="2" t="s">
        <v>14427</v>
      </c>
      <c r="B6904" s="2" t="s">
        <v>14428</v>
      </c>
      <c r="C6904" s="2" t="s">
        <v>34</v>
      </c>
      <c r="D6904" s="2" t="s">
        <v>35</v>
      </c>
      <c r="E6904" s="5">
        <v>-31747</v>
      </c>
      <c r="F6904" s="3" t="s">
        <v>86</v>
      </c>
      <c r="G6904" s="3" t="s">
        <v>28</v>
      </c>
      <c r="H6904" s="2" t="s">
        <v>29</v>
      </c>
      <c r="I6904" s="2" t="s">
        <v>14429</v>
      </c>
      <c r="J6904" s="3" t="str">
        <f>HYPERLINK("https://www.boe.es/gazeta/dias/1813/01/28/pdfs/GRE-1813-12.pdf#page=8","Abrir facsímil")</f>
        <v>Abrir facsímil</v>
      </c>
      <c r="K6904" s="3" t="s">
        <v>31</v>
      </c>
    </row>
    <row r="6905" spans="1:11" ht="42" customHeight="1">
      <c r="A6905" s="2" t="s">
        <v>14430</v>
      </c>
      <c r="B6905" s="2" t="s">
        <v>14431</v>
      </c>
      <c r="C6905" s="2" t="s">
        <v>25</v>
      </c>
      <c r="D6905" s="2" t="s">
        <v>26</v>
      </c>
      <c r="E6905" s="5">
        <v>-31752</v>
      </c>
      <c r="F6905" s="3" t="s">
        <v>182</v>
      </c>
      <c r="G6905" s="3" t="s">
        <v>183</v>
      </c>
      <c r="H6905" s="2" t="s">
        <v>20</v>
      </c>
      <c r="I6905" s="2" t="s">
        <v>14432</v>
      </c>
      <c r="J6905" s="3" t="str">
        <f>HYPERLINK("https://www.boe.es/gazeta/dias/1813/01/23/pdfs/GRE-1813-10.pdf#page=8","Abrir facsímil")</f>
        <v>Abrir facsímil</v>
      </c>
      <c r="K6905" s="3" t="s">
        <v>22</v>
      </c>
    </row>
    <row r="6906" spans="1:11" ht="42" customHeight="1">
      <c r="A6906" s="2" t="s">
        <v>14433</v>
      </c>
      <c r="B6906" s="2" t="s">
        <v>14434</v>
      </c>
      <c r="C6906" s="2" t="s">
        <v>25</v>
      </c>
      <c r="D6906" s="2" t="s">
        <v>26</v>
      </c>
      <c r="E6906" s="5">
        <v>-31500</v>
      </c>
      <c r="F6906" s="3" t="s">
        <v>938</v>
      </c>
      <c r="G6906" s="3" t="s">
        <v>28</v>
      </c>
      <c r="H6906" s="2" t="s">
        <v>20</v>
      </c>
      <c r="I6906" s="2" t="s">
        <v>14435</v>
      </c>
      <c r="J6906" s="3" t="str">
        <f>HYPERLINK("https://www.boe.es/gazeta/dias/1813/10/02/pdfs/GMR-1813-52.pdf#page=8","Abrir facsímil")</f>
        <v>Abrir facsímil</v>
      </c>
      <c r="K6906" s="3" t="s">
        <v>22</v>
      </c>
    </row>
    <row r="6907" spans="1:11" ht="42" customHeight="1">
      <c r="A6907" s="2" t="s">
        <v>14436</v>
      </c>
      <c r="B6907" s="2" t="s">
        <v>14437</v>
      </c>
      <c r="C6907" s="2" t="s">
        <v>187</v>
      </c>
      <c r="D6907" s="2" t="s">
        <v>26</v>
      </c>
      <c r="E6907" s="5">
        <v>-31689</v>
      </c>
      <c r="F6907" s="3" t="s">
        <v>48</v>
      </c>
      <c r="G6907" s="3" t="s">
        <v>162</v>
      </c>
      <c r="H6907" s="2" t="s">
        <v>20</v>
      </c>
      <c r="I6907" s="2" t="s">
        <v>14438</v>
      </c>
      <c r="J6907" s="3" t="str">
        <f>HYPERLINK("https://www.boe.es/gazeta/dias/1813/03/27/pdfs/GRE-1813-38.pdf#page=8","Abrir facsímil")</f>
        <v>Abrir facsímil</v>
      </c>
      <c r="K6907" s="3" t="s">
        <v>22</v>
      </c>
    </row>
    <row r="6908" spans="1:11" ht="42" customHeight="1">
      <c r="A6908" s="2" t="s">
        <v>14439</v>
      </c>
      <c r="B6908" s="2" t="s">
        <v>14440</v>
      </c>
      <c r="C6908" s="2" t="s">
        <v>25</v>
      </c>
      <c r="D6908" s="2" t="s">
        <v>26</v>
      </c>
      <c r="E6908" s="5">
        <v>-31677</v>
      </c>
      <c r="F6908" s="3" t="s">
        <v>76</v>
      </c>
      <c r="G6908" s="3" t="s">
        <v>77</v>
      </c>
      <c r="H6908" s="2" t="s">
        <v>20</v>
      </c>
      <c r="I6908" s="2" t="s">
        <v>14441</v>
      </c>
      <c r="J6908" s="3" t="str">
        <f>HYPERLINK("https://www.boe.es/gazeta/dias/1813/04/08/pdfs/GRE-1813-43.pdf#page=7","Abrir facsímil")</f>
        <v>Abrir facsímil</v>
      </c>
      <c r="K6908" s="3" t="s">
        <v>22</v>
      </c>
    </row>
    <row r="6909" spans="1:11" ht="42" customHeight="1">
      <c r="A6909" s="2" t="s">
        <v>14442</v>
      </c>
      <c r="B6909" s="2" t="s">
        <v>14442</v>
      </c>
      <c r="C6909" s="2" t="s">
        <v>16</v>
      </c>
      <c r="D6909" s="2" t="s">
        <v>17</v>
      </c>
      <c r="E6909" s="5">
        <v>-31613</v>
      </c>
      <c r="F6909" s="3" t="s">
        <v>1629</v>
      </c>
      <c r="G6909" s="3" t="s">
        <v>258</v>
      </c>
      <c r="H6909" s="2" t="s">
        <v>20</v>
      </c>
      <c r="I6909" s="2" t="s">
        <v>14443</v>
      </c>
      <c r="J6909" s="3" t="str">
        <f>HYPERLINK("https://www.boe.es/gazeta/dias/1813/06/11/pdfs/GMR-1813-4.pdf#page=12","Abrir facsímil")</f>
        <v>Abrir facsímil</v>
      </c>
      <c r="K6909" s="3" t="s">
        <v>22</v>
      </c>
    </row>
    <row r="6910" spans="1:11" ht="42" customHeight="1">
      <c r="A6910" s="2" t="s">
        <v>14444</v>
      </c>
      <c r="B6910" s="2" t="s">
        <v>14444</v>
      </c>
      <c r="C6910" s="2" t="s">
        <v>16</v>
      </c>
      <c r="D6910" s="2" t="s">
        <v>17</v>
      </c>
      <c r="E6910" s="5">
        <v>-31518</v>
      </c>
      <c r="F6910" s="3" t="s">
        <v>155</v>
      </c>
      <c r="G6910" s="3" t="s">
        <v>54</v>
      </c>
      <c r="H6910" s="2" t="s">
        <v>20</v>
      </c>
      <c r="I6910" s="2" t="s">
        <v>14445</v>
      </c>
      <c r="J6910" s="3" t="str">
        <f>HYPERLINK("https://www.boe.es/gazeta/dias/1813/09/14/pdfs/GRE-1813-119.pdf#page=3","Abrir facsímil")</f>
        <v>Abrir facsímil</v>
      </c>
      <c r="K6910" s="3" t="s">
        <v>22</v>
      </c>
    </row>
    <row r="6911" spans="1:11" ht="42" customHeight="1">
      <c r="A6911" s="2" t="s">
        <v>14446</v>
      </c>
      <c r="B6911" s="2" t="s">
        <v>14447</v>
      </c>
      <c r="C6911" s="2" t="s">
        <v>25</v>
      </c>
      <c r="D6911" s="2" t="s">
        <v>26</v>
      </c>
      <c r="E6911" s="5">
        <v>-31677</v>
      </c>
      <c r="F6911" s="3" t="s">
        <v>76</v>
      </c>
      <c r="G6911" s="3" t="s">
        <v>28</v>
      </c>
      <c r="H6911" s="2" t="s">
        <v>20</v>
      </c>
      <c r="I6911" s="2" t="s">
        <v>14448</v>
      </c>
      <c r="J6911" s="3" t="str">
        <f>HYPERLINK("https://www.boe.es/gazeta/dias/1813/04/08/pdfs/GRE-1813-43.pdf#page=8","Abrir facsímil")</f>
        <v>Abrir facsímil</v>
      </c>
      <c r="K6911" s="3" t="s">
        <v>22</v>
      </c>
    </row>
    <row r="6912" spans="1:11" ht="42" customHeight="1">
      <c r="A6912" s="2" t="s">
        <v>14449</v>
      </c>
      <c r="B6912" s="2" t="s">
        <v>14450</v>
      </c>
      <c r="C6912" s="2" t="s">
        <v>25</v>
      </c>
      <c r="D6912" s="2" t="s">
        <v>26</v>
      </c>
      <c r="E6912" s="5">
        <v>-31677</v>
      </c>
      <c r="F6912" s="3" t="s">
        <v>76</v>
      </c>
      <c r="G6912" s="3" t="s">
        <v>28</v>
      </c>
      <c r="H6912" s="2" t="s">
        <v>20</v>
      </c>
      <c r="I6912" s="2" t="s">
        <v>14451</v>
      </c>
      <c r="J6912" s="3" t="str">
        <f>HYPERLINK("https://www.boe.es/gazeta/dias/1813/04/08/pdfs/GRE-1813-43.pdf#page=8","Abrir facsímil")</f>
        <v>Abrir facsímil</v>
      </c>
      <c r="K6912" s="3" t="s">
        <v>22</v>
      </c>
    </row>
    <row r="6913" spans="1:11" ht="42" customHeight="1">
      <c r="A6913" s="2" t="s">
        <v>14452</v>
      </c>
      <c r="B6913" s="2" t="s">
        <v>14452</v>
      </c>
      <c r="C6913" s="2" t="s">
        <v>16</v>
      </c>
      <c r="D6913" s="2" t="s">
        <v>17</v>
      </c>
      <c r="E6913" s="5">
        <v>-31560</v>
      </c>
      <c r="F6913" s="3" t="s">
        <v>590</v>
      </c>
      <c r="G6913" s="3" t="s">
        <v>19</v>
      </c>
      <c r="H6913" s="2" t="s">
        <v>20</v>
      </c>
      <c r="I6913" s="2" t="s">
        <v>14453</v>
      </c>
      <c r="J6913" s="3" t="str">
        <f>HYPERLINK("https://www.boe.es/gazeta/dias/1813/08/03/pdfs/GRE-1813-98.pdf#page=4","Abrir facsímil")</f>
        <v>Abrir facsímil</v>
      </c>
      <c r="K6913" s="3" t="s">
        <v>22</v>
      </c>
    </row>
    <row r="6914" spans="1:11" ht="42" customHeight="1">
      <c r="A6914" s="2" t="s">
        <v>14454</v>
      </c>
      <c r="B6914" s="2" t="s">
        <v>14455</v>
      </c>
      <c r="C6914" s="2" t="s">
        <v>16</v>
      </c>
      <c r="D6914" s="2" t="s">
        <v>17</v>
      </c>
      <c r="E6914" s="5">
        <v>-31691</v>
      </c>
      <c r="F6914" s="3" t="s">
        <v>1542</v>
      </c>
      <c r="G6914" s="3" t="s">
        <v>2110</v>
      </c>
      <c r="H6914" s="2" t="s">
        <v>20</v>
      </c>
      <c r="I6914" s="2" t="s">
        <v>14456</v>
      </c>
      <c r="J6914" s="3" t="str">
        <f>HYPERLINK("https://www.boe.es/gazeta/dias/1813/03/25/pdfs/GRE-1813-37.pdf#page=4","Abrir facsímil")</f>
        <v>Abrir facsímil</v>
      </c>
      <c r="K6914" s="3" t="s">
        <v>22</v>
      </c>
    </row>
    <row r="6915" spans="1:11" ht="42" customHeight="1">
      <c r="A6915" s="2" t="s">
        <v>14457</v>
      </c>
      <c r="B6915" s="2" t="s">
        <v>14457</v>
      </c>
      <c r="C6915" s="2" t="s">
        <v>16</v>
      </c>
      <c r="D6915" s="2" t="s">
        <v>17</v>
      </c>
      <c r="E6915" s="5">
        <v>-31551</v>
      </c>
      <c r="F6915" s="3" t="s">
        <v>954</v>
      </c>
      <c r="G6915" s="3" t="s">
        <v>82</v>
      </c>
      <c r="H6915" s="2" t="s">
        <v>20</v>
      </c>
      <c r="I6915" s="2" t="s">
        <v>14458</v>
      </c>
      <c r="J6915" s="3" t="str">
        <f>HYPERLINK("https://www.boe.es/gazeta/dias/1813/08/12/pdfs/GMR-1813-27.pdf#page=5","Abrir facsímil")</f>
        <v>Abrir facsímil</v>
      </c>
      <c r="K6915" s="3" t="s">
        <v>22</v>
      </c>
    </row>
    <row r="6916" spans="1:11" ht="42" customHeight="1">
      <c r="A6916" s="2" t="s">
        <v>14459</v>
      </c>
      <c r="B6916" s="2" t="s">
        <v>14459</v>
      </c>
      <c r="C6916" s="2" t="s">
        <v>16</v>
      </c>
      <c r="D6916" s="2" t="s">
        <v>17</v>
      </c>
      <c r="E6916" s="5">
        <v>-31532</v>
      </c>
      <c r="F6916" s="3" t="s">
        <v>215</v>
      </c>
      <c r="G6916" s="3" t="s">
        <v>87</v>
      </c>
      <c r="H6916" s="2" t="s">
        <v>20</v>
      </c>
      <c r="I6916" s="2" t="s">
        <v>14460</v>
      </c>
      <c r="J6916" s="3" t="str">
        <f>HYPERLINK("https://www.boe.es/gazeta/dias/1813/08/31/pdfs/GRE-1813-111.pdf#page=7","Abrir facsímil")</f>
        <v>Abrir facsímil</v>
      </c>
      <c r="K6916" s="3" t="s">
        <v>22</v>
      </c>
    </row>
    <row r="6917" spans="1:11" ht="42" customHeight="1">
      <c r="A6917" s="2" t="s">
        <v>14459</v>
      </c>
      <c r="B6917" s="2" t="s">
        <v>14459</v>
      </c>
      <c r="C6917" s="2" t="s">
        <v>16</v>
      </c>
      <c r="D6917" s="2" t="s">
        <v>17</v>
      </c>
      <c r="E6917" s="5">
        <v>-31518</v>
      </c>
      <c r="F6917" s="3" t="s">
        <v>155</v>
      </c>
      <c r="G6917" s="3" t="s">
        <v>19</v>
      </c>
      <c r="H6917" s="2" t="s">
        <v>20</v>
      </c>
      <c r="I6917" s="2" t="s">
        <v>14461</v>
      </c>
      <c r="J6917" s="3" t="str">
        <f>HYPERLINK("https://www.boe.es/gazeta/dias/1813/09/14/pdfs/GRE-1813-119.pdf#page=4","Abrir facsímil")</f>
        <v>Abrir facsímil</v>
      </c>
      <c r="K6917" s="3" t="s">
        <v>22</v>
      </c>
    </row>
    <row r="6918" spans="1:11" ht="42" customHeight="1">
      <c r="A6918" s="2" t="s">
        <v>14459</v>
      </c>
      <c r="B6918" s="2" t="s">
        <v>14459</v>
      </c>
      <c r="C6918" s="2" t="s">
        <v>16</v>
      </c>
      <c r="D6918" s="2" t="s">
        <v>17</v>
      </c>
      <c r="E6918" s="5">
        <v>-31500</v>
      </c>
      <c r="F6918" s="3" t="s">
        <v>5349</v>
      </c>
      <c r="G6918" s="3" t="s">
        <v>58</v>
      </c>
      <c r="H6918" s="2" t="s">
        <v>20</v>
      </c>
      <c r="I6918" s="2" t="s">
        <v>14462</v>
      </c>
      <c r="J6918" s="3" t="str">
        <f>HYPERLINK("https://www.boe.es/gazeta/dias/1813/10/02/pdfs/GRE-1813-129.pdf#page=2","Abrir facsímil")</f>
        <v>Abrir facsímil</v>
      </c>
      <c r="K6918" s="3" t="s">
        <v>22</v>
      </c>
    </row>
    <row r="6919" spans="1:11" ht="42" customHeight="1">
      <c r="A6919" s="2" t="s">
        <v>14463</v>
      </c>
      <c r="B6919" s="2" t="s">
        <v>14464</v>
      </c>
      <c r="C6919" s="2" t="s">
        <v>16</v>
      </c>
      <c r="D6919" s="2" t="s">
        <v>17</v>
      </c>
      <c r="E6919" s="5">
        <v>-31530</v>
      </c>
      <c r="F6919" s="3" t="s">
        <v>133</v>
      </c>
      <c r="G6919" s="3" t="s">
        <v>95</v>
      </c>
      <c r="H6919" s="2" t="s">
        <v>20</v>
      </c>
      <c r="I6919" s="2" t="s">
        <v>14465</v>
      </c>
      <c r="J6919" s="3" t="str">
        <f>HYPERLINK("https://www.boe.es/gazeta/dias/1813/09/02/pdfs/GMR-1813-36.pdf#page=6","Abrir facsímil")</f>
        <v>Abrir facsímil</v>
      </c>
      <c r="K6919" s="3" t="s">
        <v>22</v>
      </c>
    </row>
    <row r="6920" spans="1:11" ht="42" customHeight="1">
      <c r="A6920" s="2" t="s">
        <v>14463</v>
      </c>
      <c r="B6920" s="2" t="s">
        <v>14464</v>
      </c>
      <c r="C6920" s="2" t="s">
        <v>16</v>
      </c>
      <c r="D6920" s="2" t="s">
        <v>17</v>
      </c>
      <c r="E6920" s="5">
        <v>-31518</v>
      </c>
      <c r="F6920" s="3" t="s">
        <v>155</v>
      </c>
      <c r="G6920" s="3" t="s">
        <v>54</v>
      </c>
      <c r="H6920" s="2" t="s">
        <v>20</v>
      </c>
      <c r="I6920" s="2" t="s">
        <v>14466</v>
      </c>
      <c r="J6920" s="3" t="str">
        <f>HYPERLINK("https://www.boe.es/gazeta/dias/1813/09/14/pdfs/GRE-1813-119.pdf#page=3","Abrir facsímil")</f>
        <v>Abrir facsímil</v>
      </c>
      <c r="K6920" s="3" t="s">
        <v>22</v>
      </c>
    </row>
    <row r="6921" spans="1:11" ht="42" customHeight="1">
      <c r="A6921" s="2" t="s">
        <v>14463</v>
      </c>
      <c r="B6921" s="2" t="s">
        <v>14464</v>
      </c>
      <c r="C6921" s="2" t="s">
        <v>435</v>
      </c>
      <c r="D6921" s="2" t="s">
        <v>26</v>
      </c>
      <c r="E6921" s="5">
        <v>-31502</v>
      </c>
      <c r="F6921" s="3" t="s">
        <v>257</v>
      </c>
      <c r="G6921" s="3" t="s">
        <v>207</v>
      </c>
      <c r="H6921" s="2" t="s">
        <v>20</v>
      </c>
      <c r="I6921" s="2" t="s">
        <v>14467</v>
      </c>
      <c r="J6921" s="3" t="str">
        <f>HYPERLINK("https://www.boe.es/gazeta/dias/1813/09/30/pdfs/GMR-1813-51.pdf#page=10","Abrir facsímil")</f>
        <v>Abrir facsímil</v>
      </c>
      <c r="K6921" s="3" t="s">
        <v>22</v>
      </c>
    </row>
    <row r="6922" spans="1:11" ht="42" customHeight="1">
      <c r="A6922" s="2" t="s">
        <v>14463</v>
      </c>
      <c r="B6922" s="2" t="s">
        <v>14464</v>
      </c>
      <c r="C6922" s="2" t="s">
        <v>16</v>
      </c>
      <c r="D6922" s="2" t="s">
        <v>17</v>
      </c>
      <c r="E6922" s="5">
        <v>-31493</v>
      </c>
      <c r="F6922" s="3" t="s">
        <v>1996</v>
      </c>
      <c r="G6922" s="3" t="s">
        <v>87</v>
      </c>
      <c r="H6922" s="2" t="s">
        <v>20</v>
      </c>
      <c r="I6922" s="2" t="s">
        <v>14468</v>
      </c>
      <c r="J6922" s="3" t="str">
        <f>HYPERLINK("https://www.boe.es/gazeta/dias/1813/10/09/pdfs/GRE-1813-132.pdf#page=7","Abrir facsímil")</f>
        <v>Abrir facsímil</v>
      </c>
      <c r="K6922" s="3" t="s">
        <v>22</v>
      </c>
    </row>
    <row r="6923" spans="1:11" ht="42" customHeight="1">
      <c r="A6923" s="2" t="s">
        <v>14469</v>
      </c>
      <c r="B6923" s="2" t="s">
        <v>14470</v>
      </c>
      <c r="C6923" s="2" t="s">
        <v>16</v>
      </c>
      <c r="D6923" s="2" t="s">
        <v>17</v>
      </c>
      <c r="E6923" s="5">
        <v>-31476</v>
      </c>
      <c r="F6923" s="3" t="s">
        <v>229</v>
      </c>
      <c r="G6923" s="3" t="s">
        <v>28</v>
      </c>
      <c r="H6923" s="2" t="s">
        <v>20</v>
      </c>
      <c r="I6923" s="2" t="s">
        <v>14471</v>
      </c>
      <c r="J6923" s="3" t="str">
        <f>HYPERLINK("https://www.boe.es/gazeta/dias/1813/10/26/pdfs/GRE-1813-140.pdf#page=8","Abrir facsímil")</f>
        <v>Abrir facsímil</v>
      </c>
      <c r="K6923" s="3" t="s">
        <v>22</v>
      </c>
    </row>
    <row r="6924" spans="1:11" ht="42" customHeight="1">
      <c r="A6924" s="2" t="s">
        <v>14472</v>
      </c>
      <c r="B6924" s="2" t="s">
        <v>14473</v>
      </c>
      <c r="C6924" s="2" t="s">
        <v>34</v>
      </c>
      <c r="D6924" s="2" t="s">
        <v>35</v>
      </c>
      <c r="E6924" s="5">
        <v>-31709</v>
      </c>
      <c r="F6924" s="3" t="s">
        <v>36</v>
      </c>
      <c r="G6924" s="3" t="s">
        <v>303</v>
      </c>
      <c r="H6924" s="2" t="s">
        <v>20</v>
      </c>
      <c r="I6924" s="2" t="s">
        <v>14474</v>
      </c>
      <c r="J6924" s="3" t="str">
        <f>HYPERLINK("https://www.boe.es/gazeta/dias/1813/03/07/pdfs/GMD-1813-66.pdf#page=3","Abrir facsímil")</f>
        <v>Abrir facsímil</v>
      </c>
      <c r="K6924" s="3" t="s">
        <v>22</v>
      </c>
    </row>
    <row r="6925" spans="1:11" ht="42" customHeight="1">
      <c r="A6925" s="2" t="s">
        <v>14475</v>
      </c>
      <c r="B6925" s="2" t="s">
        <v>14476</v>
      </c>
      <c r="C6925" s="2" t="s">
        <v>16</v>
      </c>
      <c r="D6925" s="2" t="s">
        <v>17</v>
      </c>
      <c r="E6925" s="5">
        <v>-31663</v>
      </c>
      <c r="F6925" s="3" t="s">
        <v>2638</v>
      </c>
      <c r="G6925" s="3" t="s">
        <v>7597</v>
      </c>
      <c r="H6925" s="2" t="s">
        <v>20</v>
      </c>
      <c r="I6925" s="2" t="s">
        <v>14477</v>
      </c>
      <c r="J6925" s="3" t="str">
        <f>HYPERLINK("https://www.boe.es/gazeta/dias/1813/04/22/pdfs/GRE-1813-50.pdf#page=8","Abrir facsímil")</f>
        <v>Abrir facsímil</v>
      </c>
      <c r="K6925" s="3" t="s">
        <v>22</v>
      </c>
    </row>
    <row r="6926" spans="1:11" ht="42" customHeight="1">
      <c r="A6926" s="2" t="s">
        <v>14478</v>
      </c>
      <c r="B6926" s="2" t="s">
        <v>14479</v>
      </c>
      <c r="C6926" s="2" t="s">
        <v>25</v>
      </c>
      <c r="D6926" s="2" t="s">
        <v>26</v>
      </c>
      <c r="E6926" s="5">
        <v>-31745</v>
      </c>
      <c r="F6926" s="3" t="s">
        <v>445</v>
      </c>
      <c r="G6926" s="3" t="s">
        <v>28</v>
      </c>
      <c r="H6926" s="2" t="s">
        <v>20</v>
      </c>
      <c r="I6926" s="2" t="s">
        <v>14480</v>
      </c>
      <c r="J6926" s="3" t="str">
        <f>HYPERLINK("https://www.boe.es/gazeta/dias/1813/01/30/pdfs/GRE-1813-13.pdf#page=8","Abrir facsímil")</f>
        <v>Abrir facsímil</v>
      </c>
      <c r="K6926" s="3" t="s">
        <v>22</v>
      </c>
    </row>
    <row r="6927" spans="1:11" ht="42" customHeight="1">
      <c r="A6927" s="2" t="s">
        <v>14481</v>
      </c>
      <c r="B6927" s="2" t="s">
        <v>14482</v>
      </c>
      <c r="C6927" s="2" t="s">
        <v>187</v>
      </c>
      <c r="D6927" s="2" t="s">
        <v>26</v>
      </c>
      <c r="E6927" s="5">
        <v>-31472</v>
      </c>
      <c r="F6927" s="3" t="s">
        <v>143</v>
      </c>
      <c r="G6927" s="3" t="s">
        <v>940</v>
      </c>
      <c r="H6927" s="2" t="s">
        <v>20</v>
      </c>
      <c r="I6927" s="2" t="s">
        <v>14483</v>
      </c>
      <c r="J6927" s="3" t="str">
        <f>HYPERLINK("https://www.boe.es/gazeta/dias/1813/10/30/pdfs/GMR-1813-66.pdf#page=8","Abrir facsímil")</f>
        <v>Abrir facsímil</v>
      </c>
      <c r="K6927" s="3" t="s">
        <v>22</v>
      </c>
    </row>
    <row r="6928" spans="1:11" ht="42" customHeight="1">
      <c r="A6928" s="2" t="s">
        <v>14484</v>
      </c>
      <c r="B6928" s="2" t="s">
        <v>14484</v>
      </c>
      <c r="C6928" s="2" t="s">
        <v>25</v>
      </c>
      <c r="D6928" s="2" t="s">
        <v>26</v>
      </c>
      <c r="E6928" s="5">
        <v>-31722</v>
      </c>
      <c r="F6928" s="3" t="s">
        <v>3675</v>
      </c>
      <c r="G6928" s="3" t="s">
        <v>54</v>
      </c>
      <c r="H6928" s="2" t="s">
        <v>20</v>
      </c>
      <c r="I6928" s="2" t="s">
        <v>14485</v>
      </c>
      <c r="J6928" s="3" t="str">
        <f>HYPERLINK("https://www.boe.es/gazeta/dias/1813/02/22/pdfs/GMD-1813-53.pdf#page=3","Abrir facsímil")</f>
        <v>Abrir facsímil</v>
      </c>
      <c r="K6928" s="3" t="s">
        <v>22</v>
      </c>
    </row>
    <row r="6929" spans="1:11" ht="42" customHeight="1">
      <c r="A6929" s="2" t="s">
        <v>14486</v>
      </c>
      <c r="B6929" s="2" t="s">
        <v>14486</v>
      </c>
      <c r="C6929" s="2" t="s">
        <v>16</v>
      </c>
      <c r="D6929" s="2" t="s">
        <v>17</v>
      </c>
      <c r="E6929" s="5">
        <v>-31696</v>
      </c>
      <c r="F6929" s="3" t="s">
        <v>520</v>
      </c>
      <c r="G6929" s="3" t="s">
        <v>14487</v>
      </c>
      <c r="H6929" s="2" t="s">
        <v>20</v>
      </c>
      <c r="I6929" s="2" t="s">
        <v>14488</v>
      </c>
      <c r="J6929" s="3" t="str">
        <f>HYPERLINK("https://www.boe.es/gazeta/dias/1813/03/20/pdfs/GRE-1813-35.pdf#page=5","Abrir facsímil")</f>
        <v>Abrir facsímil</v>
      </c>
      <c r="K6929" s="3" t="s">
        <v>22</v>
      </c>
    </row>
    <row r="6930" spans="1:11" ht="42" customHeight="1">
      <c r="A6930" s="2" t="s">
        <v>14489</v>
      </c>
      <c r="B6930" s="2" t="s">
        <v>14489</v>
      </c>
      <c r="C6930" s="2" t="s">
        <v>34</v>
      </c>
      <c r="D6930" s="2" t="s">
        <v>35</v>
      </c>
      <c r="E6930" s="5">
        <v>-31708</v>
      </c>
      <c r="F6930" s="3" t="s">
        <v>166</v>
      </c>
      <c r="G6930" s="3" t="s">
        <v>65</v>
      </c>
      <c r="H6930" s="2" t="s">
        <v>20</v>
      </c>
      <c r="I6930" s="2" t="s">
        <v>14490</v>
      </c>
      <c r="J6930" s="3" t="str">
        <f>HYPERLINK("https://www.boe.es/gazeta/dias/1813/03/08/pdfs/GMD-1813-67.pdf#page=1","Abrir facsímil")</f>
        <v>Abrir facsímil</v>
      </c>
      <c r="K6930" s="3" t="s">
        <v>22</v>
      </c>
    </row>
    <row r="6931" spans="1:11" ht="42" customHeight="1">
      <c r="A6931" s="2" t="s">
        <v>14491</v>
      </c>
      <c r="B6931" s="2" t="s">
        <v>14491</v>
      </c>
      <c r="C6931" s="2" t="s">
        <v>16</v>
      </c>
      <c r="D6931" s="2" t="s">
        <v>17</v>
      </c>
      <c r="E6931" s="5">
        <v>-31581</v>
      </c>
      <c r="F6931" s="3" t="s">
        <v>1321</v>
      </c>
      <c r="G6931" s="3" t="s">
        <v>28</v>
      </c>
      <c r="H6931" s="2" t="s">
        <v>20</v>
      </c>
      <c r="I6931" s="2" t="s">
        <v>14492</v>
      </c>
      <c r="J6931" s="3" t="str">
        <f>HYPERLINK("https://www.boe.es/gazeta/dias/1813/07/13/pdfs/GMR-1813-17.pdf#page=8","Abrir facsímil")</f>
        <v>Abrir facsímil</v>
      </c>
      <c r="K6931" s="3" t="s">
        <v>22</v>
      </c>
    </row>
    <row r="6932" spans="1:11" ht="42" customHeight="1">
      <c r="A6932" s="2" t="s">
        <v>14493</v>
      </c>
      <c r="B6932" s="2" t="s">
        <v>14493</v>
      </c>
      <c r="C6932" s="2" t="s">
        <v>16</v>
      </c>
      <c r="D6932" s="2" t="s">
        <v>17</v>
      </c>
      <c r="E6932" s="5">
        <v>-31581</v>
      </c>
      <c r="F6932" s="3" t="s">
        <v>1321</v>
      </c>
      <c r="G6932" s="3" t="s">
        <v>82</v>
      </c>
      <c r="H6932" s="2" t="s">
        <v>20</v>
      </c>
      <c r="I6932" s="2" t="s">
        <v>14494</v>
      </c>
      <c r="J6932" s="3" t="str">
        <f>HYPERLINK("https://www.boe.es/gazeta/dias/1813/07/13/pdfs/GMR-1813-17.pdf#page=5","Abrir facsímil")</f>
        <v>Abrir facsímil</v>
      </c>
      <c r="K6932" s="3" t="s">
        <v>22</v>
      </c>
    </row>
    <row r="6933" spans="1:11" ht="42" customHeight="1">
      <c r="A6933" s="2" t="s">
        <v>14495</v>
      </c>
      <c r="B6933" s="2" t="s">
        <v>14495</v>
      </c>
      <c r="C6933" s="2" t="s">
        <v>16</v>
      </c>
      <c r="D6933" s="2" t="s">
        <v>17</v>
      </c>
      <c r="E6933" s="5">
        <v>-31616</v>
      </c>
      <c r="F6933" s="3" t="s">
        <v>545</v>
      </c>
      <c r="G6933" s="3" t="s">
        <v>82</v>
      </c>
      <c r="H6933" s="2" t="s">
        <v>20</v>
      </c>
      <c r="I6933" s="2" t="s">
        <v>14496</v>
      </c>
      <c r="J6933" s="3" t="str">
        <f>HYPERLINK("https://www.boe.es/gazeta/dias/1813/06/08/pdfs/GRE-1813-71.pdf#page=5","Abrir facsímil")</f>
        <v>Abrir facsímil</v>
      </c>
      <c r="K6933" s="3" t="s">
        <v>22</v>
      </c>
    </row>
    <row r="6934" spans="1:11" ht="42" customHeight="1">
      <c r="A6934" s="2" t="s">
        <v>14497</v>
      </c>
      <c r="B6934" s="2" t="s">
        <v>14497</v>
      </c>
      <c r="C6934" s="2" t="s">
        <v>25</v>
      </c>
      <c r="D6934" s="2" t="s">
        <v>26</v>
      </c>
      <c r="E6934" s="5">
        <v>-31593</v>
      </c>
      <c r="F6934" s="3" t="s">
        <v>5942</v>
      </c>
      <c r="G6934" s="3" t="s">
        <v>65</v>
      </c>
      <c r="H6934" s="2" t="s">
        <v>20</v>
      </c>
      <c r="I6934" s="2" t="s">
        <v>14498</v>
      </c>
      <c r="J6934" s="3" t="str">
        <f>HYPERLINK("https://www.boe.es/gazeta/dias/1813/07/01/pdfs/GRE-1813-81.pdf#page=1","Abrir facsímil")</f>
        <v>Abrir facsímil</v>
      </c>
      <c r="K6934" s="3" t="s">
        <v>22</v>
      </c>
    </row>
    <row r="6935" spans="1:11" ht="42" customHeight="1">
      <c r="A6935" s="2" t="s">
        <v>14499</v>
      </c>
      <c r="B6935" s="2" t="s">
        <v>14499</v>
      </c>
      <c r="C6935" s="2" t="s">
        <v>16</v>
      </c>
      <c r="D6935" s="2" t="s">
        <v>17</v>
      </c>
      <c r="E6935" s="5">
        <v>-31696</v>
      </c>
      <c r="F6935" s="3" t="s">
        <v>520</v>
      </c>
      <c r="G6935" s="3" t="s">
        <v>14487</v>
      </c>
      <c r="H6935" s="2" t="s">
        <v>20</v>
      </c>
      <c r="I6935" s="2" t="s">
        <v>14500</v>
      </c>
      <c r="J6935" s="3" t="str">
        <f>HYPERLINK("https://www.boe.es/gazeta/dias/1813/03/20/pdfs/GRE-1813-35.pdf#page=5","Abrir facsímil")</f>
        <v>Abrir facsímil</v>
      </c>
      <c r="K6935" s="3" t="s">
        <v>22</v>
      </c>
    </row>
    <row r="6936" spans="1:11" ht="42" customHeight="1">
      <c r="A6936" s="2" t="s">
        <v>14501</v>
      </c>
      <c r="B6936" s="2" t="s">
        <v>14501</v>
      </c>
      <c r="C6936" s="2" t="s">
        <v>16</v>
      </c>
      <c r="D6936" s="2" t="s">
        <v>17</v>
      </c>
      <c r="E6936" s="5">
        <v>-31705</v>
      </c>
      <c r="F6936" s="3" t="s">
        <v>4455</v>
      </c>
      <c r="G6936" s="3" t="s">
        <v>65</v>
      </c>
      <c r="H6936" s="2" t="s">
        <v>20</v>
      </c>
      <c r="I6936" s="2" t="s">
        <v>14502</v>
      </c>
      <c r="J6936" s="3" t="str">
        <f>HYPERLINK("https://www.boe.es/gazeta/dias/1813/03/11/pdfs/GMD-1813-70.pdf#page=1","Abrir facsímil")</f>
        <v>Abrir facsímil</v>
      </c>
      <c r="K6936" s="3" t="s">
        <v>22</v>
      </c>
    </row>
    <row r="6937" spans="1:11" ht="42" customHeight="1">
      <c r="A6937" s="2" t="s">
        <v>14501</v>
      </c>
      <c r="B6937" s="2" t="s">
        <v>14501</v>
      </c>
      <c r="C6937" s="2" t="s">
        <v>16</v>
      </c>
      <c r="D6937" s="2" t="s">
        <v>17</v>
      </c>
      <c r="E6937" s="5">
        <v>-31448</v>
      </c>
      <c r="F6937" s="3" t="s">
        <v>57</v>
      </c>
      <c r="G6937" s="3" t="s">
        <v>106</v>
      </c>
      <c r="H6937" s="2" t="s">
        <v>20</v>
      </c>
      <c r="I6937" s="2" t="s">
        <v>14503</v>
      </c>
      <c r="J6937" s="3" t="str">
        <f>HYPERLINK("https://www.boe.es/gazeta/dias/1813/11/23/pdfs/GRE-1813-153.pdf#page=1","Abrir facsímil")</f>
        <v>Abrir facsímil</v>
      </c>
      <c r="K6937" s="3" t="s">
        <v>22</v>
      </c>
    </row>
    <row r="6938" spans="1:11" ht="42" customHeight="1">
      <c r="A6938" s="2" t="s">
        <v>14504</v>
      </c>
      <c r="B6938" s="2" t="s">
        <v>14504</v>
      </c>
      <c r="C6938" s="2" t="s">
        <v>16</v>
      </c>
      <c r="D6938" s="2" t="s">
        <v>17</v>
      </c>
      <c r="E6938" s="5">
        <v>-31693</v>
      </c>
      <c r="F6938" s="3" t="s">
        <v>3950</v>
      </c>
      <c r="G6938" s="3" t="s">
        <v>58</v>
      </c>
      <c r="H6938" s="2" t="s">
        <v>20</v>
      </c>
      <c r="I6938" s="2" t="s">
        <v>14505</v>
      </c>
      <c r="J6938" s="3" t="str">
        <f>HYPERLINK("https://www.boe.es/gazeta/dias/1813/03/23/pdfs/GRE-1813-36.pdf#page=2","Abrir facsímil")</f>
        <v>Abrir facsímil</v>
      </c>
      <c r="K6938" s="3" t="s">
        <v>22</v>
      </c>
    </row>
    <row r="6939" spans="1:11" ht="42" customHeight="1">
      <c r="A6939" s="2" t="s">
        <v>14506</v>
      </c>
      <c r="B6939" s="2" t="s">
        <v>14506</v>
      </c>
      <c r="C6939" s="2" t="s">
        <v>16</v>
      </c>
      <c r="D6939" s="2" t="s">
        <v>17</v>
      </c>
      <c r="E6939" s="5">
        <v>-31728</v>
      </c>
      <c r="F6939" s="3" t="s">
        <v>1434</v>
      </c>
      <c r="G6939" s="3" t="s">
        <v>58</v>
      </c>
      <c r="H6939" s="2" t="s">
        <v>20</v>
      </c>
      <c r="I6939" s="2" t="s">
        <v>14507</v>
      </c>
      <c r="J6939" s="3" t="str">
        <f>HYPERLINK("https://www.boe.es/gazeta/dias/1813/02/16/pdfs/GRE-1813-20.pdf#page=2","Abrir facsímil")</f>
        <v>Abrir facsímil</v>
      </c>
      <c r="K6939" s="3" t="s">
        <v>22</v>
      </c>
    </row>
    <row r="6940" spans="1:11" ht="42" customHeight="1">
      <c r="A6940" s="2" t="s">
        <v>14508</v>
      </c>
      <c r="B6940" s="2" t="s">
        <v>14508</v>
      </c>
      <c r="C6940" s="2" t="s">
        <v>16</v>
      </c>
      <c r="D6940" s="2" t="s">
        <v>17</v>
      </c>
      <c r="E6940" s="5">
        <v>-31693</v>
      </c>
      <c r="F6940" s="3" t="s">
        <v>3950</v>
      </c>
      <c r="G6940" s="3" t="s">
        <v>65</v>
      </c>
      <c r="H6940" s="2" t="s">
        <v>20</v>
      </c>
      <c r="I6940" s="2" t="s">
        <v>14509</v>
      </c>
      <c r="J6940" s="3" t="str">
        <f>HYPERLINK("https://www.boe.es/gazeta/dias/1813/03/23/pdfs/GRE-1813-36.pdf#page=1","Abrir facsímil")</f>
        <v>Abrir facsímil</v>
      </c>
      <c r="K6940" s="3" t="s">
        <v>22</v>
      </c>
    </row>
    <row r="6941" spans="1:11" ht="42" customHeight="1">
      <c r="A6941" s="2" t="s">
        <v>14510</v>
      </c>
      <c r="B6941" s="2" t="s">
        <v>14510</v>
      </c>
      <c r="C6941" s="2" t="s">
        <v>16</v>
      </c>
      <c r="D6941" s="2" t="s">
        <v>17</v>
      </c>
      <c r="E6941" s="5">
        <v>-31731</v>
      </c>
      <c r="F6941" s="3" t="s">
        <v>866</v>
      </c>
      <c r="G6941" s="3" t="s">
        <v>65</v>
      </c>
      <c r="H6941" s="2" t="s">
        <v>20</v>
      </c>
      <c r="I6941" s="2" t="s">
        <v>14511</v>
      </c>
      <c r="J6941" s="3" t="str">
        <f>HYPERLINK("https://www.boe.es/gazeta/dias/1813/02/13/pdfs/GRE-1813-19.pdf#page=1","Abrir facsímil")</f>
        <v>Abrir facsímil</v>
      </c>
      <c r="K6941" s="3" t="s">
        <v>22</v>
      </c>
    </row>
    <row r="6942" spans="1:11" ht="42" customHeight="1">
      <c r="A6942" s="2" t="s">
        <v>14512</v>
      </c>
      <c r="B6942" s="2" t="s">
        <v>14512</v>
      </c>
      <c r="C6942" s="2" t="s">
        <v>16</v>
      </c>
      <c r="D6942" s="2" t="s">
        <v>17</v>
      </c>
      <c r="E6942" s="5">
        <v>-31462</v>
      </c>
      <c r="F6942" s="3" t="s">
        <v>542</v>
      </c>
      <c r="G6942" s="3" t="s">
        <v>95</v>
      </c>
      <c r="H6942" s="2" t="s">
        <v>20</v>
      </c>
      <c r="I6942" s="2" t="s">
        <v>14513</v>
      </c>
      <c r="J6942" s="3" t="str">
        <f>HYPERLINK("https://www.boe.es/gazeta/dias/1813/11/09/pdfs/GRE-1813-146.pdf#page=6","Abrir facsímil")</f>
        <v>Abrir facsímil</v>
      </c>
      <c r="K6942" s="3" t="s">
        <v>22</v>
      </c>
    </row>
    <row r="6943" spans="1:11" ht="42" customHeight="1">
      <c r="A6943" s="2" t="s">
        <v>14514</v>
      </c>
      <c r="B6943" s="2" t="s">
        <v>14514</v>
      </c>
      <c r="C6943" s="2" t="s">
        <v>16</v>
      </c>
      <c r="D6943" s="2" t="s">
        <v>17</v>
      </c>
      <c r="E6943" s="5">
        <v>-31462</v>
      </c>
      <c r="F6943" s="3" t="s">
        <v>542</v>
      </c>
      <c r="G6943" s="3" t="s">
        <v>95</v>
      </c>
      <c r="H6943" s="2" t="s">
        <v>20</v>
      </c>
      <c r="I6943" s="2" t="s">
        <v>14515</v>
      </c>
      <c r="J6943" s="3" t="str">
        <f>HYPERLINK("https://www.boe.es/gazeta/dias/1813/11/09/pdfs/GRE-1813-146.pdf#page=6","Abrir facsímil")</f>
        <v>Abrir facsímil</v>
      </c>
      <c r="K6943" s="3" t="s">
        <v>22</v>
      </c>
    </row>
    <row r="6944" spans="1:11" ht="42" customHeight="1">
      <c r="A6944" s="2" t="s">
        <v>14514</v>
      </c>
      <c r="B6944" s="2" t="s">
        <v>14514</v>
      </c>
      <c r="C6944" s="2" t="s">
        <v>16</v>
      </c>
      <c r="D6944" s="2" t="s">
        <v>17</v>
      </c>
      <c r="E6944" s="5">
        <v>-31462</v>
      </c>
      <c r="F6944" s="3" t="s">
        <v>542</v>
      </c>
      <c r="G6944" s="3" t="s">
        <v>87</v>
      </c>
      <c r="H6944" s="2" t="s">
        <v>20</v>
      </c>
      <c r="I6944" s="2" t="s">
        <v>14516</v>
      </c>
      <c r="J6944" s="3" t="str">
        <f>HYPERLINK("https://www.boe.es/gazeta/dias/1813/11/09/pdfs/GRE-1813-146.pdf#page=7","Abrir facsímil")</f>
        <v>Abrir facsímil</v>
      </c>
      <c r="K6944" s="3" t="s">
        <v>22</v>
      </c>
    </row>
    <row r="6945" spans="1:11" ht="42" customHeight="1">
      <c r="A6945" s="2" t="s">
        <v>14517</v>
      </c>
      <c r="B6945" s="2" t="s">
        <v>14517</v>
      </c>
      <c r="C6945" s="2" t="s">
        <v>16</v>
      </c>
      <c r="D6945" s="2" t="s">
        <v>17</v>
      </c>
      <c r="E6945" s="5">
        <v>-31462</v>
      </c>
      <c r="F6945" s="3" t="s">
        <v>542</v>
      </c>
      <c r="G6945" s="3" t="s">
        <v>58</v>
      </c>
      <c r="H6945" s="2" t="s">
        <v>20</v>
      </c>
      <c r="I6945" s="2" t="s">
        <v>14518</v>
      </c>
      <c r="J6945" s="3" t="str">
        <f>HYPERLINK("https://www.boe.es/gazeta/dias/1813/11/09/pdfs/GRE-1813-146.pdf#page=2","Abrir facsímil")</f>
        <v>Abrir facsímil</v>
      </c>
      <c r="K6945" s="3" t="s">
        <v>22</v>
      </c>
    </row>
    <row r="6946" spans="1:11" ht="42" customHeight="1">
      <c r="A6946" s="2" t="s">
        <v>14519</v>
      </c>
      <c r="B6946" s="2" t="s">
        <v>14519</v>
      </c>
      <c r="C6946" s="2" t="s">
        <v>34</v>
      </c>
      <c r="D6946" s="2" t="s">
        <v>35</v>
      </c>
      <c r="E6946" s="5">
        <v>-31731</v>
      </c>
      <c r="F6946" s="3" t="s">
        <v>1938</v>
      </c>
      <c r="G6946" s="3" t="s">
        <v>65</v>
      </c>
      <c r="H6946" s="2" t="s">
        <v>20</v>
      </c>
      <c r="I6946" s="2" t="s">
        <v>14520</v>
      </c>
      <c r="J6946" s="3" t="str">
        <f>HYPERLINK("https://www.boe.es/gazeta/dias/1813/02/13/pdfs/GMD-1813-44.pdf#page=1","Abrir facsímil")</f>
        <v>Abrir facsímil</v>
      </c>
      <c r="K6946" s="3" t="s">
        <v>22</v>
      </c>
    </row>
    <row r="6947" spans="1:11" ht="42" customHeight="1">
      <c r="A6947" s="2" t="s">
        <v>14521</v>
      </c>
      <c r="B6947" s="2" t="s">
        <v>14521</v>
      </c>
      <c r="C6947" s="2" t="s">
        <v>16</v>
      </c>
      <c r="D6947" s="2" t="s">
        <v>17</v>
      </c>
      <c r="E6947" s="5">
        <v>-31458</v>
      </c>
      <c r="F6947" s="3" t="s">
        <v>2315</v>
      </c>
      <c r="G6947" s="3" t="s">
        <v>19</v>
      </c>
      <c r="H6947" s="2" t="s">
        <v>20</v>
      </c>
      <c r="I6947" s="2" t="s">
        <v>14522</v>
      </c>
      <c r="J6947" s="3" t="str">
        <f>HYPERLINK("https://www.boe.es/gazeta/dias/1813/11/13/pdfs/GMR-1813-73.pdf#page=4","Abrir facsímil")</f>
        <v>Abrir facsímil</v>
      </c>
      <c r="K6947" s="3" t="s">
        <v>22</v>
      </c>
    </row>
    <row r="6948" spans="1:11" ht="42" customHeight="1">
      <c r="A6948" s="2" t="s">
        <v>14521</v>
      </c>
      <c r="B6948" s="2" t="s">
        <v>14521</v>
      </c>
      <c r="C6948" s="2" t="s">
        <v>16</v>
      </c>
      <c r="D6948" s="2" t="s">
        <v>17</v>
      </c>
      <c r="E6948" s="5">
        <v>-31448</v>
      </c>
      <c r="F6948" s="3" t="s">
        <v>325</v>
      </c>
      <c r="G6948" s="3" t="s">
        <v>54</v>
      </c>
      <c r="H6948" s="2" t="s">
        <v>20</v>
      </c>
      <c r="I6948" s="2" t="s">
        <v>14523</v>
      </c>
      <c r="J6948" s="3" t="str">
        <f>HYPERLINK("https://www.boe.es/gazeta/dias/1813/11/23/pdfs/GMR-1813-78.pdf#page=3","Abrir facsímil")</f>
        <v>Abrir facsímil</v>
      </c>
      <c r="K6948" s="3" t="s">
        <v>22</v>
      </c>
    </row>
    <row r="6949" spans="1:11" ht="42" customHeight="1">
      <c r="A6949" s="2" t="s">
        <v>14524</v>
      </c>
      <c r="B6949" s="2" t="s">
        <v>14525</v>
      </c>
      <c r="C6949" s="2" t="s">
        <v>16</v>
      </c>
      <c r="D6949" s="2" t="s">
        <v>17</v>
      </c>
      <c r="E6949" s="5">
        <v>-31448</v>
      </c>
      <c r="F6949" s="3" t="s">
        <v>325</v>
      </c>
      <c r="G6949" s="3" t="s">
        <v>54</v>
      </c>
      <c r="H6949" s="2" t="s">
        <v>20</v>
      </c>
      <c r="I6949" s="2" t="s">
        <v>14526</v>
      </c>
      <c r="J6949" s="3" t="str">
        <f>HYPERLINK("https://www.boe.es/gazeta/dias/1813/11/23/pdfs/GMR-1813-78.pdf#page=3","Abrir facsímil")</f>
        <v>Abrir facsímil</v>
      </c>
      <c r="K6949" s="3" t="s">
        <v>22</v>
      </c>
    </row>
    <row r="6950" spans="1:11" ht="42" customHeight="1">
      <c r="A6950" s="2" t="s">
        <v>14527</v>
      </c>
      <c r="B6950" s="2" t="s">
        <v>14527</v>
      </c>
      <c r="C6950" s="2" t="s">
        <v>16</v>
      </c>
      <c r="D6950" s="2" t="s">
        <v>17</v>
      </c>
      <c r="E6950" s="5">
        <v>-31453</v>
      </c>
      <c r="F6950" s="3" t="s">
        <v>695</v>
      </c>
      <c r="G6950" s="3" t="s">
        <v>54</v>
      </c>
      <c r="H6950" s="2" t="s">
        <v>20</v>
      </c>
      <c r="I6950" s="2" t="s">
        <v>14528</v>
      </c>
      <c r="J6950" s="3" t="str">
        <f>HYPERLINK("https://www.boe.es/gazeta/dias/1813/11/18/pdfs/GRE-1813-151.pdf#page=3","Abrir facsímil")</f>
        <v>Abrir facsímil</v>
      </c>
      <c r="K6950" s="3" t="s">
        <v>22</v>
      </c>
    </row>
    <row r="6951" spans="1:11" ht="42" customHeight="1">
      <c r="A6951" s="2" t="s">
        <v>14529</v>
      </c>
      <c r="B6951" s="2" t="s">
        <v>14529</v>
      </c>
      <c r="C6951" s="2" t="s">
        <v>16</v>
      </c>
      <c r="D6951" s="2" t="s">
        <v>17</v>
      </c>
      <c r="E6951" s="5">
        <v>-31437</v>
      </c>
      <c r="F6951" s="3" t="s">
        <v>217</v>
      </c>
      <c r="G6951" s="3" t="s">
        <v>58</v>
      </c>
      <c r="H6951" s="2" t="s">
        <v>20</v>
      </c>
      <c r="I6951" s="2" t="s">
        <v>14530</v>
      </c>
      <c r="J6951" s="3" t="str">
        <f>HYPERLINK("https://www.boe.es/gazeta/dias/1813/12/04/pdfs/GRE-1813-160.pdf#page=2","Abrir facsímil")</f>
        <v>Abrir facsímil</v>
      </c>
      <c r="K6951" s="3" t="s">
        <v>22</v>
      </c>
    </row>
    <row r="6952" spans="1:11" ht="42" customHeight="1">
      <c r="A6952" s="2" t="s">
        <v>14531</v>
      </c>
      <c r="B6952" s="2" t="s">
        <v>14531</v>
      </c>
      <c r="C6952" s="2" t="s">
        <v>16</v>
      </c>
      <c r="D6952" s="2" t="s">
        <v>17</v>
      </c>
      <c r="E6952" s="5">
        <v>-31497</v>
      </c>
      <c r="F6952" s="3" t="s">
        <v>223</v>
      </c>
      <c r="G6952" s="3" t="s">
        <v>28</v>
      </c>
      <c r="H6952" s="2" t="s">
        <v>20</v>
      </c>
      <c r="I6952" s="2" t="s">
        <v>14532</v>
      </c>
      <c r="J6952" s="3" t="str">
        <f>HYPERLINK("https://www.boe.es/gazeta/dias/1813/10/05/pdfs/GRE-1813-130.pdf#page=8","Abrir facsímil")</f>
        <v>Abrir facsímil</v>
      </c>
      <c r="K6952" s="3" t="s">
        <v>22</v>
      </c>
    </row>
    <row r="6953" spans="1:11" ht="42" customHeight="1">
      <c r="A6953" s="2" t="s">
        <v>14533</v>
      </c>
      <c r="B6953" s="2" t="s">
        <v>14533</v>
      </c>
      <c r="C6953" s="2" t="s">
        <v>16</v>
      </c>
      <c r="D6953" s="2" t="s">
        <v>17</v>
      </c>
      <c r="E6953" s="5">
        <v>-31574</v>
      </c>
      <c r="F6953" s="3" t="s">
        <v>1343</v>
      </c>
      <c r="G6953" s="3" t="s">
        <v>65</v>
      </c>
      <c r="H6953" s="2" t="s">
        <v>20</v>
      </c>
      <c r="I6953" s="2" t="s">
        <v>14534</v>
      </c>
      <c r="J6953" s="3" t="str">
        <f>HYPERLINK("https://www.boe.es/gazeta/dias/1813/07/20/pdfs/GMR-1813-19.pdf#page=1","Abrir facsímil")</f>
        <v>Abrir facsímil</v>
      </c>
      <c r="K6953" s="3" t="s">
        <v>22</v>
      </c>
    </row>
    <row r="6954" spans="1:11" ht="42" customHeight="1">
      <c r="A6954" s="2" t="s">
        <v>14535</v>
      </c>
      <c r="B6954" s="2" t="s">
        <v>14535</v>
      </c>
      <c r="C6954" s="2" t="s">
        <v>16</v>
      </c>
      <c r="D6954" s="2" t="s">
        <v>17</v>
      </c>
      <c r="E6954" s="5">
        <v>-31460</v>
      </c>
      <c r="F6954" s="3" t="s">
        <v>599</v>
      </c>
      <c r="G6954" s="3" t="s">
        <v>1492</v>
      </c>
      <c r="H6954" s="2" t="s">
        <v>20</v>
      </c>
      <c r="I6954" s="2" t="s">
        <v>14536</v>
      </c>
      <c r="J6954" s="3" t="str">
        <f>HYPERLINK("https://www.boe.es/gazeta/dias/1813/11/11/pdfs/GMR-1813-72.pdf#page=4","Abrir facsímil")</f>
        <v>Abrir facsímil</v>
      </c>
      <c r="K6954" s="3" t="s">
        <v>22</v>
      </c>
    </row>
    <row r="6955" spans="1:11" ht="42" customHeight="1">
      <c r="A6955" s="2" t="s">
        <v>14537</v>
      </c>
      <c r="B6955" s="2" t="s">
        <v>14537</v>
      </c>
      <c r="C6955" s="2" t="s">
        <v>16</v>
      </c>
      <c r="D6955" s="2" t="s">
        <v>17</v>
      </c>
      <c r="E6955" s="5">
        <v>-31752</v>
      </c>
      <c r="F6955" s="3" t="s">
        <v>182</v>
      </c>
      <c r="G6955" s="3" t="s">
        <v>58</v>
      </c>
      <c r="H6955" s="2" t="s">
        <v>20</v>
      </c>
      <c r="I6955" s="2" t="s">
        <v>14538</v>
      </c>
      <c r="J6955" s="3" t="str">
        <f>HYPERLINK("https://www.boe.es/gazeta/dias/1813/01/23/pdfs/GRE-1813-10.pdf#page=2","Abrir facsímil")</f>
        <v>Abrir facsímil</v>
      </c>
      <c r="K6955" s="3" t="s">
        <v>22</v>
      </c>
    </row>
    <row r="6956" spans="1:11" ht="42" customHeight="1">
      <c r="A6956" s="2" t="s">
        <v>14537</v>
      </c>
      <c r="B6956" s="2" t="s">
        <v>14537</v>
      </c>
      <c r="C6956" s="2" t="s">
        <v>16</v>
      </c>
      <c r="D6956" s="2" t="s">
        <v>17</v>
      </c>
      <c r="E6956" s="5">
        <v>-31413</v>
      </c>
      <c r="F6956" s="3" t="s">
        <v>152</v>
      </c>
      <c r="G6956" s="3" t="s">
        <v>58</v>
      </c>
      <c r="H6956" s="2" t="s">
        <v>20</v>
      </c>
      <c r="I6956" s="2" t="s">
        <v>14539</v>
      </c>
      <c r="J6956" s="3" t="str">
        <f>HYPERLINK("https://www.boe.es/gazeta/dias/1813/12/28/pdfs/GRE-1813-170.pdf#page=2","Abrir facsímil")</f>
        <v>Abrir facsímil</v>
      </c>
      <c r="K6956" s="3" t="s">
        <v>22</v>
      </c>
    </row>
    <row r="6957" spans="1:11" ht="42" customHeight="1">
      <c r="A6957" s="2" t="s">
        <v>14540</v>
      </c>
      <c r="B6957" s="2" t="s">
        <v>14540</v>
      </c>
      <c r="C6957" s="2" t="s">
        <v>16</v>
      </c>
      <c r="D6957" s="2" t="s">
        <v>17</v>
      </c>
      <c r="E6957" s="5">
        <v>-31734</v>
      </c>
      <c r="F6957" s="3" t="s">
        <v>362</v>
      </c>
      <c r="G6957" s="3" t="s">
        <v>65</v>
      </c>
      <c r="H6957" s="2" t="s">
        <v>20</v>
      </c>
      <c r="I6957" s="2" t="s">
        <v>14541</v>
      </c>
      <c r="J6957" s="3" t="str">
        <f>HYPERLINK("https://www.boe.es/gazeta/dias/1813/02/10/pdfs/GMD-1813-41.pdf#page=1","Abrir facsímil")</f>
        <v>Abrir facsímil</v>
      </c>
      <c r="K6957" s="3" t="s">
        <v>22</v>
      </c>
    </row>
    <row r="6958" spans="1:11" ht="42" customHeight="1">
      <c r="A6958" s="2" t="s">
        <v>14540</v>
      </c>
      <c r="B6958" s="2" t="s">
        <v>14540</v>
      </c>
      <c r="C6958" s="2" t="s">
        <v>16</v>
      </c>
      <c r="D6958" s="2" t="s">
        <v>17</v>
      </c>
      <c r="E6958" s="5">
        <v>-31696</v>
      </c>
      <c r="F6958" s="3" t="s">
        <v>520</v>
      </c>
      <c r="G6958" s="3" t="s">
        <v>529</v>
      </c>
      <c r="H6958" s="2" t="s">
        <v>20</v>
      </c>
      <c r="I6958" s="2" t="s">
        <v>14542</v>
      </c>
      <c r="J6958" s="3" t="str">
        <f>HYPERLINK("https://www.boe.es/gazeta/dias/1813/03/20/pdfs/GRE-1813-35.pdf#page=6","Abrir facsímil")</f>
        <v>Abrir facsímil</v>
      </c>
      <c r="K6958" s="3" t="s">
        <v>22</v>
      </c>
    </row>
    <row r="6959" spans="1:11" ht="42" customHeight="1">
      <c r="A6959" s="2" t="s">
        <v>14540</v>
      </c>
      <c r="B6959" s="2" t="s">
        <v>14540</v>
      </c>
      <c r="C6959" s="2" t="s">
        <v>16</v>
      </c>
      <c r="D6959" s="2" t="s">
        <v>17</v>
      </c>
      <c r="E6959" s="5">
        <v>-31691</v>
      </c>
      <c r="F6959" s="3" t="s">
        <v>1621</v>
      </c>
      <c r="G6959" s="3" t="s">
        <v>58</v>
      </c>
      <c r="H6959" s="2" t="s">
        <v>20</v>
      </c>
      <c r="I6959" s="2" t="s">
        <v>14543</v>
      </c>
      <c r="J6959" s="3" t="str">
        <f>HYPERLINK("https://www.boe.es/gazeta/dias/1813/03/25/pdfs/GMD-1813-84.pdf#page=2","Abrir facsímil")</f>
        <v>Abrir facsímil</v>
      </c>
      <c r="K6959" s="3" t="s">
        <v>22</v>
      </c>
    </row>
    <row r="6960" spans="1:11" ht="42" customHeight="1">
      <c r="A6960" s="2" t="s">
        <v>14540</v>
      </c>
      <c r="B6960" s="2" t="s">
        <v>14540</v>
      </c>
      <c r="C6960" s="2" t="s">
        <v>16</v>
      </c>
      <c r="D6960" s="2" t="s">
        <v>17</v>
      </c>
      <c r="E6960" s="5">
        <v>-31581</v>
      </c>
      <c r="F6960" s="3" t="s">
        <v>1321</v>
      </c>
      <c r="G6960" s="3" t="s">
        <v>207</v>
      </c>
      <c r="H6960" s="2" t="s">
        <v>20</v>
      </c>
      <c r="I6960" s="2" t="s">
        <v>14544</v>
      </c>
      <c r="J6960" s="3" t="str">
        <f>HYPERLINK("https://www.boe.es/gazeta/dias/1813/07/13/pdfs/GMR-1813-17.pdf#page=10","Abrir facsímil")</f>
        <v>Abrir facsímil</v>
      </c>
      <c r="K6960" s="3" t="s">
        <v>22</v>
      </c>
    </row>
    <row r="6961" spans="1:11" ht="42" customHeight="1">
      <c r="A6961" s="2" t="s">
        <v>14540</v>
      </c>
      <c r="B6961" s="2" t="s">
        <v>14540</v>
      </c>
      <c r="C6961" s="2" t="s">
        <v>25</v>
      </c>
      <c r="D6961" s="2" t="s">
        <v>26</v>
      </c>
      <c r="E6961" s="5">
        <v>-31546</v>
      </c>
      <c r="F6961" s="3" t="s">
        <v>461</v>
      </c>
      <c r="G6961" s="3" t="s">
        <v>65</v>
      </c>
      <c r="H6961" s="2" t="s">
        <v>20</v>
      </c>
      <c r="I6961" s="2" t="s">
        <v>14545</v>
      </c>
      <c r="J6961" s="3" t="str">
        <f>HYPERLINK("https://www.boe.es/gazeta/dias/1813/08/17/pdfs/GMR-1813-29.pdf#page=1","Abrir facsímil")</f>
        <v>Abrir facsímil</v>
      </c>
      <c r="K6961" s="3" t="s">
        <v>22</v>
      </c>
    </row>
    <row r="6962" spans="1:11" ht="42" customHeight="1">
      <c r="A6962" s="2" t="s">
        <v>14540</v>
      </c>
      <c r="B6962" s="2" t="s">
        <v>14540</v>
      </c>
      <c r="C6962" s="2" t="s">
        <v>16</v>
      </c>
      <c r="D6962" s="2" t="s">
        <v>17</v>
      </c>
      <c r="E6962" s="5">
        <v>-31509</v>
      </c>
      <c r="F6962" s="3" t="s">
        <v>202</v>
      </c>
      <c r="G6962" s="3" t="s">
        <v>95</v>
      </c>
      <c r="H6962" s="2" t="s">
        <v>20</v>
      </c>
      <c r="I6962" s="2" t="s">
        <v>14546</v>
      </c>
      <c r="J6962" s="3" t="str">
        <f>HYPERLINK("https://www.boe.es/gazeta/dias/1813/09/23/pdfs/GMR-1813-47.pdf#page=6","Abrir facsímil")</f>
        <v>Abrir facsímil</v>
      </c>
      <c r="K6962" s="3" t="s">
        <v>22</v>
      </c>
    </row>
    <row r="6963" spans="1:11" ht="42" customHeight="1">
      <c r="A6963" s="2" t="s">
        <v>14540</v>
      </c>
      <c r="B6963" s="2" t="s">
        <v>14540</v>
      </c>
      <c r="C6963" s="2" t="s">
        <v>16</v>
      </c>
      <c r="D6963" s="2" t="s">
        <v>17</v>
      </c>
      <c r="E6963" s="5">
        <v>-31488</v>
      </c>
      <c r="F6963" s="3" t="s">
        <v>2370</v>
      </c>
      <c r="G6963" s="3" t="s">
        <v>95</v>
      </c>
      <c r="H6963" s="2" t="s">
        <v>20</v>
      </c>
      <c r="I6963" s="2" t="s">
        <v>14547</v>
      </c>
      <c r="J6963" s="3" t="str">
        <f>HYPERLINK("https://www.boe.es/gazeta/dias/1813/10/14/pdfs/GMR-1813-59.pdf#page=6","Abrir facsímil")</f>
        <v>Abrir facsímil</v>
      </c>
      <c r="K6963" s="3" t="s">
        <v>22</v>
      </c>
    </row>
    <row r="6964" spans="1:11" ht="42" customHeight="1">
      <c r="A6964" s="2" t="s">
        <v>14540</v>
      </c>
      <c r="B6964" s="2" t="s">
        <v>14540</v>
      </c>
      <c r="C6964" s="2" t="s">
        <v>16</v>
      </c>
      <c r="D6964" s="2" t="s">
        <v>17</v>
      </c>
      <c r="E6964" s="5">
        <v>-31427</v>
      </c>
      <c r="F6964" s="3" t="s">
        <v>489</v>
      </c>
      <c r="G6964" s="3" t="s">
        <v>2459</v>
      </c>
      <c r="H6964" s="2" t="s">
        <v>20</v>
      </c>
      <c r="I6964" s="2" t="s">
        <v>14548</v>
      </c>
      <c r="J6964" s="3" t="str">
        <f>HYPERLINK("https://www.boe.es/gazeta/dias/1813/12/14/pdfs/GMR-1813-87.pdf#page=2","Abrir facsímil")</f>
        <v>Abrir facsímil</v>
      </c>
      <c r="K6964" s="3" t="s">
        <v>22</v>
      </c>
    </row>
    <row r="6965" spans="1:11" ht="42" customHeight="1">
      <c r="A6965" s="2" t="s">
        <v>14549</v>
      </c>
      <c r="B6965" s="2" t="s">
        <v>14550</v>
      </c>
      <c r="C6965" s="2" t="s">
        <v>16</v>
      </c>
      <c r="D6965" s="2" t="s">
        <v>17</v>
      </c>
      <c r="E6965" s="5">
        <v>-31418</v>
      </c>
      <c r="F6965" s="3" t="s">
        <v>1529</v>
      </c>
      <c r="G6965" s="3" t="s">
        <v>65</v>
      </c>
      <c r="H6965" s="2" t="s">
        <v>20</v>
      </c>
      <c r="I6965" s="2" t="s">
        <v>14551</v>
      </c>
      <c r="J6965" s="3" t="str">
        <f>HYPERLINK("https://www.boe.es/gazeta/dias/1813/12/23/pdfs/GMR-1813-91.pdf#page=1","Abrir facsímil")</f>
        <v>Abrir facsímil</v>
      </c>
      <c r="K6965" s="3" t="s">
        <v>22</v>
      </c>
    </row>
    <row r="6966" spans="1:11" ht="42" customHeight="1">
      <c r="A6966" s="2" t="s">
        <v>14552</v>
      </c>
      <c r="B6966" s="2" t="s">
        <v>14552</v>
      </c>
      <c r="C6966" s="2" t="s">
        <v>16</v>
      </c>
      <c r="D6966" s="2" t="s">
        <v>17</v>
      </c>
      <c r="E6966" s="5">
        <v>-31698</v>
      </c>
      <c r="F6966" s="3" t="s">
        <v>470</v>
      </c>
      <c r="G6966" s="3" t="s">
        <v>19</v>
      </c>
      <c r="H6966" s="2" t="s">
        <v>20</v>
      </c>
      <c r="I6966" s="2" t="s">
        <v>14553</v>
      </c>
      <c r="J6966" s="3" t="str">
        <f>HYPERLINK("https://www.boe.es/gazeta/dias/1813/03/18/pdfs/GRE-1813-34.pdf#page=4","Abrir facsímil")</f>
        <v>Abrir facsímil</v>
      </c>
      <c r="K6966" s="3" t="s">
        <v>22</v>
      </c>
    </row>
    <row r="6967" spans="1:11" ht="42" customHeight="1">
      <c r="A6967" s="2" t="s">
        <v>14552</v>
      </c>
      <c r="B6967" s="2" t="s">
        <v>14552</v>
      </c>
      <c r="C6967" s="2" t="s">
        <v>25</v>
      </c>
      <c r="D6967" s="2" t="s">
        <v>26</v>
      </c>
      <c r="E6967" s="5">
        <v>-31613</v>
      </c>
      <c r="F6967" s="3" t="s">
        <v>1629</v>
      </c>
      <c r="G6967" s="3" t="s">
        <v>2177</v>
      </c>
      <c r="H6967" s="2" t="s">
        <v>20</v>
      </c>
      <c r="I6967" s="2" t="s">
        <v>14554</v>
      </c>
      <c r="J6967" s="3" t="str">
        <f>HYPERLINK("https://www.boe.es/gazeta/dias/1813/06/11/pdfs/GMR-1813-4.pdf#page=5","Abrir facsímil")</f>
        <v>Abrir facsímil</v>
      </c>
      <c r="K6967" s="3" t="s">
        <v>22</v>
      </c>
    </row>
    <row r="6968" spans="1:11" ht="42" customHeight="1">
      <c r="A6968" s="2" t="s">
        <v>14552</v>
      </c>
      <c r="B6968" s="2" t="s">
        <v>14552</v>
      </c>
      <c r="C6968" s="2" t="s">
        <v>16</v>
      </c>
      <c r="D6968" s="2" t="s">
        <v>17</v>
      </c>
      <c r="E6968" s="5">
        <v>-31479</v>
      </c>
      <c r="F6968" s="3" t="s">
        <v>2383</v>
      </c>
      <c r="G6968" s="3" t="s">
        <v>65</v>
      </c>
      <c r="H6968" s="2" t="s">
        <v>20</v>
      </c>
      <c r="I6968" s="2" t="s">
        <v>14555</v>
      </c>
      <c r="J6968" s="3" t="str">
        <f>HYPERLINK("https://www.boe.es/gazeta/dias/1813/10/23/pdfs/GRE-1813-138.pdf#page=1","Abrir facsímil")</f>
        <v>Abrir facsímil</v>
      </c>
      <c r="K6968" s="3" t="s">
        <v>22</v>
      </c>
    </row>
    <row r="6969" spans="1:11" ht="42" customHeight="1">
      <c r="A6969" s="2" t="s">
        <v>14556</v>
      </c>
      <c r="B6969" s="2" t="s">
        <v>14556</v>
      </c>
      <c r="C6969" s="2" t="s">
        <v>16</v>
      </c>
      <c r="D6969" s="2" t="s">
        <v>17</v>
      </c>
      <c r="E6969" s="5">
        <v>-31560</v>
      </c>
      <c r="F6969" s="3" t="s">
        <v>1233</v>
      </c>
      <c r="G6969" s="3" t="s">
        <v>65</v>
      </c>
      <c r="H6969" s="2" t="s">
        <v>20</v>
      </c>
      <c r="I6969" s="2" t="s">
        <v>14557</v>
      </c>
      <c r="J6969" s="3" t="str">
        <f>HYPERLINK("https://www.boe.es/gazeta/dias/1813/08/03/pdfs/GMR-1813-23.pdf#page=1","Abrir facsímil")</f>
        <v>Abrir facsímil</v>
      </c>
      <c r="K6969" s="3" t="s">
        <v>22</v>
      </c>
    </row>
    <row r="6970" spans="1:11" ht="42" customHeight="1">
      <c r="A6970" s="2" t="s">
        <v>14556</v>
      </c>
      <c r="B6970" s="2" t="s">
        <v>14556</v>
      </c>
      <c r="C6970" s="2" t="s">
        <v>16</v>
      </c>
      <c r="D6970" s="2" t="s">
        <v>17</v>
      </c>
      <c r="E6970" s="5">
        <v>-31453</v>
      </c>
      <c r="F6970" s="3" t="s">
        <v>887</v>
      </c>
      <c r="G6970" s="3" t="s">
        <v>19</v>
      </c>
      <c r="H6970" s="2" t="s">
        <v>20</v>
      </c>
      <c r="I6970" s="2" t="s">
        <v>14558</v>
      </c>
      <c r="J6970" s="3" t="str">
        <f>HYPERLINK("https://www.boe.es/gazeta/dias/1813/11/18/pdfs/GMR-1813-76.pdf#page=4","Abrir facsímil")</f>
        <v>Abrir facsímil</v>
      </c>
      <c r="K6970" s="3" t="s">
        <v>22</v>
      </c>
    </row>
    <row r="6971" spans="1:11" ht="42" customHeight="1">
      <c r="A6971" s="2" t="s">
        <v>14559</v>
      </c>
      <c r="B6971" s="2" t="s">
        <v>14559</v>
      </c>
      <c r="C6971" s="2" t="s">
        <v>16</v>
      </c>
      <c r="D6971" s="2" t="s">
        <v>17</v>
      </c>
      <c r="E6971" s="5">
        <v>-31733</v>
      </c>
      <c r="F6971" s="3" t="s">
        <v>3036</v>
      </c>
      <c r="G6971" s="3" t="s">
        <v>82</v>
      </c>
      <c r="H6971" s="2" t="s">
        <v>20</v>
      </c>
      <c r="I6971" s="2" t="s">
        <v>14560</v>
      </c>
      <c r="J6971" s="3" t="str">
        <f>HYPERLINK("https://www.boe.es/gazeta/dias/1813/02/11/pdfs/GRE-1813-18.pdf#page=5","Abrir facsímil")</f>
        <v>Abrir facsímil</v>
      </c>
      <c r="K6971" s="3" t="s">
        <v>22</v>
      </c>
    </row>
    <row r="6972" spans="1:11" ht="42" customHeight="1">
      <c r="A6972" s="2" t="s">
        <v>14559</v>
      </c>
      <c r="B6972" s="2" t="s">
        <v>14559</v>
      </c>
      <c r="C6972" s="2" t="s">
        <v>16</v>
      </c>
      <c r="D6972" s="2" t="s">
        <v>17</v>
      </c>
      <c r="E6972" s="5">
        <v>-31497</v>
      </c>
      <c r="F6972" s="3" t="s">
        <v>223</v>
      </c>
      <c r="G6972" s="3" t="s">
        <v>28</v>
      </c>
      <c r="H6972" s="2" t="s">
        <v>20</v>
      </c>
      <c r="I6972" s="2" t="s">
        <v>14561</v>
      </c>
      <c r="J6972" s="3" t="str">
        <f>HYPERLINK("https://www.boe.es/gazeta/dias/1813/10/05/pdfs/GRE-1813-130.pdf#page=8","Abrir facsímil")</f>
        <v>Abrir facsímil</v>
      </c>
      <c r="K6972" s="3" t="s">
        <v>22</v>
      </c>
    </row>
    <row r="6973" spans="1:11" ht="42" customHeight="1">
      <c r="A6973" s="2" t="s">
        <v>14562</v>
      </c>
      <c r="B6973" s="2" t="s">
        <v>14562</v>
      </c>
      <c r="C6973" s="2" t="s">
        <v>16</v>
      </c>
      <c r="D6973" s="2" t="s">
        <v>17</v>
      </c>
      <c r="E6973" s="5">
        <v>-31724</v>
      </c>
      <c r="F6973" s="3" t="s">
        <v>626</v>
      </c>
      <c r="G6973" s="3" t="s">
        <v>82</v>
      </c>
      <c r="H6973" s="2" t="s">
        <v>20</v>
      </c>
      <c r="I6973" s="2" t="s">
        <v>14563</v>
      </c>
      <c r="J6973" s="3" t="str">
        <f>HYPERLINK("https://www.boe.es/gazeta/dias/1813/02/20/pdfs/GRE-1813-22.pdf#page=5","Abrir facsímil")</f>
        <v>Abrir facsímil</v>
      </c>
      <c r="K6973" s="3" t="s">
        <v>22</v>
      </c>
    </row>
    <row r="6974" spans="1:11" ht="42" customHeight="1">
      <c r="A6974" s="2" t="s">
        <v>14564</v>
      </c>
      <c r="B6974" s="2" t="s">
        <v>14565</v>
      </c>
      <c r="C6974" s="2" t="s">
        <v>16</v>
      </c>
      <c r="D6974" s="2" t="s">
        <v>17</v>
      </c>
      <c r="E6974" s="5">
        <v>-31455</v>
      </c>
      <c r="F6974" s="3" t="s">
        <v>693</v>
      </c>
      <c r="G6974" s="3" t="s">
        <v>54</v>
      </c>
      <c r="H6974" s="2" t="s">
        <v>20</v>
      </c>
      <c r="I6974" s="2" t="s">
        <v>14566</v>
      </c>
      <c r="J6974" s="3" t="str">
        <f>HYPERLINK("https://www.boe.es/gazeta/dias/1813/11/16/pdfs/GRE-1813-150.pdf#page=3","Abrir facsímil")</f>
        <v>Abrir facsímil</v>
      </c>
      <c r="K6974" s="3" t="s">
        <v>22</v>
      </c>
    </row>
    <row r="6975" spans="1:11" ht="42" customHeight="1">
      <c r="A6975" s="2" t="s">
        <v>14567</v>
      </c>
      <c r="B6975" s="2" t="s">
        <v>14567</v>
      </c>
      <c r="C6975" s="2" t="s">
        <v>16</v>
      </c>
      <c r="D6975" s="2" t="s">
        <v>17</v>
      </c>
      <c r="E6975" s="5">
        <v>-31465</v>
      </c>
      <c r="F6975" s="3" t="s">
        <v>2930</v>
      </c>
      <c r="G6975" s="3" t="s">
        <v>65</v>
      </c>
      <c r="H6975" s="2" t="s">
        <v>20</v>
      </c>
      <c r="I6975" s="2" t="s">
        <v>14568</v>
      </c>
      <c r="J6975" s="3" t="str">
        <f>HYPERLINK("https://www.boe.es/gazeta/dias/1813/11/06/pdfs/GRE-1813-145.pdf#page=1","Abrir facsímil")</f>
        <v>Abrir facsímil</v>
      </c>
      <c r="K6975" s="3" t="s">
        <v>22</v>
      </c>
    </row>
    <row r="6976" spans="1:11" ht="42" customHeight="1">
      <c r="A6976" s="2" t="s">
        <v>14569</v>
      </c>
      <c r="B6976" s="2" t="s">
        <v>14569</v>
      </c>
      <c r="C6976" s="2" t="s">
        <v>16</v>
      </c>
      <c r="D6976" s="2" t="s">
        <v>17</v>
      </c>
      <c r="E6976" s="5">
        <v>-31451</v>
      </c>
      <c r="F6976" s="3" t="s">
        <v>2325</v>
      </c>
      <c r="G6976" s="3" t="s">
        <v>58</v>
      </c>
      <c r="H6976" s="2" t="s">
        <v>20</v>
      </c>
      <c r="I6976" s="2" t="s">
        <v>14570</v>
      </c>
      <c r="J6976" s="3" t="str">
        <f>HYPERLINK("https://www.boe.es/gazeta/dias/1813/11/20/pdfs/GMR-1813-77.pdf#page=2","Abrir facsímil")</f>
        <v>Abrir facsímil</v>
      </c>
      <c r="K6976" s="3" t="s">
        <v>22</v>
      </c>
    </row>
    <row r="6977" spans="1:11" ht="42" customHeight="1">
      <c r="A6977" s="2" t="s">
        <v>14571</v>
      </c>
      <c r="B6977" s="2" t="s">
        <v>14571</v>
      </c>
      <c r="C6977" s="2" t="s">
        <v>16</v>
      </c>
      <c r="D6977" s="2" t="s">
        <v>17</v>
      </c>
      <c r="E6977" s="5">
        <v>-31462</v>
      </c>
      <c r="F6977" s="3" t="s">
        <v>542</v>
      </c>
      <c r="G6977" s="3" t="s">
        <v>2156</v>
      </c>
      <c r="H6977" s="2" t="s">
        <v>20</v>
      </c>
      <c r="I6977" s="2" t="s">
        <v>14572</v>
      </c>
      <c r="J6977" s="3" t="str">
        <f>HYPERLINK("https://www.boe.es/gazeta/dias/1813/11/09/pdfs/GRE-1813-146.pdf#page=5","Abrir facsímil")</f>
        <v>Abrir facsímil</v>
      </c>
      <c r="K6977" s="3" t="s">
        <v>22</v>
      </c>
    </row>
    <row r="6978" spans="1:11" ht="42" customHeight="1">
      <c r="A6978" s="2" t="s">
        <v>14573</v>
      </c>
      <c r="B6978" s="2" t="s">
        <v>14574</v>
      </c>
      <c r="C6978" s="2" t="s">
        <v>16</v>
      </c>
      <c r="D6978" s="2" t="s">
        <v>17</v>
      </c>
      <c r="E6978" s="5">
        <v>-31465</v>
      </c>
      <c r="F6978" s="3" t="s">
        <v>2930</v>
      </c>
      <c r="G6978" s="3" t="s">
        <v>87</v>
      </c>
      <c r="H6978" s="2" t="s">
        <v>20</v>
      </c>
      <c r="I6978" s="2" t="s">
        <v>14575</v>
      </c>
      <c r="J6978" s="3" t="str">
        <f>HYPERLINK("https://www.boe.es/gazeta/dias/1813/11/06/pdfs/GRE-1813-145.pdf#page=7","Abrir facsímil")</f>
        <v>Abrir facsímil</v>
      </c>
      <c r="K6978" s="3" t="s">
        <v>22</v>
      </c>
    </row>
    <row r="6979" spans="1:11" ht="42" customHeight="1">
      <c r="A6979" s="2" t="s">
        <v>14576</v>
      </c>
      <c r="B6979" s="2" t="s">
        <v>14576</v>
      </c>
      <c r="C6979" s="2" t="s">
        <v>16</v>
      </c>
      <c r="D6979" s="2" t="s">
        <v>17</v>
      </c>
      <c r="E6979" s="5">
        <v>-31691</v>
      </c>
      <c r="F6979" s="3" t="s">
        <v>1621</v>
      </c>
      <c r="G6979" s="3" t="s">
        <v>58</v>
      </c>
      <c r="H6979" s="2" t="s">
        <v>20</v>
      </c>
      <c r="I6979" s="2" t="s">
        <v>14577</v>
      </c>
      <c r="J6979" s="3" t="str">
        <f>HYPERLINK("https://www.boe.es/gazeta/dias/1813/03/25/pdfs/GMD-1813-84.pdf#page=2","Abrir facsímil")</f>
        <v>Abrir facsímil</v>
      </c>
      <c r="K6979" s="3" t="s">
        <v>22</v>
      </c>
    </row>
    <row r="6980" spans="1:11" ht="42" customHeight="1">
      <c r="A6980" s="2" t="s">
        <v>14578</v>
      </c>
      <c r="B6980" s="2" t="s">
        <v>14578</v>
      </c>
      <c r="C6980" s="2" t="s">
        <v>16</v>
      </c>
      <c r="D6980" s="2" t="s">
        <v>17</v>
      </c>
      <c r="E6980" s="5">
        <v>-31516</v>
      </c>
      <c r="F6980" s="3" t="s">
        <v>1685</v>
      </c>
      <c r="G6980" s="3" t="s">
        <v>95</v>
      </c>
      <c r="H6980" s="2" t="s">
        <v>20</v>
      </c>
      <c r="I6980" s="2" t="s">
        <v>14579</v>
      </c>
      <c r="J6980" s="3" t="str">
        <f>HYPERLINK("https://www.boe.es/gazeta/dias/1813/09/16/pdfs/GRE-1813-120.pdf#page=6","Abrir facsímil")</f>
        <v>Abrir facsímil</v>
      </c>
      <c r="K6980" s="3" t="s">
        <v>22</v>
      </c>
    </row>
    <row r="6981" spans="1:11" ht="42" customHeight="1">
      <c r="A6981" s="2" t="s">
        <v>14580</v>
      </c>
      <c r="B6981" s="2" t="s">
        <v>14581</v>
      </c>
      <c r="C6981" s="2" t="s">
        <v>435</v>
      </c>
      <c r="D6981" s="2" t="s">
        <v>26</v>
      </c>
      <c r="E6981" s="5">
        <v>-31432</v>
      </c>
      <c r="F6981" s="3" t="s">
        <v>702</v>
      </c>
      <c r="G6981" s="3" t="s">
        <v>14582</v>
      </c>
      <c r="H6981" s="2" t="s">
        <v>29</v>
      </c>
      <c r="I6981" s="2" t="s">
        <v>14583</v>
      </c>
      <c r="J6981" s="3" t="str">
        <f>HYPERLINK("https://www.boe.es/gazeta/dias/1813/12/09/pdfs/GMR-1813-85.pdf#page=8","Abrir facsímil")</f>
        <v>Abrir facsímil</v>
      </c>
      <c r="K6981" s="3" t="s">
        <v>31</v>
      </c>
    </row>
    <row r="6982" spans="1:11" ht="42" customHeight="1">
      <c r="A6982" s="2" t="s">
        <v>14584</v>
      </c>
      <c r="B6982" s="2" t="s">
        <v>14585</v>
      </c>
      <c r="C6982" s="2" t="s">
        <v>187</v>
      </c>
      <c r="D6982" s="2" t="s">
        <v>26</v>
      </c>
      <c r="E6982" s="5">
        <v>-31488</v>
      </c>
      <c r="F6982" s="3" t="s">
        <v>2370</v>
      </c>
      <c r="G6982" s="3" t="s">
        <v>14586</v>
      </c>
      <c r="H6982" s="2" t="s">
        <v>29</v>
      </c>
      <c r="I6982" s="2" t="s">
        <v>14587</v>
      </c>
      <c r="J6982" s="3" t="str">
        <f>HYPERLINK("https://www.boe.es/gazeta/dias/1813/10/14/pdfs/GMR-1813-59.pdf#page=8","Abrir facsímil")</f>
        <v>Abrir facsímil</v>
      </c>
      <c r="K6982" s="3" t="s">
        <v>31</v>
      </c>
    </row>
    <row r="6983" spans="1:11" ht="42" customHeight="1">
      <c r="A6983" s="2" t="s">
        <v>14588</v>
      </c>
      <c r="B6983" s="2" t="s">
        <v>14589</v>
      </c>
      <c r="C6983" s="2" t="s">
        <v>187</v>
      </c>
      <c r="D6983" s="2" t="s">
        <v>26</v>
      </c>
      <c r="E6983" s="5">
        <v>-31416</v>
      </c>
      <c r="F6983" s="3" t="s">
        <v>278</v>
      </c>
      <c r="G6983" s="3" t="s">
        <v>1863</v>
      </c>
      <c r="H6983" s="2" t="s">
        <v>29</v>
      </c>
      <c r="I6983" s="2" t="s">
        <v>14590</v>
      </c>
      <c r="J6983" s="3" t="str">
        <f>HYPERLINK("https://www.boe.es/gazeta/dias/1813/12/25/pdfs/GMR-1813-92.pdf#page=12","Abrir facsímil")</f>
        <v>Abrir facsímil</v>
      </c>
      <c r="K6983" s="3" t="s">
        <v>31</v>
      </c>
    </row>
    <row r="6984" spans="1:11" ht="42" customHeight="1">
      <c r="A6984" s="2" t="s">
        <v>14591</v>
      </c>
      <c r="B6984" s="2" t="s">
        <v>14592</v>
      </c>
      <c r="C6984" s="2" t="s">
        <v>16</v>
      </c>
      <c r="D6984" s="2" t="s">
        <v>17</v>
      </c>
      <c r="E6984" s="5">
        <v>-31488</v>
      </c>
      <c r="F6984" s="3" t="s">
        <v>2370</v>
      </c>
      <c r="G6984" s="3" t="s">
        <v>95</v>
      </c>
      <c r="H6984" s="2" t="s">
        <v>20</v>
      </c>
      <c r="I6984" s="2" t="s">
        <v>14593</v>
      </c>
      <c r="J6984" s="3" t="str">
        <f>HYPERLINK("https://www.boe.es/gazeta/dias/1813/10/14/pdfs/GMR-1813-59.pdf#page=6","Abrir facsímil")</f>
        <v>Abrir facsímil</v>
      </c>
      <c r="K6984" s="3" t="s">
        <v>22</v>
      </c>
    </row>
    <row r="6985" spans="1:11" ht="42" customHeight="1">
      <c r="A6985" s="2" t="s">
        <v>14594</v>
      </c>
      <c r="B6985" s="2" t="s">
        <v>14595</v>
      </c>
      <c r="C6985" s="2" t="s">
        <v>16</v>
      </c>
      <c r="D6985" s="2" t="s">
        <v>17</v>
      </c>
      <c r="E6985" s="5">
        <v>-31437</v>
      </c>
      <c r="F6985" s="3" t="s">
        <v>217</v>
      </c>
      <c r="G6985" s="3" t="s">
        <v>54</v>
      </c>
      <c r="H6985" s="2" t="s">
        <v>20</v>
      </c>
      <c r="I6985" s="2" t="s">
        <v>14596</v>
      </c>
      <c r="J6985" s="3" t="str">
        <f>HYPERLINK("https://www.boe.es/gazeta/dias/1813/12/04/pdfs/GRE-1813-160.pdf#page=3","Abrir facsímil")</f>
        <v>Abrir facsímil</v>
      </c>
      <c r="K6985" s="3" t="s">
        <v>22</v>
      </c>
    </row>
    <row r="6986" spans="1:11" ht="42" customHeight="1">
      <c r="A6986" s="2" t="s">
        <v>14597</v>
      </c>
      <c r="B6986" s="2" t="s">
        <v>14597</v>
      </c>
      <c r="C6986" s="2" t="s">
        <v>16</v>
      </c>
      <c r="D6986" s="2" t="s">
        <v>17</v>
      </c>
      <c r="E6986" s="5">
        <v>-31668</v>
      </c>
      <c r="F6986" s="3" t="s">
        <v>574</v>
      </c>
      <c r="G6986" s="3" t="s">
        <v>82</v>
      </c>
      <c r="H6986" s="2" t="s">
        <v>20</v>
      </c>
      <c r="I6986" s="2" t="s">
        <v>14598</v>
      </c>
      <c r="J6986" s="3" t="str">
        <f>HYPERLINK("https://www.boe.es/gazeta/dias/1813/04/17/pdfs/GRE-1813-48.pdf#page=5","Abrir facsímil")</f>
        <v>Abrir facsímil</v>
      </c>
      <c r="K6986" s="3" t="s">
        <v>22</v>
      </c>
    </row>
    <row r="6987" spans="1:11" ht="42" customHeight="1">
      <c r="A6987" s="2" t="s">
        <v>14599</v>
      </c>
      <c r="B6987" s="2" t="s">
        <v>14599</v>
      </c>
      <c r="C6987" s="2" t="s">
        <v>16</v>
      </c>
      <c r="D6987" s="2" t="s">
        <v>17</v>
      </c>
      <c r="E6987" s="5">
        <v>-31684</v>
      </c>
      <c r="F6987" s="3" t="s">
        <v>427</v>
      </c>
      <c r="G6987" s="3" t="s">
        <v>3023</v>
      </c>
      <c r="H6987" s="2" t="s">
        <v>20</v>
      </c>
      <c r="I6987" s="2" t="s">
        <v>14600</v>
      </c>
      <c r="J6987" s="3" t="str">
        <f>HYPERLINK("https://www.boe.es/gazeta/dias/1813/04/01/pdfs/GRE-1813-40.pdf#page=5","Abrir facsímil")</f>
        <v>Abrir facsímil</v>
      </c>
      <c r="K6987" s="3" t="s">
        <v>22</v>
      </c>
    </row>
    <row r="6988" spans="1:11" ht="42" customHeight="1">
      <c r="A6988" s="2" t="s">
        <v>14599</v>
      </c>
      <c r="B6988" s="2" t="s">
        <v>14599</v>
      </c>
      <c r="C6988" s="2" t="s">
        <v>16</v>
      </c>
      <c r="D6988" s="2" t="s">
        <v>17</v>
      </c>
      <c r="E6988" s="5">
        <v>-31623</v>
      </c>
      <c r="F6988" s="3" t="s">
        <v>267</v>
      </c>
      <c r="G6988" s="3" t="s">
        <v>270</v>
      </c>
      <c r="H6988" s="2" t="s">
        <v>20</v>
      </c>
      <c r="I6988" s="2" t="s">
        <v>14601</v>
      </c>
      <c r="J6988" s="3" t="str">
        <f>HYPERLINK("https://www.boe.es/gazeta/dias/1813/06/01/pdfs/GRE-1813-67.pdf#page=5","Abrir facsímil")</f>
        <v>Abrir facsímil</v>
      </c>
      <c r="K6988" s="3" t="s">
        <v>22</v>
      </c>
    </row>
    <row r="6989" spans="1:11" ht="42" customHeight="1">
      <c r="A6989" s="2" t="s">
        <v>14599</v>
      </c>
      <c r="B6989" s="2" t="s">
        <v>14599</v>
      </c>
      <c r="C6989" s="2" t="s">
        <v>16</v>
      </c>
      <c r="D6989" s="2" t="s">
        <v>17</v>
      </c>
      <c r="E6989" s="5">
        <v>-31623</v>
      </c>
      <c r="F6989" s="3" t="s">
        <v>267</v>
      </c>
      <c r="G6989" s="3" t="s">
        <v>9420</v>
      </c>
      <c r="H6989" s="2" t="s">
        <v>20</v>
      </c>
      <c r="I6989" s="2" t="s">
        <v>14602</v>
      </c>
      <c r="J6989" s="3" t="str">
        <f>HYPERLINK("https://www.boe.es/gazeta/dias/1813/06/01/pdfs/GRE-1813-67.pdf#page=6","Abrir facsímil")</f>
        <v>Abrir facsímil</v>
      </c>
      <c r="K6989" s="3" t="s">
        <v>22</v>
      </c>
    </row>
    <row r="6990" spans="1:11" ht="42" customHeight="1">
      <c r="A6990" s="2" t="s">
        <v>14599</v>
      </c>
      <c r="B6990" s="2" t="s">
        <v>14599</v>
      </c>
      <c r="C6990" s="2" t="s">
        <v>16</v>
      </c>
      <c r="D6990" s="2" t="s">
        <v>17</v>
      </c>
      <c r="E6990" s="5">
        <v>-31430</v>
      </c>
      <c r="F6990" s="3" t="s">
        <v>1161</v>
      </c>
      <c r="G6990" s="3" t="s">
        <v>58</v>
      </c>
      <c r="H6990" s="2" t="s">
        <v>20</v>
      </c>
      <c r="I6990" s="2" t="s">
        <v>14603</v>
      </c>
      <c r="J6990" s="3" t="str">
        <f>HYPERLINK("https://www.boe.es/gazeta/dias/1813/12/11/pdfs/GMR-1813-86.pdf#page=2","Abrir facsímil")</f>
        <v>Abrir facsímil</v>
      </c>
      <c r="K6990" s="3" t="s">
        <v>22</v>
      </c>
    </row>
    <row r="6991" spans="1:11" ht="42" customHeight="1">
      <c r="A6991" s="2" t="s">
        <v>14604</v>
      </c>
      <c r="B6991" s="2" t="s">
        <v>14605</v>
      </c>
      <c r="C6991" s="2" t="s">
        <v>16</v>
      </c>
      <c r="D6991" s="2" t="s">
        <v>17</v>
      </c>
      <c r="E6991" s="5">
        <v>-31738</v>
      </c>
      <c r="F6991" s="3" t="s">
        <v>556</v>
      </c>
      <c r="G6991" s="3" t="s">
        <v>28</v>
      </c>
      <c r="H6991" s="2" t="s">
        <v>20</v>
      </c>
      <c r="I6991" s="2" t="s">
        <v>14606</v>
      </c>
      <c r="J6991" s="3" t="str">
        <f>HYPERLINK("https://www.boe.es/gazeta/dias/1813/02/06/pdfs/GRE-1813-16.pdf#page=8","Abrir facsímil")</f>
        <v>Abrir facsímil</v>
      </c>
      <c r="K6991" s="3" t="s">
        <v>22</v>
      </c>
    </row>
    <row r="6992" spans="1:11" ht="42" customHeight="1">
      <c r="A6992" s="2" t="s">
        <v>14607</v>
      </c>
      <c r="B6992" s="2" t="s">
        <v>14608</v>
      </c>
      <c r="C6992" s="2" t="s">
        <v>16</v>
      </c>
      <c r="D6992" s="2" t="s">
        <v>97</v>
      </c>
      <c r="E6992" s="5">
        <v>-31479</v>
      </c>
      <c r="F6992" s="3" t="s">
        <v>290</v>
      </c>
      <c r="G6992" s="3" t="s">
        <v>19</v>
      </c>
      <c r="H6992" s="2" t="s">
        <v>20</v>
      </c>
      <c r="I6992" s="2" t="s">
        <v>14609</v>
      </c>
      <c r="J6992" s="3" t="str">
        <f>HYPERLINK("https://www.boe.es/gazeta/dias/1813/10/23/pdfs/GRE-1813-139E.pdf#page=4","Abrir facsímil")</f>
        <v>Abrir facsímil</v>
      </c>
      <c r="K6992" s="3" t="s">
        <v>22</v>
      </c>
    </row>
    <row r="6993" spans="1:11" ht="42" customHeight="1">
      <c r="A6993" s="2" t="s">
        <v>14607</v>
      </c>
      <c r="B6993" s="2" t="s">
        <v>14608</v>
      </c>
      <c r="C6993" s="2" t="s">
        <v>16</v>
      </c>
      <c r="D6993" s="2" t="s">
        <v>17</v>
      </c>
      <c r="E6993" s="5">
        <v>-31465</v>
      </c>
      <c r="F6993" s="3" t="s">
        <v>407</v>
      </c>
      <c r="G6993" s="3" t="s">
        <v>19</v>
      </c>
      <c r="H6993" s="2" t="s">
        <v>20</v>
      </c>
      <c r="I6993" s="2" t="s">
        <v>14610</v>
      </c>
      <c r="J6993" s="3" t="str">
        <f>HYPERLINK("https://www.boe.es/gazeta/dias/1813/11/06/pdfs/GMR-1813-70.pdf#page=4","Abrir facsímil")</f>
        <v>Abrir facsímil</v>
      </c>
      <c r="K6993" s="3" t="s">
        <v>22</v>
      </c>
    </row>
    <row r="6994" spans="1:11" ht="42" customHeight="1">
      <c r="A6994" s="2" t="s">
        <v>14607</v>
      </c>
      <c r="B6994" s="2" t="s">
        <v>14608</v>
      </c>
      <c r="C6994" s="2" t="s">
        <v>16</v>
      </c>
      <c r="D6994" s="2" t="s">
        <v>17</v>
      </c>
      <c r="E6994" s="5">
        <v>-31460</v>
      </c>
      <c r="F6994" s="3" t="s">
        <v>599</v>
      </c>
      <c r="G6994" s="3" t="s">
        <v>3551</v>
      </c>
      <c r="H6994" s="2" t="s">
        <v>20</v>
      </c>
      <c r="I6994" s="2" t="s">
        <v>14611</v>
      </c>
      <c r="J6994" s="3" t="str">
        <f>HYPERLINK("https://www.boe.es/gazeta/dias/1813/11/11/pdfs/GMR-1813-72.pdf#page=9","Abrir facsímil")</f>
        <v>Abrir facsímil</v>
      </c>
      <c r="K6994" s="3" t="s">
        <v>22</v>
      </c>
    </row>
    <row r="6995" spans="1:11" ht="42" customHeight="1">
      <c r="A6995" s="2" t="s">
        <v>14612</v>
      </c>
      <c r="B6995" s="2" t="s">
        <v>14612</v>
      </c>
      <c r="C6995" s="2" t="s">
        <v>16</v>
      </c>
      <c r="D6995" s="2" t="s">
        <v>17</v>
      </c>
      <c r="E6995" s="5">
        <v>-31483</v>
      </c>
      <c r="F6995" s="3" t="s">
        <v>1292</v>
      </c>
      <c r="G6995" s="3" t="s">
        <v>28</v>
      </c>
      <c r="H6995" s="2" t="s">
        <v>20</v>
      </c>
      <c r="I6995" s="2" t="s">
        <v>14613</v>
      </c>
      <c r="J6995" s="3" t="str">
        <f>HYPERLINK("https://www.boe.es/gazeta/dias/1813/10/19/pdfs/GMR-1813-61.pdf#page=8","Abrir facsímil")</f>
        <v>Abrir facsímil</v>
      </c>
      <c r="K6995" s="3" t="s">
        <v>22</v>
      </c>
    </row>
    <row r="6996" spans="1:11" ht="42" customHeight="1">
      <c r="A6996" s="2" t="s">
        <v>14612</v>
      </c>
      <c r="B6996" s="2" t="s">
        <v>14612</v>
      </c>
      <c r="C6996" s="2" t="s">
        <v>16</v>
      </c>
      <c r="D6996" s="2" t="s">
        <v>17</v>
      </c>
      <c r="E6996" s="5">
        <v>-31430</v>
      </c>
      <c r="F6996" s="3" t="s">
        <v>1161</v>
      </c>
      <c r="G6996" s="3" t="s">
        <v>65</v>
      </c>
      <c r="H6996" s="2" t="s">
        <v>20</v>
      </c>
      <c r="I6996" s="2" t="s">
        <v>14614</v>
      </c>
      <c r="J6996" s="3" t="str">
        <f>HYPERLINK("https://www.boe.es/gazeta/dias/1813/12/11/pdfs/GMR-1813-86.pdf#page=1","Abrir facsímil")</f>
        <v>Abrir facsímil</v>
      </c>
      <c r="K6996" s="3" t="s">
        <v>22</v>
      </c>
    </row>
    <row r="6997" spans="1:11" ht="42" customHeight="1">
      <c r="A6997" s="2" t="s">
        <v>14612</v>
      </c>
      <c r="B6997" s="2" t="s">
        <v>14612</v>
      </c>
      <c r="C6997" s="2" t="s">
        <v>16</v>
      </c>
      <c r="D6997" s="2" t="s">
        <v>17</v>
      </c>
      <c r="E6997" s="5">
        <v>-31430</v>
      </c>
      <c r="F6997" s="3" t="s">
        <v>1161</v>
      </c>
      <c r="G6997" s="3" t="s">
        <v>58</v>
      </c>
      <c r="H6997" s="2" t="s">
        <v>20</v>
      </c>
      <c r="I6997" s="2" t="s">
        <v>14615</v>
      </c>
      <c r="J6997" s="3" t="str">
        <f>HYPERLINK("https://www.boe.es/gazeta/dias/1813/12/11/pdfs/GMR-1813-86.pdf#page=2","Abrir facsímil")</f>
        <v>Abrir facsímil</v>
      </c>
      <c r="K6997" s="3" t="s">
        <v>22</v>
      </c>
    </row>
    <row r="6998" spans="1:11" ht="42" customHeight="1">
      <c r="A6998" s="2" t="s">
        <v>14616</v>
      </c>
      <c r="B6998" s="2" t="s">
        <v>14617</v>
      </c>
      <c r="C6998" s="2" t="s">
        <v>16</v>
      </c>
      <c r="D6998" s="2" t="s">
        <v>17</v>
      </c>
      <c r="E6998" s="5">
        <v>-31711</v>
      </c>
      <c r="F6998" s="3" t="s">
        <v>385</v>
      </c>
      <c r="G6998" s="3" t="s">
        <v>19</v>
      </c>
      <c r="H6998" s="2" t="s">
        <v>20</v>
      </c>
      <c r="I6998" s="2" t="s">
        <v>14618</v>
      </c>
      <c r="J6998" s="3" t="str">
        <f>HYPERLINK("https://www.boe.es/gazeta/dias/1813/03/05/pdfs/GRE-1813-99.pdf#page=4","Abrir facsímil")</f>
        <v>Abrir facsímil</v>
      </c>
      <c r="K6998" s="3" t="s">
        <v>22</v>
      </c>
    </row>
    <row r="6999" spans="1:11" ht="42" customHeight="1">
      <c r="A6999" s="2" t="s">
        <v>14616</v>
      </c>
      <c r="B6999" s="2" t="s">
        <v>14617</v>
      </c>
      <c r="C6999" s="2" t="s">
        <v>16</v>
      </c>
      <c r="D6999" s="2" t="s">
        <v>17</v>
      </c>
      <c r="E6999" s="5">
        <v>-31558</v>
      </c>
      <c r="F6999" s="3" t="s">
        <v>385</v>
      </c>
      <c r="G6999" s="3" t="s">
        <v>19</v>
      </c>
      <c r="H6999" s="2" t="s">
        <v>20</v>
      </c>
      <c r="I6999" s="2" t="s">
        <v>14618</v>
      </c>
      <c r="J6999" s="3" t="str">
        <f>HYPERLINK("https://www.boe.es/gazeta/dias/1813/08/05/pdfs/GRE-1813-99.pdf#page=4","Abrir facsímil")</f>
        <v>Abrir facsímil</v>
      </c>
      <c r="K6999" s="3" t="s">
        <v>22</v>
      </c>
    </row>
    <row r="7000" spans="1:11" ht="42" customHeight="1">
      <c r="A7000" s="2" t="s">
        <v>14619</v>
      </c>
      <c r="B7000" s="2" t="s">
        <v>14620</v>
      </c>
      <c r="C7000" s="2" t="s">
        <v>34</v>
      </c>
      <c r="D7000" s="2" t="s">
        <v>35</v>
      </c>
      <c r="E7000" s="5">
        <v>-31709</v>
      </c>
      <c r="F7000" s="3" t="s">
        <v>36</v>
      </c>
      <c r="G7000" s="3" t="s">
        <v>303</v>
      </c>
      <c r="H7000" s="2" t="s">
        <v>20</v>
      </c>
      <c r="I7000" s="2" t="s">
        <v>14621</v>
      </c>
      <c r="J7000" s="3" t="str">
        <f>HYPERLINK("https://www.boe.es/gazeta/dias/1813/03/07/pdfs/GMD-1813-66.pdf#page=3","Abrir facsímil")</f>
        <v>Abrir facsímil</v>
      </c>
      <c r="K7000" s="3" t="s">
        <v>22</v>
      </c>
    </row>
    <row r="7001" spans="1:11" ht="42" customHeight="1">
      <c r="A7001" s="2" t="s">
        <v>14622</v>
      </c>
      <c r="B7001" s="2" t="s">
        <v>14622</v>
      </c>
      <c r="C7001" s="2" t="s">
        <v>16</v>
      </c>
      <c r="D7001" s="2" t="s">
        <v>17</v>
      </c>
      <c r="E7001" s="5">
        <v>-31767</v>
      </c>
      <c r="F7001" s="3" t="s">
        <v>1915</v>
      </c>
      <c r="G7001" s="3" t="s">
        <v>19</v>
      </c>
      <c r="H7001" s="2" t="s">
        <v>20</v>
      </c>
      <c r="I7001" s="2" t="s">
        <v>14623</v>
      </c>
      <c r="J7001" s="3" t="str">
        <f>HYPERLINK("https://www.boe.es/gazeta/dias/1813/01/08/pdfs/GMD-1813-8.pdf#page=4","Abrir facsímil")</f>
        <v>Abrir facsímil</v>
      </c>
      <c r="K7001" s="3" t="s">
        <v>22</v>
      </c>
    </row>
    <row r="7002" spans="1:11" ht="42" customHeight="1">
      <c r="A7002" s="2" t="s">
        <v>14624</v>
      </c>
      <c r="B7002" s="2" t="s">
        <v>14624</v>
      </c>
      <c r="C7002" s="2" t="s">
        <v>16</v>
      </c>
      <c r="D7002" s="2" t="s">
        <v>17</v>
      </c>
      <c r="E7002" s="5">
        <v>-31682</v>
      </c>
      <c r="F7002" s="3" t="s">
        <v>6815</v>
      </c>
      <c r="G7002" s="3" t="s">
        <v>65</v>
      </c>
      <c r="H7002" s="2" t="s">
        <v>20</v>
      </c>
      <c r="I7002" s="2" t="s">
        <v>14625</v>
      </c>
      <c r="J7002" s="3" t="str">
        <f>HYPERLINK("https://www.boe.es/gazeta/dias/1813/04/03/pdfs/GMD-1813-93.pdf#page=1","Abrir facsímil")</f>
        <v>Abrir facsímil</v>
      </c>
      <c r="K7002" s="3" t="s">
        <v>22</v>
      </c>
    </row>
    <row r="7003" spans="1:11" ht="42" customHeight="1">
      <c r="A7003" s="2" t="s">
        <v>14624</v>
      </c>
      <c r="B7003" s="2" t="s">
        <v>14624</v>
      </c>
      <c r="C7003" s="2" t="s">
        <v>16</v>
      </c>
      <c r="D7003" s="2" t="s">
        <v>17</v>
      </c>
      <c r="E7003" s="5">
        <v>-31595</v>
      </c>
      <c r="F7003" s="3" t="s">
        <v>1319</v>
      </c>
      <c r="G7003" s="3" t="s">
        <v>19</v>
      </c>
      <c r="H7003" s="2" t="s">
        <v>20</v>
      </c>
      <c r="I7003" s="2" t="s">
        <v>14626</v>
      </c>
      <c r="J7003" s="3" t="str">
        <f>HYPERLINK("https://www.boe.es/gazeta/dias/1813/06/29/pdfs/GRE-1813-80.pdf#page=4","Abrir facsímil")</f>
        <v>Abrir facsímil</v>
      </c>
      <c r="K7003" s="3" t="s">
        <v>22</v>
      </c>
    </row>
    <row r="7004" spans="1:11" ht="42" customHeight="1">
      <c r="A7004" s="2" t="s">
        <v>14624</v>
      </c>
      <c r="B7004" s="2" t="s">
        <v>14624</v>
      </c>
      <c r="C7004" s="2" t="s">
        <v>16</v>
      </c>
      <c r="D7004" s="2" t="s">
        <v>17</v>
      </c>
      <c r="E7004" s="5">
        <v>-31581</v>
      </c>
      <c r="F7004" s="3" t="s">
        <v>1321</v>
      </c>
      <c r="G7004" s="3" t="s">
        <v>2541</v>
      </c>
      <c r="H7004" s="2" t="s">
        <v>20</v>
      </c>
      <c r="I7004" s="2" t="s">
        <v>14627</v>
      </c>
      <c r="J7004" s="3" t="str">
        <f>HYPERLINK("https://www.boe.es/gazeta/dias/1813/07/13/pdfs/GMR-1813-17.pdf#page=4","Abrir facsímil")</f>
        <v>Abrir facsímil</v>
      </c>
      <c r="K7004" s="3" t="s">
        <v>22</v>
      </c>
    </row>
    <row r="7005" spans="1:11" ht="42" customHeight="1">
      <c r="A7005" s="2" t="s">
        <v>14628</v>
      </c>
      <c r="B7005" s="2" t="s">
        <v>14628</v>
      </c>
      <c r="C7005" s="2" t="s">
        <v>34</v>
      </c>
      <c r="D7005" s="2" t="s">
        <v>35</v>
      </c>
      <c r="E7005" s="5">
        <v>-31643</v>
      </c>
      <c r="F7005" s="3" t="s">
        <v>2610</v>
      </c>
      <c r="G7005" s="3" t="s">
        <v>54</v>
      </c>
      <c r="H7005" s="2" t="s">
        <v>20</v>
      </c>
      <c r="I7005" s="2" t="s">
        <v>14629</v>
      </c>
      <c r="J7005" s="3" t="str">
        <f>HYPERLINK("https://www.boe.es/gazeta/dias/1813/05/12/pdfs/GMD-1813-132.pdf#page=3","Abrir facsímil")</f>
        <v>Abrir facsímil</v>
      </c>
      <c r="K7005" s="3" t="s">
        <v>22</v>
      </c>
    </row>
    <row r="7006" spans="1:11" ht="42" customHeight="1">
      <c r="A7006" s="2" t="s">
        <v>14630</v>
      </c>
      <c r="B7006" s="2" t="s">
        <v>14631</v>
      </c>
      <c r="C7006" s="2" t="s">
        <v>187</v>
      </c>
      <c r="D7006" s="2" t="s">
        <v>26</v>
      </c>
      <c r="E7006" s="5">
        <v>-31752</v>
      </c>
      <c r="F7006" s="3" t="s">
        <v>182</v>
      </c>
      <c r="G7006" s="3" t="s">
        <v>183</v>
      </c>
      <c r="H7006" s="2" t="s">
        <v>20</v>
      </c>
      <c r="I7006" s="2" t="s">
        <v>14632</v>
      </c>
      <c r="J7006" s="3" t="str">
        <f>HYPERLINK("https://www.boe.es/gazeta/dias/1813/01/23/pdfs/GRE-1813-10.pdf#page=8","Abrir facsímil")</f>
        <v>Abrir facsímil</v>
      </c>
      <c r="K7006" s="3" t="s">
        <v>22</v>
      </c>
    </row>
    <row r="7007" spans="1:11" ht="42" customHeight="1">
      <c r="A7007" s="2" t="s">
        <v>14633</v>
      </c>
      <c r="B7007" s="2" t="s">
        <v>14633</v>
      </c>
      <c r="C7007" s="2" t="s">
        <v>16</v>
      </c>
      <c r="D7007" s="2" t="s">
        <v>17</v>
      </c>
      <c r="E7007" s="5">
        <v>-31567</v>
      </c>
      <c r="F7007" s="3" t="s">
        <v>820</v>
      </c>
      <c r="G7007" s="3" t="s">
        <v>87</v>
      </c>
      <c r="H7007" s="2" t="s">
        <v>20</v>
      </c>
      <c r="I7007" s="2" t="s">
        <v>14634</v>
      </c>
      <c r="J7007" s="3" t="str">
        <f>HYPERLINK("https://www.boe.es/gazeta/dias/1813/07/27/pdfs/GMR-1813-21.pdf#page=7","Abrir facsímil")</f>
        <v>Abrir facsímil</v>
      </c>
      <c r="K7007" s="3" t="s">
        <v>22</v>
      </c>
    </row>
    <row r="7008" spans="1:11" ht="42" customHeight="1">
      <c r="A7008" s="2" t="s">
        <v>14635</v>
      </c>
      <c r="B7008" s="2" t="s">
        <v>14636</v>
      </c>
      <c r="C7008" s="2" t="s">
        <v>25</v>
      </c>
      <c r="D7008" s="2" t="s">
        <v>97</v>
      </c>
      <c r="E7008" s="5">
        <v>-31446</v>
      </c>
      <c r="F7008" s="3" t="s">
        <v>1877</v>
      </c>
      <c r="G7008" s="3" t="s">
        <v>1878</v>
      </c>
      <c r="H7008" s="2" t="s">
        <v>20</v>
      </c>
      <c r="I7008" s="2" t="s">
        <v>14637</v>
      </c>
      <c r="J7008" s="3" t="str">
        <f>HYPERLINK("https://www.boe.es/gazeta/dias/1813/11/25/pdfs/GRE-1813-155E.pdf#page=8","Abrir facsímil")</f>
        <v>Abrir facsímil</v>
      </c>
      <c r="K7008" s="3" t="s">
        <v>22</v>
      </c>
    </row>
    <row r="7009" spans="1:11" ht="42" customHeight="1">
      <c r="A7009" s="2" t="s">
        <v>14638</v>
      </c>
      <c r="B7009" s="2" t="s">
        <v>14638</v>
      </c>
      <c r="C7009" s="2" t="s">
        <v>16</v>
      </c>
      <c r="D7009" s="2" t="s">
        <v>17</v>
      </c>
      <c r="E7009" s="5">
        <v>-31448</v>
      </c>
      <c r="F7009" s="3" t="s">
        <v>57</v>
      </c>
      <c r="G7009" s="3" t="s">
        <v>58</v>
      </c>
      <c r="H7009" s="2" t="s">
        <v>20</v>
      </c>
      <c r="I7009" s="2" t="s">
        <v>14639</v>
      </c>
      <c r="J7009" s="3" t="str">
        <f>HYPERLINK("https://www.boe.es/gazeta/dias/1813/11/23/pdfs/GRE-1813-153.pdf#page=2","Abrir facsímil")</f>
        <v>Abrir facsímil</v>
      </c>
      <c r="K7009" s="3" t="s">
        <v>22</v>
      </c>
    </row>
    <row r="7010" spans="1:11" ht="42" customHeight="1">
      <c r="A7010" s="2" t="s">
        <v>14640</v>
      </c>
      <c r="B7010" s="2" t="s">
        <v>14640</v>
      </c>
      <c r="C7010" s="2" t="s">
        <v>16</v>
      </c>
      <c r="D7010" s="2" t="s">
        <v>17</v>
      </c>
      <c r="E7010" s="5">
        <v>-31733</v>
      </c>
      <c r="F7010" s="3" t="s">
        <v>3036</v>
      </c>
      <c r="G7010" s="3" t="s">
        <v>82</v>
      </c>
      <c r="H7010" s="2" t="s">
        <v>20</v>
      </c>
      <c r="I7010" s="2" t="s">
        <v>14641</v>
      </c>
      <c r="J7010" s="3" t="str">
        <f>HYPERLINK("https://www.boe.es/gazeta/dias/1813/02/11/pdfs/GRE-1813-18.pdf#page=5","Abrir facsímil")</f>
        <v>Abrir facsímil</v>
      </c>
      <c r="K7010" s="3" t="s">
        <v>22</v>
      </c>
    </row>
    <row r="7011" spans="1:11" ht="42" customHeight="1">
      <c r="A7011" s="2" t="s">
        <v>14642</v>
      </c>
      <c r="B7011" s="2" t="s">
        <v>14642</v>
      </c>
      <c r="C7011" s="2" t="s">
        <v>16</v>
      </c>
      <c r="D7011" s="2" t="s">
        <v>17</v>
      </c>
      <c r="E7011" s="5">
        <v>-31560</v>
      </c>
      <c r="F7011" s="3" t="s">
        <v>590</v>
      </c>
      <c r="G7011" s="3" t="s">
        <v>54</v>
      </c>
      <c r="H7011" s="2" t="s">
        <v>20</v>
      </c>
      <c r="I7011" s="2" t="s">
        <v>14643</v>
      </c>
      <c r="J7011" s="3" t="str">
        <f>HYPERLINK("https://www.boe.es/gazeta/dias/1813/08/03/pdfs/GRE-1813-98.pdf#page=3","Abrir facsímil")</f>
        <v>Abrir facsímil</v>
      </c>
      <c r="K7011" s="3" t="s">
        <v>22</v>
      </c>
    </row>
    <row r="7012" spans="1:11" ht="42" customHeight="1">
      <c r="A7012" s="2" t="s">
        <v>14644</v>
      </c>
      <c r="B7012" s="2" t="s">
        <v>14645</v>
      </c>
      <c r="C7012" s="2" t="s">
        <v>16</v>
      </c>
      <c r="D7012" s="2" t="s">
        <v>17</v>
      </c>
      <c r="E7012" s="5">
        <v>-31761</v>
      </c>
      <c r="F7012" s="3" t="s">
        <v>376</v>
      </c>
      <c r="G7012" s="3" t="s">
        <v>5145</v>
      </c>
      <c r="H7012" s="2" t="s">
        <v>20</v>
      </c>
      <c r="I7012" s="2" t="s">
        <v>14646</v>
      </c>
      <c r="J7012" s="3" t="str">
        <f>HYPERLINK("https://www.boe.es/gazeta/dias/1813/01/14/pdfs/GRE-1813-6.pdf#page=8","Abrir facsímil")</f>
        <v>Abrir facsímil</v>
      </c>
      <c r="K7012" s="3" t="s">
        <v>22</v>
      </c>
    </row>
    <row r="7013" spans="1:11" ht="42" customHeight="1">
      <c r="A7013" s="2" t="s">
        <v>14647</v>
      </c>
      <c r="B7013" s="2" t="s">
        <v>14647</v>
      </c>
      <c r="C7013" s="2" t="s">
        <v>16</v>
      </c>
      <c r="D7013" s="2" t="s">
        <v>17</v>
      </c>
      <c r="E7013" s="5">
        <v>-31448</v>
      </c>
      <c r="F7013" s="3" t="s">
        <v>325</v>
      </c>
      <c r="G7013" s="3" t="s">
        <v>82</v>
      </c>
      <c r="H7013" s="2" t="s">
        <v>20</v>
      </c>
      <c r="I7013" s="2" t="s">
        <v>14648</v>
      </c>
      <c r="J7013" s="3" t="str">
        <f>HYPERLINK("https://www.boe.es/gazeta/dias/1813/11/23/pdfs/GMR-1813-78.pdf#page=5","Abrir facsímil")</f>
        <v>Abrir facsímil</v>
      </c>
      <c r="K7013" s="3" t="s">
        <v>22</v>
      </c>
    </row>
    <row r="7014" spans="1:11" ht="42" customHeight="1">
      <c r="A7014" s="2" t="s">
        <v>14649</v>
      </c>
      <c r="B7014" s="2" t="s">
        <v>14650</v>
      </c>
      <c r="C7014" s="2" t="s">
        <v>25</v>
      </c>
      <c r="D7014" s="2" t="s">
        <v>26</v>
      </c>
      <c r="E7014" s="5">
        <v>-31462</v>
      </c>
      <c r="F7014" s="3" t="s">
        <v>1028</v>
      </c>
      <c r="G7014" s="3" t="s">
        <v>178</v>
      </c>
      <c r="H7014" s="2" t="s">
        <v>20</v>
      </c>
      <c r="I7014" s="2" t="s">
        <v>14651</v>
      </c>
      <c r="J7014" s="3" t="str">
        <f>HYPERLINK("https://www.boe.es/gazeta/dias/1813/11/09/pdfs/GMR-1813-71.pdf#page=11","Abrir facsímil")</f>
        <v>Abrir facsímil</v>
      </c>
      <c r="K7014" s="3" t="s">
        <v>22</v>
      </c>
    </row>
    <row r="7015" spans="1:11" ht="42" customHeight="1">
      <c r="A7015" s="2" t="s">
        <v>14652</v>
      </c>
      <c r="B7015" s="2" t="s">
        <v>14652</v>
      </c>
      <c r="C7015" s="2" t="s">
        <v>16</v>
      </c>
      <c r="D7015" s="2" t="s">
        <v>17</v>
      </c>
      <c r="E7015" s="5">
        <v>-31715</v>
      </c>
      <c r="F7015" s="3" t="s">
        <v>3358</v>
      </c>
      <c r="G7015" s="3" t="s">
        <v>65</v>
      </c>
      <c r="H7015" s="2" t="s">
        <v>20</v>
      </c>
      <c r="I7015" s="2" t="s">
        <v>14653</v>
      </c>
      <c r="J7015" s="3" t="str">
        <f>HYPERLINK("https://www.boe.es/gazeta/dias/1813/03/01/pdfs/GMD-1813-60.pdf#page=1","Abrir facsímil")</f>
        <v>Abrir facsímil</v>
      </c>
      <c r="K7015" s="3" t="s">
        <v>22</v>
      </c>
    </row>
    <row r="7016" spans="1:11" ht="42" customHeight="1">
      <c r="A7016" s="2" t="s">
        <v>14654</v>
      </c>
      <c r="B7016" s="2" t="s">
        <v>14655</v>
      </c>
      <c r="C7016" s="2" t="s">
        <v>25</v>
      </c>
      <c r="D7016" s="2" t="s">
        <v>26</v>
      </c>
      <c r="E7016" s="5">
        <v>-31752</v>
      </c>
      <c r="F7016" s="3" t="s">
        <v>182</v>
      </c>
      <c r="G7016" s="3" t="s">
        <v>183</v>
      </c>
      <c r="H7016" s="2" t="s">
        <v>20</v>
      </c>
      <c r="I7016" s="2" t="s">
        <v>14656</v>
      </c>
      <c r="J7016" s="3" t="str">
        <f>HYPERLINK("https://www.boe.es/gazeta/dias/1813/01/23/pdfs/GRE-1813-10.pdf#page=8","Abrir facsímil")</f>
        <v>Abrir facsímil</v>
      </c>
      <c r="K7016" s="3" t="s">
        <v>22</v>
      </c>
    </row>
    <row r="7017" spans="1:11" ht="42" customHeight="1">
      <c r="A7017" s="2" t="s">
        <v>14657</v>
      </c>
      <c r="B7017" s="2" t="s">
        <v>14658</v>
      </c>
      <c r="C7017" s="2" t="s">
        <v>16</v>
      </c>
      <c r="D7017" s="2" t="s">
        <v>17</v>
      </c>
      <c r="E7017" s="5">
        <v>-31514</v>
      </c>
      <c r="F7017" s="3" t="s">
        <v>2099</v>
      </c>
      <c r="G7017" s="3" t="s">
        <v>19</v>
      </c>
      <c r="H7017" s="2" t="s">
        <v>20</v>
      </c>
      <c r="I7017" s="2" t="s">
        <v>14659</v>
      </c>
      <c r="J7017" s="3" t="str">
        <f>HYPERLINK("https://www.boe.es/gazeta/dias/1813/09/18/pdfs/GMR-1813-45.pdf#page=4","Abrir facsímil")</f>
        <v>Abrir facsímil</v>
      </c>
      <c r="K7017" s="3" t="s">
        <v>22</v>
      </c>
    </row>
    <row r="7018" spans="1:11" ht="42" customHeight="1">
      <c r="A7018" s="2" t="s">
        <v>14660</v>
      </c>
      <c r="B7018" s="2" t="s">
        <v>14661</v>
      </c>
      <c r="C7018" s="2" t="s">
        <v>34</v>
      </c>
      <c r="D7018" s="2" t="s">
        <v>35</v>
      </c>
      <c r="E7018" s="5">
        <v>-31709</v>
      </c>
      <c r="F7018" s="3" t="s">
        <v>36</v>
      </c>
      <c r="G7018" s="3" t="s">
        <v>303</v>
      </c>
      <c r="H7018" s="2" t="s">
        <v>20</v>
      </c>
      <c r="I7018" s="2" t="s">
        <v>14662</v>
      </c>
      <c r="J7018" s="3" t="str">
        <f>HYPERLINK("https://www.boe.es/gazeta/dias/1813/03/07/pdfs/GMD-1813-66.pdf#page=3","Abrir facsímil")</f>
        <v>Abrir facsímil</v>
      </c>
      <c r="K7018" s="3" t="s">
        <v>22</v>
      </c>
    </row>
    <row r="7019" spans="1:11" ht="42" customHeight="1">
      <c r="A7019" s="2" t="s">
        <v>14663</v>
      </c>
      <c r="B7019" s="2" t="s">
        <v>14664</v>
      </c>
      <c r="C7019" s="2" t="s">
        <v>16</v>
      </c>
      <c r="D7019" s="2" t="s">
        <v>17</v>
      </c>
      <c r="E7019" s="5">
        <v>-31759</v>
      </c>
      <c r="F7019" s="3" t="s">
        <v>419</v>
      </c>
      <c r="G7019" s="3" t="s">
        <v>420</v>
      </c>
      <c r="H7019" s="2" t="s">
        <v>20</v>
      </c>
      <c r="I7019" s="2" t="s">
        <v>14665</v>
      </c>
      <c r="J7019" s="3" t="str">
        <f>HYPERLINK("https://www.boe.es/gazeta/dias/1813/01/16/pdfs/GRE-1813-7.pdf#page=8","Abrir facsímil")</f>
        <v>Abrir facsímil</v>
      </c>
      <c r="K7019" s="3" t="s">
        <v>22</v>
      </c>
    </row>
    <row r="7020" spans="1:11" ht="42" customHeight="1">
      <c r="A7020" s="2" t="s">
        <v>14666</v>
      </c>
      <c r="B7020" s="2" t="s">
        <v>14666</v>
      </c>
      <c r="C7020" s="2" t="s">
        <v>16</v>
      </c>
      <c r="D7020" s="2" t="s">
        <v>17</v>
      </c>
      <c r="E7020" s="5">
        <v>-31687</v>
      </c>
      <c r="F7020" s="3" t="s">
        <v>2723</v>
      </c>
      <c r="G7020" s="3" t="s">
        <v>54</v>
      </c>
      <c r="H7020" s="2" t="s">
        <v>20</v>
      </c>
      <c r="I7020" s="2" t="s">
        <v>14667</v>
      </c>
      <c r="J7020" s="3" t="str">
        <f>HYPERLINK("https://www.boe.es/gazeta/dias/1813/03/29/pdfs/GMD-1813-88.pdf#page=3","Abrir facsímil")</f>
        <v>Abrir facsímil</v>
      </c>
      <c r="K7020" s="3" t="s">
        <v>22</v>
      </c>
    </row>
    <row r="7021" spans="1:11" ht="42" customHeight="1">
      <c r="A7021" s="2" t="s">
        <v>14668</v>
      </c>
      <c r="B7021" s="2" t="s">
        <v>14669</v>
      </c>
      <c r="C7021" s="2" t="s">
        <v>16</v>
      </c>
      <c r="D7021" s="2" t="s">
        <v>17</v>
      </c>
      <c r="E7021" s="5">
        <v>-31458</v>
      </c>
      <c r="F7021" s="3" t="s">
        <v>1171</v>
      </c>
      <c r="G7021" s="3" t="s">
        <v>28</v>
      </c>
      <c r="H7021" s="2" t="s">
        <v>20</v>
      </c>
      <c r="I7021" s="2" t="s">
        <v>14670</v>
      </c>
      <c r="J7021" s="3" t="str">
        <f>HYPERLINK("https://www.boe.es/gazeta/dias/1813/11/13/pdfs/GRE-1813-149.pdf#page=8","Abrir facsímil")</f>
        <v>Abrir facsímil</v>
      </c>
      <c r="K7021" s="3" t="s">
        <v>22</v>
      </c>
    </row>
    <row r="7022" spans="1:11" ht="42" customHeight="1">
      <c r="A7022" s="2" t="s">
        <v>14671</v>
      </c>
      <c r="B7022" s="2" t="s">
        <v>14671</v>
      </c>
      <c r="C7022" s="2" t="s">
        <v>16</v>
      </c>
      <c r="D7022" s="2" t="s">
        <v>17</v>
      </c>
      <c r="E7022" s="5">
        <v>-31703</v>
      </c>
      <c r="F7022" s="3" t="s">
        <v>4331</v>
      </c>
      <c r="G7022" s="3" t="s">
        <v>4332</v>
      </c>
      <c r="H7022" s="2" t="s">
        <v>20</v>
      </c>
      <c r="I7022" s="2" t="s">
        <v>14672</v>
      </c>
      <c r="J7022" s="3" t="str">
        <f>HYPERLINK("https://www.boe.es/gazeta/dias/1813/03/13/pdfs/GRE-1813-32.pdf#page=4","Abrir facsímil")</f>
        <v>Abrir facsímil</v>
      </c>
      <c r="K7022" s="3" t="s">
        <v>22</v>
      </c>
    </row>
    <row r="7023" spans="1:11" ht="42" customHeight="1">
      <c r="A7023" s="2" t="s">
        <v>14673</v>
      </c>
      <c r="B7023" s="2" t="s">
        <v>14673</v>
      </c>
      <c r="C7023" s="2" t="s">
        <v>16</v>
      </c>
      <c r="D7023" s="2" t="s">
        <v>17</v>
      </c>
      <c r="E7023" s="5">
        <v>-31748</v>
      </c>
      <c r="F7023" s="3" t="s">
        <v>5041</v>
      </c>
      <c r="G7023" s="3" t="s">
        <v>58</v>
      </c>
      <c r="H7023" s="2" t="s">
        <v>20</v>
      </c>
      <c r="I7023" s="2" t="s">
        <v>14674</v>
      </c>
      <c r="J7023" s="3" t="str">
        <f>HYPERLINK("https://www.boe.es/gazeta/dias/1813/01/27/pdfs/GMD-1813-27.pdf#page=2","Abrir facsímil")</f>
        <v>Abrir facsímil</v>
      </c>
      <c r="K7023" s="3" t="s">
        <v>22</v>
      </c>
    </row>
    <row r="7024" spans="1:11" ht="42" customHeight="1">
      <c r="A7024" s="2" t="s">
        <v>14675</v>
      </c>
      <c r="B7024" s="2" t="s">
        <v>14676</v>
      </c>
      <c r="C7024" s="2" t="s">
        <v>16</v>
      </c>
      <c r="D7024" s="2" t="s">
        <v>17</v>
      </c>
      <c r="E7024" s="5">
        <v>-31578</v>
      </c>
      <c r="F7024" s="3" t="s">
        <v>974</v>
      </c>
      <c r="G7024" s="3" t="s">
        <v>258</v>
      </c>
      <c r="H7024" s="2" t="s">
        <v>20</v>
      </c>
      <c r="I7024" s="2" t="s">
        <v>14677</v>
      </c>
      <c r="J7024" s="3" t="str">
        <f>HYPERLINK("https://www.boe.es/gazeta/dias/1813/07/16/pdfs/GMR-1813-18.pdf#page=12","Abrir facsímil")</f>
        <v>Abrir facsímil</v>
      </c>
      <c r="K7024" s="3" t="s">
        <v>22</v>
      </c>
    </row>
    <row r="7025" spans="1:11" ht="42" customHeight="1">
      <c r="A7025" s="2" t="s">
        <v>14678</v>
      </c>
      <c r="B7025" s="2" t="s">
        <v>14679</v>
      </c>
      <c r="C7025" s="2" t="s">
        <v>109</v>
      </c>
      <c r="D7025" s="2" t="s">
        <v>26</v>
      </c>
      <c r="E7025" s="5">
        <v>-31502</v>
      </c>
      <c r="F7025" s="3" t="s">
        <v>1363</v>
      </c>
      <c r="G7025" s="3" t="s">
        <v>54</v>
      </c>
      <c r="H7025" s="2" t="s">
        <v>20</v>
      </c>
      <c r="I7025" s="2" t="s">
        <v>14680</v>
      </c>
      <c r="J7025" s="3" t="str">
        <f>HYPERLINK("https://www.boe.es/gazeta/dias/1813/09/30/pdfs/GRE-1813-128.pdf#page=3","Abrir facsímil")</f>
        <v>Abrir facsímil</v>
      </c>
      <c r="K7025" s="3" t="s">
        <v>22</v>
      </c>
    </row>
    <row r="7026" spans="1:11" ht="42" customHeight="1">
      <c r="A7026" s="2" t="s">
        <v>14681</v>
      </c>
      <c r="B7026" s="2" t="s">
        <v>14682</v>
      </c>
      <c r="C7026" s="2" t="s">
        <v>25</v>
      </c>
      <c r="D7026" s="2" t="s">
        <v>26</v>
      </c>
      <c r="E7026" s="5">
        <v>-31745</v>
      </c>
      <c r="F7026" s="3" t="s">
        <v>445</v>
      </c>
      <c r="G7026" s="3" t="s">
        <v>475</v>
      </c>
      <c r="H7026" s="2" t="s">
        <v>20</v>
      </c>
      <c r="I7026" s="2" t="s">
        <v>14683</v>
      </c>
      <c r="J7026" s="3" t="str">
        <f>HYPERLINK("https://www.boe.es/gazeta/dias/1813/01/30/pdfs/GRE-1813-13.pdf#page=7","Abrir facsímil")</f>
        <v>Abrir facsímil</v>
      </c>
      <c r="K7026" s="3" t="s">
        <v>22</v>
      </c>
    </row>
    <row r="7027" spans="1:11" ht="42" customHeight="1">
      <c r="A7027" s="2" t="s">
        <v>14684</v>
      </c>
      <c r="B7027" s="2" t="s">
        <v>14684</v>
      </c>
      <c r="C7027" s="2" t="s">
        <v>16</v>
      </c>
      <c r="D7027" s="2" t="s">
        <v>17</v>
      </c>
      <c r="E7027" s="5">
        <v>-31766</v>
      </c>
      <c r="F7027" s="3" t="s">
        <v>1356</v>
      </c>
      <c r="G7027" s="3" t="s">
        <v>1357</v>
      </c>
      <c r="H7027" s="2" t="s">
        <v>20</v>
      </c>
      <c r="I7027" s="2" t="s">
        <v>14685</v>
      </c>
      <c r="J7027" s="3" t="str">
        <f>HYPERLINK("https://www.boe.es/gazeta/dias/1813/01/09/pdfs/GRE-1813-4.pdf#page=3","Abrir facsímil")</f>
        <v>Abrir facsímil</v>
      </c>
      <c r="K7027" s="3" t="s">
        <v>22</v>
      </c>
    </row>
    <row r="7028" spans="1:11" ht="42" customHeight="1">
      <c r="A7028" s="2" t="s">
        <v>14686</v>
      </c>
      <c r="B7028" s="2" t="s">
        <v>14686</v>
      </c>
      <c r="C7028" s="2" t="s">
        <v>16</v>
      </c>
      <c r="D7028" s="2" t="s">
        <v>17</v>
      </c>
      <c r="E7028" s="5">
        <v>-31731</v>
      </c>
      <c r="F7028" s="3" t="s">
        <v>866</v>
      </c>
      <c r="G7028" s="3" t="s">
        <v>8695</v>
      </c>
      <c r="H7028" s="2" t="s">
        <v>20</v>
      </c>
      <c r="I7028" s="2" t="s">
        <v>14687</v>
      </c>
      <c r="J7028" s="3" t="str">
        <f>HYPERLINK("https://www.boe.es/gazeta/dias/1813/02/13/pdfs/GRE-1813-19.pdf#page=2","Abrir facsímil")</f>
        <v>Abrir facsímil</v>
      </c>
      <c r="K7028" s="3" t="s">
        <v>22</v>
      </c>
    </row>
    <row r="7029" spans="1:11" ht="42" customHeight="1">
      <c r="A7029" s="2" t="s">
        <v>14688</v>
      </c>
      <c r="B7029" s="2" t="s">
        <v>14688</v>
      </c>
      <c r="C7029" s="2" t="s">
        <v>16</v>
      </c>
      <c r="D7029" s="2" t="s">
        <v>17</v>
      </c>
      <c r="E7029" s="5">
        <v>-31462</v>
      </c>
      <c r="F7029" s="3" t="s">
        <v>1028</v>
      </c>
      <c r="G7029" s="3" t="s">
        <v>19</v>
      </c>
      <c r="H7029" s="2" t="s">
        <v>20</v>
      </c>
      <c r="I7029" s="2" t="s">
        <v>14689</v>
      </c>
      <c r="J7029" s="3" t="str">
        <f>HYPERLINK("https://www.boe.es/gazeta/dias/1813/11/09/pdfs/GMR-1813-71.pdf#page=4","Abrir facsímil")</f>
        <v>Abrir facsímil</v>
      </c>
      <c r="K7029" s="3" t="s">
        <v>22</v>
      </c>
    </row>
    <row r="7030" spans="1:11" ht="42" customHeight="1">
      <c r="A7030" s="2" t="s">
        <v>14690</v>
      </c>
      <c r="B7030" s="2" t="s">
        <v>14690</v>
      </c>
      <c r="C7030" s="2" t="s">
        <v>16</v>
      </c>
      <c r="D7030" s="2" t="s">
        <v>17</v>
      </c>
      <c r="E7030" s="5">
        <v>-31711</v>
      </c>
      <c r="F7030" s="3" t="s">
        <v>385</v>
      </c>
      <c r="G7030" s="3" t="s">
        <v>28</v>
      </c>
      <c r="H7030" s="2" t="s">
        <v>20</v>
      </c>
      <c r="I7030" s="2" t="s">
        <v>14691</v>
      </c>
      <c r="J7030" s="3" t="str">
        <f>HYPERLINK("https://www.boe.es/gazeta/dias/1813/03/05/pdfs/GRE-1813-99.pdf#page=8","Abrir facsímil")</f>
        <v>Abrir facsímil</v>
      </c>
      <c r="K7030" s="3" t="s">
        <v>22</v>
      </c>
    </row>
    <row r="7031" spans="1:11" ht="42" customHeight="1">
      <c r="A7031" s="2" t="s">
        <v>14690</v>
      </c>
      <c r="B7031" s="2" t="s">
        <v>14690</v>
      </c>
      <c r="C7031" s="2" t="s">
        <v>16</v>
      </c>
      <c r="D7031" s="2" t="s">
        <v>17</v>
      </c>
      <c r="E7031" s="5">
        <v>-31687</v>
      </c>
      <c r="F7031" s="3" t="s">
        <v>2723</v>
      </c>
      <c r="G7031" s="3" t="s">
        <v>54</v>
      </c>
      <c r="H7031" s="2" t="s">
        <v>20</v>
      </c>
      <c r="I7031" s="2" t="s">
        <v>14692</v>
      </c>
      <c r="J7031" s="3" t="str">
        <f>HYPERLINK("https://www.boe.es/gazeta/dias/1813/03/29/pdfs/GMD-1813-88.pdf#page=3","Abrir facsímil")</f>
        <v>Abrir facsímil</v>
      </c>
      <c r="K7031" s="3" t="s">
        <v>22</v>
      </c>
    </row>
    <row r="7032" spans="1:11" ht="42" customHeight="1">
      <c r="A7032" s="2" t="s">
        <v>14690</v>
      </c>
      <c r="B7032" s="2" t="s">
        <v>14690</v>
      </c>
      <c r="C7032" s="2" t="s">
        <v>16</v>
      </c>
      <c r="D7032" s="2" t="s">
        <v>17</v>
      </c>
      <c r="E7032" s="5">
        <v>-31558</v>
      </c>
      <c r="F7032" s="3" t="s">
        <v>385</v>
      </c>
      <c r="G7032" s="3" t="s">
        <v>28</v>
      </c>
      <c r="H7032" s="2" t="s">
        <v>20</v>
      </c>
      <c r="I7032" s="2" t="s">
        <v>14691</v>
      </c>
      <c r="J7032" s="3" t="str">
        <f>HYPERLINK("https://www.boe.es/gazeta/dias/1813/08/05/pdfs/GRE-1813-99.pdf#page=8","Abrir facsímil")</f>
        <v>Abrir facsímil</v>
      </c>
      <c r="K7032" s="3" t="s">
        <v>22</v>
      </c>
    </row>
    <row r="7033" spans="1:11" ht="42" customHeight="1">
      <c r="A7033" s="2" t="s">
        <v>14693</v>
      </c>
      <c r="B7033" s="2" t="s">
        <v>14693</v>
      </c>
      <c r="C7033" s="2" t="s">
        <v>187</v>
      </c>
      <c r="D7033" s="2" t="s">
        <v>26</v>
      </c>
      <c r="E7033" s="5">
        <v>-31544</v>
      </c>
      <c r="F7033" s="3" t="s">
        <v>200</v>
      </c>
      <c r="G7033" s="3" t="s">
        <v>54</v>
      </c>
      <c r="H7033" s="2" t="s">
        <v>20</v>
      </c>
      <c r="I7033" s="2" t="s">
        <v>14694</v>
      </c>
      <c r="J7033" s="3" t="str">
        <f>HYPERLINK("https://www.boe.es/gazeta/dias/1813/08/19/pdfs/GRE-1813-106.pdf#page=3","Abrir facsímil")</f>
        <v>Abrir facsímil</v>
      </c>
      <c r="K7033" s="3" t="s">
        <v>22</v>
      </c>
    </row>
    <row r="7034" spans="1:11" ht="42" customHeight="1">
      <c r="A7034" s="2" t="s">
        <v>14695</v>
      </c>
      <c r="B7034" s="2" t="s">
        <v>14695</v>
      </c>
      <c r="C7034" s="2" t="s">
        <v>16</v>
      </c>
      <c r="D7034" s="2" t="s">
        <v>17</v>
      </c>
      <c r="E7034" s="5">
        <v>-31773</v>
      </c>
      <c r="F7034" s="3" t="s">
        <v>3667</v>
      </c>
      <c r="G7034" s="3" t="s">
        <v>2765</v>
      </c>
      <c r="H7034" s="2" t="s">
        <v>20</v>
      </c>
      <c r="I7034" s="2" t="s">
        <v>14696</v>
      </c>
      <c r="J7034" s="3" t="str">
        <f>HYPERLINK("https://www.boe.es/gazeta/dias/1813/01/02/pdfs/GRE-1813-1.pdf#page=4","Abrir facsímil")</f>
        <v>Abrir facsímil</v>
      </c>
      <c r="K7034" s="3" t="s">
        <v>22</v>
      </c>
    </row>
    <row r="7035" spans="1:11" ht="42" customHeight="1">
      <c r="A7035" s="2" t="s">
        <v>14697</v>
      </c>
      <c r="B7035" s="2" t="s">
        <v>14697</v>
      </c>
      <c r="C7035" s="2" t="s">
        <v>16</v>
      </c>
      <c r="D7035" s="2" t="s">
        <v>17</v>
      </c>
      <c r="E7035" s="5">
        <v>-31770</v>
      </c>
      <c r="F7035" s="3" t="s">
        <v>1738</v>
      </c>
      <c r="G7035" s="3" t="s">
        <v>58</v>
      </c>
      <c r="H7035" s="2" t="s">
        <v>20</v>
      </c>
      <c r="I7035" s="2" t="s">
        <v>14698</v>
      </c>
      <c r="J7035" s="3" t="str">
        <f>HYPERLINK("https://www.boe.es/gazeta/dias/1813/01/05/pdfs/GRE-1813-2.pdf#page=2","Abrir facsímil")</f>
        <v>Abrir facsímil</v>
      </c>
      <c r="K7035" s="3" t="s">
        <v>22</v>
      </c>
    </row>
    <row r="7036" spans="1:11" ht="42" customHeight="1">
      <c r="A7036" s="2" t="s">
        <v>14699</v>
      </c>
      <c r="B7036" s="2" t="s">
        <v>14699</v>
      </c>
      <c r="C7036" s="2" t="s">
        <v>16</v>
      </c>
      <c r="D7036" s="2" t="s">
        <v>17</v>
      </c>
      <c r="E7036" s="5">
        <v>-31743</v>
      </c>
      <c r="F7036" s="3" t="s">
        <v>2711</v>
      </c>
      <c r="G7036" s="3" t="s">
        <v>58</v>
      </c>
      <c r="H7036" s="2" t="s">
        <v>20</v>
      </c>
      <c r="I7036" s="2" t="s">
        <v>14700</v>
      </c>
      <c r="J7036" s="3" t="str">
        <f>HYPERLINK("https://www.boe.es/gazeta/dias/1813/02/01/pdfs/GMD-1813-32.pdf#page=2","Abrir facsímil")</f>
        <v>Abrir facsímil</v>
      </c>
      <c r="K7036" s="3" t="s">
        <v>22</v>
      </c>
    </row>
    <row r="7037" spans="1:11" ht="42" customHeight="1">
      <c r="A7037" s="2" t="s">
        <v>14701</v>
      </c>
      <c r="B7037" s="2" t="s">
        <v>14702</v>
      </c>
      <c r="C7037" s="2" t="s">
        <v>16</v>
      </c>
      <c r="D7037" s="2" t="s">
        <v>17</v>
      </c>
      <c r="E7037" s="5">
        <v>-31444</v>
      </c>
      <c r="F7037" s="3" t="s">
        <v>389</v>
      </c>
      <c r="G7037" s="3" t="s">
        <v>95</v>
      </c>
      <c r="H7037" s="2" t="s">
        <v>20</v>
      </c>
      <c r="I7037" s="2" t="s">
        <v>14703</v>
      </c>
      <c r="J7037" s="3" t="str">
        <f>HYPERLINK("https://www.boe.es/gazeta/dias/1813/11/27/pdfs/GMR-1813-80.pdf#page=6","Abrir facsímil")</f>
        <v>Abrir facsímil</v>
      </c>
      <c r="K7037" s="3" t="s">
        <v>22</v>
      </c>
    </row>
    <row r="7038" spans="1:11" ht="42" customHeight="1">
      <c r="A7038" s="2" t="s">
        <v>14704</v>
      </c>
      <c r="B7038" s="2" t="s">
        <v>14704</v>
      </c>
      <c r="C7038" s="2" t="s">
        <v>16</v>
      </c>
      <c r="D7038" s="2" t="s">
        <v>17</v>
      </c>
      <c r="E7038" s="5">
        <v>-31741</v>
      </c>
      <c r="F7038" s="3" t="s">
        <v>1359</v>
      </c>
      <c r="G7038" s="3" t="s">
        <v>54</v>
      </c>
      <c r="H7038" s="2" t="s">
        <v>20</v>
      </c>
      <c r="I7038" s="2" t="s">
        <v>14705</v>
      </c>
      <c r="J7038" s="3" t="str">
        <f>HYPERLINK("https://www.boe.es/gazeta/dias/1813/02/03/pdfs/GMD-1813-34.pdf#page=3","Abrir facsímil")</f>
        <v>Abrir facsímil</v>
      </c>
      <c r="K7038" s="3" t="s">
        <v>22</v>
      </c>
    </row>
    <row r="7039" spans="1:11" ht="42" customHeight="1">
      <c r="A7039" s="2" t="s">
        <v>14704</v>
      </c>
      <c r="B7039" s="2" t="s">
        <v>14704</v>
      </c>
      <c r="C7039" s="2" t="s">
        <v>25</v>
      </c>
      <c r="D7039" s="2" t="s">
        <v>97</v>
      </c>
      <c r="E7039" s="5">
        <v>-31499</v>
      </c>
      <c r="F7039" s="3" t="s">
        <v>220</v>
      </c>
      <c r="G7039" s="3" t="s">
        <v>95</v>
      </c>
      <c r="H7039" s="2" t="s">
        <v>20</v>
      </c>
      <c r="I7039" s="2" t="s">
        <v>14706</v>
      </c>
      <c r="J7039" s="3" t="str">
        <f>HYPERLINK("https://www.boe.es/gazeta/dias/1813/10/03/pdfs/GMR-1813-53E.pdf#page=6","Abrir facsímil")</f>
        <v>Abrir facsímil</v>
      </c>
      <c r="K7039" s="3" t="s">
        <v>22</v>
      </c>
    </row>
    <row r="7040" spans="1:11" ht="42" customHeight="1">
      <c r="A7040" s="2" t="s">
        <v>14707</v>
      </c>
      <c r="B7040" s="2" t="s">
        <v>14707</v>
      </c>
      <c r="C7040" s="2" t="s">
        <v>34</v>
      </c>
      <c r="D7040" s="2" t="s">
        <v>35</v>
      </c>
      <c r="E7040" s="5">
        <v>-31763</v>
      </c>
      <c r="F7040" s="3" t="s">
        <v>4470</v>
      </c>
      <c r="G7040" s="3" t="s">
        <v>54</v>
      </c>
      <c r="H7040" s="2" t="s">
        <v>20</v>
      </c>
      <c r="I7040" s="2" t="s">
        <v>14708</v>
      </c>
      <c r="J7040" s="3" t="str">
        <f>HYPERLINK("https://www.boe.es/gazeta/dias/1813/01/12/pdfs/GMD-1813-12.pdf#page=3","Abrir facsímil")</f>
        <v>Abrir facsímil</v>
      </c>
      <c r="K7040" s="3" t="s">
        <v>22</v>
      </c>
    </row>
    <row r="7041" spans="1:11" ht="42" customHeight="1">
      <c r="A7041" s="2" t="s">
        <v>14709</v>
      </c>
      <c r="B7041" s="2" t="s">
        <v>14709</v>
      </c>
      <c r="C7041" s="2" t="s">
        <v>109</v>
      </c>
      <c r="D7041" s="2" t="s">
        <v>26</v>
      </c>
      <c r="E7041" s="5">
        <v>-31667</v>
      </c>
      <c r="F7041" s="3" t="s">
        <v>3712</v>
      </c>
      <c r="G7041" s="3" t="s">
        <v>58</v>
      </c>
      <c r="H7041" s="2" t="s">
        <v>20</v>
      </c>
      <c r="I7041" s="2" t="s">
        <v>14710</v>
      </c>
      <c r="J7041" s="3" t="str">
        <f>HYPERLINK("https://www.boe.es/gazeta/dias/1813/04/18/pdfs/GMD-1813-108.pdf#page=2","Abrir facsímil")</f>
        <v>Abrir facsímil</v>
      </c>
      <c r="K7041" s="3" t="s">
        <v>22</v>
      </c>
    </row>
    <row r="7042" spans="1:11" ht="42" customHeight="1">
      <c r="A7042" s="2" t="s">
        <v>14711</v>
      </c>
      <c r="B7042" s="2" t="s">
        <v>14711</v>
      </c>
      <c r="C7042" s="2" t="s">
        <v>109</v>
      </c>
      <c r="D7042" s="2" t="s">
        <v>26</v>
      </c>
      <c r="E7042" s="5">
        <v>-31684</v>
      </c>
      <c r="F7042" s="3" t="s">
        <v>2053</v>
      </c>
      <c r="G7042" s="3" t="s">
        <v>65</v>
      </c>
      <c r="H7042" s="2" t="s">
        <v>20</v>
      </c>
      <c r="I7042" s="2" t="s">
        <v>14712</v>
      </c>
      <c r="J7042" s="3" t="str">
        <f>HYPERLINK("https://www.boe.es/gazeta/dias/1813/04/01/pdfs/GMD-1813-91.pdf#page=1","Abrir facsímil")</f>
        <v>Abrir facsímil</v>
      </c>
      <c r="K7042" s="3" t="s">
        <v>22</v>
      </c>
    </row>
    <row r="7043" spans="1:11" ht="42" customHeight="1">
      <c r="A7043" s="2" t="s">
        <v>14711</v>
      </c>
      <c r="B7043" s="2" t="s">
        <v>14711</v>
      </c>
      <c r="C7043" s="2" t="s">
        <v>34</v>
      </c>
      <c r="D7043" s="2" t="s">
        <v>35</v>
      </c>
      <c r="E7043" s="5">
        <v>-31667</v>
      </c>
      <c r="F7043" s="3" t="s">
        <v>3712</v>
      </c>
      <c r="G7043" s="3" t="s">
        <v>58</v>
      </c>
      <c r="H7043" s="2" t="s">
        <v>20</v>
      </c>
      <c r="I7043" s="2" t="s">
        <v>14713</v>
      </c>
      <c r="J7043" s="3" t="str">
        <f>HYPERLINK("https://www.boe.es/gazeta/dias/1813/04/18/pdfs/GMD-1813-108.pdf#page=2","Abrir facsímil")</f>
        <v>Abrir facsímil</v>
      </c>
      <c r="K7043" s="3" t="s">
        <v>22</v>
      </c>
    </row>
    <row r="7044" spans="1:11" ht="42" customHeight="1">
      <c r="A7044" s="2" t="s">
        <v>14711</v>
      </c>
      <c r="B7044" s="2" t="s">
        <v>14711</v>
      </c>
      <c r="C7044" s="2" t="s">
        <v>34</v>
      </c>
      <c r="D7044" s="2" t="s">
        <v>35</v>
      </c>
      <c r="E7044" s="5">
        <v>-31535</v>
      </c>
      <c r="F7044" s="3" t="s">
        <v>366</v>
      </c>
      <c r="G7044" s="3" t="s">
        <v>5335</v>
      </c>
      <c r="H7044" s="2" t="s">
        <v>20</v>
      </c>
      <c r="I7044" s="2" t="s">
        <v>14714</v>
      </c>
      <c r="J7044" s="3" t="str">
        <f>HYPERLINK("https://www.boe.es/gazeta/dias/1813/08/28/pdfs/GRE-1813-110.pdf#page=5","Abrir facsímil")</f>
        <v>Abrir facsímil</v>
      </c>
      <c r="K7044" s="3" t="s">
        <v>22</v>
      </c>
    </row>
    <row r="7045" spans="1:11" ht="42" customHeight="1">
      <c r="A7045" s="2" t="s">
        <v>14711</v>
      </c>
      <c r="B7045" s="2" t="s">
        <v>14711</v>
      </c>
      <c r="C7045" s="2" t="s">
        <v>25</v>
      </c>
      <c r="D7045" s="2" t="s">
        <v>26</v>
      </c>
      <c r="E7045" s="5">
        <v>-31488</v>
      </c>
      <c r="F7045" s="3" t="s">
        <v>2370</v>
      </c>
      <c r="G7045" s="3" t="s">
        <v>65</v>
      </c>
      <c r="H7045" s="2" t="s">
        <v>20</v>
      </c>
      <c r="I7045" s="2" t="s">
        <v>14715</v>
      </c>
      <c r="J7045" s="3" t="str">
        <f>HYPERLINK("https://www.boe.es/gazeta/dias/1813/10/14/pdfs/GMR-1813-59.pdf#page=1","Abrir facsímil")</f>
        <v>Abrir facsímil</v>
      </c>
      <c r="K7045" s="3" t="s">
        <v>22</v>
      </c>
    </row>
    <row r="7046" spans="1:11" ht="42" customHeight="1">
      <c r="A7046" s="2" t="s">
        <v>14716</v>
      </c>
      <c r="B7046" s="2" t="s">
        <v>14717</v>
      </c>
      <c r="C7046" s="2" t="s">
        <v>16</v>
      </c>
      <c r="D7046" s="2" t="s">
        <v>17</v>
      </c>
      <c r="E7046" s="5">
        <v>-31663</v>
      </c>
      <c r="F7046" s="3" t="s">
        <v>2638</v>
      </c>
      <c r="G7046" s="3" t="s">
        <v>7597</v>
      </c>
      <c r="H7046" s="2" t="s">
        <v>20</v>
      </c>
      <c r="I7046" s="2" t="s">
        <v>14718</v>
      </c>
      <c r="J7046" s="3" t="str">
        <f>HYPERLINK("https://www.boe.es/gazeta/dias/1813/04/22/pdfs/GRE-1813-50.pdf#page=8","Abrir facsímil")</f>
        <v>Abrir facsímil</v>
      </c>
      <c r="K7046" s="3" t="s">
        <v>22</v>
      </c>
    </row>
    <row r="7047" spans="1:11" ht="42" customHeight="1">
      <c r="A7047" s="2" t="s">
        <v>14719</v>
      </c>
      <c r="B7047" s="2" t="s">
        <v>14720</v>
      </c>
      <c r="C7047" s="2" t="s">
        <v>16</v>
      </c>
      <c r="D7047" s="2" t="s">
        <v>17</v>
      </c>
      <c r="E7047" s="5">
        <v>-31521</v>
      </c>
      <c r="F7047" s="3" t="s">
        <v>1256</v>
      </c>
      <c r="G7047" s="3" t="s">
        <v>87</v>
      </c>
      <c r="H7047" s="2" t="s">
        <v>20</v>
      </c>
      <c r="I7047" s="2" t="s">
        <v>14721</v>
      </c>
      <c r="J7047" s="3" t="str">
        <f>HYPERLINK("https://www.boe.es/gazeta/dias/1813/09/11/pdfs/GRE-1813-116.pdf#page=7","Abrir facsímil")</f>
        <v>Abrir facsímil</v>
      </c>
      <c r="K7047" s="3" t="s">
        <v>22</v>
      </c>
    </row>
    <row r="7048" spans="1:11" ht="42" customHeight="1">
      <c r="A7048" s="2" t="s">
        <v>14722</v>
      </c>
      <c r="B7048" s="2" t="s">
        <v>14723</v>
      </c>
      <c r="C7048" s="2" t="s">
        <v>16</v>
      </c>
      <c r="D7048" s="2" t="s">
        <v>17</v>
      </c>
      <c r="E7048" s="5">
        <v>-31619</v>
      </c>
      <c r="F7048" s="3" t="s">
        <v>1350</v>
      </c>
      <c r="G7048" s="3" t="s">
        <v>2984</v>
      </c>
      <c r="H7048" s="2" t="s">
        <v>20</v>
      </c>
      <c r="I7048" s="2" t="s">
        <v>14724</v>
      </c>
      <c r="J7048" s="3" t="str">
        <f>HYPERLINK("https://www.boe.es/gazeta/dias/1813/06/05/pdfs/GMR-1813-2.pdf#page=4","Abrir facsímil")</f>
        <v>Abrir facsímil</v>
      </c>
      <c r="K7048" s="3" t="s">
        <v>22</v>
      </c>
    </row>
    <row r="7049" spans="1:11" ht="42" customHeight="1">
      <c r="A7049" s="2" t="s">
        <v>14725</v>
      </c>
      <c r="B7049" s="2" t="s">
        <v>14726</v>
      </c>
      <c r="C7049" s="2" t="s">
        <v>25</v>
      </c>
      <c r="D7049" s="2" t="s">
        <v>26</v>
      </c>
      <c r="E7049" s="5">
        <v>-31567</v>
      </c>
      <c r="F7049" s="3" t="s">
        <v>820</v>
      </c>
      <c r="G7049" s="3" t="s">
        <v>3006</v>
      </c>
      <c r="H7049" s="2" t="s">
        <v>20</v>
      </c>
      <c r="I7049" s="2" t="s">
        <v>14727</v>
      </c>
      <c r="J7049" s="3" t="str">
        <f>HYPERLINK("https://www.boe.es/gazeta/dias/1813/07/27/pdfs/GMR-1813-21.pdf#page=15","Abrir facsímil")</f>
        <v>Abrir facsímil</v>
      </c>
      <c r="K7049" s="3" t="s">
        <v>22</v>
      </c>
    </row>
    <row r="7050" spans="1:11" ht="42" customHeight="1">
      <c r="A7050" s="2" t="s">
        <v>14728</v>
      </c>
      <c r="B7050" s="2" t="s">
        <v>14729</v>
      </c>
      <c r="C7050" s="2" t="s">
        <v>16</v>
      </c>
      <c r="D7050" s="2" t="s">
        <v>17</v>
      </c>
      <c r="E7050" s="5">
        <v>-31630</v>
      </c>
      <c r="F7050" s="3" t="s">
        <v>1324</v>
      </c>
      <c r="G7050" s="3" t="s">
        <v>3731</v>
      </c>
      <c r="H7050" s="2" t="s">
        <v>20</v>
      </c>
      <c r="I7050" s="2" t="s">
        <v>14730</v>
      </c>
      <c r="J7050" s="3" t="str">
        <f>HYPERLINK("https://www.boe.es/gazeta/dias/1813/05/25/pdfs/GRE-1813-64.pdf#page=7","Abrir facsímil")</f>
        <v>Abrir facsímil</v>
      </c>
      <c r="K7050" s="3" t="s">
        <v>22</v>
      </c>
    </row>
    <row r="7051" spans="1:11" ht="42" customHeight="1">
      <c r="A7051" s="2" t="s">
        <v>14731</v>
      </c>
      <c r="B7051" s="2" t="s">
        <v>14732</v>
      </c>
      <c r="C7051" s="2" t="s">
        <v>34</v>
      </c>
      <c r="D7051" s="2" t="s">
        <v>35</v>
      </c>
      <c r="E7051" s="5">
        <v>-31521</v>
      </c>
      <c r="F7051" s="3" t="s">
        <v>1282</v>
      </c>
      <c r="G7051" s="3" t="s">
        <v>207</v>
      </c>
      <c r="H7051" s="2" t="s">
        <v>20</v>
      </c>
      <c r="I7051" s="2" t="s">
        <v>14733</v>
      </c>
      <c r="J7051" s="3" t="str">
        <f>HYPERLINK("https://www.boe.es/gazeta/dias/1813/09/11/pdfs/GMR-1813-41.pdf#page=10","Abrir facsímil")</f>
        <v>Abrir facsímil</v>
      </c>
      <c r="K7051" s="3" t="s">
        <v>22</v>
      </c>
    </row>
    <row r="7052" spans="1:11" ht="42" customHeight="1">
      <c r="A7052" s="2" t="s">
        <v>14734</v>
      </c>
      <c r="B7052" s="2" t="s">
        <v>14735</v>
      </c>
      <c r="C7052" s="2" t="s">
        <v>34</v>
      </c>
      <c r="D7052" s="2" t="s">
        <v>35</v>
      </c>
      <c r="E7052" s="5">
        <v>-31588</v>
      </c>
      <c r="F7052" s="3" t="s">
        <v>1535</v>
      </c>
      <c r="G7052" s="3" t="s">
        <v>3006</v>
      </c>
      <c r="H7052" s="2" t="s">
        <v>29</v>
      </c>
      <c r="I7052" s="2" t="s">
        <v>14736</v>
      </c>
      <c r="J7052" s="3" t="str">
        <f>HYPERLINK("https://www.boe.es/gazeta/dias/1813/07/06/pdfs/GMR-1813-15.pdf#page=15","Abrir facsímil")</f>
        <v>Abrir facsímil</v>
      </c>
      <c r="K7052" s="3" t="s">
        <v>31</v>
      </c>
    </row>
    <row r="7053" spans="1:11" ht="42" customHeight="1">
      <c r="A7053" s="2" t="s">
        <v>14737</v>
      </c>
      <c r="B7053" s="2" t="s">
        <v>14738</v>
      </c>
      <c r="C7053" s="2" t="s">
        <v>16</v>
      </c>
      <c r="D7053" s="2" t="s">
        <v>17</v>
      </c>
      <c r="E7053" s="5">
        <v>-31657</v>
      </c>
      <c r="F7053" s="3" t="s">
        <v>988</v>
      </c>
      <c r="G7053" s="3" t="s">
        <v>54</v>
      </c>
      <c r="H7053" s="2" t="s">
        <v>20</v>
      </c>
      <c r="I7053" s="2" t="s">
        <v>14739</v>
      </c>
      <c r="J7053" s="3" t="str">
        <f>HYPERLINK("https://www.boe.es/gazeta/dias/1813/04/28/pdfs/GMD-1813-118.pdf#page=3","Abrir facsímil")</f>
        <v>Abrir facsímil</v>
      </c>
      <c r="K7053" s="3" t="s">
        <v>22</v>
      </c>
    </row>
    <row r="7054" spans="1:11" ht="42" customHeight="1">
      <c r="A7054" s="2" t="s">
        <v>14740</v>
      </c>
      <c r="B7054" s="2" t="s">
        <v>14740</v>
      </c>
      <c r="C7054" s="2" t="s">
        <v>25</v>
      </c>
      <c r="D7054" s="2" t="s">
        <v>26</v>
      </c>
      <c r="E7054" s="5">
        <v>-31754</v>
      </c>
      <c r="F7054" s="3" t="s">
        <v>899</v>
      </c>
      <c r="G7054" s="3" t="s">
        <v>900</v>
      </c>
      <c r="H7054" s="2" t="s">
        <v>20</v>
      </c>
      <c r="I7054" s="2" t="s">
        <v>14741</v>
      </c>
      <c r="J7054" s="3" t="str">
        <f>HYPERLINK("https://www.boe.es/gazeta/dias/1813/01/21/pdfs/GRE-1813-9.pdf#page=8","Abrir facsímil")</f>
        <v>Abrir facsímil</v>
      </c>
      <c r="K7054" s="3" t="s">
        <v>22</v>
      </c>
    </row>
    <row r="7055" spans="1:11" ht="42" customHeight="1">
      <c r="A7055" s="2" t="s">
        <v>14742</v>
      </c>
      <c r="B7055" s="2" t="s">
        <v>14742</v>
      </c>
      <c r="C7055" s="2" t="s">
        <v>16</v>
      </c>
      <c r="D7055" s="2" t="s">
        <v>17</v>
      </c>
      <c r="E7055" s="5">
        <v>-31673</v>
      </c>
      <c r="F7055" s="3" t="s">
        <v>2764</v>
      </c>
      <c r="G7055" s="3" t="s">
        <v>19</v>
      </c>
      <c r="H7055" s="2" t="s">
        <v>20</v>
      </c>
      <c r="I7055" s="2" t="s">
        <v>14743</v>
      </c>
      <c r="J7055" s="3" t="str">
        <f>HYPERLINK("https://www.boe.es/gazeta/dias/1813/04/12/pdfs/GMD-1813-102.pdf#page=4","Abrir facsímil")</f>
        <v>Abrir facsímil</v>
      </c>
      <c r="K7055" s="3" t="s">
        <v>22</v>
      </c>
    </row>
    <row r="7056" spans="1:11" ht="42" customHeight="1">
      <c r="A7056" s="2" t="s">
        <v>14744</v>
      </c>
      <c r="B7056" s="2" t="s">
        <v>14744</v>
      </c>
      <c r="C7056" s="2" t="s">
        <v>16</v>
      </c>
      <c r="D7056" s="2" t="s">
        <v>17</v>
      </c>
      <c r="E7056" s="5">
        <v>-31636</v>
      </c>
      <c r="F7056" s="3" t="s">
        <v>1673</v>
      </c>
      <c r="G7056" s="3" t="s">
        <v>65</v>
      </c>
      <c r="H7056" s="2" t="s">
        <v>20</v>
      </c>
      <c r="I7056" s="2" t="s">
        <v>14745</v>
      </c>
      <c r="J7056" s="3" t="str">
        <f>HYPERLINK("https://www.boe.es/gazeta/dias/1813/05/19/pdfs/GMD-1813-139.pdf#page=1","Abrir facsímil")</f>
        <v>Abrir facsímil</v>
      </c>
      <c r="K7056" s="3" t="s">
        <v>22</v>
      </c>
    </row>
    <row r="7057" spans="1:11" ht="42" customHeight="1">
      <c r="A7057" s="2" t="s">
        <v>14746</v>
      </c>
      <c r="B7057" s="2" t="s">
        <v>14746</v>
      </c>
      <c r="C7057" s="2" t="s">
        <v>435</v>
      </c>
      <c r="D7057" s="2" t="s">
        <v>26</v>
      </c>
      <c r="E7057" s="5">
        <v>-31637</v>
      </c>
      <c r="F7057" s="3" t="s">
        <v>855</v>
      </c>
      <c r="G7057" s="3" t="s">
        <v>19</v>
      </c>
      <c r="H7057" s="2" t="s">
        <v>20</v>
      </c>
      <c r="I7057" s="2" t="s">
        <v>14747</v>
      </c>
      <c r="J7057" s="3" t="str">
        <f>HYPERLINK("https://www.boe.es/gazeta/dias/1813/05/18/pdfs/GMD-1813-138.pdf#page=4","Abrir facsímil")</f>
        <v>Abrir facsímil</v>
      </c>
      <c r="K7057" s="3" t="s">
        <v>22</v>
      </c>
    </row>
    <row r="7058" spans="1:11" ht="42" customHeight="1">
      <c r="A7058" s="2" t="s">
        <v>14748</v>
      </c>
      <c r="B7058" s="2" t="s">
        <v>14748</v>
      </c>
      <c r="C7058" s="2" t="s">
        <v>16</v>
      </c>
      <c r="D7058" s="2" t="s">
        <v>17</v>
      </c>
      <c r="E7058" s="5">
        <v>-31740</v>
      </c>
      <c r="F7058" s="3" t="s">
        <v>354</v>
      </c>
      <c r="G7058" s="3" t="s">
        <v>6579</v>
      </c>
      <c r="H7058" s="2" t="s">
        <v>20</v>
      </c>
      <c r="I7058" s="2" t="s">
        <v>14749</v>
      </c>
      <c r="J7058" s="3" t="str">
        <f>HYPERLINK("https://www.boe.es/gazeta/dias/1813/02/04/pdfs/GRE-1813-15.pdf#page=2","Abrir facsímil")</f>
        <v>Abrir facsímil</v>
      </c>
      <c r="K7058" s="3" t="s">
        <v>22</v>
      </c>
    </row>
    <row r="7059" spans="1:11" ht="42" customHeight="1">
      <c r="A7059" s="2" t="s">
        <v>14750</v>
      </c>
      <c r="B7059" s="2" t="s">
        <v>14751</v>
      </c>
      <c r="C7059" s="2" t="s">
        <v>16</v>
      </c>
      <c r="D7059" s="2" t="s">
        <v>17</v>
      </c>
      <c r="E7059" s="5">
        <v>-31644</v>
      </c>
      <c r="F7059" s="3" t="s">
        <v>1979</v>
      </c>
      <c r="G7059" s="3" t="s">
        <v>19</v>
      </c>
      <c r="H7059" s="2" t="s">
        <v>29</v>
      </c>
      <c r="I7059" s="2" t="s">
        <v>14752</v>
      </c>
      <c r="J7059" s="3" t="str">
        <f>HYPERLINK("https://www.boe.es/gazeta/dias/1813/05/11/pdfs/GMD-1813-131.pdf#page=4","Abrir facsímil")</f>
        <v>Abrir facsímil</v>
      </c>
      <c r="K7059" s="3" t="s">
        <v>31</v>
      </c>
    </row>
    <row r="7060" spans="1:11" ht="42" customHeight="1">
      <c r="A7060" s="2" t="s">
        <v>14753</v>
      </c>
      <c r="B7060" s="2" t="s">
        <v>14754</v>
      </c>
      <c r="C7060" s="2" t="s">
        <v>16</v>
      </c>
      <c r="D7060" s="2" t="s">
        <v>17</v>
      </c>
      <c r="E7060" s="5">
        <v>-31663</v>
      </c>
      <c r="F7060" s="3" t="s">
        <v>2638</v>
      </c>
      <c r="G7060" s="3" t="s">
        <v>14755</v>
      </c>
      <c r="H7060" s="2" t="s">
        <v>20</v>
      </c>
      <c r="I7060" s="2" t="s">
        <v>14756</v>
      </c>
      <c r="J7060" s="3" t="str">
        <f>HYPERLINK("https://www.boe.es/gazeta/dias/1813/04/22/pdfs/GRE-1813-50.pdf#page=6","Abrir facsímil")</f>
        <v>Abrir facsímil</v>
      </c>
      <c r="K7060" s="3" t="s">
        <v>22</v>
      </c>
    </row>
    <row r="7061" spans="1:11" ht="42" customHeight="1">
      <c r="A7061" s="2" t="s">
        <v>14757</v>
      </c>
      <c r="B7061" s="2" t="s">
        <v>14757</v>
      </c>
      <c r="C7061" s="2" t="s">
        <v>16</v>
      </c>
      <c r="D7061" s="2" t="s">
        <v>17</v>
      </c>
      <c r="E7061" s="5">
        <v>-31692</v>
      </c>
      <c r="F7061" s="3" t="s">
        <v>2171</v>
      </c>
      <c r="G7061" s="3" t="s">
        <v>58</v>
      </c>
      <c r="H7061" s="2" t="s">
        <v>20</v>
      </c>
      <c r="I7061" s="2" t="s">
        <v>14758</v>
      </c>
      <c r="J7061" s="3" t="str">
        <f>HYPERLINK("https://www.boe.es/gazeta/dias/1813/03/24/pdfs/GMD-1813-83.pdf#page=2","Abrir facsímil")</f>
        <v>Abrir facsímil</v>
      </c>
      <c r="K7061" s="3" t="s">
        <v>22</v>
      </c>
    </row>
    <row r="7062" spans="1:11" ht="42" customHeight="1">
      <c r="A7062" s="2" t="s">
        <v>14759</v>
      </c>
      <c r="B7062" s="2" t="s">
        <v>14759</v>
      </c>
      <c r="C7062" s="2" t="s">
        <v>16</v>
      </c>
      <c r="D7062" s="2" t="s">
        <v>17</v>
      </c>
      <c r="E7062" s="5">
        <v>-31707</v>
      </c>
      <c r="F7062" s="3" t="s">
        <v>1557</v>
      </c>
      <c r="G7062" s="3" t="s">
        <v>1558</v>
      </c>
      <c r="H7062" s="2" t="s">
        <v>20</v>
      </c>
      <c r="I7062" s="2" t="s">
        <v>14760</v>
      </c>
      <c r="J7062" s="3" t="str">
        <f>HYPERLINK("https://www.boe.es/gazeta/dias/1813/03/09/pdfs/GRE-1813-30.pdf#page=8","Abrir facsímil")</f>
        <v>Abrir facsímil</v>
      </c>
      <c r="K7062" s="3" t="s">
        <v>22</v>
      </c>
    </row>
    <row r="7063" spans="1:11" ht="42" customHeight="1">
      <c r="A7063" s="2" t="s">
        <v>14759</v>
      </c>
      <c r="B7063" s="2" t="s">
        <v>14759</v>
      </c>
      <c r="C7063" s="2" t="s">
        <v>16</v>
      </c>
      <c r="D7063" s="2" t="s">
        <v>17</v>
      </c>
      <c r="E7063" s="5">
        <v>-31670</v>
      </c>
      <c r="F7063" s="3" t="s">
        <v>92</v>
      </c>
      <c r="G7063" s="3" t="s">
        <v>14761</v>
      </c>
      <c r="H7063" s="2" t="s">
        <v>20</v>
      </c>
      <c r="I7063" s="2" t="s">
        <v>14762</v>
      </c>
      <c r="J7063" s="3" t="str">
        <f>HYPERLINK("https://www.boe.es/gazeta/dias/1813/04/15/pdfs/GRE-1813-46.pdf#page=2","Abrir facsímil")</f>
        <v>Abrir facsímil</v>
      </c>
      <c r="K7063" s="3" t="s">
        <v>22</v>
      </c>
    </row>
    <row r="7064" spans="1:11" ht="42" customHeight="1">
      <c r="A7064" s="2" t="s">
        <v>14759</v>
      </c>
      <c r="B7064" s="2" t="s">
        <v>14759</v>
      </c>
      <c r="C7064" s="2" t="s">
        <v>16</v>
      </c>
      <c r="D7064" s="2" t="s">
        <v>97</v>
      </c>
      <c r="E7064" s="5">
        <v>-31548</v>
      </c>
      <c r="F7064" s="3" t="s">
        <v>1680</v>
      </c>
      <c r="G7064" s="3" t="s">
        <v>65</v>
      </c>
      <c r="H7064" s="2" t="s">
        <v>20</v>
      </c>
      <c r="I7064" s="2" t="s">
        <v>14763</v>
      </c>
      <c r="J7064" s="3" t="str">
        <f>HYPERLINK("https://www.boe.es/gazeta/dias/1813/08/15/pdfs/GRE-1813-104E.pdf#page=1","Abrir facsímil")</f>
        <v>Abrir facsímil</v>
      </c>
      <c r="K7064" s="3" t="s">
        <v>22</v>
      </c>
    </row>
    <row r="7065" spans="1:11" ht="42" customHeight="1">
      <c r="A7065" s="2" t="s">
        <v>14759</v>
      </c>
      <c r="B7065" s="2" t="s">
        <v>14759</v>
      </c>
      <c r="C7065" s="2" t="s">
        <v>16</v>
      </c>
      <c r="D7065" s="2" t="s">
        <v>17</v>
      </c>
      <c r="E7065" s="5">
        <v>-31544</v>
      </c>
      <c r="F7065" s="3" t="s">
        <v>200</v>
      </c>
      <c r="G7065" s="3" t="s">
        <v>65</v>
      </c>
      <c r="H7065" s="2" t="s">
        <v>20</v>
      </c>
      <c r="I7065" s="2" t="s">
        <v>14764</v>
      </c>
      <c r="J7065" s="3" t="str">
        <f>HYPERLINK("https://www.boe.es/gazeta/dias/1813/08/19/pdfs/GRE-1813-106.pdf#page=1","Abrir facsímil")</f>
        <v>Abrir facsímil</v>
      </c>
      <c r="K7065" s="3" t="s">
        <v>22</v>
      </c>
    </row>
    <row r="7066" spans="1:11" ht="42" customHeight="1">
      <c r="A7066" s="2" t="s">
        <v>14765</v>
      </c>
      <c r="B7066" s="2" t="s">
        <v>14765</v>
      </c>
      <c r="C7066" s="2" t="s">
        <v>16</v>
      </c>
      <c r="D7066" s="2" t="s">
        <v>17</v>
      </c>
      <c r="E7066" s="5">
        <v>-31678</v>
      </c>
      <c r="F7066" s="3" t="s">
        <v>8495</v>
      </c>
      <c r="G7066" s="3" t="s">
        <v>99</v>
      </c>
      <c r="H7066" s="2" t="s">
        <v>20</v>
      </c>
      <c r="I7066" s="2" t="s">
        <v>14766</v>
      </c>
      <c r="J7066" s="3" t="str">
        <f>HYPERLINK("https://www.boe.es/gazeta/dias/1813/04/07/pdfs/GMD-1813-97.pdf#page=2","Abrir facsímil")</f>
        <v>Abrir facsímil</v>
      </c>
      <c r="K7066" s="3" t="s">
        <v>22</v>
      </c>
    </row>
    <row r="7067" spans="1:11" ht="42" customHeight="1">
      <c r="A7067" s="2" t="s">
        <v>14767</v>
      </c>
      <c r="B7067" s="2" t="s">
        <v>14767</v>
      </c>
      <c r="C7067" s="2" t="s">
        <v>16</v>
      </c>
      <c r="D7067" s="2" t="s">
        <v>97</v>
      </c>
      <c r="E7067" s="5">
        <v>-31519</v>
      </c>
      <c r="F7067" s="3" t="s">
        <v>312</v>
      </c>
      <c r="G7067" s="3" t="s">
        <v>19</v>
      </c>
      <c r="H7067" s="2" t="s">
        <v>20</v>
      </c>
      <c r="I7067" s="2" t="s">
        <v>14768</v>
      </c>
      <c r="J7067" s="3" t="str">
        <f>HYPERLINK("https://www.boe.es/gazeta/dias/1813/09/13/pdfs/GRE-1813-118E.pdf#page=4","Abrir facsímil")</f>
        <v>Abrir facsímil</v>
      </c>
      <c r="K7067" s="3" t="s">
        <v>22</v>
      </c>
    </row>
    <row r="7068" spans="1:11" ht="42" customHeight="1">
      <c r="A7068" s="2" t="s">
        <v>14769</v>
      </c>
      <c r="B7068" s="2" t="s">
        <v>14769</v>
      </c>
      <c r="C7068" s="2" t="s">
        <v>16</v>
      </c>
      <c r="D7068" s="2" t="s">
        <v>17</v>
      </c>
      <c r="E7068" s="5">
        <v>-31660</v>
      </c>
      <c r="F7068" s="3" t="s">
        <v>1632</v>
      </c>
      <c r="G7068" s="3" t="s">
        <v>65</v>
      </c>
      <c r="H7068" s="2" t="s">
        <v>20</v>
      </c>
      <c r="I7068" s="2" t="s">
        <v>14770</v>
      </c>
      <c r="J7068" s="3" t="str">
        <f>HYPERLINK("https://www.boe.es/gazeta/dias/1813/04/25/pdfs/GMD-1813-115.pdf#page=1","Abrir facsímil")</f>
        <v>Abrir facsímil</v>
      </c>
      <c r="K7068" s="3" t="s">
        <v>22</v>
      </c>
    </row>
    <row r="7069" spans="1:11" ht="42" customHeight="1">
      <c r="A7069" s="2" t="s">
        <v>14771</v>
      </c>
      <c r="B7069" s="2" t="s">
        <v>14771</v>
      </c>
      <c r="C7069" s="2" t="s">
        <v>16</v>
      </c>
      <c r="D7069" s="2" t="s">
        <v>17</v>
      </c>
      <c r="E7069" s="5">
        <v>-31507</v>
      </c>
      <c r="F7069" s="3" t="s">
        <v>61</v>
      </c>
      <c r="G7069" s="3" t="s">
        <v>65</v>
      </c>
      <c r="H7069" s="2" t="s">
        <v>20</v>
      </c>
      <c r="I7069" s="2" t="s">
        <v>14772</v>
      </c>
      <c r="J7069" s="3" t="str">
        <f>HYPERLINK("https://www.boe.es/gazeta/dias/1813/09/25/pdfs/GMR-1813-48.pdf#page=1","Abrir facsímil")</f>
        <v>Abrir facsímil</v>
      </c>
      <c r="K7069" s="3" t="s">
        <v>22</v>
      </c>
    </row>
    <row r="7070" spans="1:11" ht="42" customHeight="1">
      <c r="A7070" s="2" t="s">
        <v>14773</v>
      </c>
      <c r="B7070" s="2" t="s">
        <v>14773</v>
      </c>
      <c r="C7070" s="2" t="s">
        <v>16</v>
      </c>
      <c r="D7070" s="2" t="s">
        <v>17</v>
      </c>
      <c r="E7070" s="5">
        <v>-31509</v>
      </c>
      <c r="F7070" s="3" t="s">
        <v>2007</v>
      </c>
      <c r="G7070" s="3" t="s">
        <v>87</v>
      </c>
      <c r="H7070" s="2" t="s">
        <v>20</v>
      </c>
      <c r="I7070" s="2" t="s">
        <v>14774</v>
      </c>
      <c r="J7070" s="3" t="str">
        <f>HYPERLINK("https://www.boe.es/gazeta/dias/1813/09/23/pdfs/GRE-1813-125.pdf#page=7","Abrir facsímil")</f>
        <v>Abrir facsímil</v>
      </c>
      <c r="K7070" s="3" t="s">
        <v>22</v>
      </c>
    </row>
    <row r="7071" spans="1:11" ht="42" customHeight="1">
      <c r="A7071" s="2" t="s">
        <v>14775</v>
      </c>
      <c r="B7071" s="2" t="s">
        <v>14775</v>
      </c>
      <c r="C7071" s="2" t="s">
        <v>16</v>
      </c>
      <c r="D7071" s="2" t="s">
        <v>17</v>
      </c>
      <c r="E7071" s="5">
        <v>-31420</v>
      </c>
      <c r="F7071" s="3" t="s">
        <v>145</v>
      </c>
      <c r="G7071" s="3" t="s">
        <v>82</v>
      </c>
      <c r="H7071" s="2" t="s">
        <v>20</v>
      </c>
      <c r="I7071" s="2" t="s">
        <v>14776</v>
      </c>
      <c r="J7071" s="3" t="str">
        <f>HYPERLINK("https://www.boe.es/gazeta/dias/1813/12/21/pdfs/GMR-1813-90.pdf#page=5","Abrir facsímil")</f>
        <v>Abrir facsímil</v>
      </c>
      <c r="K7071" s="3" t="s">
        <v>22</v>
      </c>
    </row>
    <row r="7072" spans="1:11" ht="42" customHeight="1">
      <c r="A7072" s="2" t="s">
        <v>14777</v>
      </c>
      <c r="B7072" s="2" t="s">
        <v>14777</v>
      </c>
      <c r="C7072" s="2" t="s">
        <v>16</v>
      </c>
      <c r="D7072" s="2" t="s">
        <v>17</v>
      </c>
      <c r="E7072" s="5">
        <v>-31416</v>
      </c>
      <c r="F7072" s="3" t="s">
        <v>110</v>
      </c>
      <c r="G7072" s="3" t="s">
        <v>82</v>
      </c>
      <c r="H7072" s="2" t="s">
        <v>20</v>
      </c>
      <c r="I7072" s="2" t="s">
        <v>14778</v>
      </c>
      <c r="J7072" s="3" t="str">
        <f>HYPERLINK("https://www.boe.es/gazeta/dias/1813/12/25/pdfs/GRE-1813-169.pdf#page=5","Abrir facsímil")</f>
        <v>Abrir facsímil</v>
      </c>
      <c r="K7072" s="3" t="s">
        <v>22</v>
      </c>
    </row>
    <row r="7073" spans="1:11" ht="42" customHeight="1">
      <c r="A7073" s="2" t="s">
        <v>14779</v>
      </c>
      <c r="B7073" s="2" t="s">
        <v>14779</v>
      </c>
      <c r="C7073" s="2" t="s">
        <v>16</v>
      </c>
      <c r="D7073" s="2" t="s">
        <v>17</v>
      </c>
      <c r="E7073" s="5">
        <v>-31700</v>
      </c>
      <c r="F7073" s="3" t="s">
        <v>778</v>
      </c>
      <c r="G7073" s="3" t="s">
        <v>65</v>
      </c>
      <c r="H7073" s="2" t="s">
        <v>20</v>
      </c>
      <c r="I7073" s="2" t="s">
        <v>14780</v>
      </c>
      <c r="J7073" s="3" t="str">
        <f>HYPERLINK("https://www.boe.es/gazeta/dias/1813/03/16/pdfs/GMD-1813-75.pdf#page=1","Abrir facsímil")</f>
        <v>Abrir facsímil</v>
      </c>
      <c r="K7073" s="3" t="s">
        <v>22</v>
      </c>
    </row>
    <row r="7074" spans="1:11" ht="42" customHeight="1">
      <c r="A7074" s="2" t="s">
        <v>14781</v>
      </c>
      <c r="B7074" s="2" t="s">
        <v>14781</v>
      </c>
      <c r="C7074" s="2" t="s">
        <v>16</v>
      </c>
      <c r="D7074" s="2" t="s">
        <v>17</v>
      </c>
      <c r="E7074" s="5">
        <v>-31578</v>
      </c>
      <c r="F7074" s="3" t="s">
        <v>974</v>
      </c>
      <c r="G7074" s="3" t="s">
        <v>6206</v>
      </c>
      <c r="H7074" s="2" t="s">
        <v>20</v>
      </c>
      <c r="I7074" s="2" t="s">
        <v>14782</v>
      </c>
      <c r="J7074" s="3" t="str">
        <f>HYPERLINK("https://www.boe.es/gazeta/dias/1813/07/16/pdfs/GMR-1813-18.pdf#page=2","Abrir facsímil")</f>
        <v>Abrir facsímil</v>
      </c>
      <c r="K7074" s="3" t="s">
        <v>22</v>
      </c>
    </row>
    <row r="7075" spans="1:11" ht="42" customHeight="1">
      <c r="A7075" s="2" t="s">
        <v>14783</v>
      </c>
      <c r="B7075" s="2" t="s">
        <v>14783</v>
      </c>
      <c r="C7075" s="2" t="s">
        <v>16</v>
      </c>
      <c r="D7075" s="2" t="s">
        <v>17</v>
      </c>
      <c r="E7075" s="5">
        <v>-31713</v>
      </c>
      <c r="F7075" s="3" t="s">
        <v>3677</v>
      </c>
      <c r="G7075" s="3" t="s">
        <v>65</v>
      </c>
      <c r="H7075" s="2" t="s">
        <v>20</v>
      </c>
      <c r="I7075" s="2" t="s">
        <v>14784</v>
      </c>
      <c r="J7075" s="3" t="str">
        <f>HYPERLINK("https://www.boe.es/gazeta/dias/1813/03/03/pdfs/GMD-1813-62.pdf#page=1","Abrir facsímil")</f>
        <v>Abrir facsímil</v>
      </c>
      <c r="K7075" s="3" t="s">
        <v>22</v>
      </c>
    </row>
    <row r="7076" spans="1:11" ht="42" customHeight="1">
      <c r="A7076" s="2" t="s">
        <v>14785</v>
      </c>
      <c r="B7076" s="2" t="s">
        <v>14786</v>
      </c>
      <c r="C7076" s="2" t="s">
        <v>16</v>
      </c>
      <c r="D7076" s="2" t="s">
        <v>17</v>
      </c>
      <c r="E7076" s="5">
        <v>-31745</v>
      </c>
      <c r="F7076" s="3" t="s">
        <v>445</v>
      </c>
      <c r="G7076" s="3" t="s">
        <v>28</v>
      </c>
      <c r="H7076" s="2" t="s">
        <v>20</v>
      </c>
      <c r="I7076" s="2" t="s">
        <v>14787</v>
      </c>
      <c r="J7076" s="3" t="str">
        <f>HYPERLINK("https://www.boe.es/gazeta/dias/1813/01/30/pdfs/GRE-1813-13.pdf#page=8","Abrir facsímil")</f>
        <v>Abrir facsímil</v>
      </c>
      <c r="K7076" s="3" t="s">
        <v>22</v>
      </c>
    </row>
    <row r="7077" spans="1:11" ht="42" customHeight="1">
      <c r="A7077" s="2" t="s">
        <v>14788</v>
      </c>
      <c r="B7077" s="2" t="s">
        <v>14788</v>
      </c>
      <c r="C7077" s="2" t="s">
        <v>16</v>
      </c>
      <c r="D7077" s="2" t="s">
        <v>17</v>
      </c>
      <c r="E7077" s="5">
        <v>-31700</v>
      </c>
      <c r="F7077" s="3" t="s">
        <v>778</v>
      </c>
      <c r="G7077" s="3" t="s">
        <v>65</v>
      </c>
      <c r="H7077" s="2" t="s">
        <v>20</v>
      </c>
      <c r="I7077" s="2" t="s">
        <v>14789</v>
      </c>
      <c r="J7077" s="3" t="str">
        <f>HYPERLINK("https://www.boe.es/gazeta/dias/1813/03/16/pdfs/GMD-1813-75.pdf#page=1","Abrir facsímil")</f>
        <v>Abrir facsímil</v>
      </c>
      <c r="K7077" s="3" t="s">
        <v>22</v>
      </c>
    </row>
    <row r="7078" spans="1:11" ht="42" customHeight="1">
      <c r="A7078" s="2" t="s">
        <v>14790</v>
      </c>
      <c r="B7078" s="2" t="s">
        <v>14790</v>
      </c>
      <c r="C7078" s="2" t="s">
        <v>16</v>
      </c>
      <c r="D7078" s="2" t="s">
        <v>17</v>
      </c>
      <c r="E7078" s="5">
        <v>-31699</v>
      </c>
      <c r="F7078" s="3" t="s">
        <v>13534</v>
      </c>
      <c r="G7078" s="3" t="s">
        <v>65</v>
      </c>
      <c r="H7078" s="2" t="s">
        <v>20</v>
      </c>
      <c r="I7078" s="2" t="s">
        <v>14791</v>
      </c>
      <c r="J7078" s="3" t="str">
        <f>HYPERLINK("https://www.boe.es/gazeta/dias/1813/03/17/pdfs/GMD-1813-76.pdf#page=1","Abrir facsímil")</f>
        <v>Abrir facsímil</v>
      </c>
      <c r="K7078" s="3" t="s">
        <v>22</v>
      </c>
    </row>
    <row r="7079" spans="1:11" ht="42" customHeight="1">
      <c r="A7079" s="2" t="s">
        <v>14790</v>
      </c>
      <c r="B7079" s="2" t="s">
        <v>14790</v>
      </c>
      <c r="C7079" s="2" t="s">
        <v>16</v>
      </c>
      <c r="D7079" s="2" t="s">
        <v>17</v>
      </c>
      <c r="E7079" s="5">
        <v>-31511</v>
      </c>
      <c r="F7079" s="3" t="s">
        <v>2149</v>
      </c>
      <c r="G7079" s="3" t="s">
        <v>95</v>
      </c>
      <c r="H7079" s="2" t="s">
        <v>20</v>
      </c>
      <c r="I7079" s="2" t="s">
        <v>14792</v>
      </c>
      <c r="J7079" s="3" t="str">
        <f>HYPERLINK("https://www.boe.es/gazeta/dias/1813/09/21/pdfs/GRE-1813-122.pdf#page=6","Abrir facsímil")</f>
        <v>Abrir facsímil</v>
      </c>
      <c r="K7079" s="3" t="s">
        <v>22</v>
      </c>
    </row>
    <row r="7080" spans="1:11" ht="42" customHeight="1">
      <c r="A7080" s="2" t="s">
        <v>14793</v>
      </c>
      <c r="B7080" s="2" t="s">
        <v>14793</v>
      </c>
      <c r="C7080" s="2" t="s">
        <v>69</v>
      </c>
      <c r="D7080" s="2" t="s">
        <v>26</v>
      </c>
      <c r="E7080" s="5">
        <v>-31769</v>
      </c>
      <c r="F7080" s="3" t="s">
        <v>431</v>
      </c>
      <c r="G7080" s="3" t="s">
        <v>65</v>
      </c>
      <c r="H7080" s="2" t="s">
        <v>20</v>
      </c>
      <c r="I7080" s="2" t="s">
        <v>14794</v>
      </c>
      <c r="J7080" s="3" t="str">
        <f>HYPERLINK("https://www.boe.es/gazeta/dias/1813/01/06/pdfs/GMD-1813-6.pdf#page=1","Abrir facsímil")</f>
        <v>Abrir facsímil</v>
      </c>
      <c r="K7080" s="3" t="s">
        <v>22</v>
      </c>
    </row>
    <row r="7081" spans="1:11" ht="42" customHeight="1">
      <c r="A7081" s="2" t="s">
        <v>14793</v>
      </c>
      <c r="B7081" s="2" t="s">
        <v>14793</v>
      </c>
      <c r="C7081" s="2" t="s">
        <v>16</v>
      </c>
      <c r="D7081" s="2" t="s">
        <v>17</v>
      </c>
      <c r="E7081" s="5">
        <v>-31726</v>
      </c>
      <c r="F7081" s="3" t="s">
        <v>533</v>
      </c>
      <c r="G7081" s="3" t="s">
        <v>1377</v>
      </c>
      <c r="H7081" s="2" t="s">
        <v>20</v>
      </c>
      <c r="I7081" s="2" t="s">
        <v>14795</v>
      </c>
      <c r="J7081" s="3" t="str">
        <f>HYPERLINK("https://www.boe.es/gazeta/dias/1813/02/18/pdfs/GRE-1813-21.pdf#page=3","Abrir facsímil")</f>
        <v>Abrir facsímil</v>
      </c>
      <c r="K7081" s="3" t="s">
        <v>22</v>
      </c>
    </row>
    <row r="7082" spans="1:11" ht="42" customHeight="1">
      <c r="A7082" s="2" t="s">
        <v>14793</v>
      </c>
      <c r="B7082" s="2" t="s">
        <v>14793</v>
      </c>
      <c r="C7082" s="2" t="s">
        <v>16</v>
      </c>
      <c r="D7082" s="2" t="s">
        <v>17</v>
      </c>
      <c r="E7082" s="5">
        <v>-31715</v>
      </c>
      <c r="F7082" s="3" t="s">
        <v>3358</v>
      </c>
      <c r="G7082" s="3" t="s">
        <v>65</v>
      </c>
      <c r="H7082" s="2" t="s">
        <v>20</v>
      </c>
      <c r="I7082" s="2" t="s">
        <v>14796</v>
      </c>
      <c r="J7082" s="3" t="str">
        <f>HYPERLINK("https://www.boe.es/gazeta/dias/1813/03/01/pdfs/GMD-1813-60.pdf#page=1","Abrir facsímil")</f>
        <v>Abrir facsímil</v>
      </c>
      <c r="K7082" s="3" t="s">
        <v>22</v>
      </c>
    </row>
    <row r="7083" spans="1:11" ht="42" customHeight="1">
      <c r="A7083" s="2" t="s">
        <v>14793</v>
      </c>
      <c r="B7083" s="2" t="s">
        <v>14793</v>
      </c>
      <c r="C7083" s="2" t="s">
        <v>16</v>
      </c>
      <c r="D7083" s="2" t="s">
        <v>17</v>
      </c>
      <c r="E7083" s="5">
        <v>-31713</v>
      </c>
      <c r="F7083" s="3" t="s">
        <v>3677</v>
      </c>
      <c r="G7083" s="3" t="s">
        <v>65</v>
      </c>
      <c r="H7083" s="2" t="s">
        <v>20</v>
      </c>
      <c r="I7083" s="2" t="s">
        <v>14797</v>
      </c>
      <c r="J7083" s="3" t="str">
        <f>HYPERLINK("https://www.boe.es/gazeta/dias/1813/03/03/pdfs/GMD-1813-62.pdf#page=1","Abrir facsímil")</f>
        <v>Abrir facsímil</v>
      </c>
      <c r="K7083" s="3" t="s">
        <v>22</v>
      </c>
    </row>
    <row r="7084" spans="1:11" ht="42" customHeight="1">
      <c r="A7084" s="2" t="s">
        <v>14793</v>
      </c>
      <c r="B7084" s="2" t="s">
        <v>14793</v>
      </c>
      <c r="C7084" s="2" t="s">
        <v>16</v>
      </c>
      <c r="D7084" s="2" t="s">
        <v>17</v>
      </c>
      <c r="E7084" s="5">
        <v>-31692</v>
      </c>
      <c r="F7084" s="3" t="s">
        <v>2171</v>
      </c>
      <c r="G7084" s="3" t="s">
        <v>58</v>
      </c>
      <c r="H7084" s="2" t="s">
        <v>20</v>
      </c>
      <c r="I7084" s="2" t="s">
        <v>14798</v>
      </c>
      <c r="J7084" s="3" t="str">
        <f>HYPERLINK("https://www.boe.es/gazeta/dias/1813/03/24/pdfs/GMD-1813-83.pdf#page=2","Abrir facsímil")</f>
        <v>Abrir facsímil</v>
      </c>
      <c r="K7084" s="3" t="s">
        <v>22</v>
      </c>
    </row>
    <row r="7085" spans="1:11" ht="42" customHeight="1">
      <c r="A7085" s="2" t="s">
        <v>14793</v>
      </c>
      <c r="B7085" s="2" t="s">
        <v>14793</v>
      </c>
      <c r="C7085" s="2" t="s">
        <v>16</v>
      </c>
      <c r="D7085" s="2" t="s">
        <v>17</v>
      </c>
      <c r="E7085" s="5">
        <v>-31669</v>
      </c>
      <c r="F7085" s="3" t="s">
        <v>1570</v>
      </c>
      <c r="G7085" s="3" t="s">
        <v>65</v>
      </c>
      <c r="H7085" s="2" t="s">
        <v>20</v>
      </c>
      <c r="I7085" s="2" t="s">
        <v>14799</v>
      </c>
      <c r="J7085" s="3" t="str">
        <f>HYPERLINK("https://www.boe.es/gazeta/dias/1813/04/16/pdfs/GMD-1813-106.pdf#page=1","Abrir facsímil")</f>
        <v>Abrir facsímil</v>
      </c>
      <c r="K7085" s="3" t="s">
        <v>22</v>
      </c>
    </row>
    <row r="7086" spans="1:11" ht="42" customHeight="1">
      <c r="A7086" s="2" t="s">
        <v>14793</v>
      </c>
      <c r="B7086" s="2" t="s">
        <v>14793</v>
      </c>
      <c r="C7086" s="2" t="s">
        <v>16</v>
      </c>
      <c r="D7086" s="2" t="s">
        <v>17</v>
      </c>
      <c r="E7086" s="5">
        <v>-31661</v>
      </c>
      <c r="F7086" s="3" t="s">
        <v>5131</v>
      </c>
      <c r="G7086" s="3" t="s">
        <v>65</v>
      </c>
      <c r="H7086" s="2" t="s">
        <v>20</v>
      </c>
      <c r="I7086" s="2" t="s">
        <v>14800</v>
      </c>
      <c r="J7086" s="3" t="str">
        <f>HYPERLINK("https://www.boe.es/gazeta/dias/1813/04/24/pdfs/GMD-1813-114.pdf#page=1","Abrir facsímil")</f>
        <v>Abrir facsímil</v>
      </c>
      <c r="K7086" s="3" t="s">
        <v>22</v>
      </c>
    </row>
    <row r="7087" spans="1:11" ht="42" customHeight="1">
      <c r="A7087" s="2" t="s">
        <v>14801</v>
      </c>
      <c r="B7087" s="2" t="s">
        <v>14802</v>
      </c>
      <c r="C7087" s="2" t="s">
        <v>25</v>
      </c>
      <c r="D7087" s="2" t="s">
        <v>26</v>
      </c>
      <c r="E7087" s="5">
        <v>-31745</v>
      </c>
      <c r="F7087" s="3" t="s">
        <v>445</v>
      </c>
      <c r="G7087" s="3" t="s">
        <v>65</v>
      </c>
      <c r="H7087" s="2" t="s">
        <v>20</v>
      </c>
      <c r="I7087" s="2" t="s">
        <v>14803</v>
      </c>
      <c r="J7087" s="3" t="str">
        <f>HYPERLINK("https://www.boe.es/gazeta/dias/1813/01/30/pdfs/GRE-1813-13.pdf#page=1","Abrir facsímil")</f>
        <v>Abrir facsímil</v>
      </c>
      <c r="K7087" s="3" t="s">
        <v>22</v>
      </c>
    </row>
    <row r="7088" spans="1:11" ht="42" customHeight="1">
      <c r="A7088" s="2" t="s">
        <v>14804</v>
      </c>
      <c r="B7088" s="2" t="s">
        <v>14805</v>
      </c>
      <c r="C7088" s="2" t="s">
        <v>16</v>
      </c>
      <c r="D7088" s="2" t="s">
        <v>17</v>
      </c>
      <c r="E7088" s="5">
        <v>-31698</v>
      </c>
      <c r="F7088" s="3" t="s">
        <v>470</v>
      </c>
      <c r="G7088" s="3" t="s">
        <v>2413</v>
      </c>
      <c r="H7088" s="2" t="s">
        <v>20</v>
      </c>
      <c r="I7088" s="2" t="s">
        <v>14806</v>
      </c>
      <c r="J7088" s="3" t="str">
        <f>HYPERLINK("https://www.boe.es/gazeta/dias/1813/03/18/pdfs/GRE-1813-34.pdf#page=5","Abrir facsímil")</f>
        <v>Abrir facsímil</v>
      </c>
      <c r="K7088" s="3" t="s">
        <v>22</v>
      </c>
    </row>
    <row r="7089" spans="1:11" ht="42" customHeight="1">
      <c r="A7089" s="2" t="s">
        <v>14807</v>
      </c>
      <c r="B7089" s="2" t="s">
        <v>14808</v>
      </c>
      <c r="C7089" s="2" t="s">
        <v>16</v>
      </c>
      <c r="D7089" s="2" t="s">
        <v>17</v>
      </c>
      <c r="E7089" s="5">
        <v>-31752</v>
      </c>
      <c r="F7089" s="3" t="s">
        <v>182</v>
      </c>
      <c r="G7089" s="3" t="s">
        <v>65</v>
      </c>
      <c r="H7089" s="2" t="s">
        <v>20</v>
      </c>
      <c r="I7089" s="2" t="s">
        <v>14809</v>
      </c>
      <c r="J7089" s="3" t="str">
        <f>HYPERLINK("https://www.boe.es/gazeta/dias/1813/01/23/pdfs/GRE-1813-10.pdf#page=1","Abrir facsímil")</f>
        <v>Abrir facsímil</v>
      </c>
      <c r="K7089" s="3" t="s">
        <v>22</v>
      </c>
    </row>
    <row r="7090" spans="1:11" ht="42" customHeight="1">
      <c r="A7090" s="2" t="s">
        <v>14810</v>
      </c>
      <c r="B7090" s="2" t="s">
        <v>14811</v>
      </c>
      <c r="C7090" s="2" t="s">
        <v>25</v>
      </c>
      <c r="D7090" s="2" t="s">
        <v>26</v>
      </c>
      <c r="E7090" s="5">
        <v>-31558</v>
      </c>
      <c r="F7090" s="3" t="s">
        <v>1288</v>
      </c>
      <c r="G7090" s="3" t="s">
        <v>65</v>
      </c>
      <c r="H7090" s="2" t="s">
        <v>20</v>
      </c>
      <c r="I7090" s="2" t="s">
        <v>14812</v>
      </c>
      <c r="J7090" s="3" t="str">
        <f>HYPERLINK("https://www.boe.es/gazeta/dias/1813/08/05/pdfs/GMR-1813-24.pdf#page=1","Abrir facsímil")</f>
        <v>Abrir facsímil</v>
      </c>
      <c r="K7090" s="3" t="s">
        <v>22</v>
      </c>
    </row>
    <row r="7091" spans="1:11" ht="42" customHeight="1">
      <c r="A7091" s="2" t="s">
        <v>14813</v>
      </c>
      <c r="B7091" s="2" t="s">
        <v>14814</v>
      </c>
      <c r="C7091" s="2" t="s">
        <v>16</v>
      </c>
      <c r="D7091" s="2" t="s">
        <v>17</v>
      </c>
      <c r="E7091" s="5">
        <v>-31689</v>
      </c>
      <c r="F7091" s="3" t="s">
        <v>48</v>
      </c>
      <c r="G7091" s="3" t="s">
        <v>65</v>
      </c>
      <c r="H7091" s="2" t="s">
        <v>20</v>
      </c>
      <c r="I7091" s="2" t="s">
        <v>14815</v>
      </c>
      <c r="J7091" s="3" t="str">
        <f>HYPERLINK("https://www.boe.es/gazeta/dias/1813/03/27/pdfs/GRE-1813-38.pdf#page=1","Abrir facsímil")</f>
        <v>Abrir facsímil</v>
      </c>
      <c r="K7091" s="3" t="s">
        <v>22</v>
      </c>
    </row>
    <row r="7092" spans="1:11" ht="42" customHeight="1">
      <c r="A7092" s="2" t="s">
        <v>14816</v>
      </c>
      <c r="B7092" s="2" t="s">
        <v>14817</v>
      </c>
      <c r="C7092" s="2" t="s">
        <v>16</v>
      </c>
      <c r="D7092" s="2" t="s">
        <v>17</v>
      </c>
      <c r="E7092" s="5">
        <v>-31588</v>
      </c>
      <c r="F7092" s="3" t="s">
        <v>1535</v>
      </c>
      <c r="G7092" s="3" t="s">
        <v>82</v>
      </c>
      <c r="H7092" s="2" t="s">
        <v>20</v>
      </c>
      <c r="I7092" s="2" t="s">
        <v>14818</v>
      </c>
      <c r="J7092" s="3" t="str">
        <f>HYPERLINK("https://www.boe.es/gazeta/dias/1813/07/06/pdfs/GMR-1813-15.pdf#page=5","Abrir facsímil")</f>
        <v>Abrir facsímil</v>
      </c>
      <c r="K7092" s="3" t="s">
        <v>22</v>
      </c>
    </row>
    <row r="7093" spans="1:11" ht="42" customHeight="1">
      <c r="A7093" s="2" t="s">
        <v>14816</v>
      </c>
      <c r="B7093" s="2" t="s">
        <v>14817</v>
      </c>
      <c r="C7093" s="2" t="s">
        <v>277</v>
      </c>
      <c r="D7093" s="2" t="s">
        <v>26</v>
      </c>
      <c r="E7093" s="5">
        <v>-31558</v>
      </c>
      <c r="F7093" s="3" t="s">
        <v>1288</v>
      </c>
      <c r="G7093" s="3" t="s">
        <v>65</v>
      </c>
      <c r="H7093" s="2" t="s">
        <v>20</v>
      </c>
      <c r="I7093" s="2" t="s">
        <v>14819</v>
      </c>
      <c r="J7093" s="3" t="str">
        <f>HYPERLINK("https://www.boe.es/gazeta/dias/1813/08/05/pdfs/GMR-1813-24.pdf#page=1","Abrir facsímil")</f>
        <v>Abrir facsímil</v>
      </c>
      <c r="K7093" s="3" t="s">
        <v>22</v>
      </c>
    </row>
    <row r="7094" spans="1:11" ht="42" customHeight="1">
      <c r="A7094" s="2" t="s">
        <v>14816</v>
      </c>
      <c r="B7094" s="2" t="s">
        <v>14817</v>
      </c>
      <c r="C7094" s="2" t="s">
        <v>25</v>
      </c>
      <c r="D7094" s="2" t="s">
        <v>26</v>
      </c>
      <c r="E7094" s="5">
        <v>-31537</v>
      </c>
      <c r="F7094" s="3" t="s">
        <v>5241</v>
      </c>
      <c r="G7094" s="3" t="s">
        <v>65</v>
      </c>
      <c r="H7094" s="2" t="s">
        <v>20</v>
      </c>
      <c r="I7094" s="2" t="s">
        <v>14820</v>
      </c>
      <c r="J7094" s="3" t="str">
        <f>HYPERLINK("https://www.boe.es/gazeta/dias/1813/08/26/pdfs/GRE-1813-109.pdf#page=1","Abrir facsímil")</f>
        <v>Abrir facsímil</v>
      </c>
      <c r="K7094" s="3" t="s">
        <v>22</v>
      </c>
    </row>
    <row r="7095" spans="1:11" ht="42" customHeight="1">
      <c r="A7095" s="2" t="s">
        <v>14821</v>
      </c>
      <c r="B7095" s="2" t="s">
        <v>14822</v>
      </c>
      <c r="C7095" s="2" t="s">
        <v>16</v>
      </c>
      <c r="D7095" s="2" t="s">
        <v>17</v>
      </c>
      <c r="E7095" s="5">
        <v>-31613</v>
      </c>
      <c r="F7095" s="3" t="s">
        <v>1629</v>
      </c>
      <c r="G7095" s="3" t="s">
        <v>19</v>
      </c>
      <c r="H7095" s="2" t="s">
        <v>20</v>
      </c>
      <c r="I7095" s="2" t="s">
        <v>14823</v>
      </c>
      <c r="J7095" s="3" t="str">
        <f>HYPERLINK("https://www.boe.es/gazeta/dias/1813/06/11/pdfs/GMR-1813-4.pdf#page=4","Abrir facsímil")</f>
        <v>Abrir facsímil</v>
      </c>
      <c r="K7095" s="3" t="s">
        <v>22</v>
      </c>
    </row>
    <row r="7096" spans="1:11" ht="42" customHeight="1">
      <c r="A7096" s="2" t="s">
        <v>14824</v>
      </c>
      <c r="B7096" s="2" t="s">
        <v>14824</v>
      </c>
      <c r="C7096" s="2" t="s">
        <v>69</v>
      </c>
      <c r="D7096" s="2" t="s">
        <v>26</v>
      </c>
      <c r="E7096" s="5">
        <v>-31765</v>
      </c>
      <c r="F7096" s="3" t="s">
        <v>4141</v>
      </c>
      <c r="G7096" s="3" t="s">
        <v>54</v>
      </c>
      <c r="H7096" s="2" t="s">
        <v>20</v>
      </c>
      <c r="I7096" s="2" t="s">
        <v>14825</v>
      </c>
      <c r="J7096" s="3" t="str">
        <f>HYPERLINK("https://www.boe.es/gazeta/dias/1813/01/10/pdfs/GMD-1813-10.pdf#page=3","Abrir facsímil")</f>
        <v>Abrir facsímil</v>
      </c>
      <c r="K7096" s="3" t="s">
        <v>22</v>
      </c>
    </row>
    <row r="7097" spans="1:11" ht="42" customHeight="1">
      <c r="A7097" s="2" t="s">
        <v>14826</v>
      </c>
      <c r="B7097" s="2" t="s">
        <v>14827</v>
      </c>
      <c r="C7097" s="2" t="s">
        <v>25</v>
      </c>
      <c r="D7097" s="2" t="s">
        <v>26</v>
      </c>
      <c r="E7097" s="5">
        <v>-31544</v>
      </c>
      <c r="F7097" s="3" t="s">
        <v>44</v>
      </c>
      <c r="G7097" s="3" t="s">
        <v>49</v>
      </c>
      <c r="H7097" s="2" t="s">
        <v>20</v>
      </c>
      <c r="I7097" s="2" t="s">
        <v>14828</v>
      </c>
      <c r="J7097" s="3" t="str">
        <f>HYPERLINK("https://www.boe.es/gazeta/dias/1813/08/19/pdfs/GMR-1813-30.pdf#page=5","Abrir facsímil")</f>
        <v>Abrir facsímil</v>
      </c>
      <c r="K7097" s="3" t="s">
        <v>22</v>
      </c>
    </row>
    <row r="7098" spans="1:11" ht="42" customHeight="1">
      <c r="A7098" s="2" t="s">
        <v>14829</v>
      </c>
      <c r="B7098" s="2" t="s">
        <v>14830</v>
      </c>
      <c r="C7098" s="2" t="s">
        <v>16</v>
      </c>
      <c r="D7098" s="2" t="s">
        <v>17</v>
      </c>
      <c r="E7098" s="5">
        <v>-31661</v>
      </c>
      <c r="F7098" s="3" t="s">
        <v>6643</v>
      </c>
      <c r="G7098" s="3" t="s">
        <v>54</v>
      </c>
      <c r="H7098" s="2" t="s">
        <v>20</v>
      </c>
      <c r="I7098" s="2" t="s">
        <v>14831</v>
      </c>
      <c r="J7098" s="3" t="str">
        <f>HYPERLINK("https://www.boe.es/gazeta/dias/1813/04/24/pdfs/GRE-1813-51.pdf#page=3","Abrir facsímil")</f>
        <v>Abrir facsímil</v>
      </c>
      <c r="K7098" s="3" t="s">
        <v>22</v>
      </c>
    </row>
    <row r="7099" spans="1:11" ht="42" customHeight="1">
      <c r="A7099" s="2" t="s">
        <v>14832</v>
      </c>
      <c r="B7099" s="2" t="s">
        <v>14833</v>
      </c>
      <c r="C7099" s="2" t="s">
        <v>34</v>
      </c>
      <c r="D7099" s="2" t="s">
        <v>35</v>
      </c>
      <c r="E7099" s="5">
        <v>-31425</v>
      </c>
      <c r="F7099" s="3" t="s">
        <v>1955</v>
      </c>
      <c r="G7099" s="3" t="s">
        <v>178</v>
      </c>
      <c r="H7099" s="2" t="s">
        <v>20</v>
      </c>
      <c r="I7099" s="2" t="s">
        <v>14834</v>
      </c>
      <c r="J7099" s="3" t="str">
        <f>HYPERLINK("https://www.boe.es/gazeta/dias/1813/12/16/pdfs/GMR-1813-88.pdf#page=11","Abrir facsímil")</f>
        <v>Abrir facsímil</v>
      </c>
      <c r="K7099" s="3" t="s">
        <v>22</v>
      </c>
    </row>
    <row r="7100" spans="1:11" ht="42" customHeight="1">
      <c r="A7100" s="2" t="s">
        <v>14835</v>
      </c>
      <c r="B7100" s="2" t="s">
        <v>14836</v>
      </c>
      <c r="C7100" s="2" t="s">
        <v>34</v>
      </c>
      <c r="D7100" s="2" t="s">
        <v>35</v>
      </c>
      <c r="E7100" s="5">
        <v>-31709</v>
      </c>
      <c r="F7100" s="3" t="s">
        <v>36</v>
      </c>
      <c r="G7100" s="3" t="s">
        <v>303</v>
      </c>
      <c r="H7100" s="2" t="s">
        <v>20</v>
      </c>
      <c r="I7100" s="2" t="s">
        <v>14837</v>
      </c>
      <c r="J7100" s="3" t="str">
        <f>HYPERLINK("https://www.boe.es/gazeta/dias/1813/03/07/pdfs/GMD-1813-66.pdf#page=3","Abrir facsímil")</f>
        <v>Abrir facsímil</v>
      </c>
      <c r="K7100" s="3" t="s">
        <v>22</v>
      </c>
    </row>
    <row r="7101" spans="1:11" ht="42" customHeight="1">
      <c r="A7101" s="2" t="s">
        <v>14838</v>
      </c>
      <c r="B7101" s="2" t="s">
        <v>14839</v>
      </c>
      <c r="C7101" s="2" t="s">
        <v>16</v>
      </c>
      <c r="D7101" s="2" t="s">
        <v>17</v>
      </c>
      <c r="E7101" s="5">
        <v>-31458</v>
      </c>
      <c r="F7101" s="3" t="s">
        <v>2315</v>
      </c>
      <c r="G7101" s="3" t="s">
        <v>2975</v>
      </c>
      <c r="H7101" s="2" t="s">
        <v>20</v>
      </c>
      <c r="I7101" s="2" t="s">
        <v>14840</v>
      </c>
      <c r="J7101" s="3" t="str">
        <f>HYPERLINK("https://www.boe.es/gazeta/dias/1813/11/13/pdfs/GMR-1813-73.pdf#page=6","Abrir facsímil")</f>
        <v>Abrir facsímil</v>
      </c>
      <c r="K7101" s="3" t="s">
        <v>22</v>
      </c>
    </row>
    <row r="7102" spans="1:11" ht="42" customHeight="1">
      <c r="A7102" s="2" t="s">
        <v>14841</v>
      </c>
      <c r="B7102" s="2" t="s">
        <v>14842</v>
      </c>
      <c r="C7102" s="2" t="s">
        <v>277</v>
      </c>
      <c r="D7102" s="2" t="s">
        <v>26</v>
      </c>
      <c r="E7102" s="5">
        <v>-31719</v>
      </c>
      <c r="F7102" s="3" t="s">
        <v>251</v>
      </c>
      <c r="G7102" s="3" t="s">
        <v>19</v>
      </c>
      <c r="H7102" s="2" t="s">
        <v>20</v>
      </c>
      <c r="I7102" s="2" t="s">
        <v>14843</v>
      </c>
      <c r="J7102" s="3" t="str">
        <f>HYPERLINK("https://www.boe.es/gazeta/dias/1813/02/25/pdfs/GMD-1813-56.pdf#page=4","Abrir facsímil")</f>
        <v>Abrir facsímil</v>
      </c>
      <c r="K7102" s="3" t="s">
        <v>22</v>
      </c>
    </row>
    <row r="7103" spans="1:11" ht="42" customHeight="1">
      <c r="A7103" s="2" t="s">
        <v>14844</v>
      </c>
      <c r="B7103" s="2" t="s">
        <v>14845</v>
      </c>
      <c r="C7103" s="2" t="s">
        <v>16</v>
      </c>
      <c r="D7103" s="2" t="s">
        <v>17</v>
      </c>
      <c r="E7103" s="5">
        <v>-31411</v>
      </c>
      <c r="F7103" s="3" t="s">
        <v>3702</v>
      </c>
      <c r="G7103" s="3" t="s">
        <v>14846</v>
      </c>
      <c r="H7103" s="2" t="s">
        <v>20</v>
      </c>
      <c r="I7103" s="2" t="s">
        <v>14847</v>
      </c>
      <c r="J7103" s="3" t="str">
        <f>HYPERLINK("https://www.boe.es/gazeta/dias/1813/12/30/pdfs/GRE-1813-171.pdf#page=8","Abrir facsímil")</f>
        <v>Abrir facsímil</v>
      </c>
      <c r="K7103" s="3" t="s">
        <v>22</v>
      </c>
    </row>
    <row r="7104" spans="1:11" ht="42" customHeight="1">
      <c r="A7104" s="2" t="s">
        <v>14848</v>
      </c>
      <c r="B7104" s="2" t="s">
        <v>14849</v>
      </c>
      <c r="C7104" s="2" t="s">
        <v>16</v>
      </c>
      <c r="D7104" s="2" t="s">
        <v>17</v>
      </c>
      <c r="E7104" s="5">
        <v>-31411</v>
      </c>
      <c r="F7104" s="3" t="s">
        <v>2306</v>
      </c>
      <c r="G7104" s="3" t="s">
        <v>95</v>
      </c>
      <c r="H7104" s="2" t="s">
        <v>20</v>
      </c>
      <c r="I7104" s="2" t="s">
        <v>14850</v>
      </c>
      <c r="J7104" s="3" t="str">
        <f>HYPERLINK("https://www.boe.es/gazeta/dias/1813/12/30/pdfs/GMR-1813-94.pdf#page=6","Abrir facsímil")</f>
        <v>Abrir facsímil</v>
      </c>
      <c r="K7104" s="3" t="s">
        <v>22</v>
      </c>
    </row>
    <row r="7105" spans="1:11" ht="42" customHeight="1">
      <c r="A7105" s="2" t="s">
        <v>14851</v>
      </c>
      <c r="B7105" s="2" t="s">
        <v>14852</v>
      </c>
      <c r="C7105" s="2" t="s">
        <v>16</v>
      </c>
      <c r="D7105" s="2" t="s">
        <v>97</v>
      </c>
      <c r="E7105" s="5">
        <v>-31519</v>
      </c>
      <c r="F7105" s="3" t="s">
        <v>312</v>
      </c>
      <c r="G7105" s="3" t="s">
        <v>313</v>
      </c>
      <c r="H7105" s="2" t="s">
        <v>20</v>
      </c>
      <c r="I7105" s="2" t="s">
        <v>14853</v>
      </c>
      <c r="J7105" s="3" t="str">
        <f>HYPERLINK("https://www.boe.es/gazeta/dias/1813/09/13/pdfs/GRE-1813-118E.pdf#page=9","Abrir facsímil")</f>
        <v>Abrir facsímil</v>
      </c>
      <c r="K7105" s="3" t="s">
        <v>22</v>
      </c>
    </row>
    <row r="7106" spans="1:11" ht="42" customHeight="1">
      <c r="A7106" s="2" t="s">
        <v>14851</v>
      </c>
      <c r="B7106" s="2" t="s">
        <v>14852</v>
      </c>
      <c r="C7106" s="2" t="s">
        <v>16</v>
      </c>
      <c r="D7106" s="2" t="s">
        <v>17</v>
      </c>
      <c r="E7106" s="5">
        <v>-31507</v>
      </c>
      <c r="F7106" s="3" t="s">
        <v>61</v>
      </c>
      <c r="G7106" s="3" t="s">
        <v>28</v>
      </c>
      <c r="H7106" s="2" t="s">
        <v>20</v>
      </c>
      <c r="I7106" s="2" t="s">
        <v>14854</v>
      </c>
      <c r="J7106" s="3" t="str">
        <f>HYPERLINK("https://www.boe.es/gazeta/dias/1813/09/25/pdfs/GMR-1813-48.pdf#page=8","Abrir facsímil")</f>
        <v>Abrir facsímil</v>
      </c>
      <c r="K7106" s="3" t="s">
        <v>22</v>
      </c>
    </row>
    <row r="7107" spans="1:11" ht="42" customHeight="1">
      <c r="A7107" s="2" t="s">
        <v>14855</v>
      </c>
      <c r="B7107" s="2" t="s">
        <v>14855</v>
      </c>
      <c r="C7107" s="2" t="s">
        <v>16</v>
      </c>
      <c r="D7107" s="2" t="s">
        <v>17</v>
      </c>
      <c r="E7107" s="5">
        <v>-31602</v>
      </c>
      <c r="F7107" s="3" t="s">
        <v>2117</v>
      </c>
      <c r="G7107" s="3" t="s">
        <v>178</v>
      </c>
      <c r="H7107" s="2" t="s">
        <v>20</v>
      </c>
      <c r="I7107" s="2" t="s">
        <v>14856</v>
      </c>
      <c r="J7107" s="3" t="str">
        <f>HYPERLINK("https://www.boe.es/gazeta/dias/1813/06/22/pdfs/GMR-1813-9.pdf#page=11","Abrir facsímil")</f>
        <v>Abrir facsímil</v>
      </c>
      <c r="K7107" s="3" t="s">
        <v>22</v>
      </c>
    </row>
    <row r="7108" spans="1:11" ht="42" customHeight="1">
      <c r="A7108" s="2" t="s">
        <v>14857</v>
      </c>
      <c r="B7108" s="2" t="s">
        <v>14858</v>
      </c>
      <c r="C7108" s="2" t="s">
        <v>16</v>
      </c>
      <c r="D7108" s="2" t="s">
        <v>17</v>
      </c>
      <c r="E7108" s="5">
        <v>-31602</v>
      </c>
      <c r="F7108" s="3" t="s">
        <v>2117</v>
      </c>
      <c r="G7108" s="3" t="s">
        <v>178</v>
      </c>
      <c r="H7108" s="2" t="s">
        <v>20</v>
      </c>
      <c r="I7108" s="2" t="s">
        <v>14859</v>
      </c>
      <c r="J7108" s="3" t="str">
        <f>HYPERLINK("https://www.boe.es/gazeta/dias/1813/06/22/pdfs/GMR-1813-9.pdf#page=11","Abrir facsímil")</f>
        <v>Abrir facsímil</v>
      </c>
      <c r="K7108" s="3" t="s">
        <v>22</v>
      </c>
    </row>
    <row r="7109" spans="1:11" ht="42" customHeight="1">
      <c r="A7109" s="2" t="s">
        <v>14857</v>
      </c>
      <c r="B7109" s="2" t="s">
        <v>14858</v>
      </c>
      <c r="C7109" s="2" t="s">
        <v>16</v>
      </c>
      <c r="D7109" s="2" t="s">
        <v>17</v>
      </c>
      <c r="E7109" s="5">
        <v>-31602</v>
      </c>
      <c r="F7109" s="3" t="s">
        <v>2117</v>
      </c>
      <c r="G7109" s="3" t="s">
        <v>258</v>
      </c>
      <c r="H7109" s="2" t="s">
        <v>20</v>
      </c>
      <c r="I7109" s="2" t="s">
        <v>14860</v>
      </c>
      <c r="J7109" s="3" t="str">
        <f>HYPERLINK("https://www.boe.es/gazeta/dias/1813/06/22/pdfs/GMR-1813-9.pdf#page=12","Abrir facsímil")</f>
        <v>Abrir facsímil</v>
      </c>
      <c r="K7109" s="3" t="s">
        <v>22</v>
      </c>
    </row>
    <row r="7110" spans="1:11" ht="42" customHeight="1">
      <c r="A7110" s="2" t="s">
        <v>14861</v>
      </c>
      <c r="B7110" s="2" t="s">
        <v>14862</v>
      </c>
      <c r="C7110" s="2" t="s">
        <v>16</v>
      </c>
      <c r="D7110" s="2" t="s">
        <v>97</v>
      </c>
      <c r="E7110" s="5">
        <v>-31519</v>
      </c>
      <c r="F7110" s="3" t="s">
        <v>312</v>
      </c>
      <c r="G7110" s="3" t="s">
        <v>313</v>
      </c>
      <c r="H7110" s="2" t="s">
        <v>20</v>
      </c>
      <c r="I7110" s="2" t="s">
        <v>14863</v>
      </c>
      <c r="J7110" s="3" t="str">
        <f>HYPERLINK("https://www.boe.es/gazeta/dias/1813/09/13/pdfs/GRE-1813-118E.pdf#page=9","Abrir facsímil")</f>
        <v>Abrir facsímil</v>
      </c>
      <c r="K7110" s="3" t="s">
        <v>22</v>
      </c>
    </row>
    <row r="7111" spans="1:11" ht="42" customHeight="1">
      <c r="A7111" s="2" t="s">
        <v>14864</v>
      </c>
      <c r="B7111" s="2" t="s">
        <v>14864</v>
      </c>
      <c r="C7111" s="2" t="s">
        <v>16</v>
      </c>
      <c r="D7111" s="2" t="s">
        <v>17</v>
      </c>
      <c r="E7111" s="5">
        <v>-31762</v>
      </c>
      <c r="F7111" s="3" t="s">
        <v>604</v>
      </c>
      <c r="G7111" s="3" t="s">
        <v>65</v>
      </c>
      <c r="H7111" s="2" t="s">
        <v>20</v>
      </c>
      <c r="I7111" s="2" t="s">
        <v>14865</v>
      </c>
      <c r="J7111" s="3" t="str">
        <f>HYPERLINK("https://www.boe.es/gazeta/dias/1813/01/13/pdfs/GMD-1813-13.pdf#page=1","Abrir facsímil")</f>
        <v>Abrir facsímil</v>
      </c>
      <c r="K7111" s="3" t="s">
        <v>22</v>
      </c>
    </row>
    <row r="7112" spans="1:11" ht="42" customHeight="1">
      <c r="A7112" s="2" t="s">
        <v>14866</v>
      </c>
      <c r="B7112" s="2" t="s">
        <v>14866</v>
      </c>
      <c r="C7112" s="2" t="s">
        <v>16</v>
      </c>
      <c r="D7112" s="2" t="s">
        <v>17</v>
      </c>
      <c r="E7112" s="5">
        <v>-31654</v>
      </c>
      <c r="F7112" s="3" t="s">
        <v>852</v>
      </c>
      <c r="G7112" s="3" t="s">
        <v>54</v>
      </c>
      <c r="H7112" s="2" t="s">
        <v>20</v>
      </c>
      <c r="I7112" s="2" t="s">
        <v>14867</v>
      </c>
      <c r="J7112" s="3" t="str">
        <f>HYPERLINK("https://www.boe.es/gazeta/dias/1813/05/01/pdfs/GMD-1813-121.pdf#page=3","Abrir facsímil")</f>
        <v>Abrir facsímil</v>
      </c>
      <c r="K7112" s="3" t="s">
        <v>22</v>
      </c>
    </row>
    <row r="7113" spans="1:11" ht="42" customHeight="1">
      <c r="A7113" s="2" t="s">
        <v>14868</v>
      </c>
      <c r="B7113" s="2" t="s">
        <v>14869</v>
      </c>
      <c r="C7113" s="2" t="s">
        <v>16</v>
      </c>
      <c r="D7113" s="2" t="s">
        <v>17</v>
      </c>
      <c r="E7113" s="5">
        <v>-31598</v>
      </c>
      <c r="F7113" s="3" t="s">
        <v>286</v>
      </c>
      <c r="G7113" s="3" t="s">
        <v>87</v>
      </c>
      <c r="H7113" s="2" t="s">
        <v>20</v>
      </c>
      <c r="I7113" s="2" t="s">
        <v>14870</v>
      </c>
      <c r="J7113" s="3" t="str">
        <f>HYPERLINK("https://www.boe.es/gazeta/dias/1813/06/26/pdfs/GRE-1813-79.pdf#page=7","Abrir facsímil")</f>
        <v>Abrir facsímil</v>
      </c>
      <c r="K7113" s="3" t="s">
        <v>22</v>
      </c>
    </row>
    <row r="7114" spans="1:11" ht="42" customHeight="1">
      <c r="A7114" s="2" t="s">
        <v>14871</v>
      </c>
      <c r="B7114" s="2" t="s">
        <v>14872</v>
      </c>
      <c r="C7114" s="2" t="s">
        <v>16</v>
      </c>
      <c r="D7114" s="2" t="s">
        <v>17</v>
      </c>
      <c r="E7114" s="5">
        <v>-31465</v>
      </c>
      <c r="F7114" s="3" t="s">
        <v>407</v>
      </c>
      <c r="G7114" s="3" t="s">
        <v>87</v>
      </c>
      <c r="H7114" s="2" t="s">
        <v>20</v>
      </c>
      <c r="I7114" s="2" t="s">
        <v>14873</v>
      </c>
      <c r="J7114" s="3" t="str">
        <f>HYPERLINK("https://www.boe.es/gazeta/dias/1813/11/06/pdfs/GMR-1813-70.pdf#page=7","Abrir facsímil")</f>
        <v>Abrir facsímil</v>
      </c>
      <c r="K7114" s="3" t="s">
        <v>22</v>
      </c>
    </row>
    <row r="7115" spans="1:11" ht="42" customHeight="1">
      <c r="A7115" s="2" t="s">
        <v>14874</v>
      </c>
      <c r="B7115" s="2" t="s">
        <v>14875</v>
      </c>
      <c r="C7115" s="2" t="s">
        <v>16</v>
      </c>
      <c r="D7115" s="2" t="s">
        <v>97</v>
      </c>
      <c r="E7115" s="5">
        <v>-31548</v>
      </c>
      <c r="F7115" s="3" t="s">
        <v>1680</v>
      </c>
      <c r="G7115" s="3" t="s">
        <v>87</v>
      </c>
      <c r="H7115" s="2" t="s">
        <v>20</v>
      </c>
      <c r="I7115" s="2" t="s">
        <v>14876</v>
      </c>
      <c r="J7115" s="3" t="str">
        <f>HYPERLINK("https://www.boe.es/gazeta/dias/1813/08/15/pdfs/GRE-1813-104E.pdf#page=7","Abrir facsímil")</f>
        <v>Abrir facsímil</v>
      </c>
      <c r="K7115" s="3" t="s">
        <v>22</v>
      </c>
    </row>
    <row r="7116" spans="1:11" ht="42" customHeight="1">
      <c r="A7116" s="2" t="s">
        <v>14877</v>
      </c>
      <c r="B7116" s="2" t="s">
        <v>14877</v>
      </c>
      <c r="C7116" s="2" t="s">
        <v>16</v>
      </c>
      <c r="D7116" s="2" t="s">
        <v>17</v>
      </c>
      <c r="E7116" s="5">
        <v>-31740</v>
      </c>
      <c r="F7116" s="3" t="s">
        <v>5259</v>
      </c>
      <c r="G7116" s="3" t="s">
        <v>58</v>
      </c>
      <c r="H7116" s="2" t="s">
        <v>20</v>
      </c>
      <c r="I7116" s="2" t="s">
        <v>14878</v>
      </c>
      <c r="J7116" s="3" t="str">
        <f>HYPERLINK("https://www.boe.es/gazeta/dias/1813/02/04/pdfs/GMD-1813-35.pdf#page=2","Abrir facsímil")</f>
        <v>Abrir facsímil</v>
      </c>
      <c r="K7116" s="3" t="s">
        <v>22</v>
      </c>
    </row>
    <row r="7117" spans="1:11" ht="42" customHeight="1">
      <c r="A7117" s="2" t="s">
        <v>14879</v>
      </c>
      <c r="B7117" s="2" t="s">
        <v>14879</v>
      </c>
      <c r="C7117" s="2" t="s">
        <v>16</v>
      </c>
      <c r="D7117" s="2" t="s">
        <v>17</v>
      </c>
      <c r="E7117" s="5">
        <v>-31616</v>
      </c>
      <c r="F7117" s="3" t="s">
        <v>2201</v>
      </c>
      <c r="G7117" s="3" t="s">
        <v>2202</v>
      </c>
      <c r="H7117" s="2" t="s">
        <v>20</v>
      </c>
      <c r="I7117" s="2" t="s">
        <v>14880</v>
      </c>
      <c r="J7117" s="3" t="str">
        <f>HYPERLINK("https://www.boe.es/gazeta/dias/1813/06/08/pdfs/GMR-1813-3.pdf#page=5","Abrir facsímil")</f>
        <v>Abrir facsímil</v>
      </c>
      <c r="K7117" s="3" t="s">
        <v>22</v>
      </c>
    </row>
    <row r="7118" spans="1:11" ht="42" customHeight="1">
      <c r="A7118" s="2" t="s">
        <v>14879</v>
      </c>
      <c r="B7118" s="2" t="s">
        <v>14879</v>
      </c>
      <c r="C7118" s="2" t="s">
        <v>16</v>
      </c>
      <c r="D7118" s="2" t="s">
        <v>17</v>
      </c>
      <c r="E7118" s="5">
        <v>-31448</v>
      </c>
      <c r="F7118" s="3" t="s">
        <v>57</v>
      </c>
      <c r="G7118" s="3" t="s">
        <v>2218</v>
      </c>
      <c r="H7118" s="2" t="s">
        <v>20</v>
      </c>
      <c r="I7118" s="2" t="s">
        <v>14881</v>
      </c>
      <c r="J7118" s="3" t="str">
        <f>HYPERLINK("https://www.boe.es/gazeta/dias/1813/11/23/pdfs/GRE-1813-153.pdf#page=4","Abrir facsímil")</f>
        <v>Abrir facsímil</v>
      </c>
      <c r="K7118" s="3" t="s">
        <v>22</v>
      </c>
    </row>
    <row r="7119" spans="1:11" ht="42" customHeight="1">
      <c r="A7119" s="2" t="s">
        <v>14882</v>
      </c>
      <c r="B7119" s="2" t="s">
        <v>14883</v>
      </c>
      <c r="C7119" s="2" t="s">
        <v>25</v>
      </c>
      <c r="D7119" s="2" t="s">
        <v>26</v>
      </c>
      <c r="E7119" s="5">
        <v>-31745</v>
      </c>
      <c r="F7119" s="3" t="s">
        <v>445</v>
      </c>
      <c r="G7119" s="3" t="s">
        <v>28</v>
      </c>
      <c r="H7119" s="2" t="s">
        <v>20</v>
      </c>
      <c r="I7119" s="2" t="s">
        <v>14884</v>
      </c>
      <c r="J7119" s="3" t="str">
        <f>HYPERLINK("https://www.boe.es/gazeta/dias/1813/01/30/pdfs/GRE-1813-13.pdf#page=8","Abrir facsímil")</f>
        <v>Abrir facsímil</v>
      </c>
      <c r="K7119" s="3" t="s">
        <v>22</v>
      </c>
    </row>
    <row r="7120" spans="1:11" ht="42" customHeight="1">
      <c r="A7120" s="2" t="s">
        <v>14885</v>
      </c>
      <c r="B7120" s="2" t="s">
        <v>14886</v>
      </c>
      <c r="C7120" s="2" t="s">
        <v>25</v>
      </c>
      <c r="D7120" s="2" t="s">
        <v>26</v>
      </c>
      <c r="E7120" s="5">
        <v>-31754</v>
      </c>
      <c r="F7120" s="3" t="s">
        <v>899</v>
      </c>
      <c r="G7120" s="3" t="s">
        <v>900</v>
      </c>
      <c r="H7120" s="2" t="s">
        <v>20</v>
      </c>
      <c r="I7120" s="2" t="s">
        <v>14887</v>
      </c>
      <c r="J7120" s="3" t="str">
        <f>HYPERLINK("https://www.boe.es/gazeta/dias/1813/01/21/pdfs/GRE-1813-9.pdf#page=8","Abrir facsímil")</f>
        <v>Abrir facsímil</v>
      </c>
      <c r="K7120" s="3" t="s">
        <v>22</v>
      </c>
    </row>
    <row r="7121" spans="1:11" ht="42" customHeight="1">
      <c r="A7121" s="2" t="s">
        <v>14888</v>
      </c>
      <c r="B7121" s="2" t="s">
        <v>14889</v>
      </c>
      <c r="C7121" s="2" t="s">
        <v>25</v>
      </c>
      <c r="D7121" s="2" t="s">
        <v>26</v>
      </c>
      <c r="E7121" s="5">
        <v>-31677</v>
      </c>
      <c r="F7121" s="3" t="s">
        <v>76</v>
      </c>
      <c r="G7121" s="3" t="s">
        <v>77</v>
      </c>
      <c r="H7121" s="2" t="s">
        <v>20</v>
      </c>
      <c r="I7121" s="2" t="s">
        <v>14890</v>
      </c>
      <c r="J7121" s="3" t="str">
        <f>HYPERLINK("https://www.boe.es/gazeta/dias/1813/04/08/pdfs/GRE-1813-43.pdf#page=7","Abrir facsímil")</f>
        <v>Abrir facsímil</v>
      </c>
      <c r="K7121" s="3" t="s">
        <v>22</v>
      </c>
    </row>
    <row r="7122" spans="1:11" ht="42" customHeight="1">
      <c r="A7122" s="2" t="s">
        <v>14891</v>
      </c>
      <c r="B7122" s="2" t="s">
        <v>14892</v>
      </c>
      <c r="C7122" s="2" t="s">
        <v>25</v>
      </c>
      <c r="D7122" s="2" t="s">
        <v>26</v>
      </c>
      <c r="E7122" s="5">
        <v>-31745</v>
      </c>
      <c r="F7122" s="3" t="s">
        <v>445</v>
      </c>
      <c r="G7122" s="3" t="s">
        <v>28</v>
      </c>
      <c r="H7122" s="2" t="s">
        <v>20</v>
      </c>
      <c r="I7122" s="2" t="s">
        <v>14893</v>
      </c>
      <c r="J7122" s="3" t="str">
        <f>HYPERLINK("https://www.boe.es/gazeta/dias/1813/01/30/pdfs/GRE-1813-13.pdf#page=8","Abrir facsímil")</f>
        <v>Abrir facsímil</v>
      </c>
      <c r="K7122" s="3" t="s">
        <v>22</v>
      </c>
    </row>
    <row r="7123" spans="1:11" ht="42" customHeight="1">
      <c r="A7123" s="2" t="s">
        <v>14894</v>
      </c>
      <c r="B7123" s="2" t="s">
        <v>14895</v>
      </c>
      <c r="C7123" s="2" t="s">
        <v>16</v>
      </c>
      <c r="D7123" s="2" t="s">
        <v>17</v>
      </c>
      <c r="E7123" s="5">
        <v>-31773</v>
      </c>
      <c r="F7123" s="3" t="s">
        <v>3667</v>
      </c>
      <c r="G7123" s="3" t="s">
        <v>7730</v>
      </c>
      <c r="H7123" s="2" t="s">
        <v>20</v>
      </c>
      <c r="I7123" s="2" t="s">
        <v>14896</v>
      </c>
      <c r="J7123" s="3" t="str">
        <f>HYPERLINK("https://www.boe.es/gazeta/dias/1813/01/02/pdfs/GRE-1813-1.pdf#page=7","Abrir facsímil")</f>
        <v>Abrir facsímil</v>
      </c>
      <c r="K7123" s="3" t="s">
        <v>22</v>
      </c>
    </row>
    <row r="7124" spans="1:11" ht="42" customHeight="1">
      <c r="A7124" s="2" t="s">
        <v>14894</v>
      </c>
      <c r="B7124" s="2" t="s">
        <v>14895</v>
      </c>
      <c r="C7124" s="2" t="s">
        <v>16</v>
      </c>
      <c r="D7124" s="2" t="s">
        <v>17</v>
      </c>
      <c r="E7124" s="5">
        <v>-31770</v>
      </c>
      <c r="F7124" s="3" t="s">
        <v>188</v>
      </c>
      <c r="G7124" s="3" t="s">
        <v>28</v>
      </c>
      <c r="H7124" s="2" t="s">
        <v>20</v>
      </c>
      <c r="I7124" s="2" t="s">
        <v>14897</v>
      </c>
      <c r="J7124" s="3" t="str">
        <f>HYPERLINK("https://www.boe.es/gazeta/dias/1813/01/05/pdfs/GRE-1813-3.pdf#page=8","Abrir facsímil")</f>
        <v>Abrir facsímil</v>
      </c>
      <c r="K7124" s="3" t="s">
        <v>22</v>
      </c>
    </row>
    <row r="7125" spans="1:11" ht="42" customHeight="1">
      <c r="A7125" s="2" t="s">
        <v>14894</v>
      </c>
      <c r="B7125" s="2" t="s">
        <v>14895</v>
      </c>
      <c r="C7125" s="2" t="s">
        <v>16</v>
      </c>
      <c r="D7125" s="2" t="s">
        <v>17</v>
      </c>
      <c r="E7125" s="5">
        <v>-31768</v>
      </c>
      <c r="F7125" s="3" t="s">
        <v>188</v>
      </c>
      <c r="G7125" s="3" t="s">
        <v>28</v>
      </c>
      <c r="H7125" s="2" t="s">
        <v>20</v>
      </c>
      <c r="I7125" s="2" t="s">
        <v>14897</v>
      </c>
      <c r="J7125" s="3" t="str">
        <f>HYPERLINK("https://www.boe.es/gazeta/dias/1813/01/07/pdfs/GRE-1813-3.pdf#page=8","Abrir facsímil")</f>
        <v>Abrir facsímil</v>
      </c>
      <c r="K7125" s="3" t="s">
        <v>22</v>
      </c>
    </row>
    <row r="7126" spans="1:11" ht="42" customHeight="1">
      <c r="A7126" s="2" t="s">
        <v>14898</v>
      </c>
      <c r="B7126" s="2" t="s">
        <v>14899</v>
      </c>
      <c r="C7126" s="2" t="s">
        <v>25</v>
      </c>
      <c r="D7126" s="2" t="s">
        <v>26</v>
      </c>
      <c r="E7126" s="5">
        <v>-31689</v>
      </c>
      <c r="F7126" s="3" t="s">
        <v>48</v>
      </c>
      <c r="G7126" s="3" t="s">
        <v>162</v>
      </c>
      <c r="H7126" s="2" t="s">
        <v>20</v>
      </c>
      <c r="I7126" s="2" t="s">
        <v>14900</v>
      </c>
      <c r="J7126" s="3" t="str">
        <f>HYPERLINK("https://www.boe.es/gazeta/dias/1813/03/27/pdfs/GRE-1813-38.pdf#page=8","Abrir facsímil")</f>
        <v>Abrir facsímil</v>
      </c>
      <c r="K7126" s="3" t="s">
        <v>22</v>
      </c>
    </row>
    <row r="7127" spans="1:11" ht="42" customHeight="1">
      <c r="A7127" s="2" t="s">
        <v>14901</v>
      </c>
      <c r="B7127" s="2" t="s">
        <v>14902</v>
      </c>
      <c r="C7127" s="2" t="s">
        <v>16</v>
      </c>
      <c r="D7127" s="2" t="s">
        <v>17</v>
      </c>
      <c r="E7127" s="5">
        <v>-31628</v>
      </c>
      <c r="F7127" s="3" t="s">
        <v>358</v>
      </c>
      <c r="G7127" s="3" t="s">
        <v>19</v>
      </c>
      <c r="H7127" s="2" t="s">
        <v>20</v>
      </c>
      <c r="I7127" s="2" t="s">
        <v>14903</v>
      </c>
      <c r="J7127" s="3" t="str">
        <f>HYPERLINK("https://www.boe.es/gazeta/dias/1813/05/27/pdfs/GRE-1813-65.pdf#page=4","Abrir facsímil")</f>
        <v>Abrir facsímil</v>
      </c>
      <c r="K7127" s="3" t="s">
        <v>22</v>
      </c>
    </row>
    <row r="7128" spans="1:11" ht="42" customHeight="1">
      <c r="A7128" s="2" t="s">
        <v>14904</v>
      </c>
      <c r="B7128" s="2" t="s">
        <v>14905</v>
      </c>
      <c r="C7128" s="2" t="s">
        <v>187</v>
      </c>
      <c r="D7128" s="2" t="s">
        <v>26</v>
      </c>
      <c r="E7128" s="5">
        <v>-31637</v>
      </c>
      <c r="F7128" s="3" t="s">
        <v>855</v>
      </c>
      <c r="G7128" s="3" t="s">
        <v>19</v>
      </c>
      <c r="H7128" s="2" t="s">
        <v>20</v>
      </c>
      <c r="I7128" s="2" t="s">
        <v>14906</v>
      </c>
      <c r="J7128" s="3" t="str">
        <f>HYPERLINK("https://www.boe.es/gazeta/dias/1813/05/18/pdfs/GMD-1813-138.pdf#page=4","Abrir facsímil")</f>
        <v>Abrir facsímil</v>
      </c>
      <c r="K7128" s="3" t="s">
        <v>22</v>
      </c>
    </row>
    <row r="7129" spans="1:11" ht="42" customHeight="1">
      <c r="A7129" s="2" t="s">
        <v>14907</v>
      </c>
      <c r="B7129" s="2" t="s">
        <v>14907</v>
      </c>
      <c r="C7129" s="2" t="s">
        <v>16</v>
      </c>
      <c r="D7129" s="2" t="s">
        <v>17</v>
      </c>
      <c r="E7129" s="5">
        <v>-31675</v>
      </c>
      <c r="F7129" s="3" t="s">
        <v>27</v>
      </c>
      <c r="G7129" s="3" t="s">
        <v>19</v>
      </c>
      <c r="H7129" s="2" t="s">
        <v>20</v>
      </c>
      <c r="I7129" s="2" t="s">
        <v>14908</v>
      </c>
      <c r="J7129" s="3" t="str">
        <f>HYPERLINK("https://www.boe.es/gazeta/dias/1813/04/10/pdfs/GRE-1813-44.pdf#page=4","Abrir facsímil")</f>
        <v>Abrir facsímil</v>
      </c>
      <c r="K7129" s="3" t="s">
        <v>22</v>
      </c>
    </row>
    <row r="7130" spans="1:11" ht="42" customHeight="1">
      <c r="A7130" s="2" t="s">
        <v>14909</v>
      </c>
      <c r="B7130" s="2" t="s">
        <v>14910</v>
      </c>
      <c r="C7130" s="2" t="s">
        <v>34</v>
      </c>
      <c r="D7130" s="2" t="s">
        <v>35</v>
      </c>
      <c r="E7130" s="5">
        <v>-31709</v>
      </c>
      <c r="F7130" s="3" t="s">
        <v>36</v>
      </c>
      <c r="G7130" s="3" t="s">
        <v>303</v>
      </c>
      <c r="H7130" s="2" t="s">
        <v>20</v>
      </c>
      <c r="I7130" s="2" t="s">
        <v>14911</v>
      </c>
      <c r="J7130" s="3" t="str">
        <f>HYPERLINK("https://www.boe.es/gazeta/dias/1813/03/07/pdfs/GMD-1813-66.pdf#page=3","Abrir facsímil")</f>
        <v>Abrir facsímil</v>
      </c>
      <c r="K7130" s="3" t="s">
        <v>22</v>
      </c>
    </row>
    <row r="7131" spans="1:11" ht="42" customHeight="1">
      <c r="A7131" s="2" t="s">
        <v>14912</v>
      </c>
      <c r="B7131" s="2" t="s">
        <v>14913</v>
      </c>
      <c r="C7131" s="2" t="s">
        <v>277</v>
      </c>
      <c r="D7131" s="2" t="s">
        <v>26</v>
      </c>
      <c r="E7131" s="5">
        <v>-31706</v>
      </c>
      <c r="F7131" s="3" t="s">
        <v>2256</v>
      </c>
      <c r="G7131" s="3" t="s">
        <v>19</v>
      </c>
      <c r="H7131" s="2" t="s">
        <v>20</v>
      </c>
      <c r="I7131" s="2" t="s">
        <v>14914</v>
      </c>
      <c r="J7131" s="3" t="str">
        <f>HYPERLINK("https://www.boe.es/gazeta/dias/1813/03/10/pdfs/GMD-1813-69.pdf#page=4","Abrir facsímil")</f>
        <v>Abrir facsímil</v>
      </c>
      <c r="K7131" s="3" t="s">
        <v>22</v>
      </c>
    </row>
    <row r="7132" spans="1:11" ht="42" customHeight="1">
      <c r="A7132" s="2" t="s">
        <v>14915</v>
      </c>
      <c r="B7132" s="2" t="s">
        <v>14916</v>
      </c>
      <c r="C7132" s="2" t="s">
        <v>16</v>
      </c>
      <c r="D7132" s="2" t="s">
        <v>17</v>
      </c>
      <c r="E7132" s="5">
        <v>-31709</v>
      </c>
      <c r="F7132" s="3" t="s">
        <v>36</v>
      </c>
      <c r="G7132" s="3" t="s">
        <v>19</v>
      </c>
      <c r="H7132" s="2" t="s">
        <v>20</v>
      </c>
      <c r="I7132" s="2" t="s">
        <v>14917</v>
      </c>
      <c r="J7132" s="3" t="str">
        <f>HYPERLINK("https://www.boe.es/gazeta/dias/1813/03/07/pdfs/GMD-1813-66.pdf#page=4","Abrir facsímil")</f>
        <v>Abrir facsímil</v>
      </c>
      <c r="K7132" s="3" t="s">
        <v>22</v>
      </c>
    </row>
    <row r="7133" spans="1:11" ht="42" customHeight="1">
      <c r="A7133" s="2" t="s">
        <v>14918</v>
      </c>
      <c r="B7133" s="2" t="s">
        <v>14919</v>
      </c>
      <c r="C7133" s="2" t="s">
        <v>16</v>
      </c>
      <c r="D7133" s="2" t="s">
        <v>97</v>
      </c>
      <c r="E7133" s="5">
        <v>-31519</v>
      </c>
      <c r="F7133" s="3" t="s">
        <v>312</v>
      </c>
      <c r="G7133" s="3" t="s">
        <v>178</v>
      </c>
      <c r="H7133" s="2" t="s">
        <v>20</v>
      </c>
      <c r="I7133" s="2" t="s">
        <v>14920</v>
      </c>
      <c r="J7133" s="3" t="str">
        <f>HYPERLINK("https://www.boe.es/gazeta/dias/1813/09/13/pdfs/GRE-1813-118E.pdf#page=11","Abrir facsímil")</f>
        <v>Abrir facsímil</v>
      </c>
      <c r="K7133" s="3" t="s">
        <v>22</v>
      </c>
    </row>
    <row r="7134" spans="1:11" ht="42" customHeight="1">
      <c r="A7134" s="2" t="s">
        <v>14921</v>
      </c>
      <c r="B7134" s="2" t="s">
        <v>14922</v>
      </c>
      <c r="C7134" s="2" t="s">
        <v>16</v>
      </c>
      <c r="D7134" s="2" t="s">
        <v>17</v>
      </c>
      <c r="E7134" s="5">
        <v>-31507</v>
      </c>
      <c r="F7134" s="3" t="s">
        <v>61</v>
      </c>
      <c r="G7134" s="3" t="s">
        <v>207</v>
      </c>
      <c r="H7134" s="2" t="s">
        <v>20</v>
      </c>
      <c r="I7134" s="2" t="s">
        <v>14923</v>
      </c>
      <c r="J7134" s="3" t="str">
        <f>HYPERLINK("https://www.boe.es/gazeta/dias/1813/09/25/pdfs/GMR-1813-48.pdf#page=10","Abrir facsímil")</f>
        <v>Abrir facsímil</v>
      </c>
      <c r="K7134" s="3" t="s">
        <v>22</v>
      </c>
    </row>
    <row r="7135" spans="1:11" ht="42" customHeight="1">
      <c r="A7135" s="2" t="s">
        <v>14924</v>
      </c>
      <c r="B7135" s="2" t="s">
        <v>14925</v>
      </c>
      <c r="C7135" s="2" t="s">
        <v>435</v>
      </c>
      <c r="D7135" s="2" t="s">
        <v>26</v>
      </c>
      <c r="E7135" s="5">
        <v>-31560</v>
      </c>
      <c r="F7135" s="3" t="s">
        <v>590</v>
      </c>
      <c r="G7135" s="3" t="s">
        <v>87</v>
      </c>
      <c r="H7135" s="2" t="s">
        <v>20</v>
      </c>
      <c r="I7135" s="2" t="s">
        <v>14926</v>
      </c>
      <c r="J7135" s="3" t="str">
        <f>HYPERLINK("https://www.boe.es/gazeta/dias/1813/08/03/pdfs/GRE-1813-98.pdf#page=7","Abrir facsímil")</f>
        <v>Abrir facsímil</v>
      </c>
      <c r="K7135" s="3" t="s">
        <v>22</v>
      </c>
    </row>
    <row r="7136" spans="1:11" ht="42" customHeight="1">
      <c r="A7136" s="2" t="s">
        <v>14927</v>
      </c>
      <c r="B7136" s="2" t="s">
        <v>14928</v>
      </c>
      <c r="C7136" s="2" t="s">
        <v>16</v>
      </c>
      <c r="D7136" s="2" t="s">
        <v>17</v>
      </c>
      <c r="E7136" s="5">
        <v>-31649</v>
      </c>
      <c r="F7136" s="3" t="s">
        <v>1057</v>
      </c>
      <c r="G7136" s="3" t="s">
        <v>3717</v>
      </c>
      <c r="H7136" s="2" t="s">
        <v>20</v>
      </c>
      <c r="I7136" s="2" t="s">
        <v>14929</v>
      </c>
      <c r="J7136" s="3" t="str">
        <f>HYPERLINK("https://www.boe.es/gazeta/dias/1813/05/06/pdfs/GRE-1813-56.pdf#page=7","Abrir facsímil")</f>
        <v>Abrir facsímil</v>
      </c>
      <c r="K7136" s="3" t="s">
        <v>22</v>
      </c>
    </row>
    <row r="7137" spans="1:11" ht="42" customHeight="1">
      <c r="A7137" s="2" t="s">
        <v>14927</v>
      </c>
      <c r="B7137" s="2" t="s">
        <v>14928</v>
      </c>
      <c r="C7137" s="2" t="s">
        <v>16</v>
      </c>
      <c r="D7137" s="2" t="s">
        <v>17</v>
      </c>
      <c r="E7137" s="5">
        <v>-31618</v>
      </c>
      <c r="F7137" s="3" t="s">
        <v>1057</v>
      </c>
      <c r="G7137" s="3" t="s">
        <v>3717</v>
      </c>
      <c r="H7137" s="2" t="s">
        <v>20</v>
      </c>
      <c r="I7137" s="2" t="s">
        <v>14929</v>
      </c>
      <c r="J7137" s="3" t="str">
        <f>HYPERLINK("https://www.boe.es/gazeta/dias/1813/06/06/pdfs/GRE-1813-56.pdf#page=7","Abrir facsímil")</f>
        <v>Abrir facsímil</v>
      </c>
      <c r="K7137" s="3" t="s">
        <v>22</v>
      </c>
    </row>
    <row r="7138" spans="1:11" ht="42" customHeight="1">
      <c r="A7138" s="2" t="s">
        <v>14930</v>
      </c>
      <c r="B7138" s="2" t="s">
        <v>14930</v>
      </c>
      <c r="C7138" s="2" t="s">
        <v>187</v>
      </c>
      <c r="D7138" s="2" t="s">
        <v>26</v>
      </c>
      <c r="E7138" s="5">
        <v>-31663</v>
      </c>
      <c r="F7138" s="3" t="s">
        <v>2638</v>
      </c>
      <c r="G7138" s="3" t="s">
        <v>5913</v>
      </c>
      <c r="H7138" s="2" t="s">
        <v>20</v>
      </c>
      <c r="I7138" s="2" t="s">
        <v>14931</v>
      </c>
      <c r="J7138" s="3" t="str">
        <f>HYPERLINK("https://www.boe.es/gazeta/dias/1813/04/22/pdfs/GRE-1813-50.pdf#page=5","Abrir facsímil")</f>
        <v>Abrir facsímil</v>
      </c>
      <c r="K7138" s="3" t="s">
        <v>22</v>
      </c>
    </row>
    <row r="7139" spans="1:11" ht="42" customHeight="1">
      <c r="A7139" s="2" t="s">
        <v>14932</v>
      </c>
      <c r="B7139" s="2" t="s">
        <v>14932</v>
      </c>
      <c r="C7139" s="2" t="s">
        <v>16</v>
      </c>
      <c r="D7139" s="2" t="s">
        <v>17</v>
      </c>
      <c r="E7139" s="5">
        <v>-31637</v>
      </c>
      <c r="F7139" s="3" t="s">
        <v>234</v>
      </c>
      <c r="G7139" s="3" t="s">
        <v>95</v>
      </c>
      <c r="H7139" s="2" t="s">
        <v>20</v>
      </c>
      <c r="I7139" s="2" t="s">
        <v>14933</v>
      </c>
      <c r="J7139" s="3" t="str">
        <f>HYPERLINK("https://www.boe.es/gazeta/dias/1813/05/18/pdfs/GRE-1813-61.pdf#page=6","Abrir facsímil")</f>
        <v>Abrir facsímil</v>
      </c>
      <c r="K7139" s="3" t="s">
        <v>22</v>
      </c>
    </row>
    <row r="7140" spans="1:11" ht="42" customHeight="1">
      <c r="A7140" s="2" t="s">
        <v>14934</v>
      </c>
      <c r="B7140" s="2" t="s">
        <v>14934</v>
      </c>
      <c r="C7140" s="2" t="s">
        <v>16</v>
      </c>
      <c r="D7140" s="2" t="s">
        <v>17</v>
      </c>
      <c r="E7140" s="5">
        <v>-31648</v>
      </c>
      <c r="F7140" s="3" t="s">
        <v>3263</v>
      </c>
      <c r="G7140" s="3" t="s">
        <v>65</v>
      </c>
      <c r="H7140" s="2" t="s">
        <v>20</v>
      </c>
      <c r="I7140" s="2" t="s">
        <v>14935</v>
      </c>
      <c r="J7140" s="3" t="str">
        <f>HYPERLINK("https://www.boe.es/gazeta/dias/1813/05/07/pdfs/GMD-1813-127.pdf#page=1","Abrir facsímil")</f>
        <v>Abrir facsímil</v>
      </c>
      <c r="K7140" s="3" t="s">
        <v>22</v>
      </c>
    </row>
    <row r="7141" spans="1:11" ht="42" customHeight="1">
      <c r="A7141" s="2" t="s">
        <v>14934</v>
      </c>
      <c r="B7141" s="2" t="s">
        <v>14934</v>
      </c>
      <c r="C7141" s="2" t="s">
        <v>16</v>
      </c>
      <c r="D7141" s="2" t="s">
        <v>17</v>
      </c>
      <c r="E7141" s="5">
        <v>-31643</v>
      </c>
      <c r="F7141" s="3" t="s">
        <v>2610</v>
      </c>
      <c r="G7141" s="3" t="s">
        <v>65</v>
      </c>
      <c r="H7141" s="2" t="s">
        <v>20</v>
      </c>
      <c r="I7141" s="2" t="s">
        <v>14936</v>
      </c>
      <c r="J7141" s="3" t="str">
        <f>HYPERLINK("https://www.boe.es/gazeta/dias/1813/05/12/pdfs/GMD-1813-132.pdf#page=1","Abrir facsímil")</f>
        <v>Abrir facsímil</v>
      </c>
      <c r="K7141" s="3" t="s">
        <v>22</v>
      </c>
    </row>
    <row r="7142" spans="1:11" ht="42" customHeight="1">
      <c r="A7142" s="2" t="s">
        <v>14937</v>
      </c>
      <c r="B7142" s="2" t="s">
        <v>14937</v>
      </c>
      <c r="C7142" s="2" t="s">
        <v>16</v>
      </c>
      <c r="D7142" s="2" t="s">
        <v>17</v>
      </c>
      <c r="E7142" s="5">
        <v>-31719</v>
      </c>
      <c r="F7142" s="3" t="s">
        <v>251</v>
      </c>
      <c r="G7142" s="3" t="s">
        <v>58</v>
      </c>
      <c r="H7142" s="2" t="s">
        <v>20</v>
      </c>
      <c r="I7142" s="2" t="s">
        <v>14938</v>
      </c>
      <c r="J7142" s="3" t="str">
        <f>HYPERLINK("https://www.boe.es/gazeta/dias/1813/02/25/pdfs/GMD-1813-56.pdf#page=2","Abrir facsímil")</f>
        <v>Abrir facsímil</v>
      </c>
      <c r="K7142" s="3" t="s">
        <v>22</v>
      </c>
    </row>
    <row r="7143" spans="1:11" ht="42" customHeight="1">
      <c r="A7143" s="2" t="s">
        <v>14939</v>
      </c>
      <c r="B7143" s="2" t="s">
        <v>14939</v>
      </c>
      <c r="C7143" s="2" t="s">
        <v>16</v>
      </c>
      <c r="D7143" s="2" t="s">
        <v>17</v>
      </c>
      <c r="E7143" s="5">
        <v>-31556</v>
      </c>
      <c r="F7143" s="3" t="s">
        <v>976</v>
      </c>
      <c r="G7143" s="3" t="s">
        <v>14940</v>
      </c>
      <c r="H7143" s="2" t="s">
        <v>20</v>
      </c>
      <c r="I7143" s="2" t="s">
        <v>14941</v>
      </c>
      <c r="J7143" s="3" t="str">
        <f>HYPERLINK("https://www.boe.es/gazeta/dias/1813/08/07/pdfs/GRE-1813-100.pdf#page=6","Abrir facsímil")</f>
        <v>Abrir facsímil</v>
      </c>
      <c r="K7143" s="3" t="s">
        <v>22</v>
      </c>
    </row>
    <row r="7144" spans="1:11" ht="42" customHeight="1">
      <c r="A7144" s="2" t="s">
        <v>14939</v>
      </c>
      <c r="B7144" s="2" t="s">
        <v>14939</v>
      </c>
      <c r="C7144" s="2" t="s">
        <v>25</v>
      </c>
      <c r="D7144" s="2" t="s">
        <v>26</v>
      </c>
      <c r="E7144" s="5">
        <v>-31553</v>
      </c>
      <c r="F7144" s="3" t="s">
        <v>592</v>
      </c>
      <c r="G7144" s="3" t="s">
        <v>28</v>
      </c>
      <c r="H7144" s="2" t="s">
        <v>20</v>
      </c>
      <c r="I7144" s="2" t="s">
        <v>14942</v>
      </c>
      <c r="J7144" s="3" t="str">
        <f>HYPERLINK("https://www.boe.es/gazeta/dias/1813/08/10/pdfs/GRE-1813-101.pdf#page=8","Abrir facsímil")</f>
        <v>Abrir facsímil</v>
      </c>
      <c r="K7144" s="3" t="s">
        <v>22</v>
      </c>
    </row>
    <row r="7145" spans="1:11" ht="42" customHeight="1">
      <c r="A7145" s="2" t="s">
        <v>14943</v>
      </c>
      <c r="B7145" s="2" t="s">
        <v>14943</v>
      </c>
      <c r="C7145" s="2" t="s">
        <v>16</v>
      </c>
      <c r="D7145" s="2" t="s">
        <v>17</v>
      </c>
      <c r="E7145" s="5">
        <v>-31741</v>
      </c>
      <c r="F7145" s="3" t="s">
        <v>1359</v>
      </c>
      <c r="G7145" s="3" t="s">
        <v>58</v>
      </c>
      <c r="H7145" s="2" t="s">
        <v>20</v>
      </c>
      <c r="I7145" s="2" t="s">
        <v>14944</v>
      </c>
      <c r="J7145" s="3" t="str">
        <f>HYPERLINK("https://www.boe.es/gazeta/dias/1813/02/03/pdfs/GMD-1813-34.pdf#page=2","Abrir facsímil")</f>
        <v>Abrir facsímil</v>
      </c>
      <c r="K7145" s="3" t="s">
        <v>22</v>
      </c>
    </row>
    <row r="7146" spans="1:11" ht="42" customHeight="1">
      <c r="A7146" s="2" t="s">
        <v>14943</v>
      </c>
      <c r="B7146" s="2" t="s">
        <v>14943</v>
      </c>
      <c r="C7146" s="2" t="s">
        <v>16</v>
      </c>
      <c r="D7146" s="2" t="s">
        <v>17</v>
      </c>
      <c r="E7146" s="5">
        <v>-31740</v>
      </c>
      <c r="F7146" s="3" t="s">
        <v>5259</v>
      </c>
      <c r="G7146" s="3" t="s">
        <v>58</v>
      </c>
      <c r="H7146" s="2" t="s">
        <v>20</v>
      </c>
      <c r="I7146" s="2" t="s">
        <v>14945</v>
      </c>
      <c r="J7146" s="3" t="str">
        <f>HYPERLINK("https://www.boe.es/gazeta/dias/1813/02/04/pdfs/GMD-1813-35.pdf#page=2","Abrir facsímil")</f>
        <v>Abrir facsímil</v>
      </c>
      <c r="K7146" s="3" t="s">
        <v>22</v>
      </c>
    </row>
    <row r="7147" spans="1:11" ht="42" customHeight="1">
      <c r="A7147" s="2" t="s">
        <v>14943</v>
      </c>
      <c r="B7147" s="2" t="s">
        <v>14943</v>
      </c>
      <c r="C7147" s="2" t="s">
        <v>16</v>
      </c>
      <c r="D7147" s="2" t="s">
        <v>17</v>
      </c>
      <c r="E7147" s="5">
        <v>-31738</v>
      </c>
      <c r="F7147" s="3" t="s">
        <v>2045</v>
      </c>
      <c r="G7147" s="3" t="s">
        <v>58</v>
      </c>
      <c r="H7147" s="2" t="s">
        <v>20</v>
      </c>
      <c r="I7147" s="2" t="s">
        <v>14946</v>
      </c>
      <c r="J7147" s="3" t="str">
        <f>HYPERLINK("https://www.boe.es/gazeta/dias/1813/02/06/pdfs/GMD-1813-37.pdf#page=2","Abrir facsímil")</f>
        <v>Abrir facsímil</v>
      </c>
      <c r="K7147" s="3" t="s">
        <v>22</v>
      </c>
    </row>
    <row r="7148" spans="1:11" ht="42" customHeight="1">
      <c r="A7148" s="2" t="s">
        <v>14943</v>
      </c>
      <c r="B7148" s="2" t="s">
        <v>14943</v>
      </c>
      <c r="C7148" s="2" t="s">
        <v>277</v>
      </c>
      <c r="D7148" s="2" t="s">
        <v>26</v>
      </c>
      <c r="E7148" s="5">
        <v>-31738</v>
      </c>
      <c r="F7148" s="3" t="s">
        <v>2045</v>
      </c>
      <c r="G7148" s="3" t="s">
        <v>54</v>
      </c>
      <c r="H7148" s="2" t="s">
        <v>20</v>
      </c>
      <c r="I7148" s="2" t="s">
        <v>14947</v>
      </c>
      <c r="J7148" s="3" t="str">
        <f>HYPERLINK("https://www.boe.es/gazeta/dias/1813/02/06/pdfs/GMD-1813-37.pdf#page=3","Abrir facsímil")</f>
        <v>Abrir facsímil</v>
      </c>
      <c r="K7148" s="3" t="s">
        <v>22</v>
      </c>
    </row>
    <row r="7149" spans="1:11" ht="42" customHeight="1">
      <c r="A7149" s="2" t="s">
        <v>14948</v>
      </c>
      <c r="B7149" s="2" t="s">
        <v>14948</v>
      </c>
      <c r="C7149" s="2" t="s">
        <v>16</v>
      </c>
      <c r="D7149" s="2" t="s">
        <v>17</v>
      </c>
      <c r="E7149" s="5">
        <v>-31766</v>
      </c>
      <c r="F7149" s="3" t="s">
        <v>6349</v>
      </c>
      <c r="G7149" s="3" t="s">
        <v>58</v>
      </c>
      <c r="H7149" s="2" t="s">
        <v>20</v>
      </c>
      <c r="I7149" s="2" t="s">
        <v>14949</v>
      </c>
      <c r="J7149" s="3" t="str">
        <f>HYPERLINK("https://www.boe.es/gazeta/dias/1813/01/09/pdfs/GMD-1813-9.pdf#page=2","Abrir facsímil")</f>
        <v>Abrir facsímil</v>
      </c>
      <c r="K7149" s="3" t="s">
        <v>22</v>
      </c>
    </row>
    <row r="7150" spans="1:11" ht="42" customHeight="1">
      <c r="A7150" s="2" t="s">
        <v>14948</v>
      </c>
      <c r="B7150" s="2" t="s">
        <v>14948</v>
      </c>
      <c r="C7150" s="2" t="s">
        <v>16</v>
      </c>
      <c r="D7150" s="2" t="s">
        <v>17</v>
      </c>
      <c r="E7150" s="5">
        <v>-31756</v>
      </c>
      <c r="F7150" s="3" t="s">
        <v>951</v>
      </c>
      <c r="G7150" s="3" t="s">
        <v>952</v>
      </c>
      <c r="H7150" s="2" t="s">
        <v>20</v>
      </c>
      <c r="I7150" s="2" t="s">
        <v>14950</v>
      </c>
      <c r="J7150" s="3" t="str">
        <f>HYPERLINK("https://www.boe.es/gazeta/dias/1813/01/19/pdfs/GRE-1813-8.pdf#page=5","Abrir facsímil")</f>
        <v>Abrir facsímil</v>
      </c>
      <c r="K7150" s="3" t="s">
        <v>22</v>
      </c>
    </row>
    <row r="7151" spans="1:11" ht="42" customHeight="1">
      <c r="A7151" s="2" t="s">
        <v>14948</v>
      </c>
      <c r="B7151" s="2" t="s">
        <v>14948</v>
      </c>
      <c r="C7151" s="2" t="s">
        <v>16</v>
      </c>
      <c r="D7151" s="2" t="s">
        <v>17</v>
      </c>
      <c r="E7151" s="5">
        <v>-31745</v>
      </c>
      <c r="F7151" s="3" t="s">
        <v>445</v>
      </c>
      <c r="G7151" s="3" t="s">
        <v>5433</v>
      </c>
      <c r="H7151" s="2" t="s">
        <v>20</v>
      </c>
      <c r="I7151" s="2" t="s">
        <v>14951</v>
      </c>
      <c r="J7151" s="3" t="str">
        <f>HYPERLINK("https://www.boe.es/gazeta/dias/1813/01/30/pdfs/GRE-1813-13.pdf#page=6","Abrir facsímil")</f>
        <v>Abrir facsímil</v>
      </c>
      <c r="K7151" s="3" t="s">
        <v>22</v>
      </c>
    </row>
    <row r="7152" spans="1:11" ht="42" customHeight="1">
      <c r="A7152" s="2" t="s">
        <v>14948</v>
      </c>
      <c r="B7152" s="2" t="s">
        <v>14948</v>
      </c>
      <c r="C7152" s="2" t="s">
        <v>69</v>
      </c>
      <c r="D7152" s="2" t="s">
        <v>26</v>
      </c>
      <c r="E7152" s="5">
        <v>-31724</v>
      </c>
      <c r="F7152" s="3" t="s">
        <v>626</v>
      </c>
      <c r="G7152" s="3" t="s">
        <v>6206</v>
      </c>
      <c r="H7152" s="2" t="s">
        <v>20</v>
      </c>
      <c r="I7152" s="2" t="s">
        <v>14952</v>
      </c>
      <c r="J7152" s="3" t="str">
        <f>HYPERLINK("https://www.boe.es/gazeta/dias/1813/02/20/pdfs/GRE-1813-22.pdf#page=6","Abrir facsímil")</f>
        <v>Abrir facsímil</v>
      </c>
      <c r="K7152" s="3" t="s">
        <v>22</v>
      </c>
    </row>
    <row r="7153" spans="1:11" ht="42" customHeight="1">
      <c r="A7153" s="2" t="s">
        <v>14948</v>
      </c>
      <c r="B7153" s="2" t="s">
        <v>14948</v>
      </c>
      <c r="C7153" s="2" t="s">
        <v>16</v>
      </c>
      <c r="D7153" s="2" t="s">
        <v>17</v>
      </c>
      <c r="E7153" s="5">
        <v>-31663</v>
      </c>
      <c r="F7153" s="3" t="s">
        <v>2638</v>
      </c>
      <c r="G7153" s="3" t="s">
        <v>2639</v>
      </c>
      <c r="H7153" s="2" t="s">
        <v>20</v>
      </c>
      <c r="I7153" s="2" t="s">
        <v>14953</v>
      </c>
      <c r="J7153" s="3" t="str">
        <f>HYPERLINK("https://www.boe.es/gazeta/dias/1813/04/22/pdfs/GRE-1813-50.pdf#page=4","Abrir facsímil")</f>
        <v>Abrir facsímil</v>
      </c>
      <c r="K7153" s="3" t="s">
        <v>22</v>
      </c>
    </row>
    <row r="7154" spans="1:11" ht="42" customHeight="1">
      <c r="A7154" s="2" t="s">
        <v>14948</v>
      </c>
      <c r="B7154" s="2" t="s">
        <v>14948</v>
      </c>
      <c r="C7154" s="2" t="s">
        <v>16</v>
      </c>
      <c r="D7154" s="2" t="s">
        <v>17</v>
      </c>
      <c r="E7154" s="5">
        <v>-31654</v>
      </c>
      <c r="F7154" s="3" t="s">
        <v>1519</v>
      </c>
      <c r="G7154" s="3" t="s">
        <v>7549</v>
      </c>
      <c r="H7154" s="2" t="s">
        <v>20</v>
      </c>
      <c r="I7154" s="2" t="s">
        <v>14954</v>
      </c>
      <c r="J7154" s="3" t="str">
        <f>HYPERLINK("https://www.boe.es/gazeta/dias/1813/05/01/pdfs/GRE-1813-54.pdf#page=8","Abrir facsímil")</f>
        <v>Abrir facsímil</v>
      </c>
      <c r="K7154" s="3" t="s">
        <v>22</v>
      </c>
    </row>
    <row r="7155" spans="1:11" ht="42" customHeight="1">
      <c r="A7155" s="2" t="s">
        <v>14948</v>
      </c>
      <c r="B7155" s="2" t="s">
        <v>14948</v>
      </c>
      <c r="C7155" s="2" t="s">
        <v>16</v>
      </c>
      <c r="D7155" s="2" t="s">
        <v>17</v>
      </c>
      <c r="E7155" s="5">
        <v>-31649</v>
      </c>
      <c r="F7155" s="3" t="s">
        <v>1057</v>
      </c>
      <c r="G7155" s="3" t="s">
        <v>7953</v>
      </c>
      <c r="H7155" s="2" t="s">
        <v>20</v>
      </c>
      <c r="I7155" s="2" t="s">
        <v>14955</v>
      </c>
      <c r="J7155" s="3" t="str">
        <f>HYPERLINK("https://www.boe.es/gazeta/dias/1813/05/06/pdfs/GRE-1813-56.pdf#page=4","Abrir facsímil")</f>
        <v>Abrir facsímil</v>
      </c>
      <c r="K7155" s="3" t="s">
        <v>22</v>
      </c>
    </row>
    <row r="7156" spans="1:11" ht="42" customHeight="1">
      <c r="A7156" s="2" t="s">
        <v>14948</v>
      </c>
      <c r="B7156" s="2" t="s">
        <v>14948</v>
      </c>
      <c r="C7156" s="2" t="s">
        <v>16</v>
      </c>
      <c r="D7156" s="2" t="s">
        <v>17</v>
      </c>
      <c r="E7156" s="5">
        <v>-31647</v>
      </c>
      <c r="F7156" s="3" t="s">
        <v>1972</v>
      </c>
      <c r="G7156" s="3" t="s">
        <v>19</v>
      </c>
      <c r="H7156" s="2" t="s">
        <v>20</v>
      </c>
      <c r="I7156" s="2" t="s">
        <v>14956</v>
      </c>
      <c r="J7156" s="3" t="str">
        <f>HYPERLINK("https://www.boe.es/gazeta/dias/1813/05/08/pdfs/GRE-1813-57.pdf#page=4","Abrir facsímil")</f>
        <v>Abrir facsímil</v>
      </c>
      <c r="K7156" s="3" t="s">
        <v>22</v>
      </c>
    </row>
    <row r="7157" spans="1:11" ht="42" customHeight="1">
      <c r="A7157" s="2" t="s">
        <v>14948</v>
      </c>
      <c r="B7157" s="2" t="s">
        <v>14948</v>
      </c>
      <c r="C7157" s="2" t="s">
        <v>16</v>
      </c>
      <c r="D7157" s="2" t="s">
        <v>17</v>
      </c>
      <c r="E7157" s="5">
        <v>-31637</v>
      </c>
      <c r="F7157" s="3" t="s">
        <v>234</v>
      </c>
      <c r="G7157" s="3" t="s">
        <v>95</v>
      </c>
      <c r="H7157" s="2" t="s">
        <v>20</v>
      </c>
      <c r="I7157" s="2" t="s">
        <v>14957</v>
      </c>
      <c r="J7157" s="3" t="str">
        <f>HYPERLINK("https://www.boe.es/gazeta/dias/1813/05/18/pdfs/GRE-1813-61.pdf#page=6","Abrir facsímil")</f>
        <v>Abrir facsímil</v>
      </c>
      <c r="K7157" s="3" t="s">
        <v>22</v>
      </c>
    </row>
    <row r="7158" spans="1:11" ht="42" customHeight="1">
      <c r="A7158" s="2" t="s">
        <v>14948</v>
      </c>
      <c r="B7158" s="2" t="s">
        <v>14948</v>
      </c>
      <c r="C7158" s="2" t="s">
        <v>16</v>
      </c>
      <c r="D7158" s="2" t="s">
        <v>17</v>
      </c>
      <c r="E7158" s="5">
        <v>-31618</v>
      </c>
      <c r="F7158" s="3" t="s">
        <v>1057</v>
      </c>
      <c r="G7158" s="3" t="s">
        <v>7953</v>
      </c>
      <c r="H7158" s="2" t="s">
        <v>20</v>
      </c>
      <c r="I7158" s="2" t="s">
        <v>14955</v>
      </c>
      <c r="J7158" s="3" t="str">
        <f>HYPERLINK("https://www.boe.es/gazeta/dias/1813/06/06/pdfs/GRE-1813-56.pdf#page=4","Abrir facsímil")</f>
        <v>Abrir facsímil</v>
      </c>
      <c r="K7158" s="3" t="s">
        <v>22</v>
      </c>
    </row>
    <row r="7159" spans="1:11" ht="42" customHeight="1">
      <c r="A7159" s="2" t="s">
        <v>14948</v>
      </c>
      <c r="B7159" s="2" t="s">
        <v>14948</v>
      </c>
      <c r="C7159" s="2" t="s">
        <v>25</v>
      </c>
      <c r="D7159" s="2" t="s">
        <v>26</v>
      </c>
      <c r="E7159" s="5">
        <v>-31560</v>
      </c>
      <c r="F7159" s="3" t="s">
        <v>1233</v>
      </c>
      <c r="G7159" s="3" t="s">
        <v>87</v>
      </c>
      <c r="H7159" s="2" t="s">
        <v>20</v>
      </c>
      <c r="I7159" s="2" t="s">
        <v>14958</v>
      </c>
      <c r="J7159" s="3" t="str">
        <f>HYPERLINK("https://www.boe.es/gazeta/dias/1813/08/03/pdfs/GMR-1813-23.pdf#page=7","Abrir facsímil")</f>
        <v>Abrir facsímil</v>
      </c>
      <c r="K7159" s="3" t="s">
        <v>22</v>
      </c>
    </row>
    <row r="7160" spans="1:11" ht="42" customHeight="1">
      <c r="A7160" s="2" t="s">
        <v>14948</v>
      </c>
      <c r="B7160" s="2" t="s">
        <v>14948</v>
      </c>
      <c r="C7160" s="2" t="s">
        <v>16</v>
      </c>
      <c r="D7160" s="2" t="s">
        <v>17</v>
      </c>
      <c r="E7160" s="5">
        <v>-31553</v>
      </c>
      <c r="F7160" s="3" t="s">
        <v>1853</v>
      </c>
      <c r="G7160" s="3" t="s">
        <v>82</v>
      </c>
      <c r="H7160" s="2" t="s">
        <v>20</v>
      </c>
      <c r="I7160" s="2" t="s">
        <v>14959</v>
      </c>
      <c r="J7160" s="3" t="str">
        <f>HYPERLINK("https://www.boe.es/gazeta/dias/1813/08/10/pdfs/GMR-1813-26.pdf#page=5","Abrir facsímil")</f>
        <v>Abrir facsímil</v>
      </c>
      <c r="K7160" s="3" t="s">
        <v>22</v>
      </c>
    </row>
    <row r="7161" spans="1:11" ht="42" customHeight="1">
      <c r="A7161" s="2" t="s">
        <v>14948</v>
      </c>
      <c r="B7161" s="2" t="s">
        <v>14948</v>
      </c>
      <c r="C7161" s="2" t="s">
        <v>16</v>
      </c>
      <c r="D7161" s="2" t="s">
        <v>17</v>
      </c>
      <c r="E7161" s="5">
        <v>-31551</v>
      </c>
      <c r="F7161" s="3" t="s">
        <v>4349</v>
      </c>
      <c r="G7161" s="3" t="s">
        <v>54</v>
      </c>
      <c r="H7161" s="2" t="s">
        <v>20</v>
      </c>
      <c r="I7161" s="2" t="s">
        <v>14960</v>
      </c>
      <c r="J7161" s="3" t="str">
        <f>HYPERLINK("https://www.boe.es/gazeta/dias/1813/08/12/pdfs/GRE-1813-102.pdf#page=3","Abrir facsímil")</f>
        <v>Abrir facsímil</v>
      </c>
      <c r="K7161" s="3" t="s">
        <v>22</v>
      </c>
    </row>
    <row r="7162" spans="1:11" ht="42" customHeight="1">
      <c r="A7162" s="2" t="s">
        <v>14948</v>
      </c>
      <c r="B7162" s="2" t="s">
        <v>14948</v>
      </c>
      <c r="C7162" s="2" t="s">
        <v>25</v>
      </c>
      <c r="D7162" s="2" t="s">
        <v>26</v>
      </c>
      <c r="E7162" s="5">
        <v>-31549</v>
      </c>
      <c r="F7162" s="3" t="s">
        <v>294</v>
      </c>
      <c r="G7162" s="3" t="s">
        <v>2863</v>
      </c>
      <c r="H7162" s="2" t="s">
        <v>20</v>
      </c>
      <c r="I7162" s="2" t="s">
        <v>14961</v>
      </c>
      <c r="J7162" s="3" t="str">
        <f>HYPERLINK("https://www.boe.es/gazeta/dias/1813/08/14/pdfs/GRE-1813-103.pdf#page=6","Abrir facsímil")</f>
        <v>Abrir facsímil</v>
      </c>
      <c r="K7162" s="3" t="s">
        <v>22</v>
      </c>
    </row>
    <row r="7163" spans="1:11" ht="42" customHeight="1">
      <c r="A7163" s="2" t="s">
        <v>14948</v>
      </c>
      <c r="B7163" s="2" t="s">
        <v>14948</v>
      </c>
      <c r="C7163" s="2" t="s">
        <v>16</v>
      </c>
      <c r="D7163" s="2" t="s">
        <v>97</v>
      </c>
      <c r="E7163" s="5">
        <v>-31548</v>
      </c>
      <c r="F7163" s="3" t="s">
        <v>1680</v>
      </c>
      <c r="G7163" s="3" t="s">
        <v>65</v>
      </c>
      <c r="H7163" s="2" t="s">
        <v>20</v>
      </c>
      <c r="I7163" s="2" t="s">
        <v>14962</v>
      </c>
      <c r="J7163" s="3" t="str">
        <f>HYPERLINK("https://www.boe.es/gazeta/dias/1813/08/15/pdfs/GRE-1813-104E.pdf#page=1","Abrir facsímil")</f>
        <v>Abrir facsímil</v>
      </c>
      <c r="K7163" s="3" t="s">
        <v>22</v>
      </c>
    </row>
    <row r="7164" spans="1:11" ht="42" customHeight="1">
      <c r="A7164" s="2" t="s">
        <v>14948</v>
      </c>
      <c r="B7164" s="2" t="s">
        <v>14948</v>
      </c>
      <c r="C7164" s="2" t="s">
        <v>16</v>
      </c>
      <c r="D7164" s="2" t="s">
        <v>17</v>
      </c>
      <c r="E7164" s="5">
        <v>-31537</v>
      </c>
      <c r="F7164" s="3" t="s">
        <v>138</v>
      </c>
      <c r="G7164" s="3" t="s">
        <v>28</v>
      </c>
      <c r="H7164" s="2" t="s">
        <v>20</v>
      </c>
      <c r="I7164" s="2" t="s">
        <v>14963</v>
      </c>
      <c r="J7164" s="3" t="str">
        <f>HYPERLINK("https://www.boe.es/gazeta/dias/1813/08/26/pdfs/GMR-1813-33.pdf#page=8","Abrir facsímil")</f>
        <v>Abrir facsímil</v>
      </c>
      <c r="K7164" s="3" t="s">
        <v>22</v>
      </c>
    </row>
    <row r="7165" spans="1:11" ht="42" customHeight="1">
      <c r="A7165" s="2" t="s">
        <v>14948</v>
      </c>
      <c r="B7165" s="2" t="s">
        <v>14948</v>
      </c>
      <c r="C7165" s="2" t="s">
        <v>16</v>
      </c>
      <c r="D7165" s="2" t="s">
        <v>17</v>
      </c>
      <c r="E7165" s="5">
        <v>-31530</v>
      </c>
      <c r="F7165" s="3" t="s">
        <v>133</v>
      </c>
      <c r="G7165" s="3" t="s">
        <v>95</v>
      </c>
      <c r="H7165" s="2" t="s">
        <v>20</v>
      </c>
      <c r="I7165" s="2" t="s">
        <v>14964</v>
      </c>
      <c r="J7165" s="3" t="str">
        <f>HYPERLINK("https://www.boe.es/gazeta/dias/1813/09/02/pdfs/GMR-1813-36.pdf#page=6","Abrir facsímil")</f>
        <v>Abrir facsímil</v>
      </c>
      <c r="K7165" s="3" t="s">
        <v>22</v>
      </c>
    </row>
    <row r="7166" spans="1:11" ht="42" customHeight="1">
      <c r="A7166" s="2" t="s">
        <v>14948</v>
      </c>
      <c r="B7166" s="2" t="s">
        <v>14948</v>
      </c>
      <c r="C7166" s="2" t="s">
        <v>16</v>
      </c>
      <c r="D7166" s="2" t="s">
        <v>17</v>
      </c>
      <c r="E7166" s="5">
        <v>-31530</v>
      </c>
      <c r="F7166" s="3" t="s">
        <v>319</v>
      </c>
      <c r="G7166" s="3" t="s">
        <v>87</v>
      </c>
      <c r="H7166" s="2" t="s">
        <v>20</v>
      </c>
      <c r="I7166" s="2" t="s">
        <v>14965</v>
      </c>
      <c r="J7166" s="3" t="str">
        <f>HYPERLINK("https://www.boe.es/gazeta/dias/1813/09/02/pdfs/GRE-1813-112.pdf#page=7","Abrir facsímil")</f>
        <v>Abrir facsímil</v>
      </c>
      <c r="K7166" s="3" t="s">
        <v>22</v>
      </c>
    </row>
    <row r="7167" spans="1:11" ht="42" customHeight="1">
      <c r="A7167" s="2" t="s">
        <v>14948</v>
      </c>
      <c r="B7167" s="2" t="s">
        <v>14948</v>
      </c>
      <c r="C7167" s="2" t="s">
        <v>16</v>
      </c>
      <c r="D7167" s="2" t="s">
        <v>17</v>
      </c>
      <c r="E7167" s="5">
        <v>-31521</v>
      </c>
      <c r="F7167" s="3" t="s">
        <v>1256</v>
      </c>
      <c r="G7167" s="3" t="s">
        <v>19</v>
      </c>
      <c r="H7167" s="2" t="s">
        <v>20</v>
      </c>
      <c r="I7167" s="2" t="s">
        <v>14966</v>
      </c>
      <c r="J7167" s="3" t="str">
        <f>HYPERLINK("https://www.boe.es/gazeta/dias/1813/09/11/pdfs/GRE-1813-116.pdf#page=4","Abrir facsímil")</f>
        <v>Abrir facsímil</v>
      </c>
      <c r="K7167" s="3" t="s">
        <v>22</v>
      </c>
    </row>
    <row r="7168" spans="1:11" ht="42" customHeight="1">
      <c r="A7168" s="2" t="s">
        <v>14948</v>
      </c>
      <c r="B7168" s="2" t="s">
        <v>14948</v>
      </c>
      <c r="C7168" s="2" t="s">
        <v>16</v>
      </c>
      <c r="D7168" s="2" t="s">
        <v>17</v>
      </c>
      <c r="E7168" s="5">
        <v>-31521</v>
      </c>
      <c r="F7168" s="3" t="s">
        <v>1256</v>
      </c>
      <c r="G7168" s="3" t="s">
        <v>82</v>
      </c>
      <c r="H7168" s="2" t="s">
        <v>20</v>
      </c>
      <c r="I7168" s="2" t="s">
        <v>14967</v>
      </c>
      <c r="J7168" s="3" t="str">
        <f>HYPERLINK("https://www.boe.es/gazeta/dias/1813/09/11/pdfs/GRE-1813-116.pdf#page=5","Abrir facsímil")</f>
        <v>Abrir facsímil</v>
      </c>
      <c r="K7168" s="3" t="s">
        <v>22</v>
      </c>
    </row>
    <row r="7169" spans="1:11" ht="42" customHeight="1">
      <c r="A7169" s="2" t="s">
        <v>14948</v>
      </c>
      <c r="B7169" s="2" t="s">
        <v>14948</v>
      </c>
      <c r="C7169" s="2" t="s">
        <v>16</v>
      </c>
      <c r="D7169" s="2" t="s">
        <v>17</v>
      </c>
      <c r="E7169" s="5">
        <v>-31495</v>
      </c>
      <c r="F7169" s="3" t="s">
        <v>194</v>
      </c>
      <c r="G7169" s="3" t="s">
        <v>82</v>
      </c>
      <c r="H7169" s="2" t="s">
        <v>20</v>
      </c>
      <c r="I7169" s="2" t="s">
        <v>14968</v>
      </c>
      <c r="J7169" s="3" t="str">
        <f>HYPERLINK("https://www.boe.es/gazeta/dias/1813/10/07/pdfs/GMR-1813-55.pdf#page=5","Abrir facsímil")</f>
        <v>Abrir facsímil</v>
      </c>
      <c r="K7169" s="3" t="s">
        <v>22</v>
      </c>
    </row>
    <row r="7170" spans="1:11" ht="42" customHeight="1">
      <c r="A7170" s="2" t="s">
        <v>14948</v>
      </c>
      <c r="B7170" s="2" t="s">
        <v>14948</v>
      </c>
      <c r="C7170" s="2" t="s">
        <v>25</v>
      </c>
      <c r="D7170" s="2" t="s">
        <v>26</v>
      </c>
      <c r="E7170" s="5">
        <v>-31490</v>
      </c>
      <c r="F7170" s="3" t="s">
        <v>2909</v>
      </c>
      <c r="G7170" s="3" t="s">
        <v>28</v>
      </c>
      <c r="H7170" s="2" t="s">
        <v>20</v>
      </c>
      <c r="I7170" s="2" t="s">
        <v>14969</v>
      </c>
      <c r="J7170" s="3" t="str">
        <f>HYPERLINK("https://www.boe.es/gazeta/dias/1813/10/12/pdfs/GMR-1813-57.pdf#page=8","Abrir facsímil")</f>
        <v>Abrir facsímil</v>
      </c>
      <c r="K7170" s="3" t="s">
        <v>22</v>
      </c>
    </row>
    <row r="7171" spans="1:11" ht="42" customHeight="1">
      <c r="A7171" s="2" t="s">
        <v>14948</v>
      </c>
      <c r="B7171" s="2" t="s">
        <v>14948</v>
      </c>
      <c r="C7171" s="2" t="s">
        <v>16</v>
      </c>
      <c r="D7171" s="2" t="s">
        <v>17</v>
      </c>
      <c r="E7171" s="5">
        <v>-31462</v>
      </c>
      <c r="F7171" s="3" t="s">
        <v>542</v>
      </c>
      <c r="G7171" s="3" t="s">
        <v>87</v>
      </c>
      <c r="H7171" s="2" t="s">
        <v>20</v>
      </c>
      <c r="I7171" s="2" t="s">
        <v>14970</v>
      </c>
      <c r="J7171" s="3" t="str">
        <f>HYPERLINK("https://www.boe.es/gazeta/dias/1813/11/09/pdfs/GRE-1813-146.pdf#page=7","Abrir facsímil")</f>
        <v>Abrir facsímil</v>
      </c>
      <c r="K7171" s="3" t="s">
        <v>22</v>
      </c>
    </row>
    <row r="7172" spans="1:11" ht="42" customHeight="1">
      <c r="A7172" s="2" t="s">
        <v>14971</v>
      </c>
      <c r="B7172" s="2" t="s">
        <v>14971</v>
      </c>
      <c r="C7172" s="2" t="s">
        <v>16</v>
      </c>
      <c r="D7172" s="2" t="s">
        <v>17</v>
      </c>
      <c r="E7172" s="5">
        <v>-31448</v>
      </c>
      <c r="F7172" s="3" t="s">
        <v>325</v>
      </c>
      <c r="G7172" s="3" t="s">
        <v>95</v>
      </c>
      <c r="H7172" s="2" t="s">
        <v>20</v>
      </c>
      <c r="I7172" s="2" t="s">
        <v>14972</v>
      </c>
      <c r="J7172" s="3" t="str">
        <f>HYPERLINK("https://www.boe.es/gazeta/dias/1813/11/23/pdfs/GMR-1813-78.pdf#page=6","Abrir facsímil")</f>
        <v>Abrir facsímil</v>
      </c>
      <c r="K7172" s="3" t="s">
        <v>22</v>
      </c>
    </row>
    <row r="7173" spans="1:11" ht="42" customHeight="1">
      <c r="A7173" s="2" t="s">
        <v>14948</v>
      </c>
      <c r="B7173" s="2" t="s">
        <v>14948</v>
      </c>
      <c r="C7173" s="2" t="s">
        <v>16</v>
      </c>
      <c r="D7173" s="2" t="s">
        <v>17</v>
      </c>
      <c r="E7173" s="5">
        <v>-31446</v>
      </c>
      <c r="F7173" s="3" t="s">
        <v>103</v>
      </c>
      <c r="G7173" s="3" t="s">
        <v>95</v>
      </c>
      <c r="H7173" s="2" t="s">
        <v>20</v>
      </c>
      <c r="I7173" s="2" t="s">
        <v>14973</v>
      </c>
      <c r="J7173" s="3" t="str">
        <f>HYPERLINK("https://www.boe.es/gazeta/dias/1813/11/25/pdfs/GMR-1813-79.pdf#page=6","Abrir facsímil")</f>
        <v>Abrir facsímil</v>
      </c>
      <c r="K7173" s="3" t="s">
        <v>22</v>
      </c>
    </row>
    <row r="7174" spans="1:11" ht="42" customHeight="1">
      <c r="A7174" s="2" t="s">
        <v>14948</v>
      </c>
      <c r="B7174" s="2" t="s">
        <v>14948</v>
      </c>
      <c r="C7174" s="2" t="s">
        <v>16</v>
      </c>
      <c r="D7174" s="2" t="s">
        <v>17</v>
      </c>
      <c r="E7174" s="5">
        <v>-31434</v>
      </c>
      <c r="F7174" s="3" t="s">
        <v>18</v>
      </c>
      <c r="G7174" s="3" t="s">
        <v>87</v>
      </c>
      <c r="H7174" s="2" t="s">
        <v>20</v>
      </c>
      <c r="I7174" s="2" t="s">
        <v>14974</v>
      </c>
      <c r="J7174" s="3" t="str">
        <f>HYPERLINK("https://www.boe.es/gazeta/dias/1813/12/07/pdfs/GRE-1813-161.pdf#page=7","Abrir facsímil")</f>
        <v>Abrir facsímil</v>
      </c>
      <c r="K7174" s="3" t="s">
        <v>22</v>
      </c>
    </row>
    <row r="7175" spans="1:11" ht="42" customHeight="1">
      <c r="A7175" s="2" t="s">
        <v>14948</v>
      </c>
      <c r="B7175" s="2" t="s">
        <v>14948</v>
      </c>
      <c r="C7175" s="2" t="s">
        <v>16</v>
      </c>
      <c r="D7175" s="2" t="s">
        <v>17</v>
      </c>
      <c r="E7175" s="5">
        <v>-31418</v>
      </c>
      <c r="F7175" s="3" t="s">
        <v>1529</v>
      </c>
      <c r="G7175" s="3" t="s">
        <v>95</v>
      </c>
      <c r="H7175" s="2" t="s">
        <v>20</v>
      </c>
      <c r="I7175" s="2" t="s">
        <v>14975</v>
      </c>
      <c r="J7175" s="3" t="str">
        <f>HYPERLINK("https://www.boe.es/gazeta/dias/1813/12/23/pdfs/GMR-1813-91.pdf#page=6","Abrir facsímil")</f>
        <v>Abrir facsímil</v>
      </c>
      <c r="K7175" s="3" t="s">
        <v>22</v>
      </c>
    </row>
    <row r="7176" spans="1:11" ht="42" customHeight="1">
      <c r="A7176" s="2" t="s">
        <v>14948</v>
      </c>
      <c r="B7176" s="2" t="s">
        <v>14948</v>
      </c>
      <c r="C7176" s="2" t="s">
        <v>16</v>
      </c>
      <c r="D7176" s="2" t="s">
        <v>17</v>
      </c>
      <c r="E7176" s="5">
        <v>-31416</v>
      </c>
      <c r="F7176" s="3" t="s">
        <v>110</v>
      </c>
      <c r="G7176" s="3" t="s">
        <v>95</v>
      </c>
      <c r="H7176" s="2" t="s">
        <v>20</v>
      </c>
      <c r="I7176" s="2" t="s">
        <v>14976</v>
      </c>
      <c r="J7176" s="3" t="str">
        <f>HYPERLINK("https://www.boe.es/gazeta/dias/1813/12/25/pdfs/GRE-1813-169.pdf#page=6","Abrir facsímil")</f>
        <v>Abrir facsímil</v>
      </c>
      <c r="K7176" s="3" t="s">
        <v>22</v>
      </c>
    </row>
    <row r="7177" spans="1:11" ht="42" customHeight="1">
      <c r="A7177" s="2" t="s">
        <v>14948</v>
      </c>
      <c r="B7177" s="2" t="s">
        <v>14948</v>
      </c>
      <c r="C7177" s="2" t="s">
        <v>16</v>
      </c>
      <c r="D7177" s="2" t="s">
        <v>17</v>
      </c>
      <c r="E7177" s="5">
        <v>-31411</v>
      </c>
      <c r="F7177" s="3" t="s">
        <v>2306</v>
      </c>
      <c r="G7177" s="3" t="s">
        <v>87</v>
      </c>
      <c r="H7177" s="2" t="s">
        <v>20</v>
      </c>
      <c r="I7177" s="2" t="s">
        <v>14977</v>
      </c>
      <c r="J7177" s="3" t="str">
        <f>HYPERLINK("https://www.boe.es/gazeta/dias/1813/12/30/pdfs/GMR-1813-94.pdf#page=7","Abrir facsímil")</f>
        <v>Abrir facsímil</v>
      </c>
      <c r="K7177" s="3" t="s">
        <v>22</v>
      </c>
    </row>
    <row r="7178" spans="1:11" ht="42" customHeight="1">
      <c r="A7178" s="2" t="s">
        <v>14978</v>
      </c>
      <c r="B7178" s="2" t="s">
        <v>14979</v>
      </c>
      <c r="C7178" s="2" t="s">
        <v>16</v>
      </c>
      <c r="D7178" s="2" t="s">
        <v>17</v>
      </c>
      <c r="E7178" s="5">
        <v>-31578</v>
      </c>
      <c r="F7178" s="3" t="s">
        <v>974</v>
      </c>
      <c r="G7178" s="3" t="s">
        <v>65</v>
      </c>
      <c r="H7178" s="2" t="s">
        <v>20</v>
      </c>
      <c r="I7178" s="2" t="s">
        <v>14980</v>
      </c>
      <c r="J7178" s="3" t="str">
        <f>HYPERLINK("https://www.boe.es/gazeta/dias/1813/07/16/pdfs/GMR-1813-18.pdf#page=1","Abrir facsímil")</f>
        <v>Abrir facsímil</v>
      </c>
      <c r="K7178" s="3" t="s">
        <v>22</v>
      </c>
    </row>
    <row r="7179" spans="1:11" ht="42" customHeight="1">
      <c r="A7179" s="2" t="s">
        <v>14981</v>
      </c>
      <c r="B7179" s="2" t="s">
        <v>14981</v>
      </c>
      <c r="C7179" s="2" t="s">
        <v>16</v>
      </c>
      <c r="D7179" s="2" t="s">
        <v>17</v>
      </c>
      <c r="E7179" s="5">
        <v>-31455</v>
      </c>
      <c r="F7179" s="3" t="s">
        <v>693</v>
      </c>
      <c r="G7179" s="3" t="s">
        <v>54</v>
      </c>
      <c r="H7179" s="2" t="s">
        <v>20</v>
      </c>
      <c r="I7179" s="2" t="s">
        <v>14982</v>
      </c>
      <c r="J7179" s="3" t="str">
        <f>HYPERLINK("https://www.boe.es/gazeta/dias/1813/11/16/pdfs/GRE-1813-150.pdf#page=3","Abrir facsímil")</f>
        <v>Abrir facsímil</v>
      </c>
      <c r="K7179" s="3" t="s">
        <v>22</v>
      </c>
    </row>
    <row r="7180" spans="1:11" ht="42" customHeight="1">
      <c r="A7180" s="2" t="s">
        <v>14983</v>
      </c>
      <c r="B7180" s="2" t="s">
        <v>14983</v>
      </c>
      <c r="C7180" s="2" t="s">
        <v>16</v>
      </c>
      <c r="D7180" s="2" t="s">
        <v>17</v>
      </c>
      <c r="E7180" s="5">
        <v>-31448</v>
      </c>
      <c r="F7180" s="3" t="s">
        <v>325</v>
      </c>
      <c r="G7180" s="3" t="s">
        <v>95</v>
      </c>
      <c r="H7180" s="2" t="s">
        <v>20</v>
      </c>
      <c r="I7180" s="2" t="s">
        <v>14984</v>
      </c>
      <c r="J7180" s="3" t="str">
        <f>HYPERLINK("https://www.boe.es/gazeta/dias/1813/11/23/pdfs/GMR-1813-78.pdf#page=6","Abrir facsímil")</f>
        <v>Abrir facsímil</v>
      </c>
      <c r="K7180" s="3" t="s">
        <v>22</v>
      </c>
    </row>
    <row r="7181" spans="1:11" ht="42" customHeight="1">
      <c r="A7181" s="2" t="s">
        <v>14981</v>
      </c>
      <c r="B7181" s="2" t="s">
        <v>14981</v>
      </c>
      <c r="C7181" s="2" t="s">
        <v>16</v>
      </c>
      <c r="D7181" s="2" t="s">
        <v>17</v>
      </c>
      <c r="E7181" s="5">
        <v>-31434</v>
      </c>
      <c r="F7181" s="3" t="s">
        <v>18</v>
      </c>
      <c r="G7181" s="3" t="s">
        <v>87</v>
      </c>
      <c r="H7181" s="2" t="s">
        <v>20</v>
      </c>
      <c r="I7181" s="2" t="s">
        <v>14985</v>
      </c>
      <c r="J7181" s="3" t="str">
        <f>HYPERLINK("https://www.boe.es/gazeta/dias/1813/12/07/pdfs/GRE-1813-161.pdf#page=7","Abrir facsímil")</f>
        <v>Abrir facsímil</v>
      </c>
      <c r="K7181" s="3" t="s">
        <v>22</v>
      </c>
    </row>
    <row r="7182" spans="1:11" ht="42" customHeight="1">
      <c r="A7182" s="2" t="s">
        <v>14986</v>
      </c>
      <c r="B7182" s="2" t="s">
        <v>14986</v>
      </c>
      <c r="C7182" s="2" t="s">
        <v>34</v>
      </c>
      <c r="D7182" s="2" t="s">
        <v>35</v>
      </c>
      <c r="E7182" s="5">
        <v>-31649</v>
      </c>
      <c r="F7182" s="3" t="s">
        <v>3961</v>
      </c>
      <c r="G7182" s="3" t="s">
        <v>54</v>
      </c>
      <c r="H7182" s="2" t="s">
        <v>20</v>
      </c>
      <c r="I7182" s="2" t="s">
        <v>14987</v>
      </c>
      <c r="J7182" s="3" t="str">
        <f>HYPERLINK("https://www.boe.es/gazeta/dias/1813/05/06/pdfs/GMD-1813-126.pdf#page=3","Abrir facsímil")</f>
        <v>Abrir facsímil</v>
      </c>
      <c r="K7182" s="3" t="s">
        <v>22</v>
      </c>
    </row>
    <row r="7183" spans="1:11" ht="42" customHeight="1">
      <c r="A7183" s="2" t="s">
        <v>14988</v>
      </c>
      <c r="B7183" s="2" t="s">
        <v>14988</v>
      </c>
      <c r="C7183" s="2" t="s">
        <v>25</v>
      </c>
      <c r="D7183" s="2" t="s">
        <v>26</v>
      </c>
      <c r="E7183" s="5">
        <v>-31645</v>
      </c>
      <c r="F7183" s="3" t="s">
        <v>4666</v>
      </c>
      <c r="G7183" s="3" t="s">
        <v>58</v>
      </c>
      <c r="H7183" s="2" t="s">
        <v>20</v>
      </c>
      <c r="I7183" s="2" t="s">
        <v>14989</v>
      </c>
      <c r="J7183" s="3" t="str">
        <f>HYPERLINK("https://www.boe.es/gazeta/dias/1813/05/10/pdfs/GMD-1813-130.pdf#page=2","Abrir facsímil")</f>
        <v>Abrir facsímil</v>
      </c>
      <c r="K7183" s="3" t="s">
        <v>22</v>
      </c>
    </row>
    <row r="7184" spans="1:11" ht="42" customHeight="1">
      <c r="A7184" s="2" t="s">
        <v>14990</v>
      </c>
      <c r="B7184" s="2" t="s">
        <v>14990</v>
      </c>
      <c r="C7184" s="2" t="s">
        <v>16</v>
      </c>
      <c r="D7184" s="2" t="s">
        <v>17</v>
      </c>
      <c r="E7184" s="5">
        <v>-31516</v>
      </c>
      <c r="F7184" s="3" t="s">
        <v>1685</v>
      </c>
      <c r="G7184" s="3" t="s">
        <v>1686</v>
      </c>
      <c r="H7184" s="2" t="s">
        <v>20</v>
      </c>
      <c r="I7184" s="2" t="s">
        <v>14991</v>
      </c>
      <c r="J7184" s="3" t="str">
        <f>HYPERLINK("https://www.boe.es/gazeta/dias/1813/09/16/pdfs/GRE-1813-120.pdf#page=7","Abrir facsímil")</f>
        <v>Abrir facsímil</v>
      </c>
      <c r="K7184" s="3" t="s">
        <v>22</v>
      </c>
    </row>
    <row r="7185" spans="1:11" ht="42" customHeight="1">
      <c r="A7185" s="2" t="s">
        <v>14990</v>
      </c>
      <c r="B7185" s="2" t="s">
        <v>14990</v>
      </c>
      <c r="C7185" s="2" t="s">
        <v>16</v>
      </c>
      <c r="D7185" s="2" t="s">
        <v>17</v>
      </c>
      <c r="E7185" s="5">
        <v>-31516</v>
      </c>
      <c r="F7185" s="3" t="s">
        <v>1685</v>
      </c>
      <c r="G7185" s="3" t="s">
        <v>19</v>
      </c>
      <c r="H7185" s="2" t="s">
        <v>20</v>
      </c>
      <c r="I7185" s="2" t="s">
        <v>14992</v>
      </c>
      <c r="J7185" s="3" t="str">
        <f>HYPERLINK("https://www.boe.es/gazeta/dias/1813/09/16/pdfs/GRE-1813-120.pdf#page=4","Abrir facsímil")</f>
        <v>Abrir facsímil</v>
      </c>
      <c r="K7185" s="3" t="s">
        <v>22</v>
      </c>
    </row>
    <row r="7186" spans="1:11" ht="42" customHeight="1">
      <c r="A7186" s="2" t="s">
        <v>14993</v>
      </c>
      <c r="B7186" s="2" t="s">
        <v>14993</v>
      </c>
      <c r="C7186" s="2" t="s">
        <v>16</v>
      </c>
      <c r="D7186" s="2" t="s">
        <v>17</v>
      </c>
      <c r="E7186" s="5">
        <v>-31518</v>
      </c>
      <c r="F7186" s="3" t="s">
        <v>1090</v>
      </c>
      <c r="G7186" s="3" t="s">
        <v>14994</v>
      </c>
      <c r="H7186" s="2" t="s">
        <v>20</v>
      </c>
      <c r="I7186" s="2" t="s">
        <v>14995</v>
      </c>
      <c r="J7186" s="3" t="str">
        <f>HYPERLINK("https://www.boe.es/gazeta/dias/1813/09/14/pdfs/GMR-1813-42.pdf#page=4","Abrir facsímil")</f>
        <v>Abrir facsímil</v>
      </c>
      <c r="K7186" s="3" t="s">
        <v>22</v>
      </c>
    </row>
    <row r="7187" spans="1:11" ht="42" customHeight="1">
      <c r="A7187" s="2" t="s">
        <v>14996</v>
      </c>
      <c r="B7187" s="2" t="s">
        <v>14996</v>
      </c>
      <c r="C7187" s="2" t="s">
        <v>16</v>
      </c>
      <c r="D7187" s="2" t="s">
        <v>17</v>
      </c>
      <c r="E7187" s="5">
        <v>-31743</v>
      </c>
      <c r="F7187" s="3" t="s">
        <v>2711</v>
      </c>
      <c r="G7187" s="3" t="s">
        <v>65</v>
      </c>
      <c r="H7187" s="2" t="s">
        <v>20</v>
      </c>
      <c r="I7187" s="2" t="s">
        <v>14997</v>
      </c>
      <c r="J7187" s="3" t="str">
        <f>HYPERLINK("https://www.boe.es/gazeta/dias/1813/02/01/pdfs/GMD-1813-32.pdf#page=1","Abrir facsímil")</f>
        <v>Abrir facsímil</v>
      </c>
      <c r="K7187" s="3" t="s">
        <v>22</v>
      </c>
    </row>
    <row r="7188" spans="1:11" ht="42" customHeight="1">
      <c r="A7188" s="2" t="s">
        <v>14998</v>
      </c>
      <c r="B7188" s="2" t="s">
        <v>14998</v>
      </c>
      <c r="C7188" s="2" t="s">
        <v>16</v>
      </c>
      <c r="D7188" s="2" t="s">
        <v>17</v>
      </c>
      <c r="E7188" s="5">
        <v>-31595</v>
      </c>
      <c r="F7188" s="3" t="s">
        <v>1319</v>
      </c>
      <c r="G7188" s="3" t="s">
        <v>58</v>
      </c>
      <c r="H7188" s="2" t="s">
        <v>20</v>
      </c>
      <c r="I7188" s="2" t="s">
        <v>14999</v>
      </c>
      <c r="J7188" s="3" t="str">
        <f>HYPERLINK("https://www.boe.es/gazeta/dias/1813/06/29/pdfs/GRE-1813-80.pdf#page=2","Abrir facsímil")</f>
        <v>Abrir facsímil</v>
      </c>
      <c r="K7188" s="3" t="s">
        <v>22</v>
      </c>
    </row>
    <row r="7189" spans="1:11" ht="42" customHeight="1">
      <c r="A7189" s="2" t="s">
        <v>14998</v>
      </c>
      <c r="B7189" s="2" t="s">
        <v>14998</v>
      </c>
      <c r="C7189" s="2" t="s">
        <v>16</v>
      </c>
      <c r="D7189" s="2" t="s">
        <v>17</v>
      </c>
      <c r="E7189" s="5">
        <v>-31581</v>
      </c>
      <c r="F7189" s="3" t="s">
        <v>1321</v>
      </c>
      <c r="G7189" s="3" t="s">
        <v>58</v>
      </c>
      <c r="H7189" s="2" t="s">
        <v>20</v>
      </c>
      <c r="I7189" s="2" t="s">
        <v>15000</v>
      </c>
      <c r="J7189" s="3" t="str">
        <f>HYPERLINK("https://www.boe.es/gazeta/dias/1813/07/13/pdfs/GMR-1813-17.pdf#page=2","Abrir facsímil")</f>
        <v>Abrir facsímil</v>
      </c>
      <c r="K7189" s="3" t="s">
        <v>22</v>
      </c>
    </row>
    <row r="7190" spans="1:11" ht="42" customHeight="1">
      <c r="A7190" s="2" t="s">
        <v>14998</v>
      </c>
      <c r="B7190" s="2" t="s">
        <v>14998</v>
      </c>
      <c r="C7190" s="2" t="s">
        <v>16</v>
      </c>
      <c r="D7190" s="2" t="s">
        <v>17</v>
      </c>
      <c r="E7190" s="5">
        <v>-31574</v>
      </c>
      <c r="F7190" s="3" t="s">
        <v>1343</v>
      </c>
      <c r="G7190" s="3" t="s">
        <v>58</v>
      </c>
      <c r="H7190" s="2" t="s">
        <v>20</v>
      </c>
      <c r="I7190" s="2" t="s">
        <v>15001</v>
      </c>
      <c r="J7190" s="3" t="str">
        <f>HYPERLINK("https://www.boe.es/gazeta/dias/1813/07/20/pdfs/GMR-1813-19.pdf#page=2","Abrir facsímil")</f>
        <v>Abrir facsímil</v>
      </c>
      <c r="K7190" s="3" t="s">
        <v>22</v>
      </c>
    </row>
    <row r="7191" spans="1:11" ht="42" customHeight="1">
      <c r="A7191" s="2" t="s">
        <v>14998</v>
      </c>
      <c r="B7191" s="2" t="s">
        <v>14998</v>
      </c>
      <c r="C7191" s="2" t="s">
        <v>25</v>
      </c>
      <c r="D7191" s="2" t="s">
        <v>97</v>
      </c>
      <c r="E7191" s="5">
        <v>-31499</v>
      </c>
      <c r="F7191" s="3" t="s">
        <v>220</v>
      </c>
      <c r="G7191" s="3" t="s">
        <v>28</v>
      </c>
      <c r="H7191" s="2" t="s">
        <v>20</v>
      </c>
      <c r="I7191" s="2" t="s">
        <v>15002</v>
      </c>
      <c r="J7191" s="3" t="str">
        <f>HYPERLINK("https://www.boe.es/gazeta/dias/1813/10/03/pdfs/GMR-1813-53E.pdf#page=8","Abrir facsímil")</f>
        <v>Abrir facsímil</v>
      </c>
      <c r="K7191" s="3" t="s">
        <v>22</v>
      </c>
    </row>
    <row r="7192" spans="1:11" ht="42" customHeight="1">
      <c r="A7192" s="2" t="s">
        <v>14998</v>
      </c>
      <c r="B7192" s="2" t="s">
        <v>14998</v>
      </c>
      <c r="C7192" s="2" t="s">
        <v>16</v>
      </c>
      <c r="D7192" s="2" t="s">
        <v>17</v>
      </c>
      <c r="E7192" s="5">
        <v>-31479</v>
      </c>
      <c r="F7192" s="3" t="s">
        <v>322</v>
      </c>
      <c r="G7192" s="3" t="s">
        <v>65</v>
      </c>
      <c r="H7192" s="2" t="s">
        <v>20</v>
      </c>
      <c r="I7192" s="2" t="s">
        <v>15003</v>
      </c>
      <c r="J7192" s="3" t="str">
        <f>HYPERLINK("https://www.boe.es/gazeta/dias/1813/10/23/pdfs/GMR-1813-63.pdf#page=1","Abrir facsímil")</f>
        <v>Abrir facsímil</v>
      </c>
      <c r="K7192" s="3" t="s">
        <v>22</v>
      </c>
    </row>
    <row r="7193" spans="1:11" ht="42" customHeight="1">
      <c r="A7193" s="2" t="s">
        <v>14998</v>
      </c>
      <c r="B7193" s="2" t="s">
        <v>14998</v>
      </c>
      <c r="C7193" s="2" t="s">
        <v>16</v>
      </c>
      <c r="D7193" s="2" t="s">
        <v>17</v>
      </c>
      <c r="E7193" s="5">
        <v>-31462</v>
      </c>
      <c r="F7193" s="3" t="s">
        <v>1028</v>
      </c>
      <c r="G7193" s="3" t="s">
        <v>82</v>
      </c>
      <c r="H7193" s="2" t="s">
        <v>20</v>
      </c>
      <c r="I7193" s="2" t="s">
        <v>15004</v>
      </c>
      <c r="J7193" s="3" t="str">
        <f>HYPERLINK("https://www.boe.es/gazeta/dias/1813/11/09/pdfs/GMR-1813-71.pdf#page=5","Abrir facsímil")</f>
        <v>Abrir facsímil</v>
      </c>
      <c r="K7193" s="3" t="s">
        <v>22</v>
      </c>
    </row>
    <row r="7194" spans="1:11" ht="42" customHeight="1">
      <c r="A7194" s="2" t="s">
        <v>14998</v>
      </c>
      <c r="B7194" s="2" t="s">
        <v>14998</v>
      </c>
      <c r="C7194" s="2" t="s">
        <v>187</v>
      </c>
      <c r="D7194" s="2" t="s">
        <v>26</v>
      </c>
      <c r="E7194" s="5">
        <v>-31462</v>
      </c>
      <c r="F7194" s="3" t="s">
        <v>542</v>
      </c>
      <c r="G7194" s="3" t="s">
        <v>65</v>
      </c>
      <c r="H7194" s="2" t="s">
        <v>20</v>
      </c>
      <c r="I7194" s="2" t="s">
        <v>15005</v>
      </c>
      <c r="J7194" s="3" t="str">
        <f>HYPERLINK("https://www.boe.es/gazeta/dias/1813/11/09/pdfs/GRE-1813-146.pdf#page=1","Abrir facsímil")</f>
        <v>Abrir facsímil</v>
      </c>
      <c r="K7194" s="3" t="s">
        <v>22</v>
      </c>
    </row>
    <row r="7195" spans="1:11" ht="42" customHeight="1">
      <c r="A7195" s="2" t="s">
        <v>14998</v>
      </c>
      <c r="B7195" s="2" t="s">
        <v>14998</v>
      </c>
      <c r="C7195" s="2" t="s">
        <v>16</v>
      </c>
      <c r="D7195" s="2" t="s">
        <v>97</v>
      </c>
      <c r="E7195" s="5">
        <v>-31446</v>
      </c>
      <c r="F7195" s="3" t="s">
        <v>1877</v>
      </c>
      <c r="G7195" s="3" t="s">
        <v>58</v>
      </c>
      <c r="H7195" s="2" t="s">
        <v>20</v>
      </c>
      <c r="I7195" s="2" t="s">
        <v>15006</v>
      </c>
      <c r="J7195" s="3" t="str">
        <f>HYPERLINK("https://www.boe.es/gazeta/dias/1813/11/25/pdfs/GRE-1813-155E.pdf#page=2","Abrir facsímil")</f>
        <v>Abrir facsímil</v>
      </c>
      <c r="K7195" s="3" t="s">
        <v>22</v>
      </c>
    </row>
    <row r="7196" spans="1:11" ht="42" customHeight="1">
      <c r="A7196" s="2" t="s">
        <v>14998</v>
      </c>
      <c r="B7196" s="2" t="s">
        <v>14998</v>
      </c>
      <c r="C7196" s="2" t="s">
        <v>16</v>
      </c>
      <c r="D7196" s="2" t="s">
        <v>17</v>
      </c>
      <c r="E7196" s="5">
        <v>-31432</v>
      </c>
      <c r="F7196" s="3" t="s">
        <v>702</v>
      </c>
      <c r="G7196" s="3" t="s">
        <v>58</v>
      </c>
      <c r="H7196" s="2" t="s">
        <v>20</v>
      </c>
      <c r="I7196" s="2" t="s">
        <v>15007</v>
      </c>
      <c r="J7196" s="3" t="str">
        <f>HYPERLINK("https://www.boe.es/gazeta/dias/1813/12/09/pdfs/GMR-1813-85.pdf#page=2","Abrir facsímil")</f>
        <v>Abrir facsímil</v>
      </c>
      <c r="K7196" s="3" t="s">
        <v>22</v>
      </c>
    </row>
    <row r="7197" spans="1:11" ht="42" customHeight="1">
      <c r="A7197" s="2" t="s">
        <v>14998</v>
      </c>
      <c r="B7197" s="2" t="s">
        <v>14998</v>
      </c>
      <c r="C7197" s="2" t="s">
        <v>16</v>
      </c>
      <c r="D7197" s="2" t="s">
        <v>17</v>
      </c>
      <c r="E7197" s="5">
        <v>-31430</v>
      </c>
      <c r="F7197" s="3" t="s">
        <v>1161</v>
      </c>
      <c r="G7197" s="3" t="s">
        <v>95</v>
      </c>
      <c r="H7197" s="2" t="s">
        <v>20</v>
      </c>
      <c r="I7197" s="2" t="s">
        <v>15008</v>
      </c>
      <c r="J7197" s="3" t="str">
        <f>HYPERLINK("https://www.boe.es/gazeta/dias/1813/12/11/pdfs/GMR-1813-86.pdf#page=6","Abrir facsímil")</f>
        <v>Abrir facsímil</v>
      </c>
      <c r="K7197" s="3" t="s">
        <v>22</v>
      </c>
    </row>
    <row r="7198" spans="1:11" ht="42" customHeight="1">
      <c r="A7198" s="2" t="s">
        <v>14998</v>
      </c>
      <c r="B7198" s="2" t="s">
        <v>14998</v>
      </c>
      <c r="C7198" s="2" t="s">
        <v>16</v>
      </c>
      <c r="D7198" s="2" t="s">
        <v>17</v>
      </c>
      <c r="E7198" s="5">
        <v>-31427</v>
      </c>
      <c r="F7198" s="3" t="s">
        <v>489</v>
      </c>
      <c r="G7198" s="3" t="s">
        <v>19</v>
      </c>
      <c r="H7198" s="2" t="s">
        <v>20</v>
      </c>
      <c r="I7198" s="2" t="s">
        <v>15009</v>
      </c>
      <c r="J7198" s="3" t="str">
        <f>HYPERLINK("https://www.boe.es/gazeta/dias/1813/12/14/pdfs/GMR-1813-87.pdf#page=4","Abrir facsímil")</f>
        <v>Abrir facsímil</v>
      </c>
      <c r="K7198" s="3" t="s">
        <v>22</v>
      </c>
    </row>
    <row r="7199" spans="1:11" ht="42" customHeight="1">
      <c r="A7199" s="2" t="s">
        <v>14998</v>
      </c>
      <c r="B7199" s="2" t="s">
        <v>14998</v>
      </c>
      <c r="C7199" s="2" t="s">
        <v>16</v>
      </c>
      <c r="D7199" s="2" t="s">
        <v>17</v>
      </c>
      <c r="E7199" s="5">
        <v>-31423</v>
      </c>
      <c r="F7199" s="3" t="s">
        <v>2465</v>
      </c>
      <c r="G7199" s="3" t="s">
        <v>54</v>
      </c>
      <c r="H7199" s="2" t="s">
        <v>20</v>
      </c>
      <c r="I7199" s="2" t="s">
        <v>15010</v>
      </c>
      <c r="J7199" s="3" t="str">
        <f>HYPERLINK("https://www.boe.es/gazeta/dias/1813/12/18/pdfs/GMR-1813-89.pdf#page=3","Abrir facsímil")</f>
        <v>Abrir facsímil</v>
      </c>
      <c r="K7199" s="3" t="s">
        <v>22</v>
      </c>
    </row>
    <row r="7200" spans="1:11" ht="42" customHeight="1">
      <c r="A7200" s="2" t="s">
        <v>14998</v>
      </c>
      <c r="B7200" s="2" t="s">
        <v>14998</v>
      </c>
      <c r="C7200" s="2" t="s">
        <v>16</v>
      </c>
      <c r="D7200" s="2" t="s">
        <v>17</v>
      </c>
      <c r="E7200" s="5">
        <v>-31423</v>
      </c>
      <c r="F7200" s="3" t="s">
        <v>340</v>
      </c>
      <c r="G7200" s="3" t="s">
        <v>95</v>
      </c>
      <c r="H7200" s="2" t="s">
        <v>20</v>
      </c>
      <c r="I7200" s="2" t="s">
        <v>15011</v>
      </c>
      <c r="J7200" s="3" t="str">
        <f>HYPERLINK("https://www.boe.es/gazeta/dias/1813/12/18/pdfs/GRE-1813-166.pdf#page=6","Abrir facsímil")</f>
        <v>Abrir facsímil</v>
      </c>
      <c r="K7200" s="3" t="s">
        <v>22</v>
      </c>
    </row>
    <row r="7201" spans="1:11" ht="42" customHeight="1">
      <c r="A7201" s="2" t="s">
        <v>15012</v>
      </c>
      <c r="B7201" s="2" t="s">
        <v>15013</v>
      </c>
      <c r="C7201" s="2" t="s">
        <v>16</v>
      </c>
      <c r="D7201" s="2" t="s">
        <v>17</v>
      </c>
      <c r="E7201" s="5">
        <v>-31420</v>
      </c>
      <c r="F7201" s="3" t="s">
        <v>145</v>
      </c>
      <c r="G7201" s="3" t="s">
        <v>19</v>
      </c>
      <c r="H7201" s="2" t="s">
        <v>20</v>
      </c>
      <c r="I7201" s="2" t="s">
        <v>15014</v>
      </c>
      <c r="J7201" s="3" t="str">
        <f>HYPERLINK("https://www.boe.es/gazeta/dias/1813/12/21/pdfs/GMR-1813-90.pdf#page=4","Abrir facsímil")</f>
        <v>Abrir facsímil</v>
      </c>
      <c r="K7201" s="3" t="s">
        <v>22</v>
      </c>
    </row>
    <row r="7202" spans="1:11" ht="42" customHeight="1">
      <c r="A7202" s="2" t="s">
        <v>15015</v>
      </c>
      <c r="B7202" s="2" t="s">
        <v>15016</v>
      </c>
      <c r="C7202" s="2" t="s">
        <v>16</v>
      </c>
      <c r="D7202" s="2" t="s">
        <v>17</v>
      </c>
      <c r="E7202" s="5">
        <v>-31479</v>
      </c>
      <c r="F7202" s="3" t="s">
        <v>2383</v>
      </c>
      <c r="G7202" s="3" t="s">
        <v>2420</v>
      </c>
      <c r="H7202" s="2" t="s">
        <v>20</v>
      </c>
      <c r="I7202" s="2" t="s">
        <v>15017</v>
      </c>
      <c r="J7202" s="3" t="str">
        <f>HYPERLINK("https://www.boe.es/gazeta/dias/1813/10/23/pdfs/GRE-1813-138.pdf#page=2","Abrir facsímil")</f>
        <v>Abrir facsímil</v>
      </c>
      <c r="K7202" s="3" t="s">
        <v>22</v>
      </c>
    </row>
    <row r="7203" spans="1:11" ht="42" customHeight="1">
      <c r="A7203" s="2" t="s">
        <v>15018</v>
      </c>
      <c r="B7203" s="2" t="s">
        <v>15018</v>
      </c>
      <c r="C7203" s="2" t="s">
        <v>16</v>
      </c>
      <c r="D7203" s="2" t="s">
        <v>17</v>
      </c>
      <c r="E7203" s="5">
        <v>-31702</v>
      </c>
      <c r="F7203" s="3" t="s">
        <v>6504</v>
      </c>
      <c r="G7203" s="3" t="s">
        <v>65</v>
      </c>
      <c r="H7203" s="2" t="s">
        <v>20</v>
      </c>
      <c r="I7203" s="2" t="s">
        <v>15019</v>
      </c>
      <c r="J7203" s="3" t="str">
        <f>HYPERLINK("https://www.boe.es/gazeta/dias/1813/03/14/pdfs/GMD-1813-73.pdf#page=1","Abrir facsímil")</f>
        <v>Abrir facsímil</v>
      </c>
      <c r="K7203" s="3" t="s">
        <v>22</v>
      </c>
    </row>
    <row r="7204" spans="1:11" ht="42" customHeight="1">
      <c r="A7204" s="2" t="s">
        <v>15018</v>
      </c>
      <c r="B7204" s="2" t="s">
        <v>15018</v>
      </c>
      <c r="C7204" s="2" t="s">
        <v>16</v>
      </c>
      <c r="D7204" s="2" t="s">
        <v>17</v>
      </c>
      <c r="E7204" s="5">
        <v>-31599</v>
      </c>
      <c r="F7204" s="3" t="s">
        <v>2470</v>
      </c>
      <c r="G7204" s="3" t="s">
        <v>65</v>
      </c>
      <c r="H7204" s="2" t="s">
        <v>20</v>
      </c>
      <c r="I7204" s="2" t="s">
        <v>15020</v>
      </c>
      <c r="J7204" s="3" t="str">
        <f>HYPERLINK("https://www.boe.es/gazeta/dias/1813/06/25/pdfs/GMR-1813-11.pdf#page=1","Abrir facsímil")</f>
        <v>Abrir facsímil</v>
      </c>
      <c r="K7204" s="3" t="s">
        <v>22</v>
      </c>
    </row>
    <row r="7205" spans="1:11" ht="42" customHeight="1">
      <c r="A7205" s="2" t="s">
        <v>15018</v>
      </c>
      <c r="B7205" s="2" t="s">
        <v>15018</v>
      </c>
      <c r="C7205" s="2" t="s">
        <v>16</v>
      </c>
      <c r="D7205" s="2" t="s">
        <v>17</v>
      </c>
      <c r="E7205" s="5">
        <v>-31595</v>
      </c>
      <c r="F7205" s="3" t="s">
        <v>70</v>
      </c>
      <c r="G7205" s="3" t="s">
        <v>54</v>
      </c>
      <c r="H7205" s="2" t="s">
        <v>20</v>
      </c>
      <c r="I7205" s="2" t="s">
        <v>15021</v>
      </c>
      <c r="J7205" s="3" t="str">
        <f>HYPERLINK("https://www.boe.es/gazeta/dias/1813/06/29/pdfs/GMR-1813-13.pdf#page=3","Abrir facsímil")</f>
        <v>Abrir facsímil</v>
      </c>
      <c r="K7205" s="3" t="s">
        <v>22</v>
      </c>
    </row>
    <row r="7206" spans="1:11" ht="42" customHeight="1">
      <c r="A7206" s="2" t="s">
        <v>15018</v>
      </c>
      <c r="B7206" s="2" t="s">
        <v>15018</v>
      </c>
      <c r="C7206" s="2" t="s">
        <v>16</v>
      </c>
      <c r="D7206" s="2" t="s">
        <v>17</v>
      </c>
      <c r="E7206" s="5">
        <v>-31537</v>
      </c>
      <c r="F7206" s="3" t="s">
        <v>138</v>
      </c>
      <c r="G7206" s="3" t="s">
        <v>54</v>
      </c>
      <c r="H7206" s="2" t="s">
        <v>20</v>
      </c>
      <c r="I7206" s="2" t="s">
        <v>15022</v>
      </c>
      <c r="J7206" s="3" t="str">
        <f>HYPERLINK("https://www.boe.es/gazeta/dias/1813/08/26/pdfs/GMR-1813-33.pdf#page=3","Abrir facsímil")</f>
        <v>Abrir facsímil</v>
      </c>
      <c r="K7206" s="3" t="s">
        <v>22</v>
      </c>
    </row>
    <row r="7207" spans="1:11" ht="42" customHeight="1">
      <c r="A7207" s="2" t="s">
        <v>15023</v>
      </c>
      <c r="B7207" s="2" t="s">
        <v>15023</v>
      </c>
      <c r="C7207" s="2" t="s">
        <v>16</v>
      </c>
      <c r="D7207" s="2" t="s">
        <v>17</v>
      </c>
      <c r="E7207" s="5">
        <v>-31599</v>
      </c>
      <c r="F7207" s="3" t="s">
        <v>2470</v>
      </c>
      <c r="G7207" s="3" t="s">
        <v>58</v>
      </c>
      <c r="H7207" s="2" t="s">
        <v>20</v>
      </c>
      <c r="I7207" s="2" t="s">
        <v>15024</v>
      </c>
      <c r="J7207" s="3" t="str">
        <f>HYPERLINK("https://www.boe.es/gazeta/dias/1813/06/25/pdfs/GMR-1813-11.pdf#page=2","Abrir facsímil")</f>
        <v>Abrir facsímil</v>
      </c>
      <c r="K7207" s="3" t="s">
        <v>22</v>
      </c>
    </row>
    <row r="7208" spans="1:11" ht="42" customHeight="1">
      <c r="A7208" s="2" t="s">
        <v>15025</v>
      </c>
      <c r="B7208" s="2" t="s">
        <v>15025</v>
      </c>
      <c r="C7208" s="2" t="s">
        <v>16</v>
      </c>
      <c r="D7208" s="2" t="s">
        <v>17</v>
      </c>
      <c r="E7208" s="5">
        <v>-31448</v>
      </c>
      <c r="F7208" s="3" t="s">
        <v>325</v>
      </c>
      <c r="G7208" s="3" t="s">
        <v>87</v>
      </c>
      <c r="H7208" s="2" t="s">
        <v>20</v>
      </c>
      <c r="I7208" s="2" t="s">
        <v>15026</v>
      </c>
      <c r="J7208" s="3" t="str">
        <f>HYPERLINK("https://www.boe.es/gazeta/dias/1813/11/23/pdfs/GMR-1813-78.pdf#page=7","Abrir facsímil")</f>
        <v>Abrir facsímil</v>
      </c>
      <c r="K7208" s="3" t="s">
        <v>22</v>
      </c>
    </row>
    <row r="7209" spans="1:11" ht="42" customHeight="1">
      <c r="A7209" s="2" t="s">
        <v>15027</v>
      </c>
      <c r="B7209" s="2" t="s">
        <v>15027</v>
      </c>
      <c r="C7209" s="2" t="s">
        <v>16</v>
      </c>
      <c r="D7209" s="2" t="s">
        <v>17</v>
      </c>
      <c r="E7209" s="5">
        <v>-31474</v>
      </c>
      <c r="F7209" s="3" t="s">
        <v>130</v>
      </c>
      <c r="G7209" s="3" t="s">
        <v>58</v>
      </c>
      <c r="H7209" s="2" t="s">
        <v>20</v>
      </c>
      <c r="I7209" s="2" t="s">
        <v>15028</v>
      </c>
      <c r="J7209" s="3" t="str">
        <f>HYPERLINK("https://www.boe.es/gazeta/dias/1813/10/28/pdfs/GRE-1813-141.pdf#page=2","Abrir facsímil")</f>
        <v>Abrir facsímil</v>
      </c>
      <c r="K7209" s="3" t="s">
        <v>22</v>
      </c>
    </row>
    <row r="7210" spans="1:11" ht="42" customHeight="1">
      <c r="A7210" s="2" t="s">
        <v>15029</v>
      </c>
      <c r="B7210" s="2" t="s">
        <v>15029</v>
      </c>
      <c r="C7210" s="2" t="s">
        <v>16</v>
      </c>
      <c r="D7210" s="2" t="s">
        <v>17</v>
      </c>
      <c r="E7210" s="5">
        <v>-31476</v>
      </c>
      <c r="F7210" s="3" t="s">
        <v>229</v>
      </c>
      <c r="G7210" s="3" t="s">
        <v>65</v>
      </c>
      <c r="H7210" s="2" t="s">
        <v>20</v>
      </c>
      <c r="I7210" s="2" t="s">
        <v>15030</v>
      </c>
      <c r="J7210" s="3" t="str">
        <f>HYPERLINK("https://www.boe.es/gazeta/dias/1813/10/26/pdfs/GRE-1813-140.pdf#page=1","Abrir facsímil")</f>
        <v>Abrir facsímil</v>
      </c>
      <c r="K7210" s="3" t="s">
        <v>22</v>
      </c>
    </row>
    <row r="7211" spans="1:11" ht="42" customHeight="1">
      <c r="A7211" s="2" t="s">
        <v>15031</v>
      </c>
      <c r="B7211" s="2" t="s">
        <v>15032</v>
      </c>
      <c r="C7211" s="2" t="s">
        <v>34</v>
      </c>
      <c r="D7211" s="2" t="s">
        <v>35</v>
      </c>
      <c r="E7211" s="5">
        <v>-31481</v>
      </c>
      <c r="F7211" s="3" t="s">
        <v>380</v>
      </c>
      <c r="G7211" s="3" t="s">
        <v>65</v>
      </c>
      <c r="H7211" s="2" t="s">
        <v>29</v>
      </c>
      <c r="I7211" s="2" t="s">
        <v>15033</v>
      </c>
      <c r="J7211" s="3" t="str">
        <f>HYPERLINK("https://www.boe.es/gazeta/dias/1813/10/21/pdfs/GRE-1813-137.pdf#page=1","Abrir facsímil")</f>
        <v>Abrir facsímil</v>
      </c>
      <c r="K7211" s="3" t="s">
        <v>31</v>
      </c>
    </row>
    <row r="7212" spans="1:11" ht="42" customHeight="1">
      <c r="A7212" s="2" t="s">
        <v>15034</v>
      </c>
      <c r="B7212" s="2" t="s">
        <v>15034</v>
      </c>
      <c r="C7212" s="2" t="s">
        <v>16</v>
      </c>
      <c r="D7212" s="2" t="s">
        <v>17</v>
      </c>
      <c r="E7212" s="5">
        <v>-31532</v>
      </c>
      <c r="F7212" s="3" t="s">
        <v>215</v>
      </c>
      <c r="G7212" s="3" t="s">
        <v>65</v>
      </c>
      <c r="H7212" s="2" t="s">
        <v>20</v>
      </c>
      <c r="I7212" s="2" t="s">
        <v>15035</v>
      </c>
      <c r="J7212" s="3" t="str">
        <f>HYPERLINK("https://www.boe.es/gazeta/dias/1813/08/31/pdfs/GRE-1813-111.pdf#page=1","Abrir facsímil")</f>
        <v>Abrir facsímil</v>
      </c>
      <c r="K7212" s="3" t="s">
        <v>22</v>
      </c>
    </row>
    <row r="7213" spans="1:11" ht="42" customHeight="1">
      <c r="A7213" s="2" t="s">
        <v>15036</v>
      </c>
      <c r="B7213" s="2" t="s">
        <v>15036</v>
      </c>
      <c r="C7213" s="2" t="s">
        <v>16</v>
      </c>
      <c r="D7213" s="2" t="s">
        <v>17</v>
      </c>
      <c r="E7213" s="5">
        <v>-31446</v>
      </c>
      <c r="F7213" s="3" t="s">
        <v>1078</v>
      </c>
      <c r="G7213" s="3" t="s">
        <v>58</v>
      </c>
      <c r="H7213" s="2" t="s">
        <v>20</v>
      </c>
      <c r="I7213" s="2" t="s">
        <v>15037</v>
      </c>
      <c r="J7213" s="3" t="str">
        <f>HYPERLINK("https://www.boe.es/gazeta/dias/1813/11/25/pdfs/GRE-1813-154.pdf#page=2","Abrir facsímil")</f>
        <v>Abrir facsímil</v>
      </c>
      <c r="K7213" s="3" t="s">
        <v>22</v>
      </c>
    </row>
    <row r="7214" spans="1:11" ht="42" customHeight="1">
      <c r="A7214" s="2" t="s">
        <v>15038</v>
      </c>
      <c r="B7214" s="2" t="s">
        <v>15038</v>
      </c>
      <c r="C7214" s="2" t="s">
        <v>16</v>
      </c>
      <c r="D7214" s="2" t="s">
        <v>17</v>
      </c>
      <c r="E7214" s="5">
        <v>-31448</v>
      </c>
      <c r="F7214" s="3" t="s">
        <v>325</v>
      </c>
      <c r="G7214" s="3" t="s">
        <v>19</v>
      </c>
      <c r="H7214" s="2" t="s">
        <v>20</v>
      </c>
      <c r="I7214" s="2" t="s">
        <v>15039</v>
      </c>
      <c r="J7214" s="3" t="str">
        <f>HYPERLINK("https://www.boe.es/gazeta/dias/1813/11/23/pdfs/GMR-1813-78.pdf#page=4","Abrir facsímil")</f>
        <v>Abrir facsímil</v>
      </c>
      <c r="K7214" s="3" t="s">
        <v>22</v>
      </c>
    </row>
    <row r="7215" spans="1:11" ht="42" customHeight="1">
      <c r="A7215" s="2" t="s">
        <v>15040</v>
      </c>
      <c r="B7215" s="2" t="s">
        <v>15040</v>
      </c>
      <c r="C7215" s="2" t="s">
        <v>16</v>
      </c>
      <c r="D7215" s="2" t="s">
        <v>97</v>
      </c>
      <c r="E7215" s="5">
        <v>-31499</v>
      </c>
      <c r="F7215" s="3" t="s">
        <v>220</v>
      </c>
      <c r="G7215" s="3" t="s">
        <v>58</v>
      </c>
      <c r="H7215" s="2" t="s">
        <v>20</v>
      </c>
      <c r="I7215" s="2" t="s">
        <v>15041</v>
      </c>
      <c r="J7215" s="3" t="str">
        <f>HYPERLINK("https://www.boe.es/gazeta/dias/1813/10/03/pdfs/GMR-1813-53E.pdf#page=2","Abrir facsímil")</f>
        <v>Abrir facsímil</v>
      </c>
      <c r="K7215" s="3" t="s">
        <v>22</v>
      </c>
    </row>
    <row r="7216" spans="1:11" ht="42" customHeight="1">
      <c r="A7216" s="2" t="s">
        <v>15040</v>
      </c>
      <c r="B7216" s="2" t="s">
        <v>15040</v>
      </c>
      <c r="C7216" s="2" t="s">
        <v>16</v>
      </c>
      <c r="D7216" s="2" t="s">
        <v>17</v>
      </c>
      <c r="E7216" s="5">
        <v>-31451</v>
      </c>
      <c r="F7216" s="3" t="s">
        <v>2325</v>
      </c>
      <c r="G7216" s="3" t="s">
        <v>58</v>
      </c>
      <c r="H7216" s="2" t="s">
        <v>20</v>
      </c>
      <c r="I7216" s="2" t="s">
        <v>15042</v>
      </c>
      <c r="J7216" s="3" t="str">
        <f>HYPERLINK("https://www.boe.es/gazeta/dias/1813/11/20/pdfs/GMR-1813-77.pdf#page=2","Abrir facsímil")</f>
        <v>Abrir facsímil</v>
      </c>
      <c r="K7216" s="3" t="s">
        <v>22</v>
      </c>
    </row>
    <row r="7217" spans="1:11" ht="42" customHeight="1">
      <c r="A7217" s="2" t="s">
        <v>15040</v>
      </c>
      <c r="B7217" s="2" t="s">
        <v>15040</v>
      </c>
      <c r="C7217" s="2" t="s">
        <v>16</v>
      </c>
      <c r="D7217" s="2" t="s">
        <v>17</v>
      </c>
      <c r="E7217" s="5">
        <v>-31437</v>
      </c>
      <c r="F7217" s="3" t="s">
        <v>217</v>
      </c>
      <c r="G7217" s="3" t="s">
        <v>54</v>
      </c>
      <c r="H7217" s="2" t="s">
        <v>20</v>
      </c>
      <c r="I7217" s="2" t="s">
        <v>15043</v>
      </c>
      <c r="J7217" s="3" t="str">
        <f>HYPERLINK("https://www.boe.es/gazeta/dias/1813/12/04/pdfs/GRE-1813-160.pdf#page=3","Abrir facsímil")</f>
        <v>Abrir facsímil</v>
      </c>
      <c r="K7217" s="3" t="s">
        <v>22</v>
      </c>
    </row>
    <row r="7218" spans="1:11" ht="42" customHeight="1">
      <c r="A7218" s="2" t="s">
        <v>15044</v>
      </c>
      <c r="B7218" s="2" t="s">
        <v>15045</v>
      </c>
      <c r="C7218" s="2" t="s">
        <v>16</v>
      </c>
      <c r="D7218" s="2" t="s">
        <v>17</v>
      </c>
      <c r="E7218" s="5">
        <v>-31448</v>
      </c>
      <c r="F7218" s="3" t="s">
        <v>325</v>
      </c>
      <c r="G7218" s="3" t="s">
        <v>178</v>
      </c>
      <c r="H7218" s="2" t="s">
        <v>20</v>
      </c>
      <c r="I7218" s="2" t="s">
        <v>15046</v>
      </c>
      <c r="J7218" s="3" t="str">
        <f>HYPERLINK("https://www.boe.es/gazeta/dias/1813/11/23/pdfs/GMR-1813-78.pdf#page=11","Abrir facsímil")</f>
        <v>Abrir facsímil</v>
      </c>
      <c r="K7218" s="3" t="s">
        <v>22</v>
      </c>
    </row>
    <row r="7219" spans="1:11" ht="42" customHeight="1">
      <c r="A7219" s="2" t="s">
        <v>15047</v>
      </c>
      <c r="B7219" s="2" t="s">
        <v>15047</v>
      </c>
      <c r="C7219" s="2" t="s">
        <v>16</v>
      </c>
      <c r="D7219" s="2" t="s">
        <v>17</v>
      </c>
      <c r="E7219" s="5">
        <v>-31726</v>
      </c>
      <c r="F7219" s="3" t="s">
        <v>493</v>
      </c>
      <c r="G7219" s="3" t="s">
        <v>19</v>
      </c>
      <c r="H7219" s="2" t="s">
        <v>20</v>
      </c>
      <c r="I7219" s="2" t="s">
        <v>15048</v>
      </c>
      <c r="J7219" s="3" t="str">
        <f>HYPERLINK("https://www.boe.es/gazeta/dias/1813/02/18/pdfs/GMD-1813-49.pdf#page=4","Abrir facsímil")</f>
        <v>Abrir facsímil</v>
      </c>
      <c r="K7219" s="3" t="s">
        <v>22</v>
      </c>
    </row>
    <row r="7220" spans="1:11" ht="42" customHeight="1">
      <c r="A7220" s="2" t="s">
        <v>15049</v>
      </c>
      <c r="B7220" s="2" t="s">
        <v>15049</v>
      </c>
      <c r="C7220" s="2" t="s">
        <v>16</v>
      </c>
      <c r="D7220" s="2" t="s">
        <v>17</v>
      </c>
      <c r="E7220" s="5">
        <v>-31691</v>
      </c>
      <c r="F7220" s="3" t="s">
        <v>1542</v>
      </c>
      <c r="G7220" s="3" t="s">
        <v>2110</v>
      </c>
      <c r="H7220" s="2" t="s">
        <v>20</v>
      </c>
      <c r="I7220" s="2" t="s">
        <v>15050</v>
      </c>
      <c r="J7220" s="3" t="str">
        <f>HYPERLINK("https://www.boe.es/gazeta/dias/1813/03/25/pdfs/GRE-1813-37.pdf#page=4","Abrir facsímil")</f>
        <v>Abrir facsímil</v>
      </c>
      <c r="K7220" s="3" t="s">
        <v>22</v>
      </c>
    </row>
    <row r="7221" spans="1:11" ht="42" customHeight="1">
      <c r="A7221" s="2" t="s">
        <v>15051</v>
      </c>
      <c r="B7221" s="2" t="s">
        <v>15051</v>
      </c>
      <c r="C7221" s="2" t="s">
        <v>16</v>
      </c>
      <c r="D7221" s="2" t="s">
        <v>17</v>
      </c>
      <c r="E7221" s="5">
        <v>-31773</v>
      </c>
      <c r="F7221" s="3" t="s">
        <v>3667</v>
      </c>
      <c r="G7221" s="3" t="s">
        <v>5107</v>
      </c>
      <c r="H7221" s="2" t="s">
        <v>20</v>
      </c>
      <c r="I7221" s="2" t="s">
        <v>15052</v>
      </c>
      <c r="J7221" s="3" t="str">
        <f>HYPERLINK("https://www.boe.es/gazeta/dias/1813/01/02/pdfs/GRE-1813-1.pdf#page=5","Abrir facsímil")</f>
        <v>Abrir facsímil</v>
      </c>
      <c r="K7221" s="3" t="s">
        <v>22</v>
      </c>
    </row>
    <row r="7222" spans="1:11" ht="42" customHeight="1">
      <c r="A7222" s="2" t="s">
        <v>15051</v>
      </c>
      <c r="B7222" s="2" t="s">
        <v>15051</v>
      </c>
      <c r="C7222" s="2" t="s">
        <v>16</v>
      </c>
      <c r="D7222" s="2" t="s">
        <v>17</v>
      </c>
      <c r="E7222" s="5">
        <v>-31700</v>
      </c>
      <c r="F7222" s="3" t="s">
        <v>226</v>
      </c>
      <c r="G7222" s="3" t="s">
        <v>87</v>
      </c>
      <c r="H7222" s="2" t="s">
        <v>20</v>
      </c>
      <c r="I7222" s="2" t="s">
        <v>15053</v>
      </c>
      <c r="J7222" s="3" t="str">
        <f>HYPERLINK("https://www.boe.es/gazeta/dias/1813/03/16/pdfs/GRE-1813-33.pdf#page=7","Abrir facsímil")</f>
        <v>Abrir facsímil</v>
      </c>
      <c r="K7222" s="3" t="s">
        <v>22</v>
      </c>
    </row>
    <row r="7223" spans="1:11" ht="42" customHeight="1">
      <c r="A7223" s="2" t="s">
        <v>15054</v>
      </c>
      <c r="B7223" s="2" t="s">
        <v>15054</v>
      </c>
      <c r="C7223" s="2" t="s">
        <v>16</v>
      </c>
      <c r="D7223" s="2" t="s">
        <v>17</v>
      </c>
      <c r="E7223" s="5">
        <v>-31698</v>
      </c>
      <c r="F7223" s="3" t="s">
        <v>470</v>
      </c>
      <c r="G7223" s="3" t="s">
        <v>471</v>
      </c>
      <c r="H7223" s="2" t="s">
        <v>20</v>
      </c>
      <c r="I7223" s="2" t="s">
        <v>15055</v>
      </c>
      <c r="J7223" s="3" t="str">
        <f>HYPERLINK("https://www.boe.es/gazeta/dias/1813/03/18/pdfs/GRE-1813-34.pdf#page=7","Abrir facsímil")</f>
        <v>Abrir facsímil</v>
      </c>
      <c r="K7223" s="3" t="s">
        <v>22</v>
      </c>
    </row>
    <row r="7224" spans="1:11" ht="42" customHeight="1">
      <c r="A7224" s="2" t="s">
        <v>15056</v>
      </c>
      <c r="B7224" s="2" t="s">
        <v>15057</v>
      </c>
      <c r="C7224" s="2" t="s">
        <v>16</v>
      </c>
      <c r="D7224" s="2" t="s">
        <v>17</v>
      </c>
      <c r="E7224" s="5">
        <v>-31585</v>
      </c>
      <c r="F7224" s="3" t="s">
        <v>177</v>
      </c>
      <c r="G7224" s="3" t="s">
        <v>58</v>
      </c>
      <c r="H7224" s="2" t="s">
        <v>20</v>
      </c>
      <c r="I7224" s="2" t="s">
        <v>15058</v>
      </c>
      <c r="J7224" s="3" t="str">
        <f>HYPERLINK("https://www.boe.es/gazeta/dias/1813/07/09/pdfs/GMR-1813-16.pdf#page=2","Abrir facsímil")</f>
        <v>Abrir facsímil</v>
      </c>
      <c r="K7224" s="3" t="s">
        <v>22</v>
      </c>
    </row>
    <row r="7225" spans="1:11" ht="42" customHeight="1">
      <c r="A7225" s="2" t="s">
        <v>15059</v>
      </c>
      <c r="B7225" s="2" t="s">
        <v>15059</v>
      </c>
      <c r="C7225" s="2" t="s">
        <v>16</v>
      </c>
      <c r="D7225" s="2" t="s">
        <v>17</v>
      </c>
      <c r="E7225" s="5">
        <v>-31425</v>
      </c>
      <c r="F7225" s="3" t="s">
        <v>1955</v>
      </c>
      <c r="G7225" s="3" t="s">
        <v>82</v>
      </c>
      <c r="H7225" s="2" t="s">
        <v>20</v>
      </c>
      <c r="I7225" s="2" t="s">
        <v>15060</v>
      </c>
      <c r="J7225" s="3" t="str">
        <f>HYPERLINK("https://www.boe.es/gazeta/dias/1813/12/16/pdfs/GMR-1813-88.pdf#page=5","Abrir facsímil")</f>
        <v>Abrir facsímil</v>
      </c>
      <c r="K7225" s="3" t="s">
        <v>22</v>
      </c>
    </row>
    <row r="7226" spans="1:11" ht="42" customHeight="1">
      <c r="A7226" s="2" t="s">
        <v>15061</v>
      </c>
      <c r="B7226" s="2" t="s">
        <v>15061</v>
      </c>
      <c r="C7226" s="2" t="s">
        <v>16</v>
      </c>
      <c r="D7226" s="2" t="s">
        <v>17</v>
      </c>
      <c r="E7226" s="5">
        <v>-31742</v>
      </c>
      <c r="F7226" s="3" t="s">
        <v>2667</v>
      </c>
      <c r="G7226" s="3" t="s">
        <v>2668</v>
      </c>
      <c r="H7226" s="2" t="s">
        <v>20</v>
      </c>
      <c r="I7226" s="2" t="s">
        <v>15062</v>
      </c>
      <c r="J7226" s="3" t="str">
        <f>HYPERLINK("https://www.boe.es/gazeta/dias/1813/02/02/pdfs/GRE-1813-14.pdf#page=4","Abrir facsímil")</f>
        <v>Abrir facsímil</v>
      </c>
      <c r="K7226" s="3" t="s">
        <v>22</v>
      </c>
    </row>
    <row r="7227" spans="1:11" ht="42" customHeight="1">
      <c r="A7227" s="2" t="s">
        <v>15063</v>
      </c>
      <c r="B7227" s="2" t="s">
        <v>15064</v>
      </c>
      <c r="C7227" s="2" t="s">
        <v>16</v>
      </c>
      <c r="D7227" s="2" t="s">
        <v>17</v>
      </c>
      <c r="E7227" s="5">
        <v>-31462</v>
      </c>
      <c r="F7227" s="3" t="s">
        <v>542</v>
      </c>
      <c r="G7227" s="3" t="s">
        <v>9263</v>
      </c>
      <c r="H7227" s="2" t="s">
        <v>20</v>
      </c>
      <c r="I7227" s="2" t="s">
        <v>15065</v>
      </c>
      <c r="J7227" s="3" t="str">
        <f>HYPERLINK("https://www.boe.es/gazeta/dias/1813/11/09/pdfs/GRE-1813-146.pdf#page=8","Abrir facsímil")</f>
        <v>Abrir facsímil</v>
      </c>
      <c r="K7227" s="3" t="s">
        <v>22</v>
      </c>
    </row>
    <row r="7228" spans="1:11" ht="42" customHeight="1">
      <c r="A7228" s="2" t="s">
        <v>15066</v>
      </c>
      <c r="B7228" s="2" t="s">
        <v>15067</v>
      </c>
      <c r="C7228" s="2" t="s">
        <v>16</v>
      </c>
      <c r="D7228" s="2" t="s">
        <v>17</v>
      </c>
      <c r="E7228" s="5">
        <v>-31432</v>
      </c>
      <c r="F7228" s="3" t="s">
        <v>803</v>
      </c>
      <c r="G7228" s="3" t="s">
        <v>82</v>
      </c>
      <c r="H7228" s="2" t="s">
        <v>20</v>
      </c>
      <c r="I7228" s="2" t="s">
        <v>15068</v>
      </c>
      <c r="J7228" s="3" t="str">
        <f>HYPERLINK("https://www.boe.es/gazeta/dias/1813/12/09/pdfs/GRE-1813-162.pdf#page=5","Abrir facsímil")</f>
        <v>Abrir facsímil</v>
      </c>
      <c r="K7228" s="3" t="s">
        <v>22</v>
      </c>
    </row>
    <row r="7229" spans="1:11" ht="42" customHeight="1">
      <c r="A7229" s="2" t="s">
        <v>15066</v>
      </c>
      <c r="B7229" s="2" t="s">
        <v>15067</v>
      </c>
      <c r="C7229" s="2" t="s">
        <v>16</v>
      </c>
      <c r="D7229" s="2" t="s">
        <v>17</v>
      </c>
      <c r="E7229" s="5">
        <v>-31432</v>
      </c>
      <c r="F7229" s="3" t="s">
        <v>803</v>
      </c>
      <c r="G7229" s="3" t="s">
        <v>95</v>
      </c>
      <c r="H7229" s="2" t="s">
        <v>20</v>
      </c>
      <c r="I7229" s="2" t="s">
        <v>15069</v>
      </c>
      <c r="J7229" s="3" t="str">
        <f>HYPERLINK("https://www.boe.es/gazeta/dias/1813/12/09/pdfs/GRE-1813-162.pdf#page=6","Abrir facsímil")</f>
        <v>Abrir facsímil</v>
      </c>
      <c r="K7229" s="3" t="s">
        <v>22</v>
      </c>
    </row>
    <row r="7230" spans="1:11" ht="42" customHeight="1">
      <c r="A7230" s="2" t="s">
        <v>15070</v>
      </c>
      <c r="B7230" s="2" t="s">
        <v>15070</v>
      </c>
      <c r="C7230" s="2" t="s">
        <v>16</v>
      </c>
      <c r="D7230" s="2" t="s">
        <v>17</v>
      </c>
      <c r="E7230" s="5">
        <v>-31483</v>
      </c>
      <c r="F7230" s="3" t="s">
        <v>1292</v>
      </c>
      <c r="G7230" s="3" t="s">
        <v>1476</v>
      </c>
      <c r="H7230" s="2" t="s">
        <v>20</v>
      </c>
      <c r="I7230" s="2" t="s">
        <v>15071</v>
      </c>
      <c r="J7230" s="3" t="str">
        <f>HYPERLINK("https://www.boe.es/gazeta/dias/1813/10/19/pdfs/GMR-1813-61.pdf#page=6","Abrir facsímil")</f>
        <v>Abrir facsímil</v>
      </c>
      <c r="K7230" s="3" t="s">
        <v>22</v>
      </c>
    </row>
    <row r="7231" spans="1:11" ht="42" customHeight="1">
      <c r="A7231" s="2" t="s">
        <v>15072</v>
      </c>
      <c r="B7231" s="2" t="s">
        <v>15072</v>
      </c>
      <c r="C7231" s="2" t="s">
        <v>16</v>
      </c>
      <c r="D7231" s="2" t="s">
        <v>17</v>
      </c>
      <c r="E7231" s="5">
        <v>-31481</v>
      </c>
      <c r="F7231" s="3" t="s">
        <v>380</v>
      </c>
      <c r="G7231" s="3" t="s">
        <v>95</v>
      </c>
      <c r="H7231" s="2" t="s">
        <v>20</v>
      </c>
      <c r="I7231" s="2" t="s">
        <v>15073</v>
      </c>
      <c r="J7231" s="3" t="str">
        <f>HYPERLINK("https://www.boe.es/gazeta/dias/1813/10/21/pdfs/GRE-1813-137.pdf#page=6","Abrir facsímil")</f>
        <v>Abrir facsímil</v>
      </c>
      <c r="K7231" s="3" t="s">
        <v>22</v>
      </c>
    </row>
    <row r="7232" spans="1:11" ht="42" customHeight="1">
      <c r="A7232" s="2" t="s">
        <v>15074</v>
      </c>
      <c r="B7232" s="2" t="s">
        <v>15074</v>
      </c>
      <c r="C7232" s="2" t="s">
        <v>16</v>
      </c>
      <c r="D7232" s="2" t="s">
        <v>17</v>
      </c>
      <c r="E7232" s="5">
        <v>-31578</v>
      </c>
      <c r="F7232" s="3" t="s">
        <v>974</v>
      </c>
      <c r="G7232" s="3" t="s">
        <v>82</v>
      </c>
      <c r="H7232" s="2" t="s">
        <v>20</v>
      </c>
      <c r="I7232" s="2" t="s">
        <v>15075</v>
      </c>
      <c r="J7232" s="3" t="str">
        <f>HYPERLINK("https://www.boe.es/gazeta/dias/1813/07/16/pdfs/GMR-1813-18.pdf#page=5","Abrir facsímil")</f>
        <v>Abrir facsímil</v>
      </c>
      <c r="K7232" s="3" t="s">
        <v>22</v>
      </c>
    </row>
    <row r="7233" spans="1:11" ht="42" customHeight="1">
      <c r="A7233" s="2" t="s">
        <v>15074</v>
      </c>
      <c r="B7233" s="2" t="s">
        <v>15074</v>
      </c>
      <c r="C7233" s="2" t="s">
        <v>16</v>
      </c>
      <c r="D7233" s="2" t="s">
        <v>17</v>
      </c>
      <c r="E7233" s="5">
        <v>-31532</v>
      </c>
      <c r="F7233" s="3" t="s">
        <v>215</v>
      </c>
      <c r="G7233" s="3" t="s">
        <v>54</v>
      </c>
      <c r="H7233" s="2" t="s">
        <v>20</v>
      </c>
      <c r="I7233" s="2" t="s">
        <v>15076</v>
      </c>
      <c r="J7233" s="3" t="str">
        <f>HYPERLINK("https://www.boe.es/gazeta/dias/1813/08/31/pdfs/GRE-1813-111.pdf#page=3","Abrir facsímil")</f>
        <v>Abrir facsímil</v>
      </c>
      <c r="K7233" s="3" t="s">
        <v>22</v>
      </c>
    </row>
    <row r="7234" spans="1:11" ht="42" customHeight="1">
      <c r="A7234" s="2" t="s">
        <v>15074</v>
      </c>
      <c r="B7234" s="2" t="s">
        <v>15074</v>
      </c>
      <c r="C7234" s="2" t="s">
        <v>16</v>
      </c>
      <c r="D7234" s="2" t="s">
        <v>17</v>
      </c>
      <c r="E7234" s="5">
        <v>-31532</v>
      </c>
      <c r="F7234" s="3" t="s">
        <v>215</v>
      </c>
      <c r="G7234" s="3" t="s">
        <v>19</v>
      </c>
      <c r="H7234" s="2" t="s">
        <v>20</v>
      </c>
      <c r="I7234" s="2" t="s">
        <v>15077</v>
      </c>
      <c r="J7234" s="3" t="str">
        <f>HYPERLINK("https://www.boe.es/gazeta/dias/1813/08/31/pdfs/GRE-1813-111.pdf#page=4","Abrir facsímil")</f>
        <v>Abrir facsímil</v>
      </c>
      <c r="K7234" s="3" t="s">
        <v>22</v>
      </c>
    </row>
    <row r="7235" spans="1:11" ht="42" customHeight="1">
      <c r="A7235" s="2" t="s">
        <v>15074</v>
      </c>
      <c r="B7235" s="2" t="s">
        <v>15074</v>
      </c>
      <c r="C7235" s="2" t="s">
        <v>16</v>
      </c>
      <c r="D7235" s="2" t="s">
        <v>17</v>
      </c>
      <c r="E7235" s="5">
        <v>-31516</v>
      </c>
      <c r="F7235" s="3" t="s">
        <v>1685</v>
      </c>
      <c r="G7235" s="3" t="s">
        <v>1686</v>
      </c>
      <c r="H7235" s="2" t="s">
        <v>20</v>
      </c>
      <c r="I7235" s="2" t="s">
        <v>15078</v>
      </c>
      <c r="J7235" s="3" t="str">
        <f>HYPERLINK("https://www.boe.es/gazeta/dias/1813/09/16/pdfs/GRE-1813-120.pdf#page=7","Abrir facsímil")</f>
        <v>Abrir facsímil</v>
      </c>
      <c r="K7235" s="3" t="s">
        <v>22</v>
      </c>
    </row>
    <row r="7236" spans="1:11" ht="42" customHeight="1">
      <c r="A7236" s="2" t="s">
        <v>15074</v>
      </c>
      <c r="B7236" s="2" t="s">
        <v>15074</v>
      </c>
      <c r="C7236" s="2" t="s">
        <v>16</v>
      </c>
      <c r="D7236" s="2" t="s">
        <v>17</v>
      </c>
      <c r="E7236" s="5">
        <v>-31511</v>
      </c>
      <c r="F7236" s="3" t="s">
        <v>2149</v>
      </c>
      <c r="G7236" s="3" t="s">
        <v>95</v>
      </c>
      <c r="H7236" s="2" t="s">
        <v>20</v>
      </c>
      <c r="I7236" s="2" t="s">
        <v>15079</v>
      </c>
      <c r="J7236" s="3" t="str">
        <f>HYPERLINK("https://www.boe.es/gazeta/dias/1813/09/21/pdfs/GRE-1813-122.pdf#page=6","Abrir facsímil")</f>
        <v>Abrir facsímil</v>
      </c>
      <c r="K7236" s="3" t="s">
        <v>22</v>
      </c>
    </row>
    <row r="7237" spans="1:11" ht="42" customHeight="1">
      <c r="A7237" s="2" t="s">
        <v>15074</v>
      </c>
      <c r="B7237" s="2" t="s">
        <v>15074</v>
      </c>
      <c r="C7237" s="2" t="s">
        <v>16</v>
      </c>
      <c r="D7237" s="2" t="s">
        <v>17</v>
      </c>
      <c r="E7237" s="5">
        <v>-31458</v>
      </c>
      <c r="F7237" s="3" t="s">
        <v>2315</v>
      </c>
      <c r="G7237" s="3" t="s">
        <v>58</v>
      </c>
      <c r="H7237" s="2" t="s">
        <v>20</v>
      </c>
      <c r="I7237" s="2" t="s">
        <v>15080</v>
      </c>
      <c r="J7237" s="3" t="str">
        <f>HYPERLINK("https://www.boe.es/gazeta/dias/1813/11/13/pdfs/GMR-1813-73.pdf#page=2","Abrir facsímil")</f>
        <v>Abrir facsímil</v>
      </c>
      <c r="K7237" s="3" t="s">
        <v>22</v>
      </c>
    </row>
    <row r="7238" spans="1:11" ht="42" customHeight="1">
      <c r="A7238" s="2" t="s">
        <v>15074</v>
      </c>
      <c r="B7238" s="2" t="s">
        <v>15074</v>
      </c>
      <c r="C7238" s="2" t="s">
        <v>16</v>
      </c>
      <c r="D7238" s="2" t="s">
        <v>17</v>
      </c>
      <c r="E7238" s="5">
        <v>-31434</v>
      </c>
      <c r="F7238" s="3" t="s">
        <v>948</v>
      </c>
      <c r="G7238" s="3" t="s">
        <v>65</v>
      </c>
      <c r="H7238" s="2" t="s">
        <v>20</v>
      </c>
      <c r="I7238" s="2" t="s">
        <v>15081</v>
      </c>
      <c r="J7238" s="3" t="str">
        <f>HYPERLINK("https://www.boe.es/gazeta/dias/1813/12/07/pdfs/GMR-1813-84.pdf#page=1","Abrir facsímil")</f>
        <v>Abrir facsímil</v>
      </c>
      <c r="K7238" s="3" t="s">
        <v>22</v>
      </c>
    </row>
    <row r="7239" spans="1:11" ht="42" customHeight="1">
      <c r="A7239" s="2" t="s">
        <v>15074</v>
      </c>
      <c r="B7239" s="2" t="s">
        <v>15074</v>
      </c>
      <c r="C7239" s="2" t="s">
        <v>16</v>
      </c>
      <c r="D7239" s="2" t="s">
        <v>17</v>
      </c>
      <c r="E7239" s="5">
        <v>-31430</v>
      </c>
      <c r="F7239" s="3" t="s">
        <v>1731</v>
      </c>
      <c r="G7239" s="3" t="s">
        <v>54</v>
      </c>
      <c r="H7239" s="2" t="s">
        <v>20</v>
      </c>
      <c r="I7239" s="2" t="s">
        <v>15082</v>
      </c>
      <c r="J7239" s="3" t="str">
        <f>HYPERLINK("https://www.boe.es/gazeta/dias/1813/12/11/pdfs/GRE-1813-163.pdf#page=3","Abrir facsímil")</f>
        <v>Abrir facsímil</v>
      </c>
      <c r="K7239" s="3" t="s">
        <v>22</v>
      </c>
    </row>
    <row r="7240" spans="1:11" ht="42" customHeight="1">
      <c r="A7240" s="2" t="s">
        <v>15074</v>
      </c>
      <c r="B7240" s="2" t="s">
        <v>15074</v>
      </c>
      <c r="C7240" s="2" t="s">
        <v>16</v>
      </c>
      <c r="D7240" s="2" t="s">
        <v>17</v>
      </c>
      <c r="E7240" s="5">
        <v>-31420</v>
      </c>
      <c r="F7240" s="3" t="s">
        <v>145</v>
      </c>
      <c r="G7240" s="3" t="s">
        <v>65</v>
      </c>
      <c r="H7240" s="2" t="s">
        <v>20</v>
      </c>
      <c r="I7240" s="2" t="s">
        <v>15083</v>
      </c>
      <c r="J7240" s="3" t="str">
        <f>HYPERLINK("https://www.boe.es/gazeta/dias/1813/12/21/pdfs/GMR-1813-90.pdf#page=1","Abrir facsímil")</f>
        <v>Abrir facsímil</v>
      </c>
      <c r="K7240" s="3" t="s">
        <v>22</v>
      </c>
    </row>
    <row r="7241" spans="1:11" ht="42" customHeight="1">
      <c r="A7241" s="2" t="s">
        <v>15084</v>
      </c>
      <c r="B7241" s="2" t="s">
        <v>15085</v>
      </c>
      <c r="C7241" s="2" t="s">
        <v>16</v>
      </c>
      <c r="D7241" s="2" t="s">
        <v>17</v>
      </c>
      <c r="E7241" s="5">
        <v>-31483</v>
      </c>
      <c r="F7241" s="3" t="s">
        <v>1292</v>
      </c>
      <c r="G7241" s="3" t="s">
        <v>87</v>
      </c>
      <c r="H7241" s="2" t="s">
        <v>29</v>
      </c>
      <c r="I7241" s="2" t="s">
        <v>15086</v>
      </c>
      <c r="J7241" s="3" t="str">
        <f>HYPERLINK("https://www.boe.es/gazeta/dias/1813/10/19/pdfs/GMR-1813-61.pdf#page=7","Abrir facsímil")</f>
        <v>Abrir facsímil</v>
      </c>
      <c r="K7241" s="3" t="s">
        <v>31</v>
      </c>
    </row>
    <row r="7242" spans="1:11" ht="42" customHeight="1">
      <c r="A7242" s="2" t="s">
        <v>15087</v>
      </c>
      <c r="B7242" s="2" t="s">
        <v>15088</v>
      </c>
      <c r="C7242" s="2" t="s">
        <v>16</v>
      </c>
      <c r="D7242" s="2" t="s">
        <v>17</v>
      </c>
      <c r="E7242" s="5">
        <v>-31570</v>
      </c>
      <c r="F7242" s="3" t="s">
        <v>1803</v>
      </c>
      <c r="G7242" s="3" t="s">
        <v>65</v>
      </c>
      <c r="H7242" s="2" t="s">
        <v>29</v>
      </c>
      <c r="I7242" s="2" t="s">
        <v>15089</v>
      </c>
      <c r="J7242" s="3" t="str">
        <f>HYPERLINK("https://www.boe.es/gazeta/dias/1813/07/24/pdfs/GRE-1813-94.pdf#page=1","Abrir facsímil")</f>
        <v>Abrir facsímil</v>
      </c>
      <c r="K7242" s="3" t="s">
        <v>31</v>
      </c>
    </row>
    <row r="7243" spans="1:11" ht="42" customHeight="1">
      <c r="A7243" s="2" t="s">
        <v>15090</v>
      </c>
      <c r="B7243" s="2" t="s">
        <v>15091</v>
      </c>
      <c r="C7243" s="2" t="s">
        <v>16</v>
      </c>
      <c r="D7243" s="2" t="s">
        <v>17</v>
      </c>
      <c r="E7243" s="5">
        <v>-31678</v>
      </c>
      <c r="F7243" s="3" t="s">
        <v>8495</v>
      </c>
      <c r="G7243" s="3" t="s">
        <v>99</v>
      </c>
      <c r="H7243" s="2" t="s">
        <v>20</v>
      </c>
      <c r="I7243" s="2" t="s">
        <v>15092</v>
      </c>
      <c r="J7243" s="3" t="str">
        <f>HYPERLINK("https://www.boe.es/gazeta/dias/1813/04/07/pdfs/GMD-1813-97.pdf#page=2","Abrir facsímil")</f>
        <v>Abrir facsímil</v>
      </c>
      <c r="K7243" s="3" t="s">
        <v>22</v>
      </c>
    </row>
    <row r="7244" spans="1:11" ht="42" customHeight="1">
      <c r="A7244" s="2" t="s">
        <v>15093</v>
      </c>
      <c r="B7244" s="2" t="s">
        <v>15093</v>
      </c>
      <c r="C7244" s="2" t="s">
        <v>16</v>
      </c>
      <c r="D7244" s="2" t="s">
        <v>17</v>
      </c>
      <c r="E7244" s="5">
        <v>-31691</v>
      </c>
      <c r="F7244" s="3" t="s">
        <v>1621</v>
      </c>
      <c r="G7244" s="3" t="s">
        <v>58</v>
      </c>
      <c r="H7244" s="2" t="s">
        <v>20</v>
      </c>
      <c r="I7244" s="2" t="s">
        <v>15094</v>
      </c>
      <c r="J7244" s="3" t="str">
        <f>HYPERLINK("https://www.boe.es/gazeta/dias/1813/03/25/pdfs/GMD-1813-84.pdf#page=2","Abrir facsímil")</f>
        <v>Abrir facsímil</v>
      </c>
      <c r="K7244" s="3" t="s">
        <v>22</v>
      </c>
    </row>
    <row r="7245" spans="1:11" ht="42" customHeight="1">
      <c r="A7245" s="2" t="s">
        <v>15095</v>
      </c>
      <c r="B7245" s="2" t="s">
        <v>15095</v>
      </c>
      <c r="C7245" s="2" t="s">
        <v>16</v>
      </c>
      <c r="D7245" s="2" t="s">
        <v>17</v>
      </c>
      <c r="E7245" s="5">
        <v>-31441</v>
      </c>
      <c r="F7245" s="3" t="s">
        <v>1933</v>
      </c>
      <c r="G7245" s="3" t="s">
        <v>54</v>
      </c>
      <c r="H7245" s="2" t="s">
        <v>20</v>
      </c>
      <c r="I7245" s="2" t="s">
        <v>15096</v>
      </c>
      <c r="J7245" s="3" t="str">
        <f>HYPERLINK("https://www.boe.es/gazeta/dias/1813/11/30/pdfs/GMR-1813-81.pdf#page=3","Abrir facsímil")</f>
        <v>Abrir facsímil</v>
      </c>
      <c r="K7245" s="3" t="s">
        <v>22</v>
      </c>
    </row>
    <row r="7246" spans="1:11" ht="42" customHeight="1">
      <c r="A7246" s="2" t="s">
        <v>15097</v>
      </c>
      <c r="B7246" s="2" t="s">
        <v>15097</v>
      </c>
      <c r="C7246" s="2" t="s">
        <v>16</v>
      </c>
      <c r="D7246" s="2" t="s">
        <v>17</v>
      </c>
      <c r="E7246" s="5">
        <v>-31653</v>
      </c>
      <c r="F7246" s="3" t="s">
        <v>3121</v>
      </c>
      <c r="G7246" s="3" t="s">
        <v>65</v>
      </c>
      <c r="H7246" s="2" t="s">
        <v>20</v>
      </c>
      <c r="I7246" s="2" t="s">
        <v>15098</v>
      </c>
      <c r="J7246" s="3" t="str">
        <f>HYPERLINK("https://www.boe.es/gazeta/dias/1813/05/02/pdfs/GMD-1813-122.pdf#page=1","Abrir facsímil")</f>
        <v>Abrir facsímil</v>
      </c>
      <c r="K7246" s="3" t="s">
        <v>22</v>
      </c>
    </row>
    <row r="7247" spans="1:11" ht="42" customHeight="1">
      <c r="A7247" s="2" t="s">
        <v>15099</v>
      </c>
      <c r="B7247" s="2" t="s">
        <v>15099</v>
      </c>
      <c r="C7247" s="2" t="s">
        <v>16</v>
      </c>
      <c r="D7247" s="2" t="s">
        <v>17</v>
      </c>
      <c r="E7247" s="5">
        <v>-31614</v>
      </c>
      <c r="F7247" s="3" t="s">
        <v>498</v>
      </c>
      <c r="G7247" s="3" t="s">
        <v>19</v>
      </c>
      <c r="H7247" s="2" t="s">
        <v>20</v>
      </c>
      <c r="I7247" s="2" t="s">
        <v>15100</v>
      </c>
      <c r="J7247" s="3" t="str">
        <f>HYPERLINK("https://www.boe.es/gazeta/dias/1813/06/10/pdfs/GRE-1813-72.pdf#page=4","Abrir facsímil")</f>
        <v>Abrir facsímil</v>
      </c>
      <c r="K7247" s="3" t="s">
        <v>22</v>
      </c>
    </row>
    <row r="7248" spans="1:11" ht="42" customHeight="1">
      <c r="A7248" s="2" t="s">
        <v>15099</v>
      </c>
      <c r="B7248" s="2" t="s">
        <v>15099</v>
      </c>
      <c r="C7248" s="2" t="s">
        <v>16</v>
      </c>
      <c r="D7248" s="2" t="s">
        <v>17</v>
      </c>
      <c r="E7248" s="5">
        <v>-31606</v>
      </c>
      <c r="F7248" s="3" t="s">
        <v>124</v>
      </c>
      <c r="G7248" s="3" t="s">
        <v>65</v>
      </c>
      <c r="H7248" s="2" t="s">
        <v>20</v>
      </c>
      <c r="I7248" s="2" t="s">
        <v>15101</v>
      </c>
      <c r="J7248" s="3" t="str">
        <f>HYPERLINK("https://www.boe.es/gazeta/dias/1813/06/18/pdfs/GMR-1813-7.pdf#page=1","Abrir facsímil")</f>
        <v>Abrir facsímil</v>
      </c>
      <c r="K7248" s="3" t="s">
        <v>22</v>
      </c>
    </row>
    <row r="7249" spans="1:11" ht="42" customHeight="1">
      <c r="A7249" s="2" t="s">
        <v>15102</v>
      </c>
      <c r="B7249" s="2" t="s">
        <v>15103</v>
      </c>
      <c r="C7249" s="2" t="s">
        <v>16</v>
      </c>
      <c r="D7249" s="2" t="s">
        <v>17</v>
      </c>
      <c r="E7249" s="5">
        <v>-31693</v>
      </c>
      <c r="F7249" s="3" t="s">
        <v>1847</v>
      </c>
      <c r="G7249" s="3" t="s">
        <v>54</v>
      </c>
      <c r="H7249" s="2" t="s">
        <v>20</v>
      </c>
      <c r="I7249" s="2" t="s">
        <v>15104</v>
      </c>
      <c r="J7249" s="3" t="str">
        <f>HYPERLINK("https://www.boe.es/gazeta/dias/1813/03/23/pdfs/GMD-1813-82.pdf#page=3","Abrir facsímil")</f>
        <v>Abrir facsímil</v>
      </c>
      <c r="K7249" s="3" t="s">
        <v>22</v>
      </c>
    </row>
    <row r="7250" spans="1:11" ht="42" customHeight="1">
      <c r="A7250" s="2" t="s">
        <v>15105</v>
      </c>
      <c r="B7250" s="2" t="s">
        <v>15105</v>
      </c>
      <c r="C7250" s="2" t="s">
        <v>16</v>
      </c>
      <c r="D7250" s="2" t="s">
        <v>97</v>
      </c>
      <c r="E7250" s="5">
        <v>-31548</v>
      </c>
      <c r="F7250" s="3" t="s">
        <v>1680</v>
      </c>
      <c r="G7250" s="3" t="s">
        <v>87</v>
      </c>
      <c r="H7250" s="2" t="s">
        <v>20</v>
      </c>
      <c r="I7250" s="2" t="s">
        <v>15106</v>
      </c>
      <c r="J7250" s="3" t="str">
        <f>HYPERLINK("https://www.boe.es/gazeta/dias/1813/08/15/pdfs/GRE-1813-104E.pdf#page=7","Abrir facsímil")</f>
        <v>Abrir facsímil</v>
      </c>
      <c r="K7250" s="3" t="s">
        <v>22</v>
      </c>
    </row>
    <row r="7251" spans="1:11" ht="42" customHeight="1">
      <c r="A7251" s="2" t="s">
        <v>15107</v>
      </c>
      <c r="B7251" s="2" t="s">
        <v>15107</v>
      </c>
      <c r="C7251" s="2" t="s">
        <v>16</v>
      </c>
      <c r="D7251" s="2" t="s">
        <v>17</v>
      </c>
      <c r="E7251" s="5">
        <v>-31613</v>
      </c>
      <c r="F7251" s="3" t="s">
        <v>1629</v>
      </c>
      <c r="G7251" s="3" t="s">
        <v>19</v>
      </c>
      <c r="H7251" s="2" t="s">
        <v>20</v>
      </c>
      <c r="I7251" s="2" t="s">
        <v>15108</v>
      </c>
      <c r="J7251" s="3" t="str">
        <f>HYPERLINK("https://www.boe.es/gazeta/dias/1813/06/11/pdfs/GMR-1813-4.pdf#page=4","Abrir facsímil")</f>
        <v>Abrir facsímil</v>
      </c>
      <c r="K7251" s="3" t="s">
        <v>22</v>
      </c>
    </row>
    <row r="7252" spans="1:11" ht="42" customHeight="1">
      <c r="A7252" s="2" t="s">
        <v>15109</v>
      </c>
      <c r="B7252" s="2" t="s">
        <v>15109</v>
      </c>
      <c r="C7252" s="2" t="s">
        <v>16</v>
      </c>
      <c r="D7252" s="2" t="s">
        <v>17</v>
      </c>
      <c r="E7252" s="5">
        <v>-31683</v>
      </c>
      <c r="F7252" s="3" t="s">
        <v>1213</v>
      </c>
      <c r="G7252" s="3" t="s">
        <v>65</v>
      </c>
      <c r="H7252" s="2" t="s">
        <v>20</v>
      </c>
      <c r="I7252" s="2" t="s">
        <v>15110</v>
      </c>
      <c r="J7252" s="3" t="str">
        <f>HYPERLINK("https://www.boe.es/gazeta/dias/1813/04/02/pdfs/GMD-1813-92.pdf#page=1","Abrir facsímil")</f>
        <v>Abrir facsímil</v>
      </c>
      <c r="K7252" s="3" t="s">
        <v>22</v>
      </c>
    </row>
    <row r="7253" spans="1:11" ht="42" customHeight="1">
      <c r="A7253" s="2" t="s">
        <v>15111</v>
      </c>
      <c r="B7253" s="2" t="s">
        <v>15112</v>
      </c>
      <c r="C7253" s="2" t="s">
        <v>16</v>
      </c>
      <c r="D7253" s="2" t="s">
        <v>97</v>
      </c>
      <c r="E7253" s="5">
        <v>-31548</v>
      </c>
      <c r="F7253" s="3" t="s">
        <v>1680</v>
      </c>
      <c r="G7253" s="3" t="s">
        <v>58</v>
      </c>
      <c r="H7253" s="2" t="s">
        <v>20</v>
      </c>
      <c r="I7253" s="2" t="s">
        <v>15113</v>
      </c>
      <c r="J7253" s="3" t="str">
        <f>HYPERLINK("https://www.boe.es/gazeta/dias/1813/08/15/pdfs/GRE-1813-104E.pdf#page=2","Abrir facsímil")</f>
        <v>Abrir facsímil</v>
      </c>
      <c r="K7253" s="3" t="s">
        <v>22</v>
      </c>
    </row>
    <row r="7254" spans="1:11" ht="42" customHeight="1">
      <c r="A7254" s="2" t="s">
        <v>15114</v>
      </c>
      <c r="B7254" s="2" t="s">
        <v>15114</v>
      </c>
      <c r="C7254" s="2" t="s">
        <v>25</v>
      </c>
      <c r="D7254" s="2" t="s">
        <v>26</v>
      </c>
      <c r="E7254" s="5">
        <v>-31418</v>
      </c>
      <c r="F7254" s="3" t="s">
        <v>1529</v>
      </c>
      <c r="G7254" s="3" t="s">
        <v>19</v>
      </c>
      <c r="H7254" s="2" t="s">
        <v>20</v>
      </c>
      <c r="I7254" s="2" t="s">
        <v>15115</v>
      </c>
      <c r="J7254" s="3" t="str">
        <f>HYPERLINK("https://www.boe.es/gazeta/dias/1813/12/23/pdfs/GMR-1813-91.pdf#page=4","Abrir facsímil")</f>
        <v>Abrir facsímil</v>
      </c>
      <c r="K7254" s="3" t="s">
        <v>22</v>
      </c>
    </row>
    <row r="7255" spans="1:11" ht="42" customHeight="1">
      <c r="A7255" s="2" t="s">
        <v>15116</v>
      </c>
      <c r="B7255" s="2" t="s">
        <v>15117</v>
      </c>
      <c r="C7255" s="2" t="s">
        <v>16</v>
      </c>
      <c r="D7255" s="2" t="s">
        <v>17</v>
      </c>
      <c r="E7255" s="5">
        <v>-31630</v>
      </c>
      <c r="F7255" s="3" t="s">
        <v>1324</v>
      </c>
      <c r="G7255" s="3" t="s">
        <v>10989</v>
      </c>
      <c r="H7255" s="2" t="s">
        <v>20</v>
      </c>
      <c r="I7255" s="2" t="s">
        <v>15118</v>
      </c>
      <c r="J7255" s="3" t="str">
        <f>HYPERLINK("https://www.boe.es/gazeta/dias/1813/05/25/pdfs/GRE-1813-64.pdf#page=6","Abrir facsímil")</f>
        <v>Abrir facsímil</v>
      </c>
      <c r="K7255" s="3" t="s">
        <v>22</v>
      </c>
    </row>
    <row r="7256" spans="1:11" ht="42" customHeight="1">
      <c r="A7256" s="2" t="s">
        <v>15119</v>
      </c>
      <c r="B7256" s="2" t="s">
        <v>15120</v>
      </c>
      <c r="C7256" s="2" t="s">
        <v>25</v>
      </c>
      <c r="D7256" s="2" t="s">
        <v>26</v>
      </c>
      <c r="E7256" s="5">
        <v>-31563</v>
      </c>
      <c r="F7256" s="3" t="s">
        <v>1267</v>
      </c>
      <c r="G7256" s="3" t="s">
        <v>82</v>
      </c>
      <c r="H7256" s="2" t="s">
        <v>20</v>
      </c>
      <c r="I7256" s="2" t="s">
        <v>15121</v>
      </c>
      <c r="J7256" s="3" t="str">
        <f>HYPERLINK("https://www.boe.es/gazeta/dias/1813/07/31/pdfs/GRE-1813-97.pdf#page=5","Abrir facsímil")</f>
        <v>Abrir facsímil</v>
      </c>
      <c r="K7256" s="3" t="s">
        <v>22</v>
      </c>
    </row>
    <row r="7257" spans="1:11" ht="42" customHeight="1">
      <c r="A7257" s="2" t="s">
        <v>15122</v>
      </c>
      <c r="B7257" s="2" t="s">
        <v>15123</v>
      </c>
      <c r="C7257" s="2" t="s">
        <v>16</v>
      </c>
      <c r="D7257" s="2" t="s">
        <v>17</v>
      </c>
      <c r="E7257" s="5">
        <v>-31481</v>
      </c>
      <c r="F7257" s="3" t="s">
        <v>380</v>
      </c>
      <c r="G7257" s="3" t="s">
        <v>794</v>
      </c>
      <c r="H7257" s="2" t="s">
        <v>20</v>
      </c>
      <c r="I7257" s="2" t="s">
        <v>15124</v>
      </c>
      <c r="J7257" s="3" t="str">
        <f>HYPERLINK("https://www.boe.es/gazeta/dias/1813/10/21/pdfs/GRE-1813-137.pdf#page=7","Abrir facsímil")</f>
        <v>Abrir facsímil</v>
      </c>
      <c r="K7257" s="3" t="s">
        <v>22</v>
      </c>
    </row>
    <row r="7258" spans="1:11" ht="42" customHeight="1">
      <c r="A7258" s="2" t="s">
        <v>15125</v>
      </c>
      <c r="B7258" s="2" t="s">
        <v>15126</v>
      </c>
      <c r="C7258" s="2" t="s">
        <v>16</v>
      </c>
      <c r="D7258" s="2" t="s">
        <v>17</v>
      </c>
      <c r="E7258" s="5">
        <v>-31630</v>
      </c>
      <c r="F7258" s="3" t="s">
        <v>1324</v>
      </c>
      <c r="G7258" s="3" t="s">
        <v>54</v>
      </c>
      <c r="H7258" s="2" t="s">
        <v>29</v>
      </c>
      <c r="I7258" s="2" t="s">
        <v>15127</v>
      </c>
      <c r="J7258" s="3" t="str">
        <f>HYPERLINK("https://www.boe.es/gazeta/dias/1813/05/25/pdfs/GRE-1813-64.pdf#page=3","Abrir facsímil")</f>
        <v>Abrir facsímil</v>
      </c>
      <c r="K7258" s="3" t="s">
        <v>31</v>
      </c>
    </row>
    <row r="7259" spans="1:11" ht="42" customHeight="1">
      <c r="A7259" s="2" t="s">
        <v>15128</v>
      </c>
      <c r="B7259" s="2" t="s">
        <v>15128</v>
      </c>
      <c r="C7259" s="2" t="s">
        <v>16</v>
      </c>
      <c r="D7259" s="2" t="s">
        <v>17</v>
      </c>
      <c r="E7259" s="5">
        <v>-31711</v>
      </c>
      <c r="F7259" s="3" t="s">
        <v>385</v>
      </c>
      <c r="G7259" s="3" t="s">
        <v>28</v>
      </c>
      <c r="H7259" s="2" t="s">
        <v>20</v>
      </c>
      <c r="I7259" s="2" t="s">
        <v>15129</v>
      </c>
      <c r="J7259" s="3" t="str">
        <f>HYPERLINK("https://www.boe.es/gazeta/dias/1813/03/05/pdfs/GRE-1813-99.pdf#page=8","Abrir facsímil")</f>
        <v>Abrir facsímil</v>
      </c>
      <c r="K7259" s="3" t="s">
        <v>22</v>
      </c>
    </row>
    <row r="7260" spans="1:11" ht="42" customHeight="1">
      <c r="A7260" s="2" t="s">
        <v>15128</v>
      </c>
      <c r="B7260" s="2" t="s">
        <v>15128</v>
      </c>
      <c r="C7260" s="2" t="s">
        <v>16</v>
      </c>
      <c r="D7260" s="2" t="s">
        <v>17</v>
      </c>
      <c r="E7260" s="5">
        <v>-31668</v>
      </c>
      <c r="F7260" s="3" t="s">
        <v>574</v>
      </c>
      <c r="G7260" s="3" t="s">
        <v>6144</v>
      </c>
      <c r="H7260" s="2" t="s">
        <v>20</v>
      </c>
      <c r="I7260" s="2" t="s">
        <v>15130</v>
      </c>
      <c r="J7260" s="3" t="str">
        <f>HYPERLINK("https://www.boe.es/gazeta/dias/1813/04/17/pdfs/GRE-1813-48.pdf#page=7","Abrir facsímil")</f>
        <v>Abrir facsímil</v>
      </c>
      <c r="K7260" s="3" t="s">
        <v>22</v>
      </c>
    </row>
    <row r="7261" spans="1:11" ht="42" customHeight="1">
      <c r="A7261" s="2" t="s">
        <v>15128</v>
      </c>
      <c r="B7261" s="2" t="s">
        <v>15128</v>
      </c>
      <c r="C7261" s="2" t="s">
        <v>16</v>
      </c>
      <c r="D7261" s="2" t="s">
        <v>17</v>
      </c>
      <c r="E7261" s="5">
        <v>-31668</v>
      </c>
      <c r="F7261" s="3" t="s">
        <v>574</v>
      </c>
      <c r="G7261" s="3" t="s">
        <v>28</v>
      </c>
      <c r="H7261" s="2" t="s">
        <v>20</v>
      </c>
      <c r="I7261" s="2" t="s">
        <v>15131</v>
      </c>
      <c r="J7261" s="3" t="str">
        <f>HYPERLINK("https://www.boe.es/gazeta/dias/1813/04/17/pdfs/GRE-1813-48.pdf#page=8","Abrir facsímil")</f>
        <v>Abrir facsímil</v>
      </c>
      <c r="K7261" s="3" t="s">
        <v>22</v>
      </c>
    </row>
    <row r="7262" spans="1:11" ht="42" customHeight="1">
      <c r="A7262" s="2" t="s">
        <v>15128</v>
      </c>
      <c r="B7262" s="2" t="s">
        <v>15128</v>
      </c>
      <c r="C7262" s="2" t="s">
        <v>16</v>
      </c>
      <c r="D7262" s="2" t="s">
        <v>17</v>
      </c>
      <c r="E7262" s="5">
        <v>-31656</v>
      </c>
      <c r="F7262" s="3" t="s">
        <v>576</v>
      </c>
      <c r="G7262" s="3" t="s">
        <v>19</v>
      </c>
      <c r="H7262" s="2" t="s">
        <v>20</v>
      </c>
      <c r="I7262" s="2" t="s">
        <v>15132</v>
      </c>
      <c r="J7262" s="3" t="str">
        <f>HYPERLINK("https://www.boe.es/gazeta/dias/1813/04/29/pdfs/GRE-1813-53.pdf#page=4","Abrir facsímil")</f>
        <v>Abrir facsímil</v>
      </c>
      <c r="K7262" s="3" t="s">
        <v>22</v>
      </c>
    </row>
    <row r="7263" spans="1:11" ht="42" customHeight="1">
      <c r="A7263" s="2" t="s">
        <v>15128</v>
      </c>
      <c r="B7263" s="2" t="s">
        <v>15128</v>
      </c>
      <c r="C7263" s="2" t="s">
        <v>16</v>
      </c>
      <c r="D7263" s="2" t="s">
        <v>17</v>
      </c>
      <c r="E7263" s="5">
        <v>-31641</v>
      </c>
      <c r="F7263" s="3" t="s">
        <v>6522</v>
      </c>
      <c r="G7263" s="3" t="s">
        <v>54</v>
      </c>
      <c r="H7263" s="2" t="s">
        <v>20</v>
      </c>
      <c r="I7263" s="2" t="s">
        <v>15133</v>
      </c>
      <c r="J7263" s="3" t="str">
        <f>HYPERLINK("https://www.boe.es/gazeta/dias/1813/05/14/pdfs/GMD-1813-134.pdf#page=3","Abrir facsímil")</f>
        <v>Abrir facsímil</v>
      </c>
      <c r="K7263" s="3" t="s">
        <v>22</v>
      </c>
    </row>
    <row r="7264" spans="1:11" ht="42" customHeight="1">
      <c r="A7264" s="2" t="s">
        <v>15128</v>
      </c>
      <c r="B7264" s="2" t="s">
        <v>15128</v>
      </c>
      <c r="C7264" s="2" t="s">
        <v>16</v>
      </c>
      <c r="D7264" s="2" t="s">
        <v>17</v>
      </c>
      <c r="E7264" s="5">
        <v>-31637</v>
      </c>
      <c r="F7264" s="3" t="s">
        <v>234</v>
      </c>
      <c r="G7264" s="3" t="s">
        <v>5925</v>
      </c>
      <c r="H7264" s="2" t="s">
        <v>20</v>
      </c>
      <c r="I7264" s="2" t="s">
        <v>15134</v>
      </c>
      <c r="J7264" s="3" t="str">
        <f>HYPERLINK("https://www.boe.es/gazeta/dias/1813/05/18/pdfs/GRE-1813-61.pdf#page=7","Abrir facsímil")</f>
        <v>Abrir facsímil</v>
      </c>
      <c r="K7264" s="3" t="s">
        <v>22</v>
      </c>
    </row>
    <row r="7265" spans="1:11" ht="42" customHeight="1">
      <c r="A7265" s="2" t="s">
        <v>15128</v>
      </c>
      <c r="B7265" s="2" t="s">
        <v>15128</v>
      </c>
      <c r="C7265" s="2" t="s">
        <v>16</v>
      </c>
      <c r="D7265" s="2" t="s">
        <v>17</v>
      </c>
      <c r="E7265" s="5">
        <v>-31619</v>
      </c>
      <c r="F7265" s="3" t="s">
        <v>1350</v>
      </c>
      <c r="G7265" s="3" t="s">
        <v>11219</v>
      </c>
      <c r="H7265" s="2" t="s">
        <v>20</v>
      </c>
      <c r="I7265" s="2" t="s">
        <v>15135</v>
      </c>
      <c r="J7265" s="3" t="str">
        <f>HYPERLINK("https://www.boe.es/gazeta/dias/1813/06/05/pdfs/GMR-1813-2.pdf#page=5","Abrir facsímil")</f>
        <v>Abrir facsímil</v>
      </c>
      <c r="K7265" s="3" t="s">
        <v>22</v>
      </c>
    </row>
    <row r="7266" spans="1:11" ht="42" customHeight="1">
      <c r="A7266" s="2" t="s">
        <v>15128</v>
      </c>
      <c r="B7266" s="2" t="s">
        <v>15128</v>
      </c>
      <c r="C7266" s="2" t="s">
        <v>16</v>
      </c>
      <c r="D7266" s="2" t="s">
        <v>17</v>
      </c>
      <c r="E7266" s="5">
        <v>-31602</v>
      </c>
      <c r="F7266" s="3" t="s">
        <v>2117</v>
      </c>
      <c r="G7266" s="3" t="s">
        <v>821</v>
      </c>
      <c r="H7266" s="2" t="s">
        <v>20</v>
      </c>
      <c r="I7266" s="2" t="s">
        <v>15136</v>
      </c>
      <c r="J7266" s="3" t="str">
        <f>HYPERLINK("https://www.boe.es/gazeta/dias/1813/06/22/pdfs/GMR-1813-9.pdf#page=13","Abrir facsímil")</f>
        <v>Abrir facsímil</v>
      </c>
      <c r="K7266" s="3" t="s">
        <v>22</v>
      </c>
    </row>
    <row r="7267" spans="1:11" ht="42" customHeight="1">
      <c r="A7267" s="2" t="s">
        <v>15128</v>
      </c>
      <c r="B7267" s="2" t="s">
        <v>15128</v>
      </c>
      <c r="C7267" s="2" t="s">
        <v>16</v>
      </c>
      <c r="D7267" s="2" t="s">
        <v>17</v>
      </c>
      <c r="E7267" s="5">
        <v>-31592</v>
      </c>
      <c r="F7267" s="3" t="s">
        <v>1538</v>
      </c>
      <c r="G7267" s="3" t="s">
        <v>313</v>
      </c>
      <c r="H7267" s="2" t="s">
        <v>20</v>
      </c>
      <c r="I7267" s="2" t="s">
        <v>15137</v>
      </c>
      <c r="J7267" s="3" t="str">
        <f>HYPERLINK("https://www.boe.es/gazeta/dias/1813/07/02/pdfs/GMR-1813-14.pdf#page=9","Abrir facsímil")</f>
        <v>Abrir facsímil</v>
      </c>
      <c r="K7267" s="3" t="s">
        <v>22</v>
      </c>
    </row>
    <row r="7268" spans="1:11" ht="42" customHeight="1">
      <c r="A7268" s="2" t="s">
        <v>15128</v>
      </c>
      <c r="B7268" s="2" t="s">
        <v>15128</v>
      </c>
      <c r="C7268" s="2" t="s">
        <v>16</v>
      </c>
      <c r="D7268" s="2" t="s">
        <v>17</v>
      </c>
      <c r="E7268" s="5">
        <v>-31582</v>
      </c>
      <c r="F7268" s="3" t="s">
        <v>907</v>
      </c>
      <c r="G7268" s="3" t="s">
        <v>54</v>
      </c>
      <c r="H7268" s="2" t="s">
        <v>20</v>
      </c>
      <c r="I7268" s="2" t="s">
        <v>15138</v>
      </c>
      <c r="J7268" s="3" t="str">
        <f>HYPERLINK("https://www.boe.es/gazeta/dias/1813/07/12/pdfs/GRE-1813-87.pdf#page=3","Abrir facsímil")</f>
        <v>Abrir facsímil</v>
      </c>
      <c r="K7268" s="3" t="s">
        <v>22</v>
      </c>
    </row>
    <row r="7269" spans="1:11" ht="42" customHeight="1">
      <c r="A7269" s="2" t="s">
        <v>15128</v>
      </c>
      <c r="B7269" s="2" t="s">
        <v>15128</v>
      </c>
      <c r="C7269" s="2" t="s">
        <v>16</v>
      </c>
      <c r="D7269" s="2" t="s">
        <v>17</v>
      </c>
      <c r="E7269" s="5">
        <v>-31577</v>
      </c>
      <c r="F7269" s="3" t="s">
        <v>586</v>
      </c>
      <c r="G7269" s="3" t="s">
        <v>28</v>
      </c>
      <c r="H7269" s="2" t="s">
        <v>20</v>
      </c>
      <c r="I7269" s="2" t="s">
        <v>15139</v>
      </c>
      <c r="J7269" s="3" t="str">
        <f>HYPERLINK("https://www.boe.es/gazeta/dias/1813/07/17/pdfs/GRE-1813-90.pdf#page=8","Abrir facsímil")</f>
        <v>Abrir facsímil</v>
      </c>
      <c r="K7269" s="3" t="s">
        <v>22</v>
      </c>
    </row>
    <row r="7270" spans="1:11" ht="42" customHeight="1">
      <c r="A7270" s="2" t="s">
        <v>15128</v>
      </c>
      <c r="B7270" s="2" t="s">
        <v>15128</v>
      </c>
      <c r="C7270" s="2" t="s">
        <v>16</v>
      </c>
      <c r="D7270" s="2" t="s">
        <v>17</v>
      </c>
      <c r="E7270" s="5">
        <v>-31574</v>
      </c>
      <c r="F7270" s="3" t="s">
        <v>1343</v>
      </c>
      <c r="G7270" s="3" t="s">
        <v>207</v>
      </c>
      <c r="H7270" s="2" t="s">
        <v>20</v>
      </c>
      <c r="I7270" s="2" t="s">
        <v>15140</v>
      </c>
      <c r="J7270" s="3" t="str">
        <f>HYPERLINK("https://www.boe.es/gazeta/dias/1813/07/20/pdfs/GMR-1813-19.pdf#page=10","Abrir facsímil")</f>
        <v>Abrir facsímil</v>
      </c>
      <c r="K7270" s="3" t="s">
        <v>22</v>
      </c>
    </row>
    <row r="7271" spans="1:11" ht="42" customHeight="1">
      <c r="A7271" s="2" t="s">
        <v>15128</v>
      </c>
      <c r="B7271" s="2" t="s">
        <v>15128</v>
      </c>
      <c r="C7271" s="2" t="s">
        <v>16</v>
      </c>
      <c r="D7271" s="2" t="s">
        <v>17</v>
      </c>
      <c r="E7271" s="5">
        <v>-31574</v>
      </c>
      <c r="F7271" s="3" t="s">
        <v>1343</v>
      </c>
      <c r="G7271" s="3" t="s">
        <v>82</v>
      </c>
      <c r="H7271" s="2" t="s">
        <v>20</v>
      </c>
      <c r="I7271" s="2" t="s">
        <v>15141</v>
      </c>
      <c r="J7271" s="3" t="str">
        <f>HYPERLINK("https://www.boe.es/gazeta/dias/1813/07/20/pdfs/GMR-1813-19.pdf#page=5","Abrir facsímil")</f>
        <v>Abrir facsímil</v>
      </c>
      <c r="K7271" s="3" t="s">
        <v>22</v>
      </c>
    </row>
    <row r="7272" spans="1:11" ht="42" customHeight="1">
      <c r="A7272" s="2" t="s">
        <v>15128</v>
      </c>
      <c r="B7272" s="2" t="s">
        <v>15128</v>
      </c>
      <c r="C7272" s="2" t="s">
        <v>16</v>
      </c>
      <c r="D7272" s="2" t="s">
        <v>17</v>
      </c>
      <c r="E7272" s="5">
        <v>-31559</v>
      </c>
      <c r="F7272" s="3" t="s">
        <v>1485</v>
      </c>
      <c r="G7272" s="3" t="s">
        <v>6308</v>
      </c>
      <c r="H7272" s="2" t="s">
        <v>20</v>
      </c>
      <c r="I7272" s="2" t="s">
        <v>15142</v>
      </c>
      <c r="J7272" s="3" t="str">
        <f>HYPERLINK("https://www.boe.es/gazeta/dias/1813/08/04/pdfs/GRE-1813-113.pdf#page=6","Abrir facsímil")</f>
        <v>Abrir facsímil</v>
      </c>
      <c r="K7272" s="3" t="s">
        <v>22</v>
      </c>
    </row>
    <row r="7273" spans="1:11" ht="42" customHeight="1">
      <c r="A7273" s="2" t="s">
        <v>15128</v>
      </c>
      <c r="B7273" s="2" t="s">
        <v>15128</v>
      </c>
      <c r="C7273" s="2" t="s">
        <v>16</v>
      </c>
      <c r="D7273" s="2" t="s">
        <v>17</v>
      </c>
      <c r="E7273" s="5">
        <v>-31558</v>
      </c>
      <c r="F7273" s="3" t="s">
        <v>385</v>
      </c>
      <c r="G7273" s="3" t="s">
        <v>28</v>
      </c>
      <c r="H7273" s="2" t="s">
        <v>20</v>
      </c>
      <c r="I7273" s="2" t="s">
        <v>15129</v>
      </c>
      <c r="J7273" s="3" t="str">
        <f>HYPERLINK("https://www.boe.es/gazeta/dias/1813/08/05/pdfs/GRE-1813-99.pdf#page=8","Abrir facsímil")</f>
        <v>Abrir facsímil</v>
      </c>
      <c r="K7273" s="3" t="s">
        <v>22</v>
      </c>
    </row>
    <row r="7274" spans="1:11" ht="42" customHeight="1">
      <c r="A7274" s="2" t="s">
        <v>15128</v>
      </c>
      <c r="B7274" s="2" t="s">
        <v>15128</v>
      </c>
      <c r="C7274" s="2" t="s">
        <v>16</v>
      </c>
      <c r="D7274" s="2" t="s">
        <v>17</v>
      </c>
      <c r="E7274" s="5">
        <v>-31544</v>
      </c>
      <c r="F7274" s="3" t="s">
        <v>44</v>
      </c>
      <c r="G7274" s="3" t="s">
        <v>19</v>
      </c>
      <c r="H7274" s="2" t="s">
        <v>20</v>
      </c>
      <c r="I7274" s="2" t="s">
        <v>15143</v>
      </c>
      <c r="J7274" s="3" t="str">
        <f>HYPERLINK("https://www.boe.es/gazeta/dias/1813/08/19/pdfs/GMR-1813-30.pdf#page=4","Abrir facsímil")</f>
        <v>Abrir facsímil</v>
      </c>
      <c r="K7274" s="3" t="s">
        <v>22</v>
      </c>
    </row>
    <row r="7275" spans="1:11" ht="42" customHeight="1">
      <c r="A7275" s="2" t="s">
        <v>15128</v>
      </c>
      <c r="B7275" s="2" t="s">
        <v>15128</v>
      </c>
      <c r="C7275" s="2" t="s">
        <v>16</v>
      </c>
      <c r="D7275" s="2" t="s">
        <v>17</v>
      </c>
      <c r="E7275" s="5">
        <v>-31537</v>
      </c>
      <c r="F7275" s="3" t="s">
        <v>5241</v>
      </c>
      <c r="G7275" s="3" t="s">
        <v>7105</v>
      </c>
      <c r="H7275" s="2" t="s">
        <v>20</v>
      </c>
      <c r="I7275" s="2" t="s">
        <v>15144</v>
      </c>
      <c r="J7275" s="3" t="str">
        <f>HYPERLINK("https://www.boe.es/gazeta/dias/1813/08/26/pdfs/GRE-1813-109.pdf#page=7","Abrir facsímil")</f>
        <v>Abrir facsímil</v>
      </c>
      <c r="K7275" s="3" t="s">
        <v>22</v>
      </c>
    </row>
    <row r="7276" spans="1:11" ht="42" customHeight="1">
      <c r="A7276" s="2" t="s">
        <v>15128</v>
      </c>
      <c r="B7276" s="2" t="s">
        <v>15128</v>
      </c>
      <c r="C7276" s="2" t="s">
        <v>16</v>
      </c>
      <c r="D7276" s="2" t="s">
        <v>17</v>
      </c>
      <c r="E7276" s="5">
        <v>-31530</v>
      </c>
      <c r="F7276" s="3" t="s">
        <v>319</v>
      </c>
      <c r="G7276" s="3" t="s">
        <v>19</v>
      </c>
      <c r="H7276" s="2" t="s">
        <v>20</v>
      </c>
      <c r="I7276" s="2" t="s">
        <v>15145</v>
      </c>
      <c r="J7276" s="3" t="str">
        <f>HYPERLINK("https://www.boe.es/gazeta/dias/1813/09/02/pdfs/GRE-1813-112.pdf#page=4","Abrir facsímil")</f>
        <v>Abrir facsímil</v>
      </c>
      <c r="K7276" s="3" t="s">
        <v>22</v>
      </c>
    </row>
    <row r="7277" spans="1:11" ht="42" customHeight="1">
      <c r="A7277" s="2" t="s">
        <v>15128</v>
      </c>
      <c r="B7277" s="2" t="s">
        <v>15128</v>
      </c>
      <c r="C7277" s="2" t="s">
        <v>16</v>
      </c>
      <c r="D7277" s="2" t="s">
        <v>17</v>
      </c>
      <c r="E7277" s="5">
        <v>-31528</v>
      </c>
      <c r="F7277" s="3" t="s">
        <v>1485</v>
      </c>
      <c r="G7277" s="3" t="s">
        <v>6308</v>
      </c>
      <c r="H7277" s="2" t="s">
        <v>20</v>
      </c>
      <c r="I7277" s="2" t="s">
        <v>15142</v>
      </c>
      <c r="J7277" s="3" t="str">
        <f>HYPERLINK("https://www.boe.es/gazeta/dias/1813/09/04/pdfs/GRE-1813-113.pdf#page=6","Abrir facsímil")</f>
        <v>Abrir facsímil</v>
      </c>
      <c r="K7277" s="3" t="s">
        <v>22</v>
      </c>
    </row>
    <row r="7278" spans="1:11" ht="42" customHeight="1">
      <c r="A7278" s="2" t="s">
        <v>15128</v>
      </c>
      <c r="B7278" s="2" t="s">
        <v>15128</v>
      </c>
      <c r="C7278" s="2" t="s">
        <v>16</v>
      </c>
      <c r="D7278" s="2" t="s">
        <v>17</v>
      </c>
      <c r="E7278" s="5">
        <v>-31525</v>
      </c>
      <c r="F7278" s="3" t="s">
        <v>135</v>
      </c>
      <c r="G7278" s="3" t="s">
        <v>19</v>
      </c>
      <c r="H7278" s="2" t="s">
        <v>20</v>
      </c>
      <c r="I7278" s="2" t="s">
        <v>15146</v>
      </c>
      <c r="J7278" s="3" t="str">
        <f>HYPERLINK("https://www.boe.es/gazeta/dias/1813/09/07/pdfs/GMR-1813-38.pdf#page=4","Abrir facsímil")</f>
        <v>Abrir facsímil</v>
      </c>
      <c r="K7278" s="3" t="s">
        <v>22</v>
      </c>
    </row>
    <row r="7279" spans="1:11" ht="42" customHeight="1">
      <c r="A7279" s="2" t="s">
        <v>15128</v>
      </c>
      <c r="B7279" s="2" t="s">
        <v>15128</v>
      </c>
      <c r="C7279" s="2" t="s">
        <v>16</v>
      </c>
      <c r="D7279" s="2" t="s">
        <v>17</v>
      </c>
      <c r="E7279" s="5">
        <v>-31523</v>
      </c>
      <c r="F7279" s="3" t="s">
        <v>2140</v>
      </c>
      <c r="G7279" s="3" t="s">
        <v>19</v>
      </c>
      <c r="H7279" s="2" t="s">
        <v>20</v>
      </c>
      <c r="I7279" s="2" t="s">
        <v>15147</v>
      </c>
      <c r="J7279" s="3" t="str">
        <f>HYPERLINK("https://www.boe.es/gazeta/dias/1813/09/09/pdfs/GMR-1813-40.pdf#page=4","Abrir facsímil")</f>
        <v>Abrir facsímil</v>
      </c>
      <c r="K7279" s="3" t="s">
        <v>22</v>
      </c>
    </row>
    <row r="7280" spans="1:11" ht="42" customHeight="1">
      <c r="A7280" s="2" t="s">
        <v>15128</v>
      </c>
      <c r="B7280" s="2" t="s">
        <v>15128</v>
      </c>
      <c r="C7280" s="2" t="s">
        <v>16</v>
      </c>
      <c r="D7280" s="2" t="s">
        <v>17</v>
      </c>
      <c r="E7280" s="5">
        <v>-31514</v>
      </c>
      <c r="F7280" s="3" t="s">
        <v>1095</v>
      </c>
      <c r="G7280" s="3" t="s">
        <v>19</v>
      </c>
      <c r="H7280" s="2" t="s">
        <v>20</v>
      </c>
      <c r="I7280" s="2" t="s">
        <v>15148</v>
      </c>
      <c r="J7280" s="3" t="str">
        <f>HYPERLINK("https://www.boe.es/gazeta/dias/1813/09/18/pdfs/GRE-1813-121.pdf#page=4","Abrir facsímil")</f>
        <v>Abrir facsímil</v>
      </c>
      <c r="K7280" s="3" t="s">
        <v>22</v>
      </c>
    </row>
    <row r="7281" spans="1:11" ht="42" customHeight="1">
      <c r="A7281" s="2" t="s">
        <v>15128</v>
      </c>
      <c r="B7281" s="2" t="s">
        <v>15128</v>
      </c>
      <c r="C7281" s="2" t="s">
        <v>16</v>
      </c>
      <c r="D7281" s="2" t="s">
        <v>17</v>
      </c>
      <c r="E7281" s="5">
        <v>-31486</v>
      </c>
      <c r="F7281" s="3" t="s">
        <v>597</v>
      </c>
      <c r="G7281" s="3" t="s">
        <v>54</v>
      </c>
      <c r="H7281" s="2" t="s">
        <v>20</v>
      </c>
      <c r="I7281" s="2" t="s">
        <v>15149</v>
      </c>
      <c r="J7281" s="3" t="str">
        <f>HYPERLINK("https://www.boe.es/gazeta/dias/1813/10/16/pdfs/GRE-1813-135.pdf#page=3","Abrir facsímil")</f>
        <v>Abrir facsímil</v>
      </c>
      <c r="K7281" s="3" t="s">
        <v>22</v>
      </c>
    </row>
    <row r="7282" spans="1:11" ht="42" customHeight="1">
      <c r="A7282" s="2" t="s">
        <v>15128</v>
      </c>
      <c r="B7282" s="2" t="s">
        <v>15128</v>
      </c>
      <c r="C7282" s="2" t="s">
        <v>16</v>
      </c>
      <c r="D7282" s="2" t="s">
        <v>17</v>
      </c>
      <c r="E7282" s="5">
        <v>-31444</v>
      </c>
      <c r="F7282" s="3" t="s">
        <v>389</v>
      </c>
      <c r="G7282" s="3" t="s">
        <v>28</v>
      </c>
      <c r="H7282" s="2" t="s">
        <v>20</v>
      </c>
      <c r="I7282" s="2" t="s">
        <v>15150</v>
      </c>
      <c r="J7282" s="3" t="str">
        <f>HYPERLINK("https://www.boe.es/gazeta/dias/1813/11/27/pdfs/GMR-1813-80.pdf#page=8","Abrir facsímil")</f>
        <v>Abrir facsímil</v>
      </c>
      <c r="K7282" s="3" t="s">
        <v>22</v>
      </c>
    </row>
    <row r="7283" spans="1:11" ht="42" customHeight="1">
      <c r="A7283" s="2" t="s">
        <v>15151</v>
      </c>
      <c r="B7283" s="2" t="s">
        <v>15151</v>
      </c>
      <c r="C7283" s="2" t="s">
        <v>16</v>
      </c>
      <c r="D7283" s="2" t="s">
        <v>17</v>
      </c>
      <c r="E7283" s="5">
        <v>-31437</v>
      </c>
      <c r="F7283" s="3" t="s">
        <v>680</v>
      </c>
      <c r="G7283" s="3" t="s">
        <v>19</v>
      </c>
      <c r="H7283" s="2" t="s">
        <v>20</v>
      </c>
      <c r="I7283" s="2" t="s">
        <v>15152</v>
      </c>
      <c r="J7283" s="3" t="str">
        <f>HYPERLINK("https://www.boe.es/gazeta/dias/1813/12/04/pdfs/GMR-1813-83.pdf#page=4","Abrir facsímil")</f>
        <v>Abrir facsímil</v>
      </c>
      <c r="K7283" s="3" t="s">
        <v>22</v>
      </c>
    </row>
    <row r="7284" spans="1:11" ht="42" customHeight="1">
      <c r="A7284" s="2" t="s">
        <v>15128</v>
      </c>
      <c r="B7284" s="2" t="s">
        <v>15128</v>
      </c>
      <c r="C7284" s="2" t="s">
        <v>16</v>
      </c>
      <c r="D7284" s="2" t="s">
        <v>17</v>
      </c>
      <c r="E7284" s="5">
        <v>-31425</v>
      </c>
      <c r="F7284" s="3" t="s">
        <v>1669</v>
      </c>
      <c r="G7284" s="3" t="s">
        <v>95</v>
      </c>
      <c r="H7284" s="2" t="s">
        <v>20</v>
      </c>
      <c r="I7284" s="2" t="s">
        <v>15153</v>
      </c>
      <c r="J7284" s="3" t="str">
        <f>HYPERLINK("https://www.boe.es/gazeta/dias/1813/12/16/pdfs/GRE-1813-165.pdf#page=6","Abrir facsímil")</f>
        <v>Abrir facsímil</v>
      </c>
      <c r="K7284" s="3" t="s">
        <v>22</v>
      </c>
    </row>
    <row r="7285" spans="1:11" ht="42" customHeight="1">
      <c r="A7285" s="2" t="s">
        <v>15128</v>
      </c>
      <c r="B7285" s="2" t="s">
        <v>15128</v>
      </c>
      <c r="C7285" s="2" t="s">
        <v>16</v>
      </c>
      <c r="D7285" s="2" t="s">
        <v>17</v>
      </c>
      <c r="E7285" s="5">
        <v>-31416</v>
      </c>
      <c r="F7285" s="3" t="s">
        <v>278</v>
      </c>
      <c r="G7285" s="3" t="s">
        <v>313</v>
      </c>
      <c r="H7285" s="2" t="s">
        <v>20</v>
      </c>
      <c r="I7285" s="2" t="s">
        <v>15154</v>
      </c>
      <c r="J7285" s="3" t="str">
        <f>HYPERLINK("https://www.boe.es/gazeta/dias/1813/12/25/pdfs/GMR-1813-92.pdf#page=9","Abrir facsímil")</f>
        <v>Abrir facsímil</v>
      </c>
      <c r="K7285" s="3" t="s">
        <v>22</v>
      </c>
    </row>
    <row r="7286" spans="1:11" ht="42" customHeight="1">
      <c r="A7286" s="2" t="s">
        <v>15128</v>
      </c>
      <c r="B7286" s="2" t="s">
        <v>15128</v>
      </c>
      <c r="C7286" s="2" t="s">
        <v>16</v>
      </c>
      <c r="D7286" s="2" t="s">
        <v>17</v>
      </c>
      <c r="E7286" s="5">
        <v>-31413</v>
      </c>
      <c r="F7286" s="3" t="s">
        <v>152</v>
      </c>
      <c r="G7286" s="3" t="s">
        <v>82</v>
      </c>
      <c r="H7286" s="2" t="s">
        <v>20</v>
      </c>
      <c r="I7286" s="2" t="s">
        <v>15155</v>
      </c>
      <c r="J7286" s="3" t="str">
        <f>HYPERLINK("https://www.boe.es/gazeta/dias/1813/12/28/pdfs/GRE-1813-170.pdf#page=5","Abrir facsímil")</f>
        <v>Abrir facsímil</v>
      </c>
      <c r="K7286" s="3" t="s">
        <v>22</v>
      </c>
    </row>
    <row r="7287" spans="1:11" ht="42" customHeight="1">
      <c r="A7287" s="2" t="s">
        <v>15128</v>
      </c>
      <c r="B7287" s="2" t="s">
        <v>15128</v>
      </c>
      <c r="C7287" s="2" t="s">
        <v>16</v>
      </c>
      <c r="D7287" s="2" t="s">
        <v>17</v>
      </c>
      <c r="E7287" s="5">
        <v>-31413</v>
      </c>
      <c r="F7287" s="3" t="s">
        <v>152</v>
      </c>
      <c r="G7287" s="3" t="s">
        <v>95</v>
      </c>
      <c r="H7287" s="2" t="s">
        <v>20</v>
      </c>
      <c r="I7287" s="2" t="s">
        <v>15156</v>
      </c>
      <c r="J7287" s="3" t="str">
        <f>HYPERLINK("https://www.boe.es/gazeta/dias/1813/12/28/pdfs/GRE-1813-170.pdf#page=6","Abrir facsímil")</f>
        <v>Abrir facsímil</v>
      </c>
      <c r="K7287" s="3" t="s">
        <v>22</v>
      </c>
    </row>
    <row r="7288" spans="1:11" ht="42" customHeight="1">
      <c r="A7288" s="2" t="s">
        <v>15157</v>
      </c>
      <c r="B7288" s="2" t="s">
        <v>15158</v>
      </c>
      <c r="C7288" s="2" t="s">
        <v>16</v>
      </c>
      <c r="D7288" s="2" t="s">
        <v>17</v>
      </c>
      <c r="E7288" s="5">
        <v>-31766</v>
      </c>
      <c r="F7288" s="3" t="s">
        <v>1356</v>
      </c>
      <c r="G7288" s="3" t="s">
        <v>28</v>
      </c>
      <c r="H7288" s="2" t="s">
        <v>20</v>
      </c>
      <c r="I7288" s="2" t="s">
        <v>15159</v>
      </c>
      <c r="J7288" s="3" t="str">
        <f>HYPERLINK("https://www.boe.es/gazeta/dias/1813/01/09/pdfs/GRE-1813-4.pdf#page=8","Abrir facsímil")</f>
        <v>Abrir facsímil</v>
      </c>
      <c r="K7288" s="3" t="s">
        <v>22</v>
      </c>
    </row>
    <row r="7289" spans="1:11" ht="42" customHeight="1">
      <c r="A7289" s="2" t="s">
        <v>15160</v>
      </c>
      <c r="B7289" s="2" t="s">
        <v>15161</v>
      </c>
      <c r="C7289" s="2" t="s">
        <v>16</v>
      </c>
      <c r="D7289" s="2" t="s">
        <v>17</v>
      </c>
      <c r="E7289" s="5">
        <v>-31619</v>
      </c>
      <c r="F7289" s="3" t="s">
        <v>1350</v>
      </c>
      <c r="G7289" s="3" t="s">
        <v>54</v>
      </c>
      <c r="H7289" s="2" t="s">
        <v>20</v>
      </c>
      <c r="I7289" s="2" t="s">
        <v>15162</v>
      </c>
      <c r="J7289" s="3" t="str">
        <f>HYPERLINK("https://www.boe.es/gazeta/dias/1813/06/05/pdfs/GMR-1813-2.pdf#page=3","Abrir facsímil")</f>
        <v>Abrir facsímil</v>
      </c>
      <c r="K7289" s="3" t="s">
        <v>22</v>
      </c>
    </row>
    <row r="7290" spans="1:11" ht="42" customHeight="1">
      <c r="A7290" s="2" t="s">
        <v>15163</v>
      </c>
      <c r="B7290" s="2" t="s">
        <v>15164</v>
      </c>
      <c r="C7290" s="2" t="s">
        <v>16</v>
      </c>
      <c r="D7290" s="2" t="s">
        <v>97</v>
      </c>
      <c r="E7290" s="5">
        <v>-31670</v>
      </c>
      <c r="F7290" s="3" t="s">
        <v>98</v>
      </c>
      <c r="G7290" s="3" t="s">
        <v>87</v>
      </c>
      <c r="H7290" s="2" t="s">
        <v>20</v>
      </c>
      <c r="I7290" s="2" t="s">
        <v>15165</v>
      </c>
      <c r="J7290" s="3" t="str">
        <f>HYPERLINK("https://www.boe.es/gazeta/dias/1813/04/15/pdfs/GRE-1813-47E.pdf#page=7","Abrir facsímil")</f>
        <v>Abrir facsímil</v>
      </c>
      <c r="K7290" s="3" t="s">
        <v>22</v>
      </c>
    </row>
    <row r="7291" spans="1:11" ht="42" customHeight="1">
      <c r="A7291" s="2" t="s">
        <v>15166</v>
      </c>
      <c r="B7291" s="2" t="s">
        <v>15167</v>
      </c>
      <c r="C7291" s="2" t="s">
        <v>187</v>
      </c>
      <c r="D7291" s="2" t="s">
        <v>26</v>
      </c>
      <c r="E7291" s="5">
        <v>-31752</v>
      </c>
      <c r="F7291" s="3" t="s">
        <v>182</v>
      </c>
      <c r="G7291" s="3" t="s">
        <v>183</v>
      </c>
      <c r="H7291" s="2" t="s">
        <v>20</v>
      </c>
      <c r="I7291" s="2" t="s">
        <v>15168</v>
      </c>
      <c r="J7291" s="3" t="str">
        <f>HYPERLINK("https://www.boe.es/gazeta/dias/1813/01/23/pdfs/GRE-1813-10.pdf#page=8","Abrir facsímil")</f>
        <v>Abrir facsímil</v>
      </c>
      <c r="K7291" s="3" t="s">
        <v>22</v>
      </c>
    </row>
    <row r="7292" spans="1:11" ht="42" customHeight="1">
      <c r="A7292" s="2" t="s">
        <v>15169</v>
      </c>
      <c r="B7292" s="2" t="s">
        <v>15169</v>
      </c>
      <c r="C7292" s="2" t="s">
        <v>16</v>
      </c>
      <c r="D7292" s="2" t="s">
        <v>17</v>
      </c>
      <c r="E7292" s="5">
        <v>-31427</v>
      </c>
      <c r="F7292" s="3" t="s">
        <v>1822</v>
      </c>
      <c r="G7292" s="3" t="s">
        <v>28</v>
      </c>
      <c r="H7292" s="2" t="s">
        <v>20</v>
      </c>
      <c r="I7292" s="2" t="s">
        <v>15170</v>
      </c>
      <c r="J7292" s="3" t="str">
        <f>HYPERLINK("https://www.boe.es/gazeta/dias/1813/12/14/pdfs/GRE-1813-164.pdf#page=8","Abrir facsímil")</f>
        <v>Abrir facsímil</v>
      </c>
      <c r="K7292" s="3" t="s">
        <v>22</v>
      </c>
    </row>
    <row r="7293" spans="1:11" ht="42" customHeight="1">
      <c r="A7293" s="2" t="s">
        <v>15171</v>
      </c>
      <c r="B7293" s="2" t="s">
        <v>15171</v>
      </c>
      <c r="C7293" s="2" t="s">
        <v>16</v>
      </c>
      <c r="D7293" s="2" t="s">
        <v>17</v>
      </c>
      <c r="E7293" s="5">
        <v>-31544</v>
      </c>
      <c r="F7293" s="3" t="s">
        <v>200</v>
      </c>
      <c r="G7293" s="3" t="s">
        <v>58</v>
      </c>
      <c r="H7293" s="2" t="s">
        <v>20</v>
      </c>
      <c r="I7293" s="2" t="s">
        <v>15172</v>
      </c>
      <c r="J7293" s="3" t="str">
        <f>HYPERLINK("https://www.boe.es/gazeta/dias/1813/08/19/pdfs/GRE-1813-106.pdf#page=2","Abrir facsímil")</f>
        <v>Abrir facsímil</v>
      </c>
      <c r="K7293" s="3" t="s">
        <v>22</v>
      </c>
    </row>
    <row r="7294" spans="1:11" ht="42" customHeight="1">
      <c r="A7294" s="2" t="s">
        <v>15173</v>
      </c>
      <c r="B7294" s="2" t="s">
        <v>15173</v>
      </c>
      <c r="C7294" s="2" t="s">
        <v>16</v>
      </c>
      <c r="D7294" s="2" t="s">
        <v>17</v>
      </c>
      <c r="E7294" s="5">
        <v>-31756</v>
      </c>
      <c r="F7294" s="3" t="s">
        <v>951</v>
      </c>
      <c r="G7294" s="3" t="s">
        <v>6421</v>
      </c>
      <c r="H7294" s="2" t="s">
        <v>20</v>
      </c>
      <c r="I7294" s="2" t="s">
        <v>15174</v>
      </c>
      <c r="J7294" s="3" t="str">
        <f>HYPERLINK("https://www.boe.es/gazeta/dias/1813/01/19/pdfs/GRE-1813-8.pdf#page=3","Abrir facsímil")</f>
        <v>Abrir facsímil</v>
      </c>
      <c r="K7294" s="3" t="s">
        <v>22</v>
      </c>
    </row>
    <row r="7295" spans="1:11" ht="42" customHeight="1">
      <c r="A7295" s="2" t="s">
        <v>15175</v>
      </c>
      <c r="B7295" s="2" t="s">
        <v>15175</v>
      </c>
      <c r="C7295" s="2" t="s">
        <v>109</v>
      </c>
      <c r="D7295" s="2" t="s">
        <v>26</v>
      </c>
      <c r="E7295" s="5">
        <v>-31742</v>
      </c>
      <c r="F7295" s="3" t="s">
        <v>2051</v>
      </c>
      <c r="G7295" s="3" t="s">
        <v>54</v>
      </c>
      <c r="H7295" s="2" t="s">
        <v>20</v>
      </c>
      <c r="I7295" s="2" t="s">
        <v>15176</v>
      </c>
      <c r="J7295" s="3" t="str">
        <f>HYPERLINK("https://www.boe.es/gazeta/dias/1813/02/02/pdfs/GMD-1813-33.pdf#page=3","Abrir facsímil")</f>
        <v>Abrir facsímil</v>
      </c>
      <c r="K7295" s="3" t="s">
        <v>22</v>
      </c>
    </row>
    <row r="7296" spans="1:11" ht="42" customHeight="1">
      <c r="A7296" s="2" t="s">
        <v>15177</v>
      </c>
      <c r="B7296" s="2" t="s">
        <v>15178</v>
      </c>
      <c r="C7296" s="2" t="s">
        <v>16</v>
      </c>
      <c r="D7296" s="2" t="s">
        <v>17</v>
      </c>
      <c r="E7296" s="5">
        <v>-31700</v>
      </c>
      <c r="F7296" s="3" t="s">
        <v>778</v>
      </c>
      <c r="G7296" s="3" t="s">
        <v>65</v>
      </c>
      <c r="H7296" s="2" t="s">
        <v>20</v>
      </c>
      <c r="I7296" s="2" t="s">
        <v>15179</v>
      </c>
      <c r="J7296" s="3" t="str">
        <f>HYPERLINK("https://www.boe.es/gazeta/dias/1813/03/16/pdfs/GMD-1813-75.pdf#page=1","Abrir facsímil")</f>
        <v>Abrir facsímil</v>
      </c>
      <c r="K7296" s="3" t="s">
        <v>22</v>
      </c>
    </row>
    <row r="7297" spans="1:11" ht="42" customHeight="1">
      <c r="A7297" s="2" t="s">
        <v>15180</v>
      </c>
      <c r="B7297" s="2" t="s">
        <v>15181</v>
      </c>
      <c r="C7297" s="2" t="s">
        <v>69</v>
      </c>
      <c r="D7297" s="2" t="s">
        <v>26</v>
      </c>
      <c r="E7297" s="5">
        <v>-31530</v>
      </c>
      <c r="F7297" s="3" t="s">
        <v>133</v>
      </c>
      <c r="G7297" s="3" t="s">
        <v>28</v>
      </c>
      <c r="H7297" s="2" t="s">
        <v>29</v>
      </c>
      <c r="I7297" s="2" t="s">
        <v>15182</v>
      </c>
      <c r="J7297" s="3" t="str">
        <f>HYPERLINK("https://www.boe.es/gazeta/dias/1813/09/02/pdfs/GMR-1813-36.pdf#page=8","Abrir facsímil")</f>
        <v>Abrir facsímil</v>
      </c>
      <c r="K7297" s="3" t="s">
        <v>31</v>
      </c>
    </row>
    <row r="7298" spans="1:11" ht="42" customHeight="1">
      <c r="A7298" s="2" t="s">
        <v>15183</v>
      </c>
      <c r="B7298" s="2" t="s">
        <v>15184</v>
      </c>
      <c r="C7298" s="2" t="s">
        <v>16</v>
      </c>
      <c r="D7298" s="2" t="s">
        <v>17</v>
      </c>
      <c r="E7298" s="5">
        <v>-31546</v>
      </c>
      <c r="F7298" s="3" t="s">
        <v>461</v>
      </c>
      <c r="G7298" s="3" t="s">
        <v>28</v>
      </c>
      <c r="H7298" s="2" t="s">
        <v>29</v>
      </c>
      <c r="I7298" s="2" t="s">
        <v>15185</v>
      </c>
      <c r="J7298" s="3" t="str">
        <f>HYPERLINK("https://www.boe.es/gazeta/dias/1813/08/17/pdfs/GMR-1813-29.pdf#page=8","Abrir facsímil")</f>
        <v>Abrir facsímil</v>
      </c>
      <c r="K7298" s="3" t="s">
        <v>31</v>
      </c>
    </row>
    <row r="7299" spans="1:11" ht="42" customHeight="1">
      <c r="A7299" s="2" t="s">
        <v>15186</v>
      </c>
      <c r="B7299" s="2" t="s">
        <v>15187</v>
      </c>
      <c r="C7299" s="2" t="s">
        <v>16</v>
      </c>
      <c r="D7299" s="2" t="s">
        <v>97</v>
      </c>
      <c r="E7299" s="5">
        <v>-31519</v>
      </c>
      <c r="F7299" s="3" t="s">
        <v>312</v>
      </c>
      <c r="G7299" s="3" t="s">
        <v>28</v>
      </c>
      <c r="H7299" s="2" t="s">
        <v>20</v>
      </c>
      <c r="I7299" s="2" t="s">
        <v>15188</v>
      </c>
      <c r="J7299" s="3" t="str">
        <f>HYPERLINK("https://www.boe.es/gazeta/dias/1813/09/13/pdfs/GRE-1813-118E.pdf#page=8","Abrir facsímil")</f>
        <v>Abrir facsímil</v>
      </c>
      <c r="K7299" s="3" t="s">
        <v>22</v>
      </c>
    </row>
    <row r="7300" spans="1:11" ht="42" customHeight="1">
      <c r="A7300" s="2" t="s">
        <v>15189</v>
      </c>
      <c r="B7300" s="2" t="s">
        <v>15190</v>
      </c>
      <c r="C7300" s="2" t="s">
        <v>16</v>
      </c>
      <c r="D7300" s="2" t="s">
        <v>17</v>
      </c>
      <c r="E7300" s="5">
        <v>-31602</v>
      </c>
      <c r="F7300" s="3" t="s">
        <v>2117</v>
      </c>
      <c r="G7300" s="3" t="s">
        <v>178</v>
      </c>
      <c r="H7300" s="2" t="s">
        <v>20</v>
      </c>
      <c r="I7300" s="2" t="s">
        <v>15191</v>
      </c>
      <c r="J7300" s="3" t="str">
        <f>HYPERLINK("https://www.boe.es/gazeta/dias/1813/06/22/pdfs/GMR-1813-9.pdf#page=11","Abrir facsímil")</f>
        <v>Abrir facsímil</v>
      </c>
      <c r="K7300" s="3" t="s">
        <v>22</v>
      </c>
    </row>
    <row r="7301" spans="1:11" ht="42" customHeight="1">
      <c r="A7301" s="2" t="s">
        <v>15192</v>
      </c>
      <c r="B7301" s="2" t="s">
        <v>15192</v>
      </c>
      <c r="C7301" s="2" t="s">
        <v>16</v>
      </c>
      <c r="D7301" s="2" t="s">
        <v>17</v>
      </c>
      <c r="E7301" s="5">
        <v>-31476</v>
      </c>
      <c r="F7301" s="3" t="s">
        <v>158</v>
      </c>
      <c r="G7301" s="3" t="s">
        <v>82</v>
      </c>
      <c r="H7301" s="2" t="s">
        <v>20</v>
      </c>
      <c r="I7301" s="2" t="s">
        <v>15193</v>
      </c>
      <c r="J7301" s="3" t="str">
        <f>HYPERLINK("https://www.boe.es/gazeta/dias/1813/10/26/pdfs/GMR-1813-64.pdf#page=5","Abrir facsímil")</f>
        <v>Abrir facsímil</v>
      </c>
      <c r="K7301" s="3" t="s">
        <v>22</v>
      </c>
    </row>
    <row r="7302" spans="1:11" ht="42" customHeight="1">
      <c r="A7302" s="2" t="s">
        <v>15194</v>
      </c>
      <c r="B7302" s="2" t="s">
        <v>15195</v>
      </c>
      <c r="C7302" s="2" t="s">
        <v>16</v>
      </c>
      <c r="D7302" s="2" t="s">
        <v>17</v>
      </c>
      <c r="E7302" s="5">
        <v>-31567</v>
      </c>
      <c r="F7302" s="3" t="s">
        <v>820</v>
      </c>
      <c r="G7302" s="3" t="s">
        <v>747</v>
      </c>
      <c r="H7302" s="2" t="s">
        <v>20</v>
      </c>
      <c r="I7302" s="2" t="s">
        <v>15196</v>
      </c>
      <c r="J7302" s="3" t="str">
        <f>HYPERLINK("https://www.boe.es/gazeta/dias/1813/07/27/pdfs/GMR-1813-21.pdf#page=10","Abrir facsímil")</f>
        <v>Abrir facsímil</v>
      </c>
      <c r="K7302" s="3" t="s">
        <v>22</v>
      </c>
    </row>
    <row r="7303" spans="1:11" ht="42" customHeight="1">
      <c r="A7303" s="2" t="s">
        <v>15194</v>
      </c>
      <c r="B7303" s="2" t="s">
        <v>15195</v>
      </c>
      <c r="C7303" s="2" t="s">
        <v>16</v>
      </c>
      <c r="D7303" s="2" t="s">
        <v>17</v>
      </c>
      <c r="E7303" s="5">
        <v>-31537</v>
      </c>
      <c r="F7303" s="3" t="s">
        <v>5241</v>
      </c>
      <c r="G7303" s="3" t="s">
        <v>19</v>
      </c>
      <c r="H7303" s="2" t="s">
        <v>20</v>
      </c>
      <c r="I7303" s="2" t="s">
        <v>15197</v>
      </c>
      <c r="J7303" s="3" t="str">
        <f>HYPERLINK("https://www.boe.es/gazeta/dias/1813/08/26/pdfs/GRE-1813-109.pdf#page=4","Abrir facsímil")</f>
        <v>Abrir facsímil</v>
      </c>
      <c r="K7303" s="3" t="s">
        <v>22</v>
      </c>
    </row>
    <row r="7304" spans="1:11" ht="42" customHeight="1">
      <c r="A7304" s="2" t="s">
        <v>15198</v>
      </c>
      <c r="B7304" s="2" t="s">
        <v>15199</v>
      </c>
      <c r="C7304" s="2" t="s">
        <v>16</v>
      </c>
      <c r="D7304" s="2" t="s">
        <v>17</v>
      </c>
      <c r="E7304" s="5">
        <v>-31602</v>
      </c>
      <c r="F7304" s="3" t="s">
        <v>2117</v>
      </c>
      <c r="G7304" s="3" t="s">
        <v>258</v>
      </c>
      <c r="H7304" s="2" t="s">
        <v>20</v>
      </c>
      <c r="I7304" s="2" t="s">
        <v>15200</v>
      </c>
      <c r="J7304" s="3" t="str">
        <f>HYPERLINK("https://www.boe.es/gazeta/dias/1813/06/22/pdfs/GMR-1813-9.pdf#page=12","Abrir facsímil")</f>
        <v>Abrir facsímil</v>
      </c>
      <c r="K7304" s="3" t="s">
        <v>22</v>
      </c>
    </row>
    <row r="7305" spans="1:11" ht="42" customHeight="1">
      <c r="A7305" s="2" t="s">
        <v>15201</v>
      </c>
      <c r="B7305" s="2" t="s">
        <v>15202</v>
      </c>
      <c r="C7305" s="2" t="s">
        <v>16</v>
      </c>
      <c r="D7305" s="2" t="s">
        <v>17</v>
      </c>
      <c r="E7305" s="5">
        <v>-31602</v>
      </c>
      <c r="F7305" s="3" t="s">
        <v>2117</v>
      </c>
      <c r="G7305" s="3" t="s">
        <v>207</v>
      </c>
      <c r="H7305" s="2" t="s">
        <v>20</v>
      </c>
      <c r="I7305" s="2" t="s">
        <v>15203</v>
      </c>
      <c r="J7305" s="3" t="str">
        <f>HYPERLINK("https://www.boe.es/gazeta/dias/1813/06/22/pdfs/GMR-1813-9.pdf#page=10","Abrir facsímil")</f>
        <v>Abrir facsímil</v>
      </c>
      <c r="K7305" s="3" t="s">
        <v>22</v>
      </c>
    </row>
    <row r="7306" spans="1:11" ht="42" customHeight="1">
      <c r="A7306" s="2" t="s">
        <v>15204</v>
      </c>
      <c r="B7306" s="2" t="s">
        <v>15204</v>
      </c>
      <c r="C7306" s="2" t="s">
        <v>16</v>
      </c>
      <c r="D7306" s="2" t="s">
        <v>17</v>
      </c>
      <c r="E7306" s="5">
        <v>-31731</v>
      </c>
      <c r="F7306" s="3" t="s">
        <v>866</v>
      </c>
      <c r="G7306" s="3" t="s">
        <v>54</v>
      </c>
      <c r="H7306" s="2" t="s">
        <v>20</v>
      </c>
      <c r="I7306" s="2" t="s">
        <v>15205</v>
      </c>
      <c r="J7306" s="3" t="str">
        <f>HYPERLINK("https://www.boe.es/gazeta/dias/1813/02/13/pdfs/GRE-1813-19.pdf#page=3","Abrir facsímil")</f>
        <v>Abrir facsímil</v>
      </c>
      <c r="K7306" s="3" t="s">
        <v>22</v>
      </c>
    </row>
    <row r="7307" spans="1:11" ht="42" customHeight="1">
      <c r="A7307" s="2" t="s">
        <v>15206</v>
      </c>
      <c r="B7307" s="2" t="s">
        <v>15207</v>
      </c>
      <c r="C7307" s="2" t="s">
        <v>34</v>
      </c>
      <c r="D7307" s="2" t="s">
        <v>35</v>
      </c>
      <c r="E7307" s="5">
        <v>-31465</v>
      </c>
      <c r="F7307" s="3" t="s">
        <v>2930</v>
      </c>
      <c r="G7307" s="3" t="s">
        <v>54</v>
      </c>
      <c r="H7307" s="2" t="s">
        <v>20</v>
      </c>
      <c r="I7307" s="2" t="s">
        <v>15208</v>
      </c>
      <c r="J7307" s="3" t="str">
        <f>HYPERLINK("https://www.boe.es/gazeta/dias/1813/11/06/pdfs/GRE-1813-145.pdf#page=3","Abrir facsímil")</f>
        <v>Abrir facsímil</v>
      </c>
      <c r="K7307" s="3" t="s">
        <v>22</v>
      </c>
    </row>
    <row r="7308" spans="1:11" ht="42" customHeight="1">
      <c r="A7308" s="2" t="s">
        <v>15206</v>
      </c>
      <c r="B7308" s="2" t="s">
        <v>15207</v>
      </c>
      <c r="C7308" s="2" t="s">
        <v>34</v>
      </c>
      <c r="D7308" s="2" t="s">
        <v>35</v>
      </c>
      <c r="E7308" s="5">
        <v>-31455</v>
      </c>
      <c r="F7308" s="3" t="s">
        <v>6184</v>
      </c>
      <c r="G7308" s="3" t="s">
        <v>87</v>
      </c>
      <c r="H7308" s="2" t="s">
        <v>20</v>
      </c>
      <c r="I7308" s="2" t="s">
        <v>15209</v>
      </c>
      <c r="J7308" s="3" t="str">
        <f>HYPERLINK("https://www.boe.es/gazeta/dias/1813/11/16/pdfs/GMR-1813-74.pdf#page=7","Abrir facsímil")</f>
        <v>Abrir facsímil</v>
      </c>
      <c r="K7308" s="3" t="s">
        <v>22</v>
      </c>
    </row>
    <row r="7309" spans="1:11" ht="42" customHeight="1">
      <c r="A7309" s="2" t="s">
        <v>15210</v>
      </c>
      <c r="B7309" s="2" t="s">
        <v>15211</v>
      </c>
      <c r="C7309" s="2" t="s">
        <v>16</v>
      </c>
      <c r="D7309" s="2" t="s">
        <v>17</v>
      </c>
      <c r="E7309" s="5">
        <v>-31432</v>
      </c>
      <c r="F7309" s="3" t="s">
        <v>702</v>
      </c>
      <c r="G7309" s="3" t="s">
        <v>14582</v>
      </c>
      <c r="H7309" s="2" t="s">
        <v>20</v>
      </c>
      <c r="I7309" s="2" t="s">
        <v>15212</v>
      </c>
      <c r="J7309" s="3" t="str">
        <f>HYPERLINK("https://www.boe.es/gazeta/dias/1813/12/09/pdfs/GMR-1813-85.pdf#page=8","Abrir facsímil")</f>
        <v>Abrir facsímil</v>
      </c>
      <c r="K7309" s="3" t="s">
        <v>22</v>
      </c>
    </row>
    <row r="7310" spans="1:11" ht="42" customHeight="1">
      <c r="A7310" s="2" t="s">
        <v>15213</v>
      </c>
      <c r="B7310" s="2" t="s">
        <v>15214</v>
      </c>
      <c r="C7310" s="2" t="s">
        <v>34</v>
      </c>
      <c r="D7310" s="2" t="s">
        <v>35</v>
      </c>
      <c r="E7310" s="5">
        <v>-31658</v>
      </c>
      <c r="F7310" s="3" t="s">
        <v>1113</v>
      </c>
      <c r="G7310" s="3" t="s">
        <v>1091</v>
      </c>
      <c r="H7310" s="2" t="s">
        <v>20</v>
      </c>
      <c r="I7310" s="2" t="s">
        <v>15215</v>
      </c>
      <c r="J7310" s="3" t="str">
        <f>HYPERLINK("https://www.boe.es/gazeta/dias/1813/04/27/pdfs/GRE-1813-52.pdf#page=7","Abrir facsímil")</f>
        <v>Abrir facsímil</v>
      </c>
      <c r="K7310" s="3" t="s">
        <v>22</v>
      </c>
    </row>
    <row r="7311" spans="1:11" ht="42" customHeight="1">
      <c r="A7311" s="2" t="s">
        <v>15216</v>
      </c>
      <c r="B7311" s="2" t="s">
        <v>15217</v>
      </c>
      <c r="C7311" s="2" t="s">
        <v>16</v>
      </c>
      <c r="D7311" s="2" t="s">
        <v>97</v>
      </c>
      <c r="E7311" s="5">
        <v>-31519</v>
      </c>
      <c r="F7311" s="3" t="s">
        <v>312</v>
      </c>
      <c r="G7311" s="3" t="s">
        <v>313</v>
      </c>
      <c r="H7311" s="2" t="s">
        <v>20</v>
      </c>
      <c r="I7311" s="2" t="s">
        <v>15218</v>
      </c>
      <c r="J7311" s="3" t="str">
        <f>HYPERLINK("https://www.boe.es/gazeta/dias/1813/09/13/pdfs/GRE-1813-118E.pdf#page=9","Abrir facsímil")</f>
        <v>Abrir facsímil</v>
      </c>
      <c r="K7311" s="3" t="s">
        <v>22</v>
      </c>
    </row>
    <row r="7312" spans="1:11" ht="42" customHeight="1">
      <c r="A7312" s="2" t="s">
        <v>15219</v>
      </c>
      <c r="B7312" s="2" t="s">
        <v>15220</v>
      </c>
      <c r="C7312" s="2" t="s">
        <v>25</v>
      </c>
      <c r="D7312" s="2" t="s">
        <v>26</v>
      </c>
      <c r="E7312" s="5">
        <v>-31745</v>
      </c>
      <c r="F7312" s="3" t="s">
        <v>445</v>
      </c>
      <c r="G7312" s="3" t="s">
        <v>28</v>
      </c>
      <c r="H7312" s="2" t="s">
        <v>20</v>
      </c>
      <c r="I7312" s="2" t="s">
        <v>15221</v>
      </c>
      <c r="J7312" s="3" t="str">
        <f>HYPERLINK("https://www.boe.es/gazeta/dias/1813/01/30/pdfs/GRE-1813-13.pdf#page=8","Abrir facsímil")</f>
        <v>Abrir facsímil</v>
      </c>
      <c r="K7312" s="3" t="s">
        <v>22</v>
      </c>
    </row>
    <row r="7313" spans="1:11" ht="42" customHeight="1">
      <c r="A7313" s="2" t="s">
        <v>15222</v>
      </c>
      <c r="B7313" s="2" t="s">
        <v>15222</v>
      </c>
      <c r="C7313" s="2" t="s">
        <v>16</v>
      </c>
      <c r="D7313" s="2" t="s">
        <v>17</v>
      </c>
      <c r="E7313" s="5">
        <v>-31516</v>
      </c>
      <c r="F7313" s="3" t="s">
        <v>1685</v>
      </c>
      <c r="G7313" s="3" t="s">
        <v>95</v>
      </c>
      <c r="H7313" s="2" t="s">
        <v>20</v>
      </c>
      <c r="I7313" s="2" t="s">
        <v>15223</v>
      </c>
      <c r="J7313" s="3" t="str">
        <f>HYPERLINK("https://www.boe.es/gazeta/dias/1813/09/16/pdfs/GRE-1813-120.pdf#page=6","Abrir facsímil")</f>
        <v>Abrir facsímil</v>
      </c>
      <c r="K7313" s="3" t="s">
        <v>22</v>
      </c>
    </row>
    <row r="7314" spans="1:11" ht="42" customHeight="1">
      <c r="A7314" s="2" t="s">
        <v>15224</v>
      </c>
      <c r="B7314" s="2" t="s">
        <v>15225</v>
      </c>
      <c r="C7314" s="2" t="s">
        <v>25</v>
      </c>
      <c r="D7314" s="2" t="s">
        <v>26</v>
      </c>
      <c r="E7314" s="5">
        <v>-31689</v>
      </c>
      <c r="F7314" s="3" t="s">
        <v>48</v>
      </c>
      <c r="G7314" s="3" t="s">
        <v>162</v>
      </c>
      <c r="H7314" s="2" t="s">
        <v>20</v>
      </c>
      <c r="I7314" s="2" t="s">
        <v>15226</v>
      </c>
      <c r="J7314" s="3" t="str">
        <f>HYPERLINK("https://www.boe.es/gazeta/dias/1813/03/27/pdfs/GRE-1813-38.pdf#page=8","Abrir facsímil")</f>
        <v>Abrir facsímil</v>
      </c>
      <c r="K7314" s="3" t="s">
        <v>22</v>
      </c>
    </row>
    <row r="7315" spans="1:11" ht="42" customHeight="1">
      <c r="A7315" s="2" t="s">
        <v>15224</v>
      </c>
      <c r="B7315" s="2" t="s">
        <v>15225</v>
      </c>
      <c r="C7315" s="2" t="s">
        <v>25</v>
      </c>
      <c r="D7315" s="2" t="s">
        <v>26</v>
      </c>
      <c r="E7315" s="5">
        <v>-31677</v>
      </c>
      <c r="F7315" s="3" t="s">
        <v>76</v>
      </c>
      <c r="G7315" s="3" t="s">
        <v>77</v>
      </c>
      <c r="H7315" s="2" t="s">
        <v>20</v>
      </c>
      <c r="I7315" s="2" t="s">
        <v>15227</v>
      </c>
      <c r="J7315" s="3" t="str">
        <f>HYPERLINK("https://www.boe.es/gazeta/dias/1813/04/08/pdfs/GRE-1813-43.pdf#page=7","Abrir facsímil")</f>
        <v>Abrir facsímil</v>
      </c>
      <c r="K7315" s="3" t="s">
        <v>22</v>
      </c>
    </row>
    <row r="7316" spans="1:11" ht="42" customHeight="1">
      <c r="A7316" s="2" t="s">
        <v>15228</v>
      </c>
      <c r="B7316" s="2" t="s">
        <v>15228</v>
      </c>
      <c r="C7316" s="2" t="s">
        <v>16</v>
      </c>
      <c r="D7316" s="2" t="s">
        <v>17</v>
      </c>
      <c r="E7316" s="5">
        <v>-31453</v>
      </c>
      <c r="F7316" s="3" t="s">
        <v>695</v>
      </c>
      <c r="G7316" s="3" t="s">
        <v>65</v>
      </c>
      <c r="H7316" s="2" t="s">
        <v>20</v>
      </c>
      <c r="I7316" s="2" t="s">
        <v>15229</v>
      </c>
      <c r="J7316" s="3" t="str">
        <f>HYPERLINK("https://www.boe.es/gazeta/dias/1813/11/18/pdfs/GRE-1813-151.pdf#page=1","Abrir facsímil")</f>
        <v>Abrir facsímil</v>
      </c>
      <c r="K7316" s="3" t="s">
        <v>22</v>
      </c>
    </row>
    <row r="7317" spans="1:11" ht="42" customHeight="1">
      <c r="A7317" s="2" t="s">
        <v>15230</v>
      </c>
      <c r="B7317" s="2" t="s">
        <v>15231</v>
      </c>
      <c r="C7317" s="2" t="s">
        <v>16</v>
      </c>
      <c r="D7317" s="2" t="s">
        <v>17</v>
      </c>
      <c r="E7317" s="5">
        <v>-31507</v>
      </c>
      <c r="F7317" s="3" t="s">
        <v>61</v>
      </c>
      <c r="G7317" s="3" t="s">
        <v>28</v>
      </c>
      <c r="H7317" s="2" t="s">
        <v>20</v>
      </c>
      <c r="I7317" s="2" t="s">
        <v>15232</v>
      </c>
      <c r="J7317" s="3" t="str">
        <f>HYPERLINK("https://www.boe.es/gazeta/dias/1813/09/25/pdfs/GMR-1813-48.pdf#page=8","Abrir facsímil")</f>
        <v>Abrir facsímil</v>
      </c>
      <c r="K7317" s="3" t="s">
        <v>22</v>
      </c>
    </row>
    <row r="7318" spans="1:11" ht="42" customHeight="1">
      <c r="A7318" s="2" t="s">
        <v>15233</v>
      </c>
      <c r="B7318" s="2" t="s">
        <v>15233</v>
      </c>
      <c r="C7318" s="2" t="s">
        <v>16</v>
      </c>
      <c r="D7318" s="2" t="s">
        <v>17</v>
      </c>
      <c r="E7318" s="5">
        <v>-31762</v>
      </c>
      <c r="F7318" s="3" t="s">
        <v>604</v>
      </c>
      <c r="G7318" s="3" t="s">
        <v>65</v>
      </c>
      <c r="H7318" s="2" t="s">
        <v>20</v>
      </c>
      <c r="I7318" s="2" t="s">
        <v>15234</v>
      </c>
      <c r="J7318" s="3" t="str">
        <f>HYPERLINK("https://www.boe.es/gazeta/dias/1813/01/13/pdfs/GMD-1813-13.pdf#page=1","Abrir facsímil")</f>
        <v>Abrir facsímil</v>
      </c>
      <c r="K7318" s="3" t="s">
        <v>22</v>
      </c>
    </row>
    <row r="7319" spans="1:11" ht="42" customHeight="1">
      <c r="A7319" s="2" t="s">
        <v>15235</v>
      </c>
      <c r="B7319" s="2" t="s">
        <v>15236</v>
      </c>
      <c r="C7319" s="2" t="s">
        <v>16</v>
      </c>
      <c r="D7319" s="2" t="s">
        <v>17</v>
      </c>
      <c r="E7319" s="5">
        <v>-31670</v>
      </c>
      <c r="F7319" s="3" t="s">
        <v>92</v>
      </c>
      <c r="G7319" s="3" t="s">
        <v>1243</v>
      </c>
      <c r="H7319" s="2" t="s">
        <v>20</v>
      </c>
      <c r="I7319" s="2" t="s">
        <v>15237</v>
      </c>
      <c r="J7319" s="3" t="str">
        <f>HYPERLINK("https://www.boe.es/gazeta/dias/1813/04/15/pdfs/GRE-1813-46.pdf#page=8","Abrir facsímil")</f>
        <v>Abrir facsímil</v>
      </c>
      <c r="K7319" s="3" t="s">
        <v>22</v>
      </c>
    </row>
    <row r="7320" spans="1:11" ht="42" customHeight="1">
      <c r="A7320" s="2" t="s">
        <v>15238</v>
      </c>
      <c r="B7320" s="2" t="s">
        <v>15238</v>
      </c>
      <c r="C7320" s="2" t="s">
        <v>16</v>
      </c>
      <c r="D7320" s="2" t="s">
        <v>17</v>
      </c>
      <c r="E7320" s="5">
        <v>-31692</v>
      </c>
      <c r="F7320" s="3" t="s">
        <v>2171</v>
      </c>
      <c r="G7320" s="3" t="s">
        <v>58</v>
      </c>
      <c r="H7320" s="2" t="s">
        <v>20</v>
      </c>
      <c r="I7320" s="2" t="s">
        <v>15239</v>
      </c>
      <c r="J7320" s="3" t="str">
        <f>HYPERLINK("https://www.boe.es/gazeta/dias/1813/03/24/pdfs/GMD-1813-83.pdf#page=2","Abrir facsímil")</f>
        <v>Abrir facsímil</v>
      </c>
      <c r="K7320" s="3" t="s">
        <v>22</v>
      </c>
    </row>
    <row r="7321" spans="1:11" ht="42" customHeight="1">
      <c r="A7321" s="2" t="s">
        <v>15240</v>
      </c>
      <c r="B7321" s="2" t="s">
        <v>15240</v>
      </c>
      <c r="C7321" s="2" t="s">
        <v>16</v>
      </c>
      <c r="D7321" s="2" t="s">
        <v>17</v>
      </c>
      <c r="E7321" s="5">
        <v>-31626</v>
      </c>
      <c r="F7321" s="3" t="s">
        <v>64</v>
      </c>
      <c r="G7321" s="3" t="s">
        <v>3978</v>
      </c>
      <c r="H7321" s="2" t="s">
        <v>20</v>
      </c>
      <c r="I7321" s="2" t="s">
        <v>15241</v>
      </c>
      <c r="J7321" s="3" t="str">
        <f>HYPERLINK("https://www.boe.es/gazeta/dias/1813/05/29/pdfs/GRE-1813-66.pdf#page=4","Abrir facsímil")</f>
        <v>Abrir facsímil</v>
      </c>
      <c r="K7321" s="3" t="s">
        <v>22</v>
      </c>
    </row>
    <row r="7322" spans="1:11" ht="42" customHeight="1">
      <c r="A7322" s="2" t="s">
        <v>15242</v>
      </c>
      <c r="B7322" s="2" t="s">
        <v>15243</v>
      </c>
      <c r="C7322" s="2" t="s">
        <v>187</v>
      </c>
      <c r="D7322" s="2" t="s">
        <v>26</v>
      </c>
      <c r="E7322" s="5">
        <v>-31584</v>
      </c>
      <c r="F7322" s="3" t="s">
        <v>114</v>
      </c>
      <c r="G7322" s="3" t="s">
        <v>28</v>
      </c>
      <c r="H7322" s="2" t="s">
        <v>20</v>
      </c>
      <c r="I7322" s="2" t="s">
        <v>15244</v>
      </c>
      <c r="J7322" s="3" t="str">
        <f>HYPERLINK("https://www.boe.es/gazeta/dias/1813/07/10/pdfs/GRE-1813-86.pdf#page=8","Abrir facsímil")</f>
        <v>Abrir facsímil</v>
      </c>
      <c r="K7322" s="3" t="s">
        <v>22</v>
      </c>
    </row>
    <row r="7323" spans="1:11" ht="42" customHeight="1">
      <c r="A7323" s="2" t="s">
        <v>15242</v>
      </c>
      <c r="B7323" s="2" t="s">
        <v>15243</v>
      </c>
      <c r="C7323" s="2" t="s">
        <v>25</v>
      </c>
      <c r="D7323" s="2" t="s">
        <v>26</v>
      </c>
      <c r="E7323" s="5">
        <v>-31574</v>
      </c>
      <c r="F7323" s="3" t="s">
        <v>1343</v>
      </c>
      <c r="G7323" s="3" t="s">
        <v>82</v>
      </c>
      <c r="H7323" s="2" t="s">
        <v>20</v>
      </c>
      <c r="I7323" s="2" t="s">
        <v>15245</v>
      </c>
      <c r="J7323" s="3" t="str">
        <f>HYPERLINK("https://www.boe.es/gazeta/dias/1813/07/20/pdfs/GMR-1813-19.pdf#page=5","Abrir facsímil")</f>
        <v>Abrir facsímil</v>
      </c>
      <c r="K7323" s="3" t="s">
        <v>22</v>
      </c>
    </row>
    <row r="7324" spans="1:11" ht="42" customHeight="1">
      <c r="A7324" s="2" t="s">
        <v>15246</v>
      </c>
      <c r="B7324" s="2" t="s">
        <v>15247</v>
      </c>
      <c r="C7324" s="2" t="s">
        <v>187</v>
      </c>
      <c r="D7324" s="2" t="s">
        <v>26</v>
      </c>
      <c r="E7324" s="5">
        <v>-31689</v>
      </c>
      <c r="F7324" s="3" t="s">
        <v>48</v>
      </c>
      <c r="G7324" s="3" t="s">
        <v>162</v>
      </c>
      <c r="H7324" s="2" t="s">
        <v>20</v>
      </c>
      <c r="I7324" s="2" t="s">
        <v>15248</v>
      </c>
      <c r="J7324" s="3" t="str">
        <f>HYPERLINK("https://www.boe.es/gazeta/dias/1813/03/27/pdfs/GRE-1813-38.pdf#page=8","Abrir facsímil")</f>
        <v>Abrir facsímil</v>
      </c>
      <c r="K7324" s="3" t="s">
        <v>22</v>
      </c>
    </row>
    <row r="7325" spans="1:11" ht="42" customHeight="1">
      <c r="A7325" s="2" t="s">
        <v>15249</v>
      </c>
      <c r="B7325" s="2" t="s">
        <v>15250</v>
      </c>
      <c r="C7325" s="2" t="s">
        <v>16</v>
      </c>
      <c r="D7325" s="2" t="s">
        <v>17</v>
      </c>
      <c r="E7325" s="5">
        <v>-31756</v>
      </c>
      <c r="F7325" s="3" t="s">
        <v>951</v>
      </c>
      <c r="G7325" s="3" t="s">
        <v>5886</v>
      </c>
      <c r="H7325" s="2" t="s">
        <v>20</v>
      </c>
      <c r="I7325" s="2" t="s">
        <v>15251</v>
      </c>
      <c r="J7325" s="3" t="str">
        <f>HYPERLINK("https://www.boe.es/gazeta/dias/1813/01/19/pdfs/GRE-1813-8.pdf#page=6","Abrir facsímil")</f>
        <v>Abrir facsímil</v>
      </c>
      <c r="K7325" s="3" t="s">
        <v>22</v>
      </c>
    </row>
    <row r="7326" spans="1:11" ht="42" customHeight="1">
      <c r="A7326" s="2" t="s">
        <v>15252</v>
      </c>
      <c r="B7326" s="2" t="s">
        <v>15252</v>
      </c>
      <c r="C7326" s="2" t="s">
        <v>16</v>
      </c>
      <c r="D7326" s="2" t="s">
        <v>17</v>
      </c>
      <c r="E7326" s="5">
        <v>-31691</v>
      </c>
      <c r="F7326" s="3" t="s">
        <v>1621</v>
      </c>
      <c r="G7326" s="3" t="s">
        <v>58</v>
      </c>
      <c r="H7326" s="2" t="s">
        <v>20</v>
      </c>
      <c r="I7326" s="2" t="s">
        <v>15253</v>
      </c>
      <c r="J7326" s="3" t="str">
        <f>HYPERLINK("https://www.boe.es/gazeta/dias/1813/03/25/pdfs/GMD-1813-84.pdf#page=2","Abrir facsímil")</f>
        <v>Abrir facsímil</v>
      </c>
      <c r="K7326" s="3" t="s">
        <v>22</v>
      </c>
    </row>
    <row r="7327" spans="1:11" ht="42" customHeight="1">
      <c r="A7327" s="2" t="s">
        <v>15254</v>
      </c>
      <c r="B7327" s="2" t="s">
        <v>15255</v>
      </c>
      <c r="C7327" s="2" t="s">
        <v>16</v>
      </c>
      <c r="D7327" s="2" t="s">
        <v>17</v>
      </c>
      <c r="E7327" s="5">
        <v>-31549</v>
      </c>
      <c r="F7327" s="3" t="s">
        <v>332</v>
      </c>
      <c r="G7327" s="3" t="s">
        <v>6507</v>
      </c>
      <c r="H7327" s="2" t="s">
        <v>29</v>
      </c>
      <c r="I7327" s="2" t="s">
        <v>15256</v>
      </c>
      <c r="J7327" s="3" t="str">
        <f>HYPERLINK("https://www.boe.es/gazeta/dias/1813/08/14/pdfs/GMR-1813-28.pdf#page=7","Abrir facsímil")</f>
        <v>Abrir facsímil</v>
      </c>
      <c r="K7327" s="3" t="s">
        <v>31</v>
      </c>
    </row>
    <row r="7328" spans="1:11" ht="42" customHeight="1">
      <c r="A7328" s="2" t="s">
        <v>15257</v>
      </c>
      <c r="B7328" s="2" t="s">
        <v>15258</v>
      </c>
      <c r="C7328" s="2" t="s">
        <v>25</v>
      </c>
      <c r="D7328" s="2" t="s">
        <v>26</v>
      </c>
      <c r="E7328" s="5">
        <v>-31752</v>
      </c>
      <c r="F7328" s="3" t="s">
        <v>182</v>
      </c>
      <c r="G7328" s="3" t="s">
        <v>183</v>
      </c>
      <c r="H7328" s="2" t="s">
        <v>20</v>
      </c>
      <c r="I7328" s="2" t="s">
        <v>15259</v>
      </c>
      <c r="J7328" s="3" t="str">
        <f>HYPERLINK("https://www.boe.es/gazeta/dias/1813/01/23/pdfs/GRE-1813-10.pdf#page=8","Abrir facsímil")</f>
        <v>Abrir facsímil</v>
      </c>
      <c r="K7328" s="3" t="s">
        <v>22</v>
      </c>
    </row>
    <row r="7329" spans="1:11" ht="42" customHeight="1">
      <c r="A7329" s="2" t="s">
        <v>15260</v>
      </c>
      <c r="B7329" s="2" t="s">
        <v>15260</v>
      </c>
      <c r="C7329" s="2" t="s">
        <v>16</v>
      </c>
      <c r="D7329" s="2" t="s">
        <v>17</v>
      </c>
      <c r="E7329" s="5">
        <v>-31507</v>
      </c>
      <c r="F7329" s="3" t="s">
        <v>61</v>
      </c>
      <c r="G7329" s="3" t="s">
        <v>58</v>
      </c>
      <c r="H7329" s="2" t="s">
        <v>20</v>
      </c>
      <c r="I7329" s="2" t="s">
        <v>15261</v>
      </c>
      <c r="J7329" s="3" t="str">
        <f>HYPERLINK("https://www.boe.es/gazeta/dias/1813/09/25/pdfs/GMR-1813-48.pdf#page=2","Abrir facsímil")</f>
        <v>Abrir facsímil</v>
      </c>
      <c r="K7329" s="3" t="s">
        <v>22</v>
      </c>
    </row>
    <row r="7330" spans="1:11" ht="42" customHeight="1">
      <c r="A7330" s="2" t="s">
        <v>15262</v>
      </c>
      <c r="B7330" s="2" t="s">
        <v>15262</v>
      </c>
      <c r="C7330" s="2" t="s">
        <v>34</v>
      </c>
      <c r="D7330" s="2" t="s">
        <v>35</v>
      </c>
      <c r="E7330" s="5">
        <v>-31521</v>
      </c>
      <c r="F7330" s="3" t="s">
        <v>1282</v>
      </c>
      <c r="G7330" s="3" t="s">
        <v>28</v>
      </c>
      <c r="H7330" s="2" t="s">
        <v>20</v>
      </c>
      <c r="I7330" s="2" t="s">
        <v>15263</v>
      </c>
      <c r="J7330" s="3" t="str">
        <f>HYPERLINK("https://www.boe.es/gazeta/dias/1813/09/11/pdfs/GMR-1813-41.pdf#page=8","Abrir facsímil")</f>
        <v>Abrir facsímil</v>
      </c>
      <c r="K7330" s="3" t="s">
        <v>22</v>
      </c>
    </row>
    <row r="7331" spans="1:11" ht="42" customHeight="1">
      <c r="A7331" s="2" t="s">
        <v>15264</v>
      </c>
      <c r="B7331" s="2" t="s">
        <v>15264</v>
      </c>
      <c r="C7331" s="2" t="s">
        <v>16</v>
      </c>
      <c r="D7331" s="2" t="s">
        <v>17</v>
      </c>
      <c r="E7331" s="5">
        <v>-31507</v>
      </c>
      <c r="F7331" s="3" t="s">
        <v>61</v>
      </c>
      <c r="G7331" s="3" t="s">
        <v>65</v>
      </c>
      <c r="H7331" s="2" t="s">
        <v>20</v>
      </c>
      <c r="I7331" s="2" t="s">
        <v>15265</v>
      </c>
      <c r="J7331" s="3" t="str">
        <f>HYPERLINK("https://www.boe.es/gazeta/dias/1813/09/25/pdfs/GMR-1813-48.pdf#page=1","Abrir facsímil")</f>
        <v>Abrir facsímil</v>
      </c>
      <c r="K7331" s="3" t="s">
        <v>22</v>
      </c>
    </row>
    <row r="7332" spans="1:11" ht="42" customHeight="1">
      <c r="A7332" s="2" t="s">
        <v>15266</v>
      </c>
      <c r="B7332" s="2" t="s">
        <v>15266</v>
      </c>
      <c r="C7332" s="2" t="s">
        <v>16</v>
      </c>
      <c r="D7332" s="2" t="s">
        <v>17</v>
      </c>
      <c r="E7332" s="5">
        <v>-31427</v>
      </c>
      <c r="F7332" s="3" t="s">
        <v>489</v>
      </c>
      <c r="G7332" s="3" t="s">
        <v>2459</v>
      </c>
      <c r="H7332" s="2" t="s">
        <v>20</v>
      </c>
      <c r="I7332" s="2" t="s">
        <v>15267</v>
      </c>
      <c r="J7332" s="3" t="str">
        <f>HYPERLINK("https://www.boe.es/gazeta/dias/1813/12/14/pdfs/GMR-1813-87.pdf#page=2","Abrir facsímil")</f>
        <v>Abrir facsímil</v>
      </c>
      <c r="K7332" s="3" t="s">
        <v>22</v>
      </c>
    </row>
    <row r="7333" spans="1:11" ht="42" customHeight="1">
      <c r="A7333" s="2" t="s">
        <v>15268</v>
      </c>
      <c r="B7333" s="2" t="s">
        <v>15268</v>
      </c>
      <c r="C7333" s="2" t="s">
        <v>16</v>
      </c>
      <c r="D7333" s="2" t="s">
        <v>17</v>
      </c>
      <c r="E7333" s="5">
        <v>-31437</v>
      </c>
      <c r="F7333" s="3" t="s">
        <v>217</v>
      </c>
      <c r="G7333" s="3" t="s">
        <v>65</v>
      </c>
      <c r="H7333" s="2" t="s">
        <v>20</v>
      </c>
      <c r="I7333" s="2" t="s">
        <v>15269</v>
      </c>
      <c r="J7333" s="3" t="str">
        <f>HYPERLINK("https://www.boe.es/gazeta/dias/1813/12/04/pdfs/GRE-1813-160.pdf#page=1","Abrir facsímil")</f>
        <v>Abrir facsímil</v>
      </c>
      <c r="K7333" s="3" t="s">
        <v>22</v>
      </c>
    </row>
    <row r="7334" spans="1:11" ht="42" customHeight="1">
      <c r="A7334" s="2" t="s">
        <v>15268</v>
      </c>
      <c r="B7334" s="2" t="s">
        <v>15268</v>
      </c>
      <c r="C7334" s="2" t="s">
        <v>16</v>
      </c>
      <c r="D7334" s="2" t="s">
        <v>17</v>
      </c>
      <c r="E7334" s="5">
        <v>-31427</v>
      </c>
      <c r="F7334" s="3" t="s">
        <v>489</v>
      </c>
      <c r="G7334" s="3" t="s">
        <v>2459</v>
      </c>
      <c r="H7334" s="2" t="s">
        <v>20</v>
      </c>
      <c r="I7334" s="2" t="s">
        <v>15270</v>
      </c>
      <c r="J7334" s="3" t="str">
        <f>HYPERLINK("https://www.boe.es/gazeta/dias/1813/12/14/pdfs/GMR-1813-87.pdf#page=2","Abrir facsímil")</f>
        <v>Abrir facsímil</v>
      </c>
      <c r="K7334" s="3" t="s">
        <v>22</v>
      </c>
    </row>
    <row r="7335" spans="1:11" ht="42" customHeight="1">
      <c r="A7335" s="2" t="s">
        <v>15271</v>
      </c>
      <c r="B7335" s="2" t="s">
        <v>15271</v>
      </c>
      <c r="C7335" s="2" t="s">
        <v>16</v>
      </c>
      <c r="D7335" s="2" t="s">
        <v>17</v>
      </c>
      <c r="E7335" s="5">
        <v>-31455</v>
      </c>
      <c r="F7335" s="3" t="s">
        <v>693</v>
      </c>
      <c r="G7335" s="3" t="s">
        <v>1588</v>
      </c>
      <c r="H7335" s="2" t="s">
        <v>20</v>
      </c>
      <c r="I7335" s="2" t="s">
        <v>15272</v>
      </c>
      <c r="J7335" s="3" t="str">
        <f>HYPERLINK("https://www.boe.es/gazeta/dias/1813/11/16/pdfs/GRE-1813-150.pdf#page=4","Abrir facsímil")</f>
        <v>Abrir facsímil</v>
      </c>
      <c r="K7335" s="3" t="s">
        <v>22</v>
      </c>
    </row>
    <row r="7336" spans="1:11" ht="42" customHeight="1">
      <c r="A7336" s="2" t="s">
        <v>15273</v>
      </c>
      <c r="B7336" s="2" t="s">
        <v>15273</v>
      </c>
      <c r="C7336" s="2" t="s">
        <v>16</v>
      </c>
      <c r="D7336" s="2" t="s">
        <v>17</v>
      </c>
      <c r="E7336" s="5">
        <v>-31430</v>
      </c>
      <c r="F7336" s="3" t="s">
        <v>1731</v>
      </c>
      <c r="G7336" s="3" t="s">
        <v>54</v>
      </c>
      <c r="H7336" s="2" t="s">
        <v>20</v>
      </c>
      <c r="I7336" s="2" t="s">
        <v>15274</v>
      </c>
      <c r="J7336" s="3" t="str">
        <f>HYPERLINK("https://www.boe.es/gazeta/dias/1813/12/11/pdfs/GRE-1813-163.pdf#page=3","Abrir facsímil")</f>
        <v>Abrir facsímil</v>
      </c>
      <c r="K7336" s="3" t="s">
        <v>22</v>
      </c>
    </row>
    <row r="7337" spans="1:11" ht="42" customHeight="1">
      <c r="A7337" s="2" t="s">
        <v>15275</v>
      </c>
      <c r="B7337" s="2" t="s">
        <v>15275</v>
      </c>
      <c r="C7337" s="2" t="s">
        <v>16</v>
      </c>
      <c r="D7337" s="2" t="s">
        <v>17</v>
      </c>
      <c r="E7337" s="5">
        <v>-31507</v>
      </c>
      <c r="F7337" s="3" t="s">
        <v>61</v>
      </c>
      <c r="G7337" s="3" t="s">
        <v>65</v>
      </c>
      <c r="H7337" s="2" t="s">
        <v>20</v>
      </c>
      <c r="I7337" s="2" t="s">
        <v>15276</v>
      </c>
      <c r="J7337" s="3" t="str">
        <f>HYPERLINK("https://www.boe.es/gazeta/dias/1813/09/25/pdfs/GMR-1813-48.pdf#page=1","Abrir facsímil")</f>
        <v>Abrir facsímil</v>
      </c>
      <c r="K7337" s="3" t="s">
        <v>22</v>
      </c>
    </row>
    <row r="7338" spans="1:11" ht="42" customHeight="1">
      <c r="A7338" s="2" t="s">
        <v>15275</v>
      </c>
      <c r="B7338" s="2" t="s">
        <v>15275</v>
      </c>
      <c r="C7338" s="2" t="s">
        <v>16</v>
      </c>
      <c r="D7338" s="2" t="s">
        <v>17</v>
      </c>
      <c r="E7338" s="5">
        <v>-31497</v>
      </c>
      <c r="F7338" s="3" t="s">
        <v>223</v>
      </c>
      <c r="G7338" s="3" t="s">
        <v>82</v>
      </c>
      <c r="H7338" s="2" t="s">
        <v>20</v>
      </c>
      <c r="I7338" s="2" t="s">
        <v>15277</v>
      </c>
      <c r="J7338" s="3" t="str">
        <f>HYPERLINK("https://www.boe.es/gazeta/dias/1813/10/05/pdfs/GRE-1813-130.pdf#page=5","Abrir facsímil")</f>
        <v>Abrir facsímil</v>
      </c>
      <c r="K7338" s="3" t="s">
        <v>22</v>
      </c>
    </row>
    <row r="7339" spans="1:11" ht="42" customHeight="1">
      <c r="A7339" s="2" t="s">
        <v>15275</v>
      </c>
      <c r="B7339" s="2" t="s">
        <v>15275</v>
      </c>
      <c r="C7339" s="2" t="s">
        <v>16</v>
      </c>
      <c r="D7339" s="2" t="s">
        <v>17</v>
      </c>
      <c r="E7339" s="5">
        <v>-31497</v>
      </c>
      <c r="F7339" s="3" t="s">
        <v>223</v>
      </c>
      <c r="G7339" s="3" t="s">
        <v>87</v>
      </c>
      <c r="H7339" s="2" t="s">
        <v>20</v>
      </c>
      <c r="I7339" s="2" t="s">
        <v>15278</v>
      </c>
      <c r="J7339" s="3" t="str">
        <f>HYPERLINK("https://www.boe.es/gazeta/dias/1813/10/05/pdfs/GRE-1813-130.pdf#page=7","Abrir facsímil")</f>
        <v>Abrir facsímil</v>
      </c>
      <c r="K7339" s="3" t="s">
        <v>22</v>
      </c>
    </row>
    <row r="7340" spans="1:11" ht="42" customHeight="1">
      <c r="A7340" s="2" t="s">
        <v>15275</v>
      </c>
      <c r="B7340" s="2" t="s">
        <v>15275</v>
      </c>
      <c r="C7340" s="2" t="s">
        <v>16</v>
      </c>
      <c r="D7340" s="2" t="s">
        <v>17</v>
      </c>
      <c r="E7340" s="5">
        <v>-31453</v>
      </c>
      <c r="F7340" s="3" t="s">
        <v>695</v>
      </c>
      <c r="G7340" s="3" t="s">
        <v>65</v>
      </c>
      <c r="H7340" s="2" t="s">
        <v>20</v>
      </c>
      <c r="I7340" s="2" t="s">
        <v>15279</v>
      </c>
      <c r="J7340" s="3" t="str">
        <f>HYPERLINK("https://www.boe.es/gazeta/dias/1813/11/18/pdfs/GRE-1813-151.pdf#page=1","Abrir facsímil")</f>
        <v>Abrir facsímil</v>
      </c>
      <c r="K7340" s="3" t="s">
        <v>22</v>
      </c>
    </row>
    <row r="7341" spans="1:11" ht="42" customHeight="1">
      <c r="A7341" s="2" t="s">
        <v>15275</v>
      </c>
      <c r="B7341" s="2" t="s">
        <v>15275</v>
      </c>
      <c r="C7341" s="2" t="s">
        <v>16</v>
      </c>
      <c r="D7341" s="2" t="s">
        <v>17</v>
      </c>
      <c r="E7341" s="5">
        <v>-31448</v>
      </c>
      <c r="F7341" s="3" t="s">
        <v>325</v>
      </c>
      <c r="G7341" s="3" t="s">
        <v>54</v>
      </c>
      <c r="H7341" s="2" t="s">
        <v>20</v>
      </c>
      <c r="I7341" s="2" t="s">
        <v>15280</v>
      </c>
      <c r="J7341" s="3" t="str">
        <f>HYPERLINK("https://www.boe.es/gazeta/dias/1813/11/23/pdfs/GMR-1813-78.pdf#page=3","Abrir facsímil")</f>
        <v>Abrir facsímil</v>
      </c>
      <c r="K7341" s="3" t="s">
        <v>22</v>
      </c>
    </row>
    <row r="7342" spans="1:11" ht="42" customHeight="1">
      <c r="A7342" s="2" t="s">
        <v>15275</v>
      </c>
      <c r="B7342" s="2" t="s">
        <v>15275</v>
      </c>
      <c r="C7342" s="2" t="s">
        <v>16</v>
      </c>
      <c r="D7342" s="2" t="s">
        <v>17</v>
      </c>
      <c r="E7342" s="5">
        <v>-31448</v>
      </c>
      <c r="F7342" s="3" t="s">
        <v>325</v>
      </c>
      <c r="G7342" s="3" t="s">
        <v>95</v>
      </c>
      <c r="H7342" s="2" t="s">
        <v>20</v>
      </c>
      <c r="I7342" s="2" t="s">
        <v>15281</v>
      </c>
      <c r="J7342" s="3" t="str">
        <f>HYPERLINK("https://www.boe.es/gazeta/dias/1813/11/23/pdfs/GMR-1813-78.pdf#page=6","Abrir facsímil")</f>
        <v>Abrir facsímil</v>
      </c>
      <c r="K7342" s="3" t="s">
        <v>22</v>
      </c>
    </row>
    <row r="7343" spans="1:11" ht="42" customHeight="1">
      <c r="A7343" s="2" t="s">
        <v>15275</v>
      </c>
      <c r="B7343" s="2" t="s">
        <v>15275</v>
      </c>
      <c r="C7343" s="2" t="s">
        <v>16</v>
      </c>
      <c r="D7343" s="2" t="s">
        <v>17</v>
      </c>
      <c r="E7343" s="5">
        <v>-31448</v>
      </c>
      <c r="F7343" s="3" t="s">
        <v>325</v>
      </c>
      <c r="G7343" s="3" t="s">
        <v>28</v>
      </c>
      <c r="H7343" s="2" t="s">
        <v>20</v>
      </c>
      <c r="I7343" s="2" t="s">
        <v>15282</v>
      </c>
      <c r="J7343" s="3" t="str">
        <f>HYPERLINK("https://www.boe.es/gazeta/dias/1813/11/23/pdfs/GMR-1813-78.pdf#page=8","Abrir facsímil")</f>
        <v>Abrir facsímil</v>
      </c>
      <c r="K7343" s="3" t="s">
        <v>22</v>
      </c>
    </row>
    <row r="7344" spans="1:11" ht="42" customHeight="1">
      <c r="A7344" s="2" t="s">
        <v>15275</v>
      </c>
      <c r="B7344" s="2" t="s">
        <v>15275</v>
      </c>
      <c r="C7344" s="2" t="s">
        <v>16</v>
      </c>
      <c r="D7344" s="2" t="s">
        <v>17</v>
      </c>
      <c r="E7344" s="5">
        <v>-31446</v>
      </c>
      <c r="F7344" s="3" t="s">
        <v>1078</v>
      </c>
      <c r="G7344" s="3" t="s">
        <v>82</v>
      </c>
      <c r="H7344" s="2" t="s">
        <v>20</v>
      </c>
      <c r="I7344" s="2" t="s">
        <v>15283</v>
      </c>
      <c r="J7344" s="3" t="str">
        <f>HYPERLINK("https://www.boe.es/gazeta/dias/1813/11/25/pdfs/GRE-1813-154.pdf#page=5","Abrir facsímil")</f>
        <v>Abrir facsímil</v>
      </c>
      <c r="K7344" s="3" t="s">
        <v>22</v>
      </c>
    </row>
    <row r="7345" spans="1:11" ht="42" customHeight="1">
      <c r="A7345" s="2" t="s">
        <v>15275</v>
      </c>
      <c r="B7345" s="2" t="s">
        <v>15275</v>
      </c>
      <c r="C7345" s="2" t="s">
        <v>16</v>
      </c>
      <c r="D7345" s="2" t="s">
        <v>17</v>
      </c>
      <c r="E7345" s="5">
        <v>-31434</v>
      </c>
      <c r="F7345" s="3" t="s">
        <v>18</v>
      </c>
      <c r="G7345" s="3" t="s">
        <v>87</v>
      </c>
      <c r="H7345" s="2" t="s">
        <v>20</v>
      </c>
      <c r="I7345" s="2" t="s">
        <v>15284</v>
      </c>
      <c r="J7345" s="3" t="str">
        <f>HYPERLINK("https://www.boe.es/gazeta/dias/1813/12/07/pdfs/GRE-1813-161.pdf#page=7","Abrir facsímil")</f>
        <v>Abrir facsímil</v>
      </c>
      <c r="K7345" s="3" t="s">
        <v>22</v>
      </c>
    </row>
    <row r="7346" spans="1:11" ht="42" customHeight="1">
      <c r="A7346" s="2" t="s">
        <v>15285</v>
      </c>
      <c r="B7346" s="2" t="s">
        <v>15286</v>
      </c>
      <c r="C7346" s="2" t="s">
        <v>16</v>
      </c>
      <c r="D7346" s="2" t="s">
        <v>17</v>
      </c>
      <c r="E7346" s="5">
        <v>-31458</v>
      </c>
      <c r="F7346" s="3" t="s">
        <v>2315</v>
      </c>
      <c r="G7346" s="3" t="s">
        <v>54</v>
      </c>
      <c r="H7346" s="2" t="s">
        <v>20</v>
      </c>
      <c r="I7346" s="2" t="s">
        <v>15287</v>
      </c>
      <c r="J7346" s="3" t="str">
        <f>HYPERLINK("https://www.boe.es/gazeta/dias/1813/11/13/pdfs/GMR-1813-73.pdf#page=3","Abrir facsímil")</f>
        <v>Abrir facsímil</v>
      </c>
      <c r="K7346" s="3" t="s">
        <v>22</v>
      </c>
    </row>
    <row r="7347" spans="1:11" ht="42" customHeight="1">
      <c r="A7347" s="2" t="s">
        <v>15288</v>
      </c>
      <c r="B7347" s="2" t="s">
        <v>15288</v>
      </c>
      <c r="C7347" s="2" t="s">
        <v>16</v>
      </c>
      <c r="D7347" s="2" t="s">
        <v>17</v>
      </c>
      <c r="E7347" s="5">
        <v>-31446</v>
      </c>
      <c r="F7347" s="3" t="s">
        <v>1078</v>
      </c>
      <c r="G7347" s="3" t="s">
        <v>95</v>
      </c>
      <c r="H7347" s="2" t="s">
        <v>20</v>
      </c>
      <c r="I7347" s="2" t="s">
        <v>15289</v>
      </c>
      <c r="J7347" s="3" t="str">
        <f>HYPERLINK("https://www.boe.es/gazeta/dias/1813/11/25/pdfs/GRE-1813-154.pdf#page=6","Abrir facsímil")</f>
        <v>Abrir facsímil</v>
      </c>
      <c r="K7347" s="3" t="s">
        <v>22</v>
      </c>
    </row>
    <row r="7348" spans="1:11" ht="42" customHeight="1">
      <c r="A7348" s="2" t="s">
        <v>15290</v>
      </c>
      <c r="B7348" s="2" t="s">
        <v>15290</v>
      </c>
      <c r="C7348" s="2" t="s">
        <v>16</v>
      </c>
      <c r="D7348" s="2" t="s">
        <v>17</v>
      </c>
      <c r="E7348" s="5">
        <v>-31446</v>
      </c>
      <c r="F7348" s="3" t="s">
        <v>1078</v>
      </c>
      <c r="G7348" s="3" t="s">
        <v>82</v>
      </c>
      <c r="H7348" s="2" t="s">
        <v>20</v>
      </c>
      <c r="I7348" s="2" t="s">
        <v>15291</v>
      </c>
      <c r="J7348" s="3" t="str">
        <f>HYPERLINK("https://www.boe.es/gazeta/dias/1813/11/25/pdfs/GRE-1813-154.pdf#page=5","Abrir facsímil")</f>
        <v>Abrir facsímil</v>
      </c>
      <c r="K7348" s="3" t="s">
        <v>22</v>
      </c>
    </row>
    <row r="7349" spans="1:11" ht="42" customHeight="1">
      <c r="A7349" s="2" t="s">
        <v>15292</v>
      </c>
      <c r="B7349" s="2" t="s">
        <v>15292</v>
      </c>
      <c r="C7349" s="2" t="s">
        <v>16</v>
      </c>
      <c r="D7349" s="2" t="s">
        <v>17</v>
      </c>
      <c r="E7349" s="5">
        <v>-31586</v>
      </c>
      <c r="F7349" s="3" t="s">
        <v>2807</v>
      </c>
      <c r="G7349" s="3" t="s">
        <v>82</v>
      </c>
      <c r="H7349" s="2" t="s">
        <v>20</v>
      </c>
      <c r="I7349" s="2" t="s">
        <v>15293</v>
      </c>
      <c r="J7349" s="3" t="str">
        <f>HYPERLINK("https://www.boe.es/gazeta/dias/1813/07/08/pdfs/GRE-1813-85.pdf#page=5","Abrir facsímil")</f>
        <v>Abrir facsímil</v>
      </c>
      <c r="K7349" s="3" t="s">
        <v>22</v>
      </c>
    </row>
    <row r="7350" spans="1:11" ht="42" customHeight="1">
      <c r="A7350" s="2" t="s">
        <v>15292</v>
      </c>
      <c r="B7350" s="2" t="s">
        <v>15292</v>
      </c>
      <c r="C7350" s="2" t="s">
        <v>16</v>
      </c>
      <c r="D7350" s="2" t="s">
        <v>17</v>
      </c>
      <c r="E7350" s="5">
        <v>-31581</v>
      </c>
      <c r="F7350" s="3" t="s">
        <v>3599</v>
      </c>
      <c r="G7350" s="3" t="s">
        <v>19</v>
      </c>
      <c r="H7350" s="2" t="s">
        <v>20</v>
      </c>
      <c r="I7350" s="2" t="s">
        <v>15294</v>
      </c>
      <c r="J7350" s="3" t="str">
        <f>HYPERLINK("https://www.boe.es/gazeta/dias/1813/07/13/pdfs/GRE-1813-88.pdf#page=4","Abrir facsímil")</f>
        <v>Abrir facsímil</v>
      </c>
      <c r="K7350" s="3" t="s">
        <v>22</v>
      </c>
    </row>
    <row r="7351" spans="1:11" ht="42" customHeight="1">
      <c r="A7351" s="2" t="s">
        <v>15295</v>
      </c>
      <c r="B7351" s="2" t="s">
        <v>15295</v>
      </c>
      <c r="C7351" s="2" t="s">
        <v>16</v>
      </c>
      <c r="D7351" s="2" t="s">
        <v>97</v>
      </c>
      <c r="E7351" s="5">
        <v>-31499</v>
      </c>
      <c r="F7351" s="3" t="s">
        <v>220</v>
      </c>
      <c r="G7351" s="3" t="s">
        <v>65</v>
      </c>
      <c r="H7351" s="2" t="s">
        <v>20</v>
      </c>
      <c r="I7351" s="2" t="s">
        <v>15296</v>
      </c>
      <c r="J7351" s="3" t="str">
        <f>HYPERLINK("https://www.boe.es/gazeta/dias/1813/10/03/pdfs/GMR-1813-53E.pdf#page=1","Abrir facsímil")</f>
        <v>Abrir facsímil</v>
      </c>
      <c r="K7351" s="3" t="s">
        <v>22</v>
      </c>
    </row>
    <row r="7352" spans="1:11" ht="42" customHeight="1">
      <c r="A7352" s="2" t="s">
        <v>15297</v>
      </c>
      <c r="B7352" s="2" t="s">
        <v>15297</v>
      </c>
      <c r="C7352" s="2" t="s">
        <v>16</v>
      </c>
      <c r="D7352" s="2" t="s">
        <v>97</v>
      </c>
      <c r="E7352" s="5">
        <v>-31499</v>
      </c>
      <c r="F7352" s="3" t="s">
        <v>220</v>
      </c>
      <c r="G7352" s="3" t="s">
        <v>54</v>
      </c>
      <c r="H7352" s="2" t="s">
        <v>20</v>
      </c>
      <c r="I7352" s="2" t="s">
        <v>15298</v>
      </c>
      <c r="J7352" s="3" t="str">
        <f>HYPERLINK("https://www.boe.es/gazeta/dias/1813/10/03/pdfs/GMR-1813-53E.pdf#page=3","Abrir facsímil")</f>
        <v>Abrir facsímil</v>
      </c>
      <c r="K7352" s="3" t="s">
        <v>22</v>
      </c>
    </row>
    <row r="7353" spans="1:11" ht="42" customHeight="1">
      <c r="A7353" s="2" t="s">
        <v>15299</v>
      </c>
      <c r="B7353" s="2" t="s">
        <v>15299</v>
      </c>
      <c r="C7353" s="2" t="s">
        <v>16</v>
      </c>
      <c r="D7353" s="2" t="s">
        <v>17</v>
      </c>
      <c r="E7353" s="5">
        <v>-31483</v>
      </c>
      <c r="F7353" s="3" t="s">
        <v>1292</v>
      </c>
      <c r="G7353" s="3" t="s">
        <v>58</v>
      </c>
      <c r="H7353" s="2" t="s">
        <v>20</v>
      </c>
      <c r="I7353" s="2" t="s">
        <v>15300</v>
      </c>
      <c r="J7353" s="3" t="str">
        <f>HYPERLINK("https://www.boe.es/gazeta/dias/1813/10/19/pdfs/GMR-1813-61.pdf#page=2","Abrir facsímil")</f>
        <v>Abrir facsímil</v>
      </c>
      <c r="K7353" s="3" t="s">
        <v>22</v>
      </c>
    </row>
    <row r="7354" spans="1:11" ht="42" customHeight="1">
      <c r="A7354" s="2" t="s">
        <v>15299</v>
      </c>
      <c r="B7354" s="2" t="s">
        <v>15299</v>
      </c>
      <c r="C7354" s="2" t="s">
        <v>16</v>
      </c>
      <c r="D7354" s="2" t="s">
        <v>17</v>
      </c>
      <c r="E7354" s="5">
        <v>-31481</v>
      </c>
      <c r="F7354" s="3" t="s">
        <v>40</v>
      </c>
      <c r="G7354" s="3" t="s">
        <v>54</v>
      </c>
      <c r="H7354" s="2" t="s">
        <v>20</v>
      </c>
      <c r="I7354" s="2" t="s">
        <v>15301</v>
      </c>
      <c r="J7354" s="3" t="str">
        <f>HYPERLINK("https://www.boe.es/gazeta/dias/1813/10/21/pdfs/GMR-1813-62.pdf#page=3","Abrir facsímil")</f>
        <v>Abrir facsímil</v>
      </c>
      <c r="K7354" s="3" t="s">
        <v>22</v>
      </c>
    </row>
    <row r="7355" spans="1:11" ht="42" customHeight="1">
      <c r="A7355" s="2" t="s">
        <v>15299</v>
      </c>
      <c r="B7355" s="2" t="s">
        <v>15299</v>
      </c>
      <c r="C7355" s="2" t="s">
        <v>16</v>
      </c>
      <c r="D7355" s="2" t="s">
        <v>17</v>
      </c>
      <c r="E7355" s="5">
        <v>-31462</v>
      </c>
      <c r="F7355" s="3" t="s">
        <v>1028</v>
      </c>
      <c r="G7355" s="3" t="s">
        <v>19</v>
      </c>
      <c r="H7355" s="2" t="s">
        <v>20</v>
      </c>
      <c r="I7355" s="2" t="s">
        <v>15302</v>
      </c>
      <c r="J7355" s="3" t="str">
        <f>HYPERLINK("https://www.boe.es/gazeta/dias/1813/11/09/pdfs/GMR-1813-71.pdf#page=4","Abrir facsímil")</f>
        <v>Abrir facsímil</v>
      </c>
      <c r="K7355" s="3" t="s">
        <v>22</v>
      </c>
    </row>
    <row r="7356" spans="1:11" ht="42" customHeight="1">
      <c r="A7356" s="2" t="s">
        <v>15299</v>
      </c>
      <c r="B7356" s="2" t="s">
        <v>15299</v>
      </c>
      <c r="C7356" s="2" t="s">
        <v>16</v>
      </c>
      <c r="D7356" s="2" t="s">
        <v>17</v>
      </c>
      <c r="E7356" s="5">
        <v>-31460</v>
      </c>
      <c r="F7356" s="3" t="s">
        <v>599</v>
      </c>
      <c r="G7356" s="3" t="s">
        <v>54</v>
      </c>
      <c r="H7356" s="2" t="s">
        <v>20</v>
      </c>
      <c r="I7356" s="2" t="s">
        <v>15303</v>
      </c>
      <c r="J7356" s="3" t="str">
        <f>HYPERLINK("https://www.boe.es/gazeta/dias/1813/11/11/pdfs/GMR-1813-72.pdf#page=3","Abrir facsímil")</f>
        <v>Abrir facsímil</v>
      </c>
      <c r="K7356" s="3" t="s">
        <v>22</v>
      </c>
    </row>
    <row r="7357" spans="1:11" ht="42" customHeight="1">
      <c r="A7357" s="2" t="s">
        <v>15299</v>
      </c>
      <c r="B7357" s="2" t="s">
        <v>15299</v>
      </c>
      <c r="C7357" s="2" t="s">
        <v>16</v>
      </c>
      <c r="D7357" s="2" t="s">
        <v>17</v>
      </c>
      <c r="E7357" s="5">
        <v>-31437</v>
      </c>
      <c r="F7357" s="3" t="s">
        <v>680</v>
      </c>
      <c r="G7357" s="3" t="s">
        <v>65</v>
      </c>
      <c r="H7357" s="2" t="s">
        <v>20</v>
      </c>
      <c r="I7357" s="2" t="s">
        <v>15304</v>
      </c>
      <c r="J7357" s="3" t="str">
        <f>HYPERLINK("https://www.boe.es/gazeta/dias/1813/12/04/pdfs/GMR-1813-83.pdf#page=1","Abrir facsímil")</f>
        <v>Abrir facsímil</v>
      </c>
      <c r="K7357" s="3" t="s">
        <v>22</v>
      </c>
    </row>
    <row r="7358" spans="1:11" ht="42" customHeight="1">
      <c r="A7358" s="2" t="s">
        <v>15305</v>
      </c>
      <c r="B7358" s="2" t="s">
        <v>15305</v>
      </c>
      <c r="C7358" s="2" t="s">
        <v>16</v>
      </c>
      <c r="D7358" s="2" t="s">
        <v>17</v>
      </c>
      <c r="E7358" s="5">
        <v>-31481</v>
      </c>
      <c r="F7358" s="3" t="s">
        <v>380</v>
      </c>
      <c r="G7358" s="3" t="s">
        <v>381</v>
      </c>
      <c r="H7358" s="2" t="s">
        <v>20</v>
      </c>
      <c r="I7358" s="2" t="s">
        <v>15306</v>
      </c>
      <c r="J7358" s="3" t="str">
        <f>HYPERLINK("https://www.boe.es/gazeta/dias/1813/10/21/pdfs/GRE-1813-137.pdf#page=4","Abrir facsímil")</f>
        <v>Abrir facsímil</v>
      </c>
      <c r="K7358" s="3" t="s">
        <v>22</v>
      </c>
    </row>
    <row r="7359" spans="1:11" ht="42" customHeight="1">
      <c r="A7359" s="2" t="s">
        <v>15305</v>
      </c>
      <c r="B7359" s="2" t="s">
        <v>15305</v>
      </c>
      <c r="C7359" s="2" t="s">
        <v>16</v>
      </c>
      <c r="D7359" s="2" t="s">
        <v>17</v>
      </c>
      <c r="E7359" s="5">
        <v>-31481</v>
      </c>
      <c r="F7359" s="3" t="s">
        <v>380</v>
      </c>
      <c r="G7359" s="3" t="s">
        <v>58</v>
      </c>
      <c r="H7359" s="2" t="s">
        <v>20</v>
      </c>
      <c r="I7359" s="2" t="s">
        <v>15307</v>
      </c>
      <c r="J7359" s="3" t="str">
        <f>HYPERLINK("https://www.boe.es/gazeta/dias/1813/10/21/pdfs/GRE-1813-137.pdf#page=2","Abrir facsímil")</f>
        <v>Abrir facsímil</v>
      </c>
      <c r="K7359" s="3" t="s">
        <v>22</v>
      </c>
    </row>
    <row r="7360" spans="1:11" ht="42" customHeight="1">
      <c r="A7360" s="2" t="s">
        <v>15308</v>
      </c>
      <c r="B7360" s="2" t="s">
        <v>15308</v>
      </c>
      <c r="C7360" s="2" t="s">
        <v>16</v>
      </c>
      <c r="D7360" s="2" t="s">
        <v>17</v>
      </c>
      <c r="E7360" s="5">
        <v>-31479</v>
      </c>
      <c r="F7360" s="3" t="s">
        <v>322</v>
      </c>
      <c r="G7360" s="3" t="s">
        <v>58</v>
      </c>
      <c r="H7360" s="2" t="s">
        <v>20</v>
      </c>
      <c r="I7360" s="2" t="s">
        <v>15309</v>
      </c>
      <c r="J7360" s="3" t="str">
        <f>HYPERLINK("https://www.boe.es/gazeta/dias/1813/10/23/pdfs/GMR-1813-63.pdf#page=2","Abrir facsímil")</f>
        <v>Abrir facsímil</v>
      </c>
      <c r="K7360" s="3" t="s">
        <v>22</v>
      </c>
    </row>
    <row r="7361" spans="1:11" ht="42" customHeight="1">
      <c r="A7361" s="2" t="s">
        <v>15310</v>
      </c>
      <c r="B7361" s="2" t="s">
        <v>15311</v>
      </c>
      <c r="C7361" s="2" t="s">
        <v>34</v>
      </c>
      <c r="D7361" s="2" t="s">
        <v>35</v>
      </c>
      <c r="E7361" s="5">
        <v>-31709</v>
      </c>
      <c r="F7361" s="3" t="s">
        <v>36</v>
      </c>
      <c r="G7361" s="3" t="s">
        <v>19</v>
      </c>
      <c r="H7361" s="2" t="s">
        <v>20</v>
      </c>
      <c r="I7361" s="2" t="s">
        <v>15312</v>
      </c>
      <c r="J7361" s="3" t="str">
        <f>HYPERLINK("https://www.boe.es/gazeta/dias/1813/03/07/pdfs/GMD-1813-66.pdf#page=4","Abrir facsímil")</f>
        <v>Abrir facsímil</v>
      </c>
      <c r="K7361" s="3" t="s">
        <v>22</v>
      </c>
    </row>
    <row r="7362" spans="1:11" ht="42" customHeight="1">
      <c r="A7362" s="2" t="s">
        <v>15313</v>
      </c>
      <c r="B7362" s="2" t="s">
        <v>15313</v>
      </c>
      <c r="C7362" s="2" t="s">
        <v>16</v>
      </c>
      <c r="D7362" s="2" t="s">
        <v>17</v>
      </c>
      <c r="E7362" s="5">
        <v>-31544</v>
      </c>
      <c r="F7362" s="3" t="s">
        <v>200</v>
      </c>
      <c r="G7362" s="3" t="s">
        <v>3017</v>
      </c>
      <c r="H7362" s="2" t="s">
        <v>20</v>
      </c>
      <c r="I7362" s="2" t="s">
        <v>15314</v>
      </c>
      <c r="J7362" s="3" t="str">
        <f>HYPERLINK("https://www.boe.es/gazeta/dias/1813/08/19/pdfs/GRE-1813-106.pdf#page=4","Abrir facsímil")</f>
        <v>Abrir facsímil</v>
      </c>
      <c r="K7362" s="3" t="s">
        <v>22</v>
      </c>
    </row>
    <row r="7363" spans="1:11" ht="42" customHeight="1">
      <c r="A7363" s="2" t="s">
        <v>15315</v>
      </c>
      <c r="B7363" s="2" t="s">
        <v>15315</v>
      </c>
      <c r="C7363" s="2" t="s">
        <v>16</v>
      </c>
      <c r="D7363" s="2" t="s">
        <v>17</v>
      </c>
      <c r="E7363" s="5">
        <v>-31542</v>
      </c>
      <c r="F7363" s="3" t="s">
        <v>347</v>
      </c>
      <c r="G7363" s="3" t="s">
        <v>19</v>
      </c>
      <c r="H7363" s="2" t="s">
        <v>20</v>
      </c>
      <c r="I7363" s="2" t="s">
        <v>15316</v>
      </c>
      <c r="J7363" s="3" t="str">
        <f>HYPERLINK("https://www.boe.es/gazeta/dias/1813/08/21/pdfs/GMR-1813-31.pdf#page=4","Abrir facsímil")</f>
        <v>Abrir facsímil</v>
      </c>
      <c r="K7363" s="3" t="s">
        <v>22</v>
      </c>
    </row>
    <row r="7364" spans="1:11" ht="42" customHeight="1">
      <c r="A7364" s="2" t="s">
        <v>15317</v>
      </c>
      <c r="B7364" s="2" t="s">
        <v>15317</v>
      </c>
      <c r="C7364" s="2" t="s">
        <v>16</v>
      </c>
      <c r="D7364" s="2" t="s">
        <v>17</v>
      </c>
      <c r="E7364" s="5">
        <v>-31413</v>
      </c>
      <c r="F7364" s="3" t="s">
        <v>149</v>
      </c>
      <c r="G7364" s="3" t="s">
        <v>19</v>
      </c>
      <c r="H7364" s="2" t="s">
        <v>20</v>
      </c>
      <c r="I7364" s="2" t="s">
        <v>15318</v>
      </c>
      <c r="J7364" s="3" t="str">
        <f>HYPERLINK("https://www.boe.es/gazeta/dias/1813/12/28/pdfs/GMR-1813-93.pdf#page=4","Abrir facsímil")</f>
        <v>Abrir facsímil</v>
      </c>
      <c r="K7364" s="3" t="s">
        <v>22</v>
      </c>
    </row>
    <row r="7365" spans="1:11" ht="42" customHeight="1">
      <c r="A7365" s="2" t="s">
        <v>15319</v>
      </c>
      <c r="B7365" s="2" t="s">
        <v>15319</v>
      </c>
      <c r="C7365" s="2" t="s">
        <v>16</v>
      </c>
      <c r="D7365" s="2" t="s">
        <v>17</v>
      </c>
      <c r="E7365" s="5">
        <v>-31654</v>
      </c>
      <c r="F7365" s="3" t="s">
        <v>1519</v>
      </c>
      <c r="G7365" s="3" t="s">
        <v>1520</v>
      </c>
      <c r="H7365" s="2" t="s">
        <v>20</v>
      </c>
      <c r="I7365" s="2" t="s">
        <v>15320</v>
      </c>
      <c r="J7365" s="3" t="str">
        <f>HYPERLINK("https://www.boe.es/gazeta/dias/1813/05/01/pdfs/GRE-1813-54.pdf#page=5","Abrir facsímil")</f>
        <v>Abrir facsímil</v>
      </c>
      <c r="K7365" s="3" t="s">
        <v>22</v>
      </c>
    </row>
    <row r="7366" spans="1:11" ht="42" customHeight="1">
      <c r="A7366" s="2" t="s">
        <v>15321</v>
      </c>
      <c r="B7366" s="2" t="s">
        <v>15321</v>
      </c>
      <c r="C7366" s="2" t="s">
        <v>16</v>
      </c>
      <c r="D7366" s="2" t="s">
        <v>17</v>
      </c>
      <c r="E7366" s="5">
        <v>-31752</v>
      </c>
      <c r="F7366" s="3" t="s">
        <v>182</v>
      </c>
      <c r="G7366" s="3" t="s">
        <v>58</v>
      </c>
      <c r="H7366" s="2" t="s">
        <v>20</v>
      </c>
      <c r="I7366" s="2" t="s">
        <v>15322</v>
      </c>
      <c r="J7366" s="3" t="str">
        <f>HYPERLINK("https://www.boe.es/gazeta/dias/1813/01/23/pdfs/GRE-1813-10.pdf#page=2","Abrir facsímil")</f>
        <v>Abrir facsímil</v>
      </c>
      <c r="K7366" s="3" t="s">
        <v>22</v>
      </c>
    </row>
    <row r="7367" spans="1:11" ht="42" customHeight="1">
      <c r="A7367" s="2" t="s">
        <v>15323</v>
      </c>
      <c r="B7367" s="2" t="s">
        <v>15323</v>
      </c>
      <c r="C7367" s="2" t="s">
        <v>16</v>
      </c>
      <c r="D7367" s="2" t="s">
        <v>17</v>
      </c>
      <c r="E7367" s="5">
        <v>-31773</v>
      </c>
      <c r="F7367" s="3" t="s">
        <v>3667</v>
      </c>
      <c r="G7367" s="3" t="s">
        <v>5107</v>
      </c>
      <c r="H7367" s="2" t="s">
        <v>20</v>
      </c>
      <c r="I7367" s="2" t="s">
        <v>15324</v>
      </c>
      <c r="J7367" s="3" t="str">
        <f>HYPERLINK("https://www.boe.es/gazeta/dias/1813/01/02/pdfs/GRE-1813-1.pdf#page=5","Abrir facsímil")</f>
        <v>Abrir facsímil</v>
      </c>
      <c r="K7367" s="3" t="s">
        <v>22</v>
      </c>
    </row>
    <row r="7368" spans="1:11" ht="42" customHeight="1">
      <c r="A7368" s="2" t="s">
        <v>15325</v>
      </c>
      <c r="B7368" s="2" t="s">
        <v>15325</v>
      </c>
      <c r="C7368" s="2" t="s">
        <v>16</v>
      </c>
      <c r="D7368" s="2" t="s">
        <v>17</v>
      </c>
      <c r="E7368" s="5">
        <v>-31733</v>
      </c>
      <c r="F7368" s="3" t="s">
        <v>3036</v>
      </c>
      <c r="G7368" s="3" t="s">
        <v>82</v>
      </c>
      <c r="H7368" s="2" t="s">
        <v>20</v>
      </c>
      <c r="I7368" s="2" t="s">
        <v>15326</v>
      </c>
      <c r="J7368" s="3" t="str">
        <f>HYPERLINK("https://www.boe.es/gazeta/dias/1813/02/11/pdfs/GRE-1813-18.pdf#page=5","Abrir facsímil")</f>
        <v>Abrir facsímil</v>
      </c>
      <c r="K7368" s="3" t="s">
        <v>22</v>
      </c>
    </row>
    <row r="7369" spans="1:11" ht="42" customHeight="1">
      <c r="A7369" s="2" t="s">
        <v>15327</v>
      </c>
      <c r="B7369" s="2" t="s">
        <v>15327</v>
      </c>
      <c r="C7369" s="2" t="s">
        <v>16</v>
      </c>
      <c r="D7369" s="2" t="s">
        <v>17</v>
      </c>
      <c r="E7369" s="5">
        <v>-31553</v>
      </c>
      <c r="F7369" s="3" t="s">
        <v>592</v>
      </c>
      <c r="G7369" s="3" t="s">
        <v>95</v>
      </c>
      <c r="H7369" s="2" t="s">
        <v>20</v>
      </c>
      <c r="I7369" s="2" t="s">
        <v>15328</v>
      </c>
      <c r="J7369" s="3" t="str">
        <f>HYPERLINK("https://www.boe.es/gazeta/dias/1813/08/10/pdfs/GRE-1813-101.pdf#page=6","Abrir facsímil")</f>
        <v>Abrir facsímil</v>
      </c>
      <c r="K7369" s="3" t="s">
        <v>22</v>
      </c>
    </row>
    <row r="7370" spans="1:11" ht="42" customHeight="1">
      <c r="A7370" s="2" t="s">
        <v>15329</v>
      </c>
      <c r="B7370" s="2" t="s">
        <v>15329</v>
      </c>
      <c r="C7370" s="2" t="s">
        <v>16</v>
      </c>
      <c r="D7370" s="2" t="s">
        <v>17</v>
      </c>
      <c r="E7370" s="5">
        <v>-31766</v>
      </c>
      <c r="F7370" s="3" t="s">
        <v>1356</v>
      </c>
      <c r="G7370" s="3" t="s">
        <v>4701</v>
      </c>
      <c r="H7370" s="2" t="s">
        <v>20</v>
      </c>
      <c r="I7370" s="2" t="s">
        <v>15330</v>
      </c>
      <c r="J7370" s="3" t="str">
        <f>HYPERLINK("https://www.boe.es/gazeta/dias/1813/01/09/pdfs/GRE-1813-4.pdf#page=4","Abrir facsímil")</f>
        <v>Abrir facsímil</v>
      </c>
      <c r="K7370" s="3" t="s">
        <v>22</v>
      </c>
    </row>
    <row r="7371" spans="1:11" ht="42" customHeight="1">
      <c r="A7371" s="2" t="s">
        <v>15331</v>
      </c>
      <c r="B7371" s="2" t="s">
        <v>15331</v>
      </c>
      <c r="C7371" s="2" t="s">
        <v>16</v>
      </c>
      <c r="D7371" s="2" t="s">
        <v>17</v>
      </c>
      <c r="E7371" s="5">
        <v>-31773</v>
      </c>
      <c r="F7371" s="3" t="s">
        <v>3667</v>
      </c>
      <c r="G7371" s="3" t="s">
        <v>5107</v>
      </c>
      <c r="H7371" s="2" t="s">
        <v>20</v>
      </c>
      <c r="I7371" s="2" t="s">
        <v>15332</v>
      </c>
      <c r="J7371" s="3" t="str">
        <f>HYPERLINK("https://www.boe.es/gazeta/dias/1813/01/02/pdfs/GRE-1813-1.pdf#page=5","Abrir facsímil")</f>
        <v>Abrir facsímil</v>
      </c>
      <c r="K7371" s="3" t="s">
        <v>22</v>
      </c>
    </row>
    <row r="7372" spans="1:11" ht="42" customHeight="1">
      <c r="A7372" s="2" t="s">
        <v>15333</v>
      </c>
      <c r="B7372" s="2" t="s">
        <v>15333</v>
      </c>
      <c r="C7372" s="2" t="s">
        <v>16</v>
      </c>
      <c r="D7372" s="2" t="s">
        <v>17</v>
      </c>
      <c r="E7372" s="5">
        <v>-31763</v>
      </c>
      <c r="F7372" s="3" t="s">
        <v>668</v>
      </c>
      <c r="G7372" s="3" t="s">
        <v>82</v>
      </c>
      <c r="H7372" s="2" t="s">
        <v>20</v>
      </c>
      <c r="I7372" s="2" t="s">
        <v>15334</v>
      </c>
      <c r="J7372" s="3" t="str">
        <f>HYPERLINK("https://www.boe.es/gazeta/dias/1813/01/12/pdfs/GRE-1813-5.pdf#page=5","Abrir facsímil")</f>
        <v>Abrir facsímil</v>
      </c>
      <c r="K7372" s="3" t="s">
        <v>22</v>
      </c>
    </row>
    <row r="7373" spans="1:11" ht="42" customHeight="1">
      <c r="A7373" s="2" t="s">
        <v>15331</v>
      </c>
      <c r="B7373" s="2" t="s">
        <v>15331</v>
      </c>
      <c r="C7373" s="2" t="s">
        <v>16</v>
      </c>
      <c r="D7373" s="2" t="s">
        <v>17</v>
      </c>
      <c r="E7373" s="5">
        <v>-31752</v>
      </c>
      <c r="F7373" s="3" t="s">
        <v>182</v>
      </c>
      <c r="G7373" s="3" t="s">
        <v>58</v>
      </c>
      <c r="H7373" s="2" t="s">
        <v>20</v>
      </c>
      <c r="I7373" s="2" t="s">
        <v>15335</v>
      </c>
      <c r="J7373" s="3" t="str">
        <f>HYPERLINK("https://www.boe.es/gazeta/dias/1813/01/23/pdfs/GRE-1813-10.pdf#page=2","Abrir facsímil")</f>
        <v>Abrir facsímil</v>
      </c>
      <c r="K7373" s="3" t="s">
        <v>22</v>
      </c>
    </row>
    <row r="7374" spans="1:11" ht="42" customHeight="1">
      <c r="A7374" s="2" t="s">
        <v>15331</v>
      </c>
      <c r="B7374" s="2" t="s">
        <v>15331</v>
      </c>
      <c r="C7374" s="2" t="s">
        <v>16</v>
      </c>
      <c r="D7374" s="2" t="s">
        <v>17</v>
      </c>
      <c r="E7374" s="5">
        <v>-31735</v>
      </c>
      <c r="F7374" s="3" t="s">
        <v>558</v>
      </c>
      <c r="G7374" s="3" t="s">
        <v>559</v>
      </c>
      <c r="H7374" s="2" t="s">
        <v>20</v>
      </c>
      <c r="I7374" s="2" t="s">
        <v>15336</v>
      </c>
      <c r="J7374" s="3" t="str">
        <f>HYPERLINK("https://www.boe.es/gazeta/dias/1813/02/09/pdfs/GRE-1813-17.pdf#page=5","Abrir facsímil")</f>
        <v>Abrir facsímil</v>
      </c>
      <c r="K7374" s="3" t="s">
        <v>22</v>
      </c>
    </row>
    <row r="7375" spans="1:11" ht="42" customHeight="1">
      <c r="A7375" s="2" t="s">
        <v>15331</v>
      </c>
      <c r="B7375" s="2" t="s">
        <v>15331</v>
      </c>
      <c r="C7375" s="2" t="s">
        <v>16</v>
      </c>
      <c r="D7375" s="2" t="s">
        <v>17</v>
      </c>
      <c r="E7375" s="5">
        <v>-31731</v>
      </c>
      <c r="F7375" s="3" t="s">
        <v>866</v>
      </c>
      <c r="G7375" s="3" t="s">
        <v>8695</v>
      </c>
      <c r="H7375" s="2" t="s">
        <v>20</v>
      </c>
      <c r="I7375" s="2" t="s">
        <v>15337</v>
      </c>
      <c r="J7375" s="3" t="str">
        <f>HYPERLINK("https://www.boe.es/gazeta/dias/1813/02/13/pdfs/GRE-1813-19.pdf#page=2","Abrir facsímil")</f>
        <v>Abrir facsímil</v>
      </c>
      <c r="K7375" s="3" t="s">
        <v>22</v>
      </c>
    </row>
    <row r="7376" spans="1:11" ht="42" customHeight="1">
      <c r="A7376" s="2" t="s">
        <v>15331</v>
      </c>
      <c r="B7376" s="2" t="s">
        <v>15331</v>
      </c>
      <c r="C7376" s="2" t="s">
        <v>16</v>
      </c>
      <c r="D7376" s="2" t="s">
        <v>17</v>
      </c>
      <c r="E7376" s="5">
        <v>-31731</v>
      </c>
      <c r="F7376" s="3" t="s">
        <v>866</v>
      </c>
      <c r="G7376" s="3" t="s">
        <v>65</v>
      </c>
      <c r="H7376" s="2" t="s">
        <v>20</v>
      </c>
      <c r="I7376" s="2" t="s">
        <v>15338</v>
      </c>
      <c r="J7376" s="3" t="str">
        <f>HYPERLINK("https://www.boe.es/gazeta/dias/1813/02/13/pdfs/GRE-1813-19.pdf#page=1","Abrir facsímil")</f>
        <v>Abrir facsímil</v>
      </c>
      <c r="K7376" s="3" t="s">
        <v>22</v>
      </c>
    </row>
    <row r="7377" spans="1:11" ht="42" customHeight="1">
      <c r="A7377" s="2" t="s">
        <v>15331</v>
      </c>
      <c r="B7377" s="2" t="s">
        <v>15331</v>
      </c>
      <c r="C7377" s="2" t="s">
        <v>16</v>
      </c>
      <c r="D7377" s="2" t="s">
        <v>17</v>
      </c>
      <c r="E7377" s="5">
        <v>-31731</v>
      </c>
      <c r="F7377" s="3" t="s">
        <v>866</v>
      </c>
      <c r="G7377" s="3" t="s">
        <v>54</v>
      </c>
      <c r="H7377" s="2" t="s">
        <v>20</v>
      </c>
      <c r="I7377" s="2" t="s">
        <v>15339</v>
      </c>
      <c r="J7377" s="3" t="str">
        <f>HYPERLINK("https://www.boe.es/gazeta/dias/1813/02/13/pdfs/GRE-1813-19.pdf#page=3","Abrir facsímil")</f>
        <v>Abrir facsímil</v>
      </c>
      <c r="K7377" s="3" t="s">
        <v>22</v>
      </c>
    </row>
    <row r="7378" spans="1:11" ht="42" customHeight="1">
      <c r="A7378" s="2" t="s">
        <v>15340</v>
      </c>
      <c r="B7378" s="2" t="s">
        <v>15340</v>
      </c>
      <c r="C7378" s="2" t="s">
        <v>16</v>
      </c>
      <c r="D7378" s="2" t="s">
        <v>17</v>
      </c>
      <c r="E7378" s="5">
        <v>-31752</v>
      </c>
      <c r="F7378" s="3" t="s">
        <v>182</v>
      </c>
      <c r="G7378" s="3" t="s">
        <v>553</v>
      </c>
      <c r="H7378" s="2" t="s">
        <v>20</v>
      </c>
      <c r="I7378" s="2" t="s">
        <v>15341</v>
      </c>
      <c r="J7378" s="3" t="str">
        <f>HYPERLINK("https://www.boe.es/gazeta/dias/1813/01/23/pdfs/GRE-1813-10.pdf#page=4","Abrir facsímil")</f>
        <v>Abrir facsímil</v>
      </c>
      <c r="K7378" s="3" t="s">
        <v>22</v>
      </c>
    </row>
    <row r="7379" spans="1:11" ht="42" customHeight="1">
      <c r="A7379" s="2" t="s">
        <v>15342</v>
      </c>
      <c r="B7379" s="2" t="s">
        <v>15342</v>
      </c>
      <c r="C7379" s="2" t="s">
        <v>16</v>
      </c>
      <c r="D7379" s="2" t="s">
        <v>17</v>
      </c>
      <c r="E7379" s="5">
        <v>-31740</v>
      </c>
      <c r="F7379" s="3" t="s">
        <v>354</v>
      </c>
      <c r="G7379" s="3" t="s">
        <v>6579</v>
      </c>
      <c r="H7379" s="2" t="s">
        <v>20</v>
      </c>
      <c r="I7379" s="2" t="s">
        <v>15343</v>
      </c>
      <c r="J7379" s="3" t="str">
        <f>HYPERLINK("https://www.boe.es/gazeta/dias/1813/02/04/pdfs/GRE-1813-15.pdf#page=2","Abrir facsímil")</f>
        <v>Abrir facsímil</v>
      </c>
      <c r="K7379" s="3" t="s">
        <v>22</v>
      </c>
    </row>
    <row r="7380" spans="1:11" ht="42" customHeight="1">
      <c r="A7380" s="2" t="s">
        <v>15344</v>
      </c>
      <c r="B7380" s="2" t="s">
        <v>15344</v>
      </c>
      <c r="C7380" s="2" t="s">
        <v>16</v>
      </c>
      <c r="D7380" s="2" t="s">
        <v>17</v>
      </c>
      <c r="E7380" s="5">
        <v>-31766</v>
      </c>
      <c r="F7380" s="3" t="s">
        <v>1356</v>
      </c>
      <c r="G7380" s="3" t="s">
        <v>4701</v>
      </c>
      <c r="H7380" s="2" t="s">
        <v>20</v>
      </c>
      <c r="I7380" s="2" t="s">
        <v>15345</v>
      </c>
      <c r="J7380" s="3" t="str">
        <f>HYPERLINK("https://www.boe.es/gazeta/dias/1813/01/09/pdfs/GRE-1813-4.pdf#page=4","Abrir facsímil")</f>
        <v>Abrir facsímil</v>
      </c>
      <c r="K7380" s="3" t="s">
        <v>22</v>
      </c>
    </row>
    <row r="7381" spans="1:11" ht="42" customHeight="1">
      <c r="A7381" s="2" t="s">
        <v>15344</v>
      </c>
      <c r="B7381" s="2" t="s">
        <v>15344</v>
      </c>
      <c r="C7381" s="2" t="s">
        <v>16</v>
      </c>
      <c r="D7381" s="2" t="s">
        <v>17</v>
      </c>
      <c r="E7381" s="5">
        <v>-31733</v>
      </c>
      <c r="F7381" s="3" t="s">
        <v>3036</v>
      </c>
      <c r="G7381" s="3" t="s">
        <v>7278</v>
      </c>
      <c r="H7381" s="2" t="s">
        <v>20</v>
      </c>
      <c r="I7381" s="2" t="s">
        <v>15346</v>
      </c>
      <c r="J7381" s="3" t="str">
        <f>HYPERLINK("https://www.boe.es/gazeta/dias/1813/02/11/pdfs/GRE-1813-18.pdf#page=4","Abrir facsímil")</f>
        <v>Abrir facsímil</v>
      </c>
      <c r="K7381" s="3" t="s">
        <v>22</v>
      </c>
    </row>
    <row r="7382" spans="1:11" ht="42" customHeight="1">
      <c r="A7382" s="2" t="s">
        <v>15344</v>
      </c>
      <c r="B7382" s="2" t="s">
        <v>15344</v>
      </c>
      <c r="C7382" s="2" t="s">
        <v>16</v>
      </c>
      <c r="D7382" s="2" t="s">
        <v>17</v>
      </c>
      <c r="E7382" s="5">
        <v>-31733</v>
      </c>
      <c r="F7382" s="3" t="s">
        <v>3036</v>
      </c>
      <c r="G7382" s="3" t="s">
        <v>82</v>
      </c>
      <c r="H7382" s="2" t="s">
        <v>20</v>
      </c>
      <c r="I7382" s="2" t="s">
        <v>15347</v>
      </c>
      <c r="J7382" s="3" t="str">
        <f>HYPERLINK("https://www.boe.es/gazeta/dias/1813/02/11/pdfs/GRE-1813-18.pdf#page=5","Abrir facsímil")</f>
        <v>Abrir facsímil</v>
      </c>
      <c r="K7382" s="3" t="s">
        <v>22</v>
      </c>
    </row>
    <row r="7383" spans="1:11" ht="42" customHeight="1">
      <c r="A7383" s="2" t="s">
        <v>15344</v>
      </c>
      <c r="B7383" s="2" t="s">
        <v>15344</v>
      </c>
      <c r="C7383" s="2" t="s">
        <v>16</v>
      </c>
      <c r="D7383" s="2" t="s">
        <v>17</v>
      </c>
      <c r="E7383" s="5">
        <v>-31731</v>
      </c>
      <c r="F7383" s="3" t="s">
        <v>866</v>
      </c>
      <c r="G7383" s="3" t="s">
        <v>65</v>
      </c>
      <c r="H7383" s="2" t="s">
        <v>20</v>
      </c>
      <c r="I7383" s="2" t="s">
        <v>15348</v>
      </c>
      <c r="J7383" s="3" t="str">
        <f>HYPERLINK("https://www.boe.es/gazeta/dias/1813/02/13/pdfs/GRE-1813-19.pdf#page=1","Abrir facsímil")</f>
        <v>Abrir facsímil</v>
      </c>
      <c r="K7383" s="3" t="s">
        <v>22</v>
      </c>
    </row>
    <row r="7384" spans="1:11" ht="42" customHeight="1">
      <c r="A7384" s="2" t="s">
        <v>15344</v>
      </c>
      <c r="B7384" s="2" t="s">
        <v>15344</v>
      </c>
      <c r="C7384" s="2" t="s">
        <v>16</v>
      </c>
      <c r="D7384" s="2" t="s">
        <v>17</v>
      </c>
      <c r="E7384" s="5">
        <v>-31728</v>
      </c>
      <c r="F7384" s="3" t="s">
        <v>1434</v>
      </c>
      <c r="G7384" s="3" t="s">
        <v>54</v>
      </c>
      <c r="H7384" s="2" t="s">
        <v>20</v>
      </c>
      <c r="I7384" s="2" t="s">
        <v>15349</v>
      </c>
      <c r="J7384" s="3" t="str">
        <f>HYPERLINK("https://www.boe.es/gazeta/dias/1813/02/16/pdfs/GRE-1813-20.pdf#page=3","Abrir facsímil")</f>
        <v>Abrir facsímil</v>
      </c>
      <c r="K7384" s="3" t="s">
        <v>22</v>
      </c>
    </row>
    <row r="7385" spans="1:11" ht="42" customHeight="1">
      <c r="A7385" s="2" t="s">
        <v>15350</v>
      </c>
      <c r="B7385" s="2" t="s">
        <v>15350</v>
      </c>
      <c r="C7385" s="2" t="s">
        <v>16</v>
      </c>
      <c r="D7385" s="2" t="s">
        <v>17</v>
      </c>
      <c r="E7385" s="5">
        <v>-31773</v>
      </c>
      <c r="F7385" s="3" t="s">
        <v>3667</v>
      </c>
      <c r="G7385" s="3" t="s">
        <v>2765</v>
      </c>
      <c r="H7385" s="2" t="s">
        <v>20</v>
      </c>
      <c r="I7385" s="2" t="s">
        <v>15351</v>
      </c>
      <c r="J7385" s="3" t="str">
        <f>HYPERLINK("https://www.boe.es/gazeta/dias/1813/01/02/pdfs/GRE-1813-1.pdf#page=4","Abrir facsímil")</f>
        <v>Abrir facsímil</v>
      </c>
      <c r="K7385" s="3" t="s">
        <v>22</v>
      </c>
    </row>
    <row r="7386" spans="1:11" ht="42" customHeight="1">
      <c r="A7386" s="2" t="s">
        <v>15352</v>
      </c>
      <c r="B7386" s="2" t="s">
        <v>15352</v>
      </c>
      <c r="C7386" s="2" t="s">
        <v>25</v>
      </c>
      <c r="D7386" s="2" t="s">
        <v>26</v>
      </c>
      <c r="E7386" s="5">
        <v>-31749</v>
      </c>
      <c r="F7386" s="3" t="s">
        <v>1515</v>
      </c>
      <c r="G7386" s="3" t="s">
        <v>65</v>
      </c>
      <c r="H7386" s="2" t="s">
        <v>20</v>
      </c>
      <c r="I7386" s="2" t="s">
        <v>15353</v>
      </c>
      <c r="J7386" s="3" t="str">
        <f>HYPERLINK("https://www.boe.es/gazeta/dias/1813/01/26/pdfs/GRE-1813-11.pdf#page=1","Abrir facsímil")</f>
        <v>Abrir facsímil</v>
      </c>
      <c r="K7386" s="3" t="s">
        <v>22</v>
      </c>
    </row>
    <row r="7387" spans="1:11" ht="42" customHeight="1">
      <c r="A7387" s="2" t="s">
        <v>15354</v>
      </c>
      <c r="B7387" s="2" t="s">
        <v>15354</v>
      </c>
      <c r="C7387" s="2" t="s">
        <v>16</v>
      </c>
      <c r="D7387" s="2" t="s">
        <v>17</v>
      </c>
      <c r="E7387" s="5">
        <v>-31745</v>
      </c>
      <c r="F7387" s="3" t="s">
        <v>445</v>
      </c>
      <c r="G7387" s="3" t="s">
        <v>58</v>
      </c>
      <c r="H7387" s="2" t="s">
        <v>20</v>
      </c>
      <c r="I7387" s="2" t="s">
        <v>15355</v>
      </c>
      <c r="J7387" s="3" t="str">
        <f>HYPERLINK("https://www.boe.es/gazeta/dias/1813/01/30/pdfs/GRE-1813-13.pdf#page=2","Abrir facsímil")</f>
        <v>Abrir facsímil</v>
      </c>
      <c r="K7387" s="3" t="s">
        <v>22</v>
      </c>
    </row>
    <row r="7388" spans="1:11" ht="42" customHeight="1">
      <c r="A7388" s="2" t="s">
        <v>15356</v>
      </c>
      <c r="B7388" s="2" t="s">
        <v>15356</v>
      </c>
      <c r="C7388" s="2" t="s">
        <v>16</v>
      </c>
      <c r="D7388" s="2" t="s">
        <v>17</v>
      </c>
      <c r="E7388" s="5">
        <v>-31731</v>
      </c>
      <c r="F7388" s="3" t="s">
        <v>866</v>
      </c>
      <c r="G7388" s="3" t="s">
        <v>8695</v>
      </c>
      <c r="H7388" s="2" t="s">
        <v>20</v>
      </c>
      <c r="I7388" s="2" t="s">
        <v>15357</v>
      </c>
      <c r="J7388" s="3" t="str">
        <f>HYPERLINK("https://www.boe.es/gazeta/dias/1813/02/13/pdfs/GRE-1813-19.pdf#page=2","Abrir facsímil")</f>
        <v>Abrir facsímil</v>
      </c>
      <c r="K7388" s="3" t="s">
        <v>22</v>
      </c>
    </row>
    <row r="7389" spans="1:11" ht="42" customHeight="1">
      <c r="A7389" s="2" t="s">
        <v>15358</v>
      </c>
      <c r="B7389" s="2" t="s">
        <v>15358</v>
      </c>
      <c r="C7389" s="2" t="s">
        <v>16</v>
      </c>
      <c r="D7389" s="2" t="s">
        <v>17</v>
      </c>
      <c r="E7389" s="5">
        <v>-31754</v>
      </c>
      <c r="F7389" s="3" t="s">
        <v>899</v>
      </c>
      <c r="G7389" s="3" t="s">
        <v>3774</v>
      </c>
      <c r="H7389" s="2" t="s">
        <v>20</v>
      </c>
      <c r="I7389" s="2" t="s">
        <v>15359</v>
      </c>
      <c r="J7389" s="3" t="str">
        <f>HYPERLINK("https://www.boe.es/gazeta/dias/1813/01/21/pdfs/GRE-1813-9.pdf#page=6","Abrir facsímil")</f>
        <v>Abrir facsímil</v>
      </c>
      <c r="K7389" s="3" t="s">
        <v>22</v>
      </c>
    </row>
    <row r="7390" spans="1:11" ht="42" customHeight="1">
      <c r="A7390" s="2" t="s">
        <v>15360</v>
      </c>
      <c r="B7390" s="2" t="s">
        <v>15360</v>
      </c>
      <c r="C7390" s="2" t="s">
        <v>16</v>
      </c>
      <c r="D7390" s="2" t="s">
        <v>17</v>
      </c>
      <c r="E7390" s="5">
        <v>-31756</v>
      </c>
      <c r="F7390" s="3" t="s">
        <v>951</v>
      </c>
      <c r="G7390" s="3" t="s">
        <v>6421</v>
      </c>
      <c r="H7390" s="2" t="s">
        <v>20</v>
      </c>
      <c r="I7390" s="2" t="s">
        <v>15361</v>
      </c>
      <c r="J7390" s="3" t="str">
        <f>HYPERLINK("https://www.boe.es/gazeta/dias/1813/01/19/pdfs/GRE-1813-8.pdf#page=3","Abrir facsímil")</f>
        <v>Abrir facsímil</v>
      </c>
      <c r="K7390" s="3" t="s">
        <v>22</v>
      </c>
    </row>
    <row r="7391" spans="1:11" ht="42" customHeight="1">
      <c r="A7391" s="2" t="s">
        <v>15362</v>
      </c>
      <c r="B7391" s="2" t="s">
        <v>15362</v>
      </c>
      <c r="C7391" s="2" t="s">
        <v>16</v>
      </c>
      <c r="D7391" s="2" t="s">
        <v>17</v>
      </c>
      <c r="E7391" s="5">
        <v>-31752</v>
      </c>
      <c r="F7391" s="3" t="s">
        <v>182</v>
      </c>
      <c r="G7391" s="3" t="s">
        <v>54</v>
      </c>
      <c r="H7391" s="2" t="s">
        <v>20</v>
      </c>
      <c r="I7391" s="2" t="s">
        <v>15363</v>
      </c>
      <c r="J7391" s="3" t="str">
        <f>HYPERLINK("https://www.boe.es/gazeta/dias/1813/01/23/pdfs/GRE-1813-10.pdf#page=3","Abrir facsímil")</f>
        <v>Abrir facsímil</v>
      </c>
      <c r="K7391" s="3" t="s">
        <v>22</v>
      </c>
    </row>
    <row r="7392" spans="1:11" ht="42" customHeight="1">
      <c r="A7392" s="2" t="s">
        <v>15364</v>
      </c>
      <c r="B7392" s="2" t="s">
        <v>15364</v>
      </c>
      <c r="C7392" s="2" t="s">
        <v>16</v>
      </c>
      <c r="D7392" s="2" t="s">
        <v>17</v>
      </c>
      <c r="E7392" s="5">
        <v>-31732</v>
      </c>
      <c r="F7392" s="3" t="s">
        <v>1904</v>
      </c>
      <c r="G7392" s="3" t="s">
        <v>65</v>
      </c>
      <c r="H7392" s="2" t="s">
        <v>20</v>
      </c>
      <c r="I7392" s="2" t="s">
        <v>15365</v>
      </c>
      <c r="J7392" s="3" t="str">
        <f>HYPERLINK("https://www.boe.es/gazeta/dias/1813/02/12/pdfs/GMD-1813-43.pdf#page=1","Abrir facsímil")</f>
        <v>Abrir facsímil</v>
      </c>
      <c r="K7392" s="3" t="s">
        <v>22</v>
      </c>
    </row>
    <row r="7393" spans="1:11" ht="42" customHeight="1">
      <c r="A7393" s="2" t="s">
        <v>15366</v>
      </c>
      <c r="B7393" s="2" t="s">
        <v>15366</v>
      </c>
      <c r="C7393" s="2" t="s">
        <v>16</v>
      </c>
      <c r="D7393" s="2" t="s">
        <v>17</v>
      </c>
      <c r="E7393" s="5">
        <v>-31773</v>
      </c>
      <c r="F7393" s="3" t="s">
        <v>3667</v>
      </c>
      <c r="G7393" s="3" t="s">
        <v>58</v>
      </c>
      <c r="H7393" s="2" t="s">
        <v>20</v>
      </c>
      <c r="I7393" s="2" t="s">
        <v>15367</v>
      </c>
      <c r="J7393" s="3" t="str">
        <f>HYPERLINK("https://www.boe.es/gazeta/dias/1813/01/02/pdfs/GRE-1813-1.pdf#page=2","Abrir facsímil")</f>
        <v>Abrir facsímil</v>
      </c>
      <c r="K7393" s="3" t="s">
        <v>22</v>
      </c>
    </row>
    <row r="7394" spans="1:11" ht="42" customHeight="1">
      <c r="A7394" s="2" t="s">
        <v>15368</v>
      </c>
      <c r="B7394" s="2" t="s">
        <v>15368</v>
      </c>
      <c r="C7394" s="2" t="s">
        <v>16</v>
      </c>
      <c r="D7394" s="2" t="s">
        <v>17</v>
      </c>
      <c r="E7394" s="5">
        <v>-31693</v>
      </c>
      <c r="F7394" s="3" t="s">
        <v>3950</v>
      </c>
      <c r="G7394" s="3" t="s">
        <v>65</v>
      </c>
      <c r="H7394" s="2" t="s">
        <v>20</v>
      </c>
      <c r="I7394" s="2" t="s">
        <v>15369</v>
      </c>
      <c r="J7394" s="3" t="str">
        <f>HYPERLINK("https://www.boe.es/gazeta/dias/1813/03/23/pdfs/GRE-1813-36.pdf#page=1","Abrir facsímil")</f>
        <v>Abrir facsímil</v>
      </c>
      <c r="K7394" s="3" t="s">
        <v>22</v>
      </c>
    </row>
    <row r="7395" spans="1:11" ht="42" customHeight="1">
      <c r="A7395" s="2" t="s">
        <v>15370</v>
      </c>
      <c r="B7395" s="2" t="s">
        <v>15370</v>
      </c>
      <c r="C7395" s="2" t="s">
        <v>16</v>
      </c>
      <c r="D7395" s="2" t="s">
        <v>17</v>
      </c>
      <c r="E7395" s="5">
        <v>-31698</v>
      </c>
      <c r="F7395" s="3" t="s">
        <v>470</v>
      </c>
      <c r="G7395" s="3" t="s">
        <v>4979</v>
      </c>
      <c r="H7395" s="2" t="s">
        <v>20</v>
      </c>
      <c r="I7395" s="2" t="s">
        <v>15371</v>
      </c>
      <c r="J7395" s="3" t="str">
        <f>HYPERLINK("https://www.boe.es/gazeta/dias/1813/03/18/pdfs/GRE-1813-34.pdf#page=6","Abrir facsímil")</f>
        <v>Abrir facsímil</v>
      </c>
      <c r="K7395" s="3" t="s">
        <v>22</v>
      </c>
    </row>
    <row r="7396" spans="1:11" ht="42" customHeight="1">
      <c r="A7396" s="2" t="s">
        <v>15372</v>
      </c>
      <c r="B7396" s="2" t="s">
        <v>15372</v>
      </c>
      <c r="C7396" s="2" t="s">
        <v>16</v>
      </c>
      <c r="D7396" s="2" t="s">
        <v>17</v>
      </c>
      <c r="E7396" s="5">
        <v>-31756</v>
      </c>
      <c r="F7396" s="3" t="s">
        <v>951</v>
      </c>
      <c r="G7396" s="3" t="s">
        <v>6421</v>
      </c>
      <c r="H7396" s="2" t="s">
        <v>20</v>
      </c>
      <c r="I7396" s="2" t="s">
        <v>15373</v>
      </c>
      <c r="J7396" s="3" t="str">
        <f>HYPERLINK("https://www.boe.es/gazeta/dias/1813/01/19/pdfs/GRE-1813-8.pdf#page=3","Abrir facsímil")</f>
        <v>Abrir facsímil</v>
      </c>
      <c r="K7396" s="3" t="s">
        <v>22</v>
      </c>
    </row>
    <row r="7397" spans="1:11" ht="42" customHeight="1">
      <c r="A7397" s="2" t="s">
        <v>15374</v>
      </c>
      <c r="B7397" s="2" t="s">
        <v>15374</v>
      </c>
      <c r="C7397" s="2" t="s">
        <v>16</v>
      </c>
      <c r="D7397" s="2" t="s">
        <v>17</v>
      </c>
      <c r="E7397" s="5">
        <v>-31693</v>
      </c>
      <c r="F7397" s="3" t="s">
        <v>3950</v>
      </c>
      <c r="G7397" s="3" t="s">
        <v>58</v>
      </c>
      <c r="H7397" s="2" t="s">
        <v>20</v>
      </c>
      <c r="I7397" s="2" t="s">
        <v>15375</v>
      </c>
      <c r="J7397" s="3" t="str">
        <f>HYPERLINK("https://www.boe.es/gazeta/dias/1813/03/23/pdfs/GRE-1813-36.pdf#page=2","Abrir facsímil")</f>
        <v>Abrir facsímil</v>
      </c>
      <c r="K7397" s="3" t="s">
        <v>22</v>
      </c>
    </row>
    <row r="7398" spans="1:11" ht="42" customHeight="1">
      <c r="A7398" s="2" t="s">
        <v>15376</v>
      </c>
      <c r="B7398" s="2" t="s">
        <v>15376</v>
      </c>
      <c r="C7398" s="2" t="s">
        <v>16</v>
      </c>
      <c r="D7398" s="2" t="s">
        <v>17</v>
      </c>
      <c r="E7398" s="5">
        <v>-31726</v>
      </c>
      <c r="F7398" s="3" t="s">
        <v>533</v>
      </c>
      <c r="G7398" s="3" t="s">
        <v>534</v>
      </c>
      <c r="H7398" s="2" t="s">
        <v>20</v>
      </c>
      <c r="I7398" s="2" t="s">
        <v>15377</v>
      </c>
      <c r="J7398" s="3" t="str">
        <f>HYPERLINK("https://www.boe.es/gazeta/dias/1813/02/18/pdfs/GRE-1813-21.pdf#page=4","Abrir facsímil")</f>
        <v>Abrir facsímil</v>
      </c>
      <c r="K7398" s="3" t="s">
        <v>22</v>
      </c>
    </row>
    <row r="7399" spans="1:11" ht="42" customHeight="1">
      <c r="A7399" s="2" t="s">
        <v>15378</v>
      </c>
      <c r="B7399" s="2" t="s">
        <v>15378</v>
      </c>
      <c r="C7399" s="2" t="s">
        <v>16</v>
      </c>
      <c r="D7399" s="2" t="s">
        <v>17</v>
      </c>
      <c r="E7399" s="5">
        <v>-31698</v>
      </c>
      <c r="F7399" s="3" t="s">
        <v>470</v>
      </c>
      <c r="G7399" s="3" t="s">
        <v>471</v>
      </c>
      <c r="H7399" s="2" t="s">
        <v>20</v>
      </c>
      <c r="I7399" s="2" t="s">
        <v>15379</v>
      </c>
      <c r="J7399" s="3" t="str">
        <f>HYPERLINK("https://www.boe.es/gazeta/dias/1813/03/18/pdfs/GRE-1813-34.pdf#page=7","Abrir facsímil")</f>
        <v>Abrir facsímil</v>
      </c>
      <c r="K7399" s="3" t="s">
        <v>22</v>
      </c>
    </row>
    <row r="7400" spans="1:11" ht="42" customHeight="1">
      <c r="A7400" s="2" t="s">
        <v>15380</v>
      </c>
      <c r="B7400" s="2" t="s">
        <v>15380</v>
      </c>
      <c r="C7400" s="2" t="s">
        <v>16</v>
      </c>
      <c r="D7400" s="2" t="s">
        <v>17</v>
      </c>
      <c r="E7400" s="5">
        <v>-31731</v>
      </c>
      <c r="F7400" s="3" t="s">
        <v>866</v>
      </c>
      <c r="G7400" s="3" t="s">
        <v>4688</v>
      </c>
      <c r="H7400" s="2" t="s">
        <v>20</v>
      </c>
      <c r="I7400" s="2" t="s">
        <v>15381</v>
      </c>
      <c r="J7400" s="3" t="str">
        <f>HYPERLINK("https://www.boe.es/gazeta/dias/1813/02/13/pdfs/GRE-1813-19.pdf#page=5","Abrir facsímil")</f>
        <v>Abrir facsímil</v>
      </c>
      <c r="K7400" s="3" t="s">
        <v>22</v>
      </c>
    </row>
    <row r="7401" spans="1:11" ht="42" customHeight="1">
      <c r="A7401" s="2" t="s">
        <v>15382</v>
      </c>
      <c r="B7401" s="2" t="s">
        <v>15382</v>
      </c>
      <c r="C7401" s="2" t="s">
        <v>16</v>
      </c>
      <c r="D7401" s="2" t="s">
        <v>17</v>
      </c>
      <c r="E7401" s="5">
        <v>-31723</v>
      </c>
      <c r="F7401" s="3" t="s">
        <v>273</v>
      </c>
      <c r="G7401" s="3" t="s">
        <v>19</v>
      </c>
      <c r="H7401" s="2" t="s">
        <v>20</v>
      </c>
      <c r="I7401" s="2" t="s">
        <v>15383</v>
      </c>
      <c r="J7401" s="3" t="str">
        <f>HYPERLINK("https://www.boe.es/gazeta/dias/1813/02/21/pdfs/GMD-1813-52.pdf#page=4","Abrir facsímil")</f>
        <v>Abrir facsímil</v>
      </c>
      <c r="K7401" s="3" t="s">
        <v>22</v>
      </c>
    </row>
    <row r="7402" spans="1:11" ht="42" customHeight="1">
      <c r="A7402" s="2" t="s">
        <v>15384</v>
      </c>
      <c r="B7402" s="2" t="s">
        <v>15384</v>
      </c>
      <c r="C7402" s="2" t="s">
        <v>16</v>
      </c>
      <c r="D7402" s="2" t="s">
        <v>17</v>
      </c>
      <c r="E7402" s="5">
        <v>-31638</v>
      </c>
      <c r="F7402" s="3" t="s">
        <v>1635</v>
      </c>
      <c r="G7402" s="3" t="s">
        <v>65</v>
      </c>
      <c r="H7402" s="2" t="s">
        <v>20</v>
      </c>
      <c r="I7402" s="2" t="s">
        <v>15385</v>
      </c>
      <c r="J7402" s="3" t="str">
        <f>HYPERLINK("https://www.boe.es/gazeta/dias/1813/05/17/pdfs/GMD-1813-137.pdf#page=1","Abrir facsímil")</f>
        <v>Abrir facsímil</v>
      </c>
      <c r="K7402" s="3" t="s">
        <v>22</v>
      </c>
    </row>
    <row r="7403" spans="1:11" ht="42" customHeight="1">
      <c r="A7403" s="2" t="s">
        <v>15386</v>
      </c>
      <c r="B7403" s="2" t="s">
        <v>15386</v>
      </c>
      <c r="C7403" s="2" t="s">
        <v>16</v>
      </c>
      <c r="D7403" s="2" t="s">
        <v>17</v>
      </c>
      <c r="E7403" s="5">
        <v>-31745</v>
      </c>
      <c r="F7403" s="3" t="s">
        <v>445</v>
      </c>
      <c r="G7403" s="3" t="s">
        <v>54</v>
      </c>
      <c r="H7403" s="2" t="s">
        <v>20</v>
      </c>
      <c r="I7403" s="2" t="s">
        <v>15387</v>
      </c>
      <c r="J7403" s="3" t="str">
        <f>HYPERLINK("https://www.boe.es/gazeta/dias/1813/01/30/pdfs/GRE-1813-13.pdf#page=3","Abrir facsímil")</f>
        <v>Abrir facsímil</v>
      </c>
      <c r="K7403" s="3" t="s">
        <v>22</v>
      </c>
    </row>
    <row r="7404" spans="1:11" ht="42" customHeight="1">
      <c r="A7404" s="2" t="s">
        <v>15388</v>
      </c>
      <c r="B7404" s="2" t="s">
        <v>15388</v>
      </c>
      <c r="C7404" s="2" t="s">
        <v>16</v>
      </c>
      <c r="D7404" s="2" t="s">
        <v>17</v>
      </c>
      <c r="E7404" s="5">
        <v>-31602</v>
      </c>
      <c r="F7404" s="3" t="s">
        <v>4545</v>
      </c>
      <c r="G7404" s="3" t="s">
        <v>82</v>
      </c>
      <c r="H7404" s="2" t="s">
        <v>20</v>
      </c>
      <c r="I7404" s="2" t="s">
        <v>15389</v>
      </c>
      <c r="J7404" s="3" t="str">
        <f>HYPERLINK("https://www.boe.es/gazeta/dias/1813/06/22/pdfs/GRE-1813-77.pdf#page=5","Abrir facsímil")</f>
        <v>Abrir facsímil</v>
      </c>
      <c r="K7404" s="3" t="s">
        <v>22</v>
      </c>
    </row>
    <row r="7405" spans="1:11" ht="42" customHeight="1">
      <c r="A7405" s="2" t="s">
        <v>15390</v>
      </c>
      <c r="B7405" s="2" t="s">
        <v>15391</v>
      </c>
      <c r="C7405" s="2" t="s">
        <v>25</v>
      </c>
      <c r="D7405" s="2" t="s">
        <v>26</v>
      </c>
      <c r="E7405" s="5">
        <v>-31567</v>
      </c>
      <c r="F7405" s="3" t="s">
        <v>820</v>
      </c>
      <c r="G7405" s="3" t="s">
        <v>258</v>
      </c>
      <c r="H7405" s="2" t="s">
        <v>20</v>
      </c>
      <c r="I7405" s="2" t="s">
        <v>15392</v>
      </c>
      <c r="J7405" s="3" t="str">
        <f>HYPERLINK("https://www.boe.es/gazeta/dias/1813/07/27/pdfs/GMR-1813-21.pdf#page=12","Abrir facsímil")</f>
        <v>Abrir facsímil</v>
      </c>
      <c r="K7405" s="3" t="s">
        <v>22</v>
      </c>
    </row>
    <row r="7406" spans="1:11" ht="42" customHeight="1">
      <c r="A7406" s="2" t="s">
        <v>15393</v>
      </c>
      <c r="B7406" s="2" t="s">
        <v>15394</v>
      </c>
      <c r="C7406" s="2" t="s">
        <v>34</v>
      </c>
      <c r="D7406" s="2" t="s">
        <v>35</v>
      </c>
      <c r="E7406" s="5">
        <v>-31525</v>
      </c>
      <c r="F7406" s="3" t="s">
        <v>135</v>
      </c>
      <c r="G7406" s="3" t="s">
        <v>87</v>
      </c>
      <c r="H7406" s="2" t="s">
        <v>20</v>
      </c>
      <c r="I7406" s="2" t="s">
        <v>15395</v>
      </c>
      <c r="J7406" s="3" t="str">
        <f>HYPERLINK("https://www.boe.es/gazeta/dias/1813/09/07/pdfs/GMR-1813-38.pdf#page=7","Abrir facsímil")</f>
        <v>Abrir facsímil</v>
      </c>
      <c r="K7406" s="3" t="s">
        <v>22</v>
      </c>
    </row>
    <row r="7407" spans="1:11" ht="42" customHeight="1">
      <c r="A7407" s="2" t="s">
        <v>15396</v>
      </c>
      <c r="B7407" s="2" t="s">
        <v>15397</v>
      </c>
      <c r="C7407" s="2" t="s">
        <v>25</v>
      </c>
      <c r="D7407" s="2" t="s">
        <v>26</v>
      </c>
      <c r="E7407" s="5">
        <v>-31677</v>
      </c>
      <c r="F7407" s="3" t="s">
        <v>76</v>
      </c>
      <c r="G7407" s="3" t="s">
        <v>28</v>
      </c>
      <c r="H7407" s="2" t="s">
        <v>20</v>
      </c>
      <c r="I7407" s="2" t="s">
        <v>15398</v>
      </c>
      <c r="J7407" s="3" t="str">
        <f>HYPERLINK("https://www.boe.es/gazeta/dias/1813/04/08/pdfs/GRE-1813-43.pdf#page=8","Abrir facsímil")</f>
        <v>Abrir facsímil</v>
      </c>
      <c r="K7407" s="3" t="s">
        <v>22</v>
      </c>
    </row>
    <row r="7408" spans="1:11" ht="42" customHeight="1">
      <c r="A7408" s="2" t="s">
        <v>15399</v>
      </c>
      <c r="B7408" s="2" t="s">
        <v>15400</v>
      </c>
      <c r="C7408" s="2" t="s">
        <v>25</v>
      </c>
      <c r="D7408" s="2" t="s">
        <v>26</v>
      </c>
      <c r="E7408" s="5">
        <v>-31416</v>
      </c>
      <c r="F7408" s="3" t="s">
        <v>278</v>
      </c>
      <c r="G7408" s="3" t="s">
        <v>207</v>
      </c>
      <c r="H7408" s="2" t="s">
        <v>20</v>
      </c>
      <c r="I7408" s="2" t="s">
        <v>15401</v>
      </c>
      <c r="J7408" s="3" t="str">
        <f>HYPERLINK("https://www.boe.es/gazeta/dias/1813/12/25/pdfs/GMR-1813-92.pdf#page=10","Abrir facsímil")</f>
        <v>Abrir facsímil</v>
      </c>
      <c r="K7408" s="3" t="s">
        <v>22</v>
      </c>
    </row>
    <row r="7409" spans="1:11" ht="42" customHeight="1">
      <c r="A7409" s="2" t="s">
        <v>15402</v>
      </c>
      <c r="B7409" s="2" t="s">
        <v>15403</v>
      </c>
      <c r="C7409" s="2" t="s">
        <v>34</v>
      </c>
      <c r="D7409" s="2" t="s">
        <v>35</v>
      </c>
      <c r="E7409" s="5">
        <v>-31537</v>
      </c>
      <c r="F7409" s="3" t="s">
        <v>138</v>
      </c>
      <c r="G7409" s="3" t="s">
        <v>95</v>
      </c>
      <c r="H7409" s="2" t="s">
        <v>20</v>
      </c>
      <c r="I7409" s="2" t="s">
        <v>15404</v>
      </c>
      <c r="J7409" s="3" t="str">
        <f>HYPERLINK("https://www.boe.es/gazeta/dias/1813/08/26/pdfs/GMR-1813-33.pdf#page=6","Abrir facsímil")</f>
        <v>Abrir facsímil</v>
      </c>
      <c r="K7409" s="3" t="s">
        <v>22</v>
      </c>
    </row>
    <row r="7410" spans="1:11" ht="42" customHeight="1">
      <c r="A7410" s="2" t="s">
        <v>15405</v>
      </c>
      <c r="B7410" s="2" t="s">
        <v>15406</v>
      </c>
      <c r="C7410" s="2" t="s">
        <v>34</v>
      </c>
      <c r="D7410" s="2" t="s">
        <v>35</v>
      </c>
      <c r="E7410" s="5">
        <v>-31504</v>
      </c>
      <c r="F7410" s="3" t="s">
        <v>1361</v>
      </c>
      <c r="G7410" s="3" t="s">
        <v>28</v>
      </c>
      <c r="H7410" s="2" t="s">
        <v>20</v>
      </c>
      <c r="I7410" s="2" t="s">
        <v>15407</v>
      </c>
      <c r="J7410" s="3" t="str">
        <f>HYPERLINK("https://www.boe.es/gazeta/dias/1813/09/28/pdfs/GMR-1813-50.pdf#page=8","Abrir facsímil")</f>
        <v>Abrir facsímil</v>
      </c>
      <c r="K7410" s="3" t="s">
        <v>22</v>
      </c>
    </row>
    <row r="7411" spans="1:11" ht="42" customHeight="1">
      <c r="A7411" s="2" t="s">
        <v>15408</v>
      </c>
      <c r="B7411" s="2" t="s">
        <v>15409</v>
      </c>
      <c r="C7411" s="2" t="s">
        <v>16</v>
      </c>
      <c r="D7411" s="2" t="s">
        <v>97</v>
      </c>
      <c r="E7411" s="5">
        <v>-31519</v>
      </c>
      <c r="F7411" s="3" t="s">
        <v>312</v>
      </c>
      <c r="G7411" s="3" t="s">
        <v>28</v>
      </c>
      <c r="H7411" s="2" t="s">
        <v>20</v>
      </c>
      <c r="I7411" s="2" t="s">
        <v>15410</v>
      </c>
      <c r="J7411" s="3" t="str">
        <f>HYPERLINK("https://www.boe.es/gazeta/dias/1813/09/13/pdfs/GRE-1813-118E.pdf#page=8","Abrir facsímil")</f>
        <v>Abrir facsímil</v>
      </c>
      <c r="K7411" s="3" t="s">
        <v>22</v>
      </c>
    </row>
    <row r="7412" spans="1:11" ht="42" customHeight="1">
      <c r="A7412" s="2" t="s">
        <v>15411</v>
      </c>
      <c r="B7412" s="2" t="s">
        <v>15412</v>
      </c>
      <c r="C7412" s="2" t="s">
        <v>16</v>
      </c>
      <c r="D7412" s="2" t="s">
        <v>17</v>
      </c>
      <c r="E7412" s="5">
        <v>-31507</v>
      </c>
      <c r="F7412" s="3" t="s">
        <v>61</v>
      </c>
      <c r="G7412" s="3" t="s">
        <v>28</v>
      </c>
      <c r="H7412" s="2" t="s">
        <v>20</v>
      </c>
      <c r="I7412" s="2" t="s">
        <v>15413</v>
      </c>
      <c r="J7412" s="3" t="str">
        <f>HYPERLINK("https://www.boe.es/gazeta/dias/1813/09/25/pdfs/GMR-1813-48.pdf#page=8","Abrir facsímil")</f>
        <v>Abrir facsímil</v>
      </c>
      <c r="K7412" s="3" t="s">
        <v>22</v>
      </c>
    </row>
    <row r="7413" spans="1:11" ht="42" customHeight="1">
      <c r="A7413" s="2" t="s">
        <v>15414</v>
      </c>
      <c r="B7413" s="2" t="s">
        <v>15415</v>
      </c>
      <c r="C7413" s="2" t="s">
        <v>34</v>
      </c>
      <c r="D7413" s="2" t="s">
        <v>35</v>
      </c>
      <c r="E7413" s="5">
        <v>-31537</v>
      </c>
      <c r="F7413" s="3" t="s">
        <v>138</v>
      </c>
      <c r="G7413" s="3" t="s">
        <v>95</v>
      </c>
      <c r="H7413" s="2" t="s">
        <v>20</v>
      </c>
      <c r="I7413" s="2" t="s">
        <v>15416</v>
      </c>
      <c r="J7413" s="3" t="str">
        <f>HYPERLINK("https://www.boe.es/gazeta/dias/1813/08/26/pdfs/GMR-1813-33.pdf#page=6","Abrir facsímil")</f>
        <v>Abrir facsímil</v>
      </c>
      <c r="K7413" s="3" t="s">
        <v>22</v>
      </c>
    </row>
    <row r="7414" spans="1:11" ht="42" customHeight="1">
      <c r="A7414" s="2" t="s">
        <v>15417</v>
      </c>
      <c r="B7414" s="2" t="s">
        <v>15418</v>
      </c>
      <c r="C7414" s="2" t="s">
        <v>34</v>
      </c>
      <c r="D7414" s="2" t="s">
        <v>35</v>
      </c>
      <c r="E7414" s="5">
        <v>-31709</v>
      </c>
      <c r="F7414" s="3" t="s">
        <v>36</v>
      </c>
      <c r="G7414" s="3" t="s">
        <v>19</v>
      </c>
      <c r="H7414" s="2" t="s">
        <v>20</v>
      </c>
      <c r="I7414" s="2" t="s">
        <v>15419</v>
      </c>
      <c r="J7414" s="3" t="str">
        <f>HYPERLINK("https://www.boe.es/gazeta/dias/1813/03/07/pdfs/GMD-1813-66.pdf#page=4","Abrir facsímil")</f>
        <v>Abrir facsímil</v>
      </c>
      <c r="K7414" s="3" t="s">
        <v>22</v>
      </c>
    </row>
    <row r="7415" spans="1:11" ht="42" customHeight="1">
      <c r="A7415" s="2" t="s">
        <v>15420</v>
      </c>
      <c r="B7415" s="2" t="s">
        <v>15421</v>
      </c>
      <c r="C7415" s="2" t="s">
        <v>16</v>
      </c>
      <c r="D7415" s="2" t="s">
        <v>17</v>
      </c>
      <c r="E7415" s="5">
        <v>-31474</v>
      </c>
      <c r="F7415" s="3" t="s">
        <v>1082</v>
      </c>
      <c r="G7415" s="3" t="s">
        <v>1083</v>
      </c>
      <c r="H7415" s="2" t="s">
        <v>20</v>
      </c>
      <c r="I7415" s="2" t="s">
        <v>15422</v>
      </c>
      <c r="J7415" s="3" t="str">
        <f>HYPERLINK("https://www.boe.es/gazeta/dias/1813/10/28/pdfs/GMR-1813-65.pdf#page=7","Abrir facsímil")</f>
        <v>Abrir facsímil</v>
      </c>
      <c r="K7415" s="3" t="s">
        <v>22</v>
      </c>
    </row>
    <row r="7416" spans="1:11" ht="42" customHeight="1">
      <c r="A7416" s="2" t="s">
        <v>15423</v>
      </c>
      <c r="B7416" s="2" t="s">
        <v>15424</v>
      </c>
      <c r="C7416" s="2" t="s">
        <v>34</v>
      </c>
      <c r="D7416" s="2" t="s">
        <v>35</v>
      </c>
      <c r="E7416" s="5">
        <v>-31709</v>
      </c>
      <c r="F7416" s="3" t="s">
        <v>36</v>
      </c>
      <c r="G7416" s="3" t="s">
        <v>303</v>
      </c>
      <c r="H7416" s="2" t="s">
        <v>20</v>
      </c>
      <c r="I7416" s="2" t="s">
        <v>15425</v>
      </c>
      <c r="J7416" s="3" t="str">
        <f>HYPERLINK("https://www.boe.es/gazeta/dias/1813/03/07/pdfs/GMD-1813-66.pdf#page=3","Abrir facsímil")</f>
        <v>Abrir facsímil</v>
      </c>
      <c r="K7416" s="3" t="s">
        <v>22</v>
      </c>
    </row>
    <row r="7417" spans="1:11" ht="42" customHeight="1">
      <c r="A7417" s="2" t="s">
        <v>15426</v>
      </c>
      <c r="B7417" s="2" t="s">
        <v>15427</v>
      </c>
      <c r="C7417" s="2" t="s">
        <v>34</v>
      </c>
      <c r="D7417" s="2" t="s">
        <v>35</v>
      </c>
      <c r="E7417" s="5">
        <v>-31762</v>
      </c>
      <c r="F7417" s="3" t="s">
        <v>604</v>
      </c>
      <c r="G7417" s="3" t="s">
        <v>19</v>
      </c>
      <c r="H7417" s="2" t="s">
        <v>20</v>
      </c>
      <c r="I7417" s="2" t="s">
        <v>15428</v>
      </c>
      <c r="J7417" s="3" t="str">
        <f>HYPERLINK("https://www.boe.es/gazeta/dias/1813/01/13/pdfs/GMD-1813-13.pdf#page=4","Abrir facsímil")</f>
        <v>Abrir facsímil</v>
      </c>
      <c r="K7417" s="3" t="s">
        <v>22</v>
      </c>
    </row>
    <row r="7418" spans="1:11" ht="42" customHeight="1">
      <c r="A7418" s="2" t="s">
        <v>15429</v>
      </c>
      <c r="B7418" s="2" t="s">
        <v>15429</v>
      </c>
      <c r="C7418" s="2" t="s">
        <v>16</v>
      </c>
      <c r="D7418" s="2" t="s">
        <v>17</v>
      </c>
      <c r="E7418" s="5">
        <v>-31642</v>
      </c>
      <c r="F7418" s="3" t="s">
        <v>2091</v>
      </c>
      <c r="G7418" s="3" t="s">
        <v>19</v>
      </c>
      <c r="H7418" s="2" t="s">
        <v>20</v>
      </c>
      <c r="I7418" s="2" t="s">
        <v>15430</v>
      </c>
      <c r="J7418" s="3" t="str">
        <f>HYPERLINK("https://www.boe.es/gazeta/dias/1813/05/13/pdfs/GMD-1813-133.pdf#page=4","Abrir facsímil")</f>
        <v>Abrir facsímil</v>
      </c>
      <c r="K7418" s="3" t="s">
        <v>22</v>
      </c>
    </row>
    <row r="7419" spans="1:11" ht="42" customHeight="1">
      <c r="A7419" s="2" t="s">
        <v>15431</v>
      </c>
      <c r="B7419" s="2" t="s">
        <v>15431</v>
      </c>
      <c r="C7419" s="2" t="s">
        <v>187</v>
      </c>
      <c r="D7419" s="2" t="s">
        <v>26</v>
      </c>
      <c r="E7419" s="5">
        <v>-31752</v>
      </c>
      <c r="F7419" s="3" t="s">
        <v>182</v>
      </c>
      <c r="G7419" s="3" t="s">
        <v>183</v>
      </c>
      <c r="H7419" s="2" t="s">
        <v>20</v>
      </c>
      <c r="I7419" s="2" t="s">
        <v>15432</v>
      </c>
      <c r="J7419" s="3" t="str">
        <f>HYPERLINK("https://www.boe.es/gazeta/dias/1813/01/23/pdfs/GRE-1813-10.pdf#page=8","Abrir facsímil")</f>
        <v>Abrir facsímil</v>
      </c>
      <c r="K7419" s="3" t="s">
        <v>22</v>
      </c>
    </row>
    <row r="7420" spans="1:11" ht="42" customHeight="1">
      <c r="A7420" s="2" t="s">
        <v>15433</v>
      </c>
      <c r="B7420" s="2" t="s">
        <v>15434</v>
      </c>
      <c r="C7420" s="2" t="s">
        <v>34</v>
      </c>
      <c r="D7420" s="2" t="s">
        <v>35</v>
      </c>
      <c r="E7420" s="5">
        <v>-31455</v>
      </c>
      <c r="F7420" s="3" t="s">
        <v>6184</v>
      </c>
      <c r="G7420" s="3" t="s">
        <v>87</v>
      </c>
      <c r="H7420" s="2" t="s">
        <v>20</v>
      </c>
      <c r="I7420" s="2" t="s">
        <v>15435</v>
      </c>
      <c r="J7420" s="3" t="str">
        <f>HYPERLINK("https://www.boe.es/gazeta/dias/1813/11/16/pdfs/GMR-1813-74.pdf#page=7","Abrir facsímil")</f>
        <v>Abrir facsímil</v>
      </c>
      <c r="K7420" s="3" t="s">
        <v>22</v>
      </c>
    </row>
    <row r="7421" spans="1:11" ht="42" customHeight="1">
      <c r="A7421" s="2" t="s">
        <v>15436</v>
      </c>
      <c r="B7421" s="2" t="s">
        <v>15437</v>
      </c>
      <c r="C7421" s="2" t="s">
        <v>16</v>
      </c>
      <c r="D7421" s="2" t="s">
        <v>17</v>
      </c>
      <c r="E7421" s="5">
        <v>-31661</v>
      </c>
      <c r="F7421" s="3" t="s">
        <v>6643</v>
      </c>
      <c r="G7421" s="3" t="s">
        <v>54</v>
      </c>
      <c r="H7421" s="2" t="s">
        <v>20</v>
      </c>
      <c r="I7421" s="2" t="s">
        <v>15438</v>
      </c>
      <c r="J7421" s="3" t="str">
        <f>HYPERLINK("https://www.boe.es/gazeta/dias/1813/04/24/pdfs/GRE-1813-51.pdf#page=3","Abrir facsímil")</f>
        <v>Abrir facsímil</v>
      </c>
      <c r="K7421" s="3" t="s">
        <v>22</v>
      </c>
    </row>
    <row r="7422" spans="1:11" ht="42" customHeight="1">
      <c r="A7422" s="2" t="s">
        <v>15439</v>
      </c>
      <c r="B7422" s="2" t="s">
        <v>15440</v>
      </c>
      <c r="C7422" s="2" t="s">
        <v>25</v>
      </c>
      <c r="D7422" s="2" t="s">
        <v>26</v>
      </c>
      <c r="E7422" s="5">
        <v>-31745</v>
      </c>
      <c r="F7422" s="3" t="s">
        <v>445</v>
      </c>
      <c r="G7422" s="3" t="s">
        <v>28</v>
      </c>
      <c r="H7422" s="2" t="s">
        <v>20</v>
      </c>
      <c r="I7422" s="2" t="s">
        <v>15441</v>
      </c>
      <c r="J7422" s="3" t="str">
        <f>HYPERLINK("https://www.boe.es/gazeta/dias/1813/01/30/pdfs/GRE-1813-13.pdf#page=8","Abrir facsímil")</f>
        <v>Abrir facsímil</v>
      </c>
      <c r="K7422" s="3" t="s">
        <v>22</v>
      </c>
    </row>
    <row r="7423" spans="1:11" ht="42" customHeight="1">
      <c r="A7423" s="2" t="s">
        <v>15442</v>
      </c>
      <c r="B7423" s="2" t="s">
        <v>15443</v>
      </c>
      <c r="C7423" s="2" t="s">
        <v>16</v>
      </c>
      <c r="D7423" s="2" t="s">
        <v>17</v>
      </c>
      <c r="E7423" s="5">
        <v>-31619</v>
      </c>
      <c r="F7423" s="3" t="s">
        <v>749</v>
      </c>
      <c r="G7423" s="3" t="s">
        <v>58</v>
      </c>
      <c r="H7423" s="2" t="s">
        <v>20</v>
      </c>
      <c r="I7423" s="2" t="s">
        <v>15444</v>
      </c>
      <c r="J7423" s="3" t="str">
        <f>HYPERLINK("https://www.boe.es/gazeta/dias/1813/06/05/pdfs/GRE-1813-70.pdf#page=2","Abrir facsímil")</f>
        <v>Abrir facsímil</v>
      </c>
      <c r="K7423" s="3" t="s">
        <v>22</v>
      </c>
    </row>
    <row r="7424" spans="1:11" ht="42" customHeight="1">
      <c r="A7424" s="2" t="s">
        <v>15445</v>
      </c>
      <c r="B7424" s="2" t="s">
        <v>15446</v>
      </c>
      <c r="C7424" s="2" t="s">
        <v>16</v>
      </c>
      <c r="D7424" s="2" t="s">
        <v>17</v>
      </c>
      <c r="E7424" s="5">
        <v>-31684</v>
      </c>
      <c r="F7424" s="3" t="s">
        <v>427</v>
      </c>
      <c r="G7424" s="3" t="s">
        <v>1123</v>
      </c>
      <c r="H7424" s="2" t="s">
        <v>20</v>
      </c>
      <c r="I7424" s="2" t="s">
        <v>15447</v>
      </c>
      <c r="J7424" s="3" t="str">
        <f>HYPERLINK("https://www.boe.es/gazeta/dias/1813/04/01/pdfs/GRE-1813-40.pdf#page=8","Abrir facsímil")</f>
        <v>Abrir facsímil</v>
      </c>
      <c r="K7424" s="3" t="s">
        <v>22</v>
      </c>
    </row>
    <row r="7425" spans="1:11" ht="42" customHeight="1">
      <c r="A7425" s="2" t="s">
        <v>15448</v>
      </c>
      <c r="B7425" s="2" t="s">
        <v>15449</v>
      </c>
      <c r="C7425" s="2" t="s">
        <v>16</v>
      </c>
      <c r="D7425" s="2" t="s">
        <v>17</v>
      </c>
      <c r="E7425" s="5">
        <v>-31581</v>
      </c>
      <c r="F7425" s="3" t="s">
        <v>1321</v>
      </c>
      <c r="G7425" s="3" t="s">
        <v>313</v>
      </c>
      <c r="H7425" s="2" t="s">
        <v>20</v>
      </c>
      <c r="I7425" s="2" t="s">
        <v>15450</v>
      </c>
      <c r="J7425" s="3" t="str">
        <f>HYPERLINK("https://www.boe.es/gazeta/dias/1813/07/13/pdfs/GMR-1813-17.pdf#page=9","Abrir facsímil")</f>
        <v>Abrir facsímil</v>
      </c>
      <c r="K7425" s="3" t="s">
        <v>22</v>
      </c>
    </row>
    <row r="7426" spans="1:11" ht="42" customHeight="1">
      <c r="A7426" s="2" t="s">
        <v>15451</v>
      </c>
      <c r="B7426" s="2" t="s">
        <v>15451</v>
      </c>
      <c r="C7426" s="2" t="s">
        <v>16</v>
      </c>
      <c r="D7426" s="2" t="s">
        <v>17</v>
      </c>
      <c r="E7426" s="5">
        <v>-31687</v>
      </c>
      <c r="F7426" s="3" t="s">
        <v>2723</v>
      </c>
      <c r="G7426" s="3" t="s">
        <v>54</v>
      </c>
      <c r="H7426" s="2" t="s">
        <v>20</v>
      </c>
      <c r="I7426" s="2" t="s">
        <v>15452</v>
      </c>
      <c r="J7426" s="3" t="str">
        <f>HYPERLINK("https://www.boe.es/gazeta/dias/1813/03/29/pdfs/GMD-1813-88.pdf#page=3","Abrir facsímil")</f>
        <v>Abrir facsímil</v>
      </c>
      <c r="K7426" s="3" t="s">
        <v>22</v>
      </c>
    </row>
    <row r="7427" spans="1:11" ht="42" customHeight="1">
      <c r="A7427" s="2" t="s">
        <v>15453</v>
      </c>
      <c r="B7427" s="2" t="s">
        <v>15453</v>
      </c>
      <c r="C7427" s="2" t="s">
        <v>16</v>
      </c>
      <c r="D7427" s="2" t="s">
        <v>17</v>
      </c>
      <c r="E7427" s="5">
        <v>-31455</v>
      </c>
      <c r="F7427" s="3" t="s">
        <v>6184</v>
      </c>
      <c r="G7427" s="3" t="s">
        <v>65</v>
      </c>
      <c r="H7427" s="2" t="s">
        <v>20</v>
      </c>
      <c r="I7427" s="2" t="s">
        <v>15454</v>
      </c>
      <c r="J7427" s="3" t="str">
        <f>HYPERLINK("https://www.boe.es/gazeta/dias/1813/11/16/pdfs/GMR-1813-74.pdf#page=1","Abrir facsímil")</f>
        <v>Abrir facsímil</v>
      </c>
      <c r="K7427" s="3" t="s">
        <v>22</v>
      </c>
    </row>
    <row r="7428" spans="1:11" ht="42" customHeight="1">
      <c r="A7428" s="2" t="s">
        <v>15455</v>
      </c>
      <c r="B7428" s="2" t="s">
        <v>15455</v>
      </c>
      <c r="C7428" s="2" t="s">
        <v>16</v>
      </c>
      <c r="D7428" s="2" t="s">
        <v>17</v>
      </c>
      <c r="E7428" s="5">
        <v>-31728</v>
      </c>
      <c r="F7428" s="3" t="s">
        <v>1434</v>
      </c>
      <c r="G7428" s="3" t="s">
        <v>12966</v>
      </c>
      <c r="H7428" s="2" t="s">
        <v>20</v>
      </c>
      <c r="I7428" s="2" t="s">
        <v>15456</v>
      </c>
      <c r="J7428" s="3" t="str">
        <f>HYPERLINK("https://www.boe.es/gazeta/dias/1813/02/16/pdfs/GRE-1813-20.pdf#page=4","Abrir facsímil")</f>
        <v>Abrir facsímil</v>
      </c>
      <c r="K7428" s="3" t="s">
        <v>22</v>
      </c>
    </row>
    <row r="7429" spans="1:11" ht="42" customHeight="1">
      <c r="A7429" s="2" t="s">
        <v>15457</v>
      </c>
      <c r="B7429" s="2" t="s">
        <v>15457</v>
      </c>
      <c r="C7429" s="2" t="s">
        <v>16</v>
      </c>
      <c r="D7429" s="2" t="s">
        <v>17</v>
      </c>
      <c r="E7429" s="5">
        <v>-31735</v>
      </c>
      <c r="F7429" s="3" t="s">
        <v>558</v>
      </c>
      <c r="G7429" s="3" t="s">
        <v>559</v>
      </c>
      <c r="H7429" s="2" t="s">
        <v>20</v>
      </c>
      <c r="I7429" s="2" t="s">
        <v>15458</v>
      </c>
      <c r="J7429" s="3" t="str">
        <f>HYPERLINK("https://www.boe.es/gazeta/dias/1813/02/09/pdfs/GRE-1813-17.pdf#page=5","Abrir facsímil")</f>
        <v>Abrir facsímil</v>
      </c>
      <c r="K7429" s="3" t="s">
        <v>22</v>
      </c>
    </row>
    <row r="7430" spans="1:11" ht="42" customHeight="1">
      <c r="A7430" s="2" t="s">
        <v>15459</v>
      </c>
      <c r="B7430" s="2" t="s">
        <v>15459</v>
      </c>
      <c r="C7430" s="2" t="s">
        <v>16</v>
      </c>
      <c r="D7430" s="2" t="s">
        <v>17</v>
      </c>
      <c r="E7430" s="5">
        <v>-31654</v>
      </c>
      <c r="F7430" s="3" t="s">
        <v>1519</v>
      </c>
      <c r="G7430" s="3" t="s">
        <v>5100</v>
      </c>
      <c r="H7430" s="2" t="s">
        <v>20</v>
      </c>
      <c r="I7430" s="2" t="s">
        <v>15460</v>
      </c>
      <c r="J7430" s="3" t="str">
        <f>HYPERLINK("https://www.boe.es/gazeta/dias/1813/05/01/pdfs/GRE-1813-54.pdf#page=4","Abrir facsímil")</f>
        <v>Abrir facsímil</v>
      </c>
      <c r="K7430" s="3" t="s">
        <v>22</v>
      </c>
    </row>
    <row r="7431" spans="1:11" ht="42" customHeight="1">
      <c r="A7431" s="2" t="s">
        <v>15461</v>
      </c>
      <c r="B7431" s="2" t="s">
        <v>15461</v>
      </c>
      <c r="C7431" s="2" t="s">
        <v>16</v>
      </c>
      <c r="D7431" s="2" t="s">
        <v>17</v>
      </c>
      <c r="E7431" s="5">
        <v>-31446</v>
      </c>
      <c r="F7431" s="3" t="s">
        <v>1078</v>
      </c>
      <c r="G7431" s="3" t="s">
        <v>54</v>
      </c>
      <c r="H7431" s="2" t="s">
        <v>20</v>
      </c>
      <c r="I7431" s="2" t="s">
        <v>15462</v>
      </c>
      <c r="J7431" s="3" t="str">
        <f>HYPERLINK("https://www.boe.es/gazeta/dias/1813/11/25/pdfs/GRE-1813-154.pdf#page=3","Abrir facsímil")</f>
        <v>Abrir facsímil</v>
      </c>
      <c r="K7431" s="3" t="s">
        <v>22</v>
      </c>
    </row>
    <row r="7432" spans="1:11" ht="42" customHeight="1">
      <c r="A7432" s="2" t="s">
        <v>15461</v>
      </c>
      <c r="B7432" s="2" t="s">
        <v>15461</v>
      </c>
      <c r="C7432" s="2" t="s">
        <v>16</v>
      </c>
      <c r="D7432" s="2" t="s">
        <v>17</v>
      </c>
      <c r="E7432" s="5">
        <v>-31416</v>
      </c>
      <c r="F7432" s="3" t="s">
        <v>110</v>
      </c>
      <c r="G7432" s="3" t="s">
        <v>1590</v>
      </c>
      <c r="H7432" s="2" t="s">
        <v>20</v>
      </c>
      <c r="I7432" s="2" t="s">
        <v>15463</v>
      </c>
      <c r="J7432" s="3" t="str">
        <f>HYPERLINK("https://www.boe.es/gazeta/dias/1813/12/25/pdfs/GRE-1813-169.pdf#page=4","Abrir facsímil")</f>
        <v>Abrir facsímil</v>
      </c>
      <c r="K7432" s="3" t="s">
        <v>22</v>
      </c>
    </row>
    <row r="7433" spans="1:11" ht="42" customHeight="1">
      <c r="A7433" s="2" t="s">
        <v>15464</v>
      </c>
      <c r="B7433" s="2" t="s">
        <v>15464</v>
      </c>
      <c r="C7433" s="2" t="s">
        <v>16</v>
      </c>
      <c r="D7433" s="2" t="s">
        <v>17</v>
      </c>
      <c r="E7433" s="5">
        <v>-31437</v>
      </c>
      <c r="F7433" s="3" t="s">
        <v>217</v>
      </c>
      <c r="G7433" s="3" t="s">
        <v>54</v>
      </c>
      <c r="H7433" s="2" t="s">
        <v>20</v>
      </c>
      <c r="I7433" s="2" t="s">
        <v>15465</v>
      </c>
      <c r="J7433" s="3" t="str">
        <f>HYPERLINK("https://www.boe.es/gazeta/dias/1813/12/04/pdfs/GRE-1813-160.pdf#page=3","Abrir facsímil")</f>
        <v>Abrir facsímil</v>
      </c>
      <c r="K7433" s="3" t="s">
        <v>22</v>
      </c>
    </row>
    <row r="7434" spans="1:11" ht="42" customHeight="1">
      <c r="A7434" s="2" t="s">
        <v>15466</v>
      </c>
      <c r="B7434" s="2" t="s">
        <v>15466</v>
      </c>
      <c r="C7434" s="2" t="s">
        <v>16</v>
      </c>
      <c r="D7434" s="2" t="s">
        <v>17</v>
      </c>
      <c r="E7434" s="5">
        <v>-31567</v>
      </c>
      <c r="F7434" s="3" t="s">
        <v>820</v>
      </c>
      <c r="G7434" s="3" t="s">
        <v>87</v>
      </c>
      <c r="H7434" s="2" t="s">
        <v>20</v>
      </c>
      <c r="I7434" s="2" t="s">
        <v>15467</v>
      </c>
      <c r="J7434" s="3" t="str">
        <f>HYPERLINK("https://www.boe.es/gazeta/dias/1813/07/27/pdfs/GMR-1813-21.pdf#page=7","Abrir facsímil")</f>
        <v>Abrir facsímil</v>
      </c>
      <c r="K7434" s="3" t="s">
        <v>22</v>
      </c>
    </row>
    <row r="7435" spans="1:11" ht="42" customHeight="1">
      <c r="A7435" s="2" t="s">
        <v>15468</v>
      </c>
      <c r="B7435" s="2" t="s">
        <v>15468</v>
      </c>
      <c r="C7435" s="2" t="s">
        <v>16</v>
      </c>
      <c r="D7435" s="2" t="s">
        <v>17</v>
      </c>
      <c r="E7435" s="5">
        <v>-31455</v>
      </c>
      <c r="F7435" s="3" t="s">
        <v>693</v>
      </c>
      <c r="G7435" s="3" t="s">
        <v>95</v>
      </c>
      <c r="H7435" s="2" t="s">
        <v>20</v>
      </c>
      <c r="I7435" s="2" t="s">
        <v>15469</v>
      </c>
      <c r="J7435" s="3" t="str">
        <f>HYPERLINK("https://www.boe.es/gazeta/dias/1813/11/16/pdfs/GRE-1813-150.pdf#page=6","Abrir facsímil")</f>
        <v>Abrir facsímil</v>
      </c>
      <c r="K7435" s="3" t="s">
        <v>22</v>
      </c>
    </row>
    <row r="7436" spans="1:11" ht="42" customHeight="1">
      <c r="A7436" s="2" t="s">
        <v>15470</v>
      </c>
      <c r="B7436" s="2" t="s">
        <v>15470</v>
      </c>
      <c r="C7436" s="2" t="s">
        <v>16</v>
      </c>
      <c r="D7436" s="2" t="s">
        <v>97</v>
      </c>
      <c r="E7436" s="5">
        <v>-31446</v>
      </c>
      <c r="F7436" s="3" t="s">
        <v>1877</v>
      </c>
      <c r="G7436" s="3" t="s">
        <v>1878</v>
      </c>
      <c r="H7436" s="2" t="s">
        <v>20</v>
      </c>
      <c r="I7436" s="2" t="s">
        <v>15471</v>
      </c>
      <c r="J7436" s="3" t="str">
        <f>HYPERLINK("https://www.boe.es/gazeta/dias/1813/11/25/pdfs/GRE-1813-155E.pdf#page=8","Abrir facsímil")</f>
        <v>Abrir facsímil</v>
      </c>
      <c r="K7436" s="3" t="s">
        <v>22</v>
      </c>
    </row>
    <row r="7437" spans="1:11" ht="42" customHeight="1">
      <c r="A7437" s="2" t="s">
        <v>15472</v>
      </c>
      <c r="B7437" s="2" t="s">
        <v>15472</v>
      </c>
      <c r="C7437" s="2" t="s">
        <v>16</v>
      </c>
      <c r="D7437" s="2" t="s">
        <v>17</v>
      </c>
      <c r="E7437" s="5">
        <v>-31451</v>
      </c>
      <c r="F7437" s="3" t="s">
        <v>127</v>
      </c>
      <c r="G7437" s="3" t="s">
        <v>58</v>
      </c>
      <c r="H7437" s="2" t="s">
        <v>20</v>
      </c>
      <c r="I7437" s="2" t="s">
        <v>15473</v>
      </c>
      <c r="J7437" s="3" t="str">
        <f>HYPERLINK("https://www.boe.es/gazeta/dias/1813/11/20/pdfs/GRE-1813-152.pdf#page=2","Abrir facsímil")</f>
        <v>Abrir facsímil</v>
      </c>
      <c r="K7437" s="3" t="s">
        <v>22</v>
      </c>
    </row>
    <row r="7438" spans="1:11" ht="42" customHeight="1">
      <c r="A7438" s="2" t="s">
        <v>15474</v>
      </c>
      <c r="B7438" s="2" t="s">
        <v>15474</v>
      </c>
      <c r="C7438" s="2" t="s">
        <v>16</v>
      </c>
      <c r="D7438" s="2" t="s">
        <v>17</v>
      </c>
      <c r="E7438" s="5">
        <v>-31420</v>
      </c>
      <c r="F7438" s="3" t="s">
        <v>145</v>
      </c>
      <c r="G7438" s="3" t="s">
        <v>19</v>
      </c>
      <c r="H7438" s="2" t="s">
        <v>20</v>
      </c>
      <c r="I7438" s="2" t="s">
        <v>15475</v>
      </c>
      <c r="J7438" s="3" t="str">
        <f>HYPERLINK("https://www.boe.es/gazeta/dias/1813/12/21/pdfs/GMR-1813-90.pdf#page=4","Abrir facsímil")</f>
        <v>Abrir facsímil</v>
      </c>
      <c r="K7438" s="3" t="s">
        <v>22</v>
      </c>
    </row>
    <row r="7439" spans="1:11" ht="42" customHeight="1">
      <c r="A7439" s="2" t="s">
        <v>15476</v>
      </c>
      <c r="B7439" s="2" t="s">
        <v>15476</v>
      </c>
      <c r="C7439" s="2" t="s">
        <v>16</v>
      </c>
      <c r="D7439" s="2" t="s">
        <v>17</v>
      </c>
      <c r="E7439" s="5">
        <v>-31606</v>
      </c>
      <c r="F7439" s="3" t="s">
        <v>124</v>
      </c>
      <c r="G7439" s="3" t="s">
        <v>58</v>
      </c>
      <c r="H7439" s="2" t="s">
        <v>20</v>
      </c>
      <c r="I7439" s="2" t="s">
        <v>15477</v>
      </c>
      <c r="J7439" s="3" t="str">
        <f>HYPERLINK("https://www.boe.es/gazeta/dias/1813/06/18/pdfs/GMR-1813-7.pdf#page=2","Abrir facsímil")</f>
        <v>Abrir facsímil</v>
      </c>
      <c r="K7439" s="3" t="s">
        <v>22</v>
      </c>
    </row>
    <row r="7440" spans="1:11" ht="42" customHeight="1">
      <c r="A7440" s="2" t="s">
        <v>15476</v>
      </c>
      <c r="B7440" s="2" t="s">
        <v>15476</v>
      </c>
      <c r="C7440" s="2" t="s">
        <v>16</v>
      </c>
      <c r="D7440" s="2" t="s">
        <v>17</v>
      </c>
      <c r="E7440" s="5">
        <v>-31599</v>
      </c>
      <c r="F7440" s="3" t="s">
        <v>2470</v>
      </c>
      <c r="G7440" s="3" t="s">
        <v>82</v>
      </c>
      <c r="H7440" s="2" t="s">
        <v>20</v>
      </c>
      <c r="I7440" s="2" t="s">
        <v>15478</v>
      </c>
      <c r="J7440" s="3" t="str">
        <f>HYPERLINK("https://www.boe.es/gazeta/dias/1813/06/25/pdfs/GMR-1813-11.pdf#page=5","Abrir facsímil")</f>
        <v>Abrir facsímil</v>
      </c>
      <c r="K7440" s="3" t="s">
        <v>22</v>
      </c>
    </row>
    <row r="7441" spans="1:11" ht="42" customHeight="1">
      <c r="A7441" s="2" t="s">
        <v>15476</v>
      </c>
      <c r="B7441" s="2" t="s">
        <v>15476</v>
      </c>
      <c r="C7441" s="2" t="s">
        <v>16</v>
      </c>
      <c r="D7441" s="2" t="s">
        <v>17</v>
      </c>
      <c r="E7441" s="5">
        <v>-31595</v>
      </c>
      <c r="F7441" s="3" t="s">
        <v>70</v>
      </c>
      <c r="G7441" s="3" t="s">
        <v>87</v>
      </c>
      <c r="H7441" s="2" t="s">
        <v>20</v>
      </c>
      <c r="I7441" s="2" t="s">
        <v>15479</v>
      </c>
      <c r="J7441" s="3" t="str">
        <f>HYPERLINK("https://www.boe.es/gazeta/dias/1813/06/29/pdfs/GMR-1813-13.pdf#page=7","Abrir facsímil")</f>
        <v>Abrir facsímil</v>
      </c>
      <c r="K7441" s="3" t="s">
        <v>22</v>
      </c>
    </row>
    <row r="7442" spans="1:11" ht="42" customHeight="1">
      <c r="A7442" s="2" t="s">
        <v>15476</v>
      </c>
      <c r="B7442" s="2" t="s">
        <v>15476</v>
      </c>
      <c r="C7442" s="2" t="s">
        <v>16</v>
      </c>
      <c r="D7442" s="2" t="s">
        <v>17</v>
      </c>
      <c r="E7442" s="5">
        <v>-31539</v>
      </c>
      <c r="F7442" s="3" t="s">
        <v>1316</v>
      </c>
      <c r="G7442" s="3" t="s">
        <v>58</v>
      </c>
      <c r="H7442" s="2" t="s">
        <v>20</v>
      </c>
      <c r="I7442" s="2" t="s">
        <v>15480</v>
      </c>
      <c r="J7442" s="3" t="str">
        <f>HYPERLINK("https://www.boe.es/gazeta/dias/1813/08/24/pdfs/GMR-1813-32.pdf#page=2","Abrir facsímil")</f>
        <v>Abrir facsímil</v>
      </c>
      <c r="K7442" s="3" t="s">
        <v>22</v>
      </c>
    </row>
    <row r="7443" spans="1:11" ht="42" customHeight="1">
      <c r="A7443" s="2" t="s">
        <v>15476</v>
      </c>
      <c r="B7443" s="2" t="s">
        <v>15476</v>
      </c>
      <c r="C7443" s="2" t="s">
        <v>16</v>
      </c>
      <c r="D7443" s="2" t="s">
        <v>17</v>
      </c>
      <c r="E7443" s="5">
        <v>-31474</v>
      </c>
      <c r="F7443" s="3" t="s">
        <v>130</v>
      </c>
      <c r="G7443" s="3" t="s">
        <v>82</v>
      </c>
      <c r="H7443" s="2" t="s">
        <v>20</v>
      </c>
      <c r="I7443" s="2" t="s">
        <v>15481</v>
      </c>
      <c r="J7443" s="3" t="str">
        <f>HYPERLINK("https://www.boe.es/gazeta/dias/1813/10/28/pdfs/GRE-1813-141.pdf#page=5","Abrir facsímil")</f>
        <v>Abrir facsímil</v>
      </c>
      <c r="K7443" s="3" t="s">
        <v>22</v>
      </c>
    </row>
    <row r="7444" spans="1:11" ht="42" customHeight="1">
      <c r="A7444" s="2" t="s">
        <v>15476</v>
      </c>
      <c r="B7444" s="2" t="s">
        <v>15476</v>
      </c>
      <c r="C7444" s="2" t="s">
        <v>16</v>
      </c>
      <c r="D7444" s="2" t="s">
        <v>17</v>
      </c>
      <c r="E7444" s="5">
        <v>-31460</v>
      </c>
      <c r="F7444" s="3" t="s">
        <v>599</v>
      </c>
      <c r="G7444" s="3" t="s">
        <v>58</v>
      </c>
      <c r="H7444" s="2" t="s">
        <v>20</v>
      </c>
      <c r="I7444" s="2" t="s">
        <v>15482</v>
      </c>
      <c r="J7444" s="3" t="str">
        <f>HYPERLINK("https://www.boe.es/gazeta/dias/1813/11/11/pdfs/GMR-1813-72.pdf#page=2","Abrir facsímil")</f>
        <v>Abrir facsímil</v>
      </c>
      <c r="K7444" s="3" t="s">
        <v>22</v>
      </c>
    </row>
    <row r="7445" spans="1:11" ht="42" customHeight="1">
      <c r="A7445" s="2" t="s">
        <v>15476</v>
      </c>
      <c r="B7445" s="2" t="s">
        <v>15476</v>
      </c>
      <c r="C7445" s="2" t="s">
        <v>16</v>
      </c>
      <c r="D7445" s="2" t="s">
        <v>17</v>
      </c>
      <c r="E7445" s="5">
        <v>-31458</v>
      </c>
      <c r="F7445" s="3" t="s">
        <v>2315</v>
      </c>
      <c r="G7445" s="3" t="s">
        <v>54</v>
      </c>
      <c r="H7445" s="2" t="s">
        <v>20</v>
      </c>
      <c r="I7445" s="2" t="s">
        <v>15483</v>
      </c>
      <c r="J7445" s="3" t="str">
        <f>HYPERLINK("https://www.boe.es/gazeta/dias/1813/11/13/pdfs/GMR-1813-73.pdf#page=3","Abrir facsímil")</f>
        <v>Abrir facsímil</v>
      </c>
      <c r="K7445" s="3" t="s">
        <v>22</v>
      </c>
    </row>
    <row r="7446" spans="1:11" ht="42" customHeight="1">
      <c r="A7446" s="2" t="s">
        <v>15476</v>
      </c>
      <c r="B7446" s="2" t="s">
        <v>15476</v>
      </c>
      <c r="C7446" s="2" t="s">
        <v>16</v>
      </c>
      <c r="D7446" s="2" t="s">
        <v>17</v>
      </c>
      <c r="E7446" s="5">
        <v>-31448</v>
      </c>
      <c r="F7446" s="3" t="s">
        <v>325</v>
      </c>
      <c r="G7446" s="3" t="s">
        <v>19</v>
      </c>
      <c r="H7446" s="2" t="s">
        <v>20</v>
      </c>
      <c r="I7446" s="2" t="s">
        <v>15484</v>
      </c>
      <c r="J7446" s="3" t="str">
        <f>HYPERLINK("https://www.boe.es/gazeta/dias/1813/11/23/pdfs/GMR-1813-78.pdf#page=4","Abrir facsímil")</f>
        <v>Abrir facsímil</v>
      </c>
      <c r="K7446" s="3" t="s">
        <v>22</v>
      </c>
    </row>
    <row r="7447" spans="1:11" ht="42" customHeight="1">
      <c r="A7447" s="2" t="s">
        <v>15476</v>
      </c>
      <c r="B7447" s="2" t="s">
        <v>15476</v>
      </c>
      <c r="C7447" s="2" t="s">
        <v>16</v>
      </c>
      <c r="D7447" s="2" t="s">
        <v>17</v>
      </c>
      <c r="E7447" s="5">
        <v>-31446</v>
      </c>
      <c r="F7447" s="3" t="s">
        <v>103</v>
      </c>
      <c r="G7447" s="3" t="s">
        <v>54</v>
      </c>
      <c r="H7447" s="2" t="s">
        <v>20</v>
      </c>
      <c r="I7447" s="2" t="s">
        <v>15485</v>
      </c>
      <c r="J7447" s="3" t="str">
        <f>HYPERLINK("https://www.boe.es/gazeta/dias/1813/11/25/pdfs/GMR-1813-79.pdf#page=3","Abrir facsímil")</f>
        <v>Abrir facsímil</v>
      </c>
      <c r="K7447" s="3" t="s">
        <v>22</v>
      </c>
    </row>
    <row r="7448" spans="1:11" ht="42" customHeight="1">
      <c r="A7448" s="2" t="s">
        <v>15476</v>
      </c>
      <c r="B7448" s="2" t="s">
        <v>15476</v>
      </c>
      <c r="C7448" s="2" t="s">
        <v>16</v>
      </c>
      <c r="D7448" s="2" t="s">
        <v>17</v>
      </c>
      <c r="E7448" s="5">
        <v>-31441</v>
      </c>
      <c r="F7448" s="3" t="s">
        <v>1933</v>
      </c>
      <c r="G7448" s="3" t="s">
        <v>82</v>
      </c>
      <c r="H7448" s="2" t="s">
        <v>20</v>
      </c>
      <c r="I7448" s="2" t="s">
        <v>15486</v>
      </c>
      <c r="J7448" s="3" t="str">
        <f>HYPERLINK("https://www.boe.es/gazeta/dias/1813/11/30/pdfs/GMR-1813-81.pdf#page=5","Abrir facsímil")</f>
        <v>Abrir facsímil</v>
      </c>
      <c r="K7448" s="3" t="s">
        <v>22</v>
      </c>
    </row>
    <row r="7449" spans="1:11" ht="42" customHeight="1">
      <c r="A7449" s="2" t="s">
        <v>15476</v>
      </c>
      <c r="B7449" s="2" t="s">
        <v>15476</v>
      </c>
      <c r="C7449" s="2" t="s">
        <v>16</v>
      </c>
      <c r="D7449" s="2" t="s">
        <v>17</v>
      </c>
      <c r="E7449" s="5">
        <v>-31437</v>
      </c>
      <c r="F7449" s="3" t="s">
        <v>680</v>
      </c>
      <c r="G7449" s="3" t="s">
        <v>65</v>
      </c>
      <c r="H7449" s="2" t="s">
        <v>20</v>
      </c>
      <c r="I7449" s="2" t="s">
        <v>15487</v>
      </c>
      <c r="J7449" s="3" t="str">
        <f>HYPERLINK("https://www.boe.es/gazeta/dias/1813/12/04/pdfs/GMR-1813-83.pdf#page=1","Abrir facsímil")</f>
        <v>Abrir facsímil</v>
      </c>
      <c r="K7449" s="3" t="s">
        <v>22</v>
      </c>
    </row>
    <row r="7450" spans="1:11" ht="42" customHeight="1">
      <c r="A7450" s="2" t="s">
        <v>15476</v>
      </c>
      <c r="B7450" s="2" t="s">
        <v>15476</v>
      </c>
      <c r="C7450" s="2" t="s">
        <v>16</v>
      </c>
      <c r="D7450" s="2" t="s">
        <v>17</v>
      </c>
      <c r="E7450" s="5">
        <v>-31437</v>
      </c>
      <c r="F7450" s="3" t="s">
        <v>680</v>
      </c>
      <c r="G7450" s="3" t="s">
        <v>58</v>
      </c>
      <c r="H7450" s="2" t="s">
        <v>20</v>
      </c>
      <c r="I7450" s="2" t="s">
        <v>15488</v>
      </c>
      <c r="J7450" s="3" t="str">
        <f>HYPERLINK("https://www.boe.es/gazeta/dias/1813/12/04/pdfs/GMR-1813-83.pdf#page=2","Abrir facsímil")</f>
        <v>Abrir facsímil</v>
      </c>
      <c r="K7450" s="3" t="s">
        <v>22</v>
      </c>
    </row>
    <row r="7451" spans="1:11" ht="42" customHeight="1">
      <c r="A7451" s="2" t="s">
        <v>15476</v>
      </c>
      <c r="B7451" s="2" t="s">
        <v>15476</v>
      </c>
      <c r="C7451" s="2" t="s">
        <v>16</v>
      </c>
      <c r="D7451" s="2" t="s">
        <v>17</v>
      </c>
      <c r="E7451" s="5">
        <v>-31425</v>
      </c>
      <c r="F7451" s="3" t="s">
        <v>1955</v>
      </c>
      <c r="G7451" s="3" t="s">
        <v>19</v>
      </c>
      <c r="H7451" s="2" t="s">
        <v>20</v>
      </c>
      <c r="I7451" s="2" t="s">
        <v>15489</v>
      </c>
      <c r="J7451" s="3" t="str">
        <f>HYPERLINK("https://www.boe.es/gazeta/dias/1813/12/16/pdfs/GMR-1813-88.pdf#page=4","Abrir facsímil")</f>
        <v>Abrir facsímil</v>
      </c>
      <c r="K7451" s="3" t="s">
        <v>22</v>
      </c>
    </row>
    <row r="7452" spans="1:11" ht="42" customHeight="1">
      <c r="A7452" s="2" t="s">
        <v>15490</v>
      </c>
      <c r="B7452" s="2" t="s">
        <v>15490</v>
      </c>
      <c r="C7452" s="2" t="s">
        <v>16</v>
      </c>
      <c r="D7452" s="2" t="s">
        <v>17</v>
      </c>
      <c r="E7452" s="5">
        <v>-31649</v>
      </c>
      <c r="F7452" s="3" t="s">
        <v>1057</v>
      </c>
      <c r="G7452" s="3" t="s">
        <v>54</v>
      </c>
      <c r="H7452" s="2" t="s">
        <v>20</v>
      </c>
      <c r="I7452" s="2" t="s">
        <v>15491</v>
      </c>
      <c r="J7452" s="3" t="str">
        <f>HYPERLINK("https://www.boe.es/gazeta/dias/1813/05/06/pdfs/GRE-1813-56.pdf#page=3","Abrir facsímil")</f>
        <v>Abrir facsímil</v>
      </c>
      <c r="K7452" s="3" t="s">
        <v>22</v>
      </c>
    </row>
    <row r="7453" spans="1:11" ht="42" customHeight="1">
      <c r="A7453" s="2" t="s">
        <v>15490</v>
      </c>
      <c r="B7453" s="2" t="s">
        <v>15490</v>
      </c>
      <c r="C7453" s="2" t="s">
        <v>16</v>
      </c>
      <c r="D7453" s="2" t="s">
        <v>17</v>
      </c>
      <c r="E7453" s="5">
        <v>-31618</v>
      </c>
      <c r="F7453" s="3" t="s">
        <v>1057</v>
      </c>
      <c r="G7453" s="3" t="s">
        <v>54</v>
      </c>
      <c r="H7453" s="2" t="s">
        <v>20</v>
      </c>
      <c r="I7453" s="2" t="s">
        <v>15491</v>
      </c>
      <c r="J7453" s="3" t="str">
        <f>HYPERLINK("https://www.boe.es/gazeta/dias/1813/06/06/pdfs/GRE-1813-56.pdf#page=3","Abrir facsímil")</f>
        <v>Abrir facsímil</v>
      </c>
      <c r="K7453" s="3" t="s">
        <v>22</v>
      </c>
    </row>
    <row r="7454" spans="1:11" ht="42" customHeight="1">
      <c r="A7454" s="2" t="s">
        <v>15492</v>
      </c>
      <c r="B7454" s="2" t="s">
        <v>15492</v>
      </c>
      <c r="C7454" s="2" t="s">
        <v>16</v>
      </c>
      <c r="D7454" s="2" t="s">
        <v>17</v>
      </c>
      <c r="E7454" s="5">
        <v>-31446</v>
      </c>
      <c r="F7454" s="3" t="s">
        <v>1078</v>
      </c>
      <c r="G7454" s="3" t="s">
        <v>54</v>
      </c>
      <c r="H7454" s="2" t="s">
        <v>20</v>
      </c>
      <c r="I7454" s="2" t="s">
        <v>15493</v>
      </c>
      <c r="J7454" s="3" t="str">
        <f>HYPERLINK("https://www.boe.es/gazeta/dias/1813/11/25/pdfs/GRE-1813-154.pdf#page=3","Abrir facsímil")</f>
        <v>Abrir facsímil</v>
      </c>
      <c r="K7454" s="3" t="s">
        <v>22</v>
      </c>
    </row>
    <row r="7455" spans="1:11" ht="42" customHeight="1">
      <c r="A7455" s="2" t="s">
        <v>15494</v>
      </c>
      <c r="B7455" s="2" t="s">
        <v>15494</v>
      </c>
      <c r="C7455" s="2" t="s">
        <v>16</v>
      </c>
      <c r="D7455" s="2" t="s">
        <v>17</v>
      </c>
      <c r="E7455" s="5">
        <v>-31654</v>
      </c>
      <c r="F7455" s="3" t="s">
        <v>1519</v>
      </c>
      <c r="G7455" s="3" t="s">
        <v>5100</v>
      </c>
      <c r="H7455" s="2" t="s">
        <v>20</v>
      </c>
      <c r="I7455" s="2" t="s">
        <v>15495</v>
      </c>
      <c r="J7455" s="3" t="str">
        <f>HYPERLINK("https://www.boe.es/gazeta/dias/1813/05/01/pdfs/GRE-1813-54.pdf#page=4","Abrir facsímil")</f>
        <v>Abrir facsímil</v>
      </c>
      <c r="K7455" s="3" t="s">
        <v>22</v>
      </c>
    </row>
    <row r="7456" spans="1:11" ht="42" customHeight="1">
      <c r="A7456" s="2" t="s">
        <v>15494</v>
      </c>
      <c r="B7456" s="2" t="s">
        <v>15494</v>
      </c>
      <c r="C7456" s="2" t="s">
        <v>16</v>
      </c>
      <c r="D7456" s="2" t="s">
        <v>17</v>
      </c>
      <c r="E7456" s="5">
        <v>-31613</v>
      </c>
      <c r="F7456" s="3" t="s">
        <v>1629</v>
      </c>
      <c r="G7456" s="3" t="s">
        <v>15496</v>
      </c>
      <c r="H7456" s="2" t="s">
        <v>20</v>
      </c>
      <c r="I7456" s="2" t="s">
        <v>15497</v>
      </c>
      <c r="J7456" s="3" t="str">
        <f>HYPERLINK("https://www.boe.es/gazeta/dias/1813/06/11/pdfs/GMR-1813-4.pdf#page=2","Abrir facsímil")</f>
        <v>Abrir facsímil</v>
      </c>
      <c r="K7456" s="3" t="s">
        <v>22</v>
      </c>
    </row>
    <row r="7457" spans="1:11" ht="42" customHeight="1">
      <c r="A7457" s="2" t="s">
        <v>15498</v>
      </c>
      <c r="B7457" s="2" t="s">
        <v>15498</v>
      </c>
      <c r="C7457" s="2" t="s">
        <v>16</v>
      </c>
      <c r="D7457" s="2" t="s">
        <v>17</v>
      </c>
      <c r="E7457" s="5">
        <v>-31602</v>
      </c>
      <c r="F7457" s="3" t="s">
        <v>4545</v>
      </c>
      <c r="G7457" s="3" t="s">
        <v>19</v>
      </c>
      <c r="H7457" s="2" t="s">
        <v>20</v>
      </c>
      <c r="I7457" s="2" t="s">
        <v>15499</v>
      </c>
      <c r="J7457" s="3" t="str">
        <f>HYPERLINK("https://www.boe.es/gazeta/dias/1813/06/22/pdfs/GRE-1813-77.pdf#page=4","Abrir facsímil")</f>
        <v>Abrir facsímil</v>
      </c>
      <c r="K7457" s="3" t="s">
        <v>22</v>
      </c>
    </row>
    <row r="7458" spans="1:11" ht="42" customHeight="1">
      <c r="A7458" s="2" t="s">
        <v>15494</v>
      </c>
      <c r="B7458" s="2" t="s">
        <v>15494</v>
      </c>
      <c r="C7458" s="2" t="s">
        <v>16</v>
      </c>
      <c r="D7458" s="2" t="s">
        <v>17</v>
      </c>
      <c r="E7458" s="5">
        <v>-31578</v>
      </c>
      <c r="F7458" s="3" t="s">
        <v>974</v>
      </c>
      <c r="G7458" s="3" t="s">
        <v>6206</v>
      </c>
      <c r="H7458" s="2" t="s">
        <v>20</v>
      </c>
      <c r="I7458" s="2" t="s">
        <v>15500</v>
      </c>
      <c r="J7458" s="3" t="str">
        <f>HYPERLINK("https://www.boe.es/gazeta/dias/1813/07/16/pdfs/GMR-1813-18.pdf#page=2","Abrir facsímil")</f>
        <v>Abrir facsímil</v>
      </c>
      <c r="K7458" s="3" t="s">
        <v>22</v>
      </c>
    </row>
    <row r="7459" spans="1:11" ht="42" customHeight="1">
      <c r="A7459" s="2" t="s">
        <v>15494</v>
      </c>
      <c r="B7459" s="2" t="s">
        <v>15494</v>
      </c>
      <c r="C7459" s="2" t="s">
        <v>16</v>
      </c>
      <c r="D7459" s="2" t="s">
        <v>17</v>
      </c>
      <c r="E7459" s="5">
        <v>-31578</v>
      </c>
      <c r="F7459" s="3" t="s">
        <v>974</v>
      </c>
      <c r="G7459" s="3" t="s">
        <v>82</v>
      </c>
      <c r="H7459" s="2" t="s">
        <v>20</v>
      </c>
      <c r="I7459" s="2" t="s">
        <v>15501</v>
      </c>
      <c r="J7459" s="3" t="str">
        <f>HYPERLINK("https://www.boe.es/gazeta/dias/1813/07/16/pdfs/GMR-1813-18.pdf#page=5","Abrir facsímil")</f>
        <v>Abrir facsímil</v>
      </c>
      <c r="K7459" s="3" t="s">
        <v>22</v>
      </c>
    </row>
    <row r="7460" spans="1:11" ht="42" customHeight="1">
      <c r="A7460" s="2" t="s">
        <v>15502</v>
      </c>
      <c r="B7460" s="2" t="s">
        <v>15502</v>
      </c>
      <c r="C7460" s="2" t="s">
        <v>16</v>
      </c>
      <c r="D7460" s="2" t="s">
        <v>17</v>
      </c>
      <c r="E7460" s="5">
        <v>-31528</v>
      </c>
      <c r="F7460" s="3" t="s">
        <v>141</v>
      </c>
      <c r="G7460" s="3" t="s">
        <v>58</v>
      </c>
      <c r="H7460" s="2" t="s">
        <v>20</v>
      </c>
      <c r="I7460" s="2" t="s">
        <v>15503</v>
      </c>
      <c r="J7460" s="3" t="str">
        <f>HYPERLINK("https://www.boe.es/gazeta/dias/1813/09/04/pdfs/GMR-1813-37.pdf#page=2","Abrir facsímil")</f>
        <v>Abrir facsímil</v>
      </c>
      <c r="K7460" s="3" t="s">
        <v>22</v>
      </c>
    </row>
    <row r="7461" spans="1:11" ht="42" customHeight="1">
      <c r="A7461" s="2" t="s">
        <v>15494</v>
      </c>
      <c r="B7461" s="2" t="s">
        <v>15494</v>
      </c>
      <c r="C7461" s="2" t="s">
        <v>16</v>
      </c>
      <c r="D7461" s="2" t="s">
        <v>17</v>
      </c>
      <c r="E7461" s="5">
        <v>-31497</v>
      </c>
      <c r="F7461" s="3" t="s">
        <v>223</v>
      </c>
      <c r="G7461" s="3" t="s">
        <v>95</v>
      </c>
      <c r="H7461" s="2" t="s">
        <v>20</v>
      </c>
      <c r="I7461" s="2" t="s">
        <v>15504</v>
      </c>
      <c r="J7461" s="3" t="str">
        <f>HYPERLINK("https://www.boe.es/gazeta/dias/1813/10/05/pdfs/GRE-1813-130.pdf#page=6","Abrir facsímil")</f>
        <v>Abrir facsímil</v>
      </c>
      <c r="K7461" s="3" t="s">
        <v>22</v>
      </c>
    </row>
    <row r="7462" spans="1:11" ht="42" customHeight="1">
      <c r="A7462" s="2" t="s">
        <v>15494</v>
      </c>
      <c r="B7462" s="2" t="s">
        <v>15494</v>
      </c>
      <c r="C7462" s="2" t="s">
        <v>16</v>
      </c>
      <c r="D7462" s="2" t="s">
        <v>17</v>
      </c>
      <c r="E7462" s="5">
        <v>-31481</v>
      </c>
      <c r="F7462" s="3" t="s">
        <v>40</v>
      </c>
      <c r="G7462" s="3" t="s">
        <v>54</v>
      </c>
      <c r="H7462" s="2" t="s">
        <v>20</v>
      </c>
      <c r="I7462" s="2" t="s">
        <v>15505</v>
      </c>
      <c r="J7462" s="3" t="str">
        <f>HYPERLINK("https://www.boe.es/gazeta/dias/1813/10/21/pdfs/GMR-1813-62.pdf#page=3","Abrir facsímil")</f>
        <v>Abrir facsímil</v>
      </c>
      <c r="K7462" s="3" t="s">
        <v>22</v>
      </c>
    </row>
    <row r="7463" spans="1:11" ht="42" customHeight="1">
      <c r="A7463" s="2" t="s">
        <v>15494</v>
      </c>
      <c r="B7463" s="2" t="s">
        <v>15494</v>
      </c>
      <c r="C7463" s="2" t="s">
        <v>16</v>
      </c>
      <c r="D7463" s="2" t="s">
        <v>17</v>
      </c>
      <c r="E7463" s="5">
        <v>-31446</v>
      </c>
      <c r="F7463" s="3" t="s">
        <v>1078</v>
      </c>
      <c r="G7463" s="3" t="s">
        <v>54</v>
      </c>
      <c r="H7463" s="2" t="s">
        <v>20</v>
      </c>
      <c r="I7463" s="2" t="s">
        <v>15506</v>
      </c>
      <c r="J7463" s="3" t="str">
        <f>HYPERLINK("https://www.boe.es/gazeta/dias/1813/11/25/pdfs/GRE-1813-154.pdf#page=3","Abrir facsímil")</f>
        <v>Abrir facsímil</v>
      </c>
      <c r="K7463" s="3" t="s">
        <v>22</v>
      </c>
    </row>
    <row r="7464" spans="1:11" ht="42" customHeight="1">
      <c r="A7464" s="2" t="s">
        <v>15507</v>
      </c>
      <c r="B7464" s="2" t="s">
        <v>15508</v>
      </c>
      <c r="C7464" s="2" t="s">
        <v>34</v>
      </c>
      <c r="D7464" s="2" t="s">
        <v>35</v>
      </c>
      <c r="E7464" s="5">
        <v>-31546</v>
      </c>
      <c r="F7464" s="3" t="s">
        <v>461</v>
      </c>
      <c r="G7464" s="3" t="s">
        <v>87</v>
      </c>
      <c r="H7464" s="2" t="s">
        <v>20</v>
      </c>
      <c r="I7464" s="2" t="s">
        <v>15509</v>
      </c>
      <c r="J7464" s="3" t="str">
        <f>HYPERLINK("https://www.boe.es/gazeta/dias/1813/08/17/pdfs/GMR-1813-29.pdf#page=7","Abrir facsímil")</f>
        <v>Abrir facsímil</v>
      </c>
      <c r="K7464" s="3" t="s">
        <v>22</v>
      </c>
    </row>
    <row r="7465" spans="1:11" ht="42" customHeight="1">
      <c r="A7465" s="2" t="s">
        <v>15510</v>
      </c>
      <c r="B7465" s="2" t="s">
        <v>15511</v>
      </c>
      <c r="C7465" s="2" t="s">
        <v>16</v>
      </c>
      <c r="D7465" s="2" t="s">
        <v>17</v>
      </c>
      <c r="E7465" s="5">
        <v>-31732</v>
      </c>
      <c r="F7465" s="3" t="s">
        <v>1904</v>
      </c>
      <c r="G7465" s="3" t="s">
        <v>54</v>
      </c>
      <c r="H7465" s="2" t="s">
        <v>20</v>
      </c>
      <c r="I7465" s="2" t="s">
        <v>15512</v>
      </c>
      <c r="J7465" s="3" t="str">
        <f>HYPERLINK("https://www.boe.es/gazeta/dias/1813/02/12/pdfs/GMD-1813-43.pdf#page=3","Abrir facsímil")</f>
        <v>Abrir facsímil</v>
      </c>
      <c r="K7465" s="3" t="s">
        <v>22</v>
      </c>
    </row>
    <row r="7466" spans="1:11" ht="42" customHeight="1">
      <c r="A7466" s="2" t="s">
        <v>15513</v>
      </c>
      <c r="B7466" s="2" t="s">
        <v>15514</v>
      </c>
      <c r="C7466" s="2" t="s">
        <v>16</v>
      </c>
      <c r="D7466" s="2" t="s">
        <v>17</v>
      </c>
      <c r="E7466" s="5">
        <v>-31754</v>
      </c>
      <c r="F7466" s="3" t="s">
        <v>899</v>
      </c>
      <c r="G7466" s="3" t="s">
        <v>900</v>
      </c>
      <c r="H7466" s="2" t="s">
        <v>20</v>
      </c>
      <c r="I7466" s="2" t="s">
        <v>15515</v>
      </c>
      <c r="J7466" s="3" t="str">
        <f>HYPERLINK("https://www.boe.es/gazeta/dias/1813/01/21/pdfs/GRE-1813-9.pdf#page=8","Abrir facsímil")</f>
        <v>Abrir facsímil</v>
      </c>
      <c r="K7466" s="3" t="s">
        <v>22</v>
      </c>
    </row>
    <row r="7467" spans="1:11" ht="42" customHeight="1">
      <c r="A7467" s="2" t="s">
        <v>15516</v>
      </c>
      <c r="B7467" s="2" t="s">
        <v>15516</v>
      </c>
      <c r="C7467" s="2" t="s">
        <v>16</v>
      </c>
      <c r="D7467" s="2" t="s">
        <v>17</v>
      </c>
      <c r="E7467" s="5">
        <v>-31497</v>
      </c>
      <c r="F7467" s="3" t="s">
        <v>223</v>
      </c>
      <c r="G7467" s="3" t="s">
        <v>54</v>
      </c>
      <c r="H7467" s="2" t="s">
        <v>20</v>
      </c>
      <c r="I7467" s="2" t="s">
        <v>15517</v>
      </c>
      <c r="J7467" s="3" t="str">
        <f>HYPERLINK("https://www.boe.es/gazeta/dias/1813/10/05/pdfs/GRE-1813-130.pdf#page=3","Abrir facsímil")</f>
        <v>Abrir facsímil</v>
      </c>
      <c r="K7467" s="3" t="s">
        <v>22</v>
      </c>
    </row>
    <row r="7468" spans="1:11" ht="42" customHeight="1">
      <c r="A7468" s="2" t="s">
        <v>15518</v>
      </c>
      <c r="B7468" s="2" t="s">
        <v>15518</v>
      </c>
      <c r="C7468" s="2" t="s">
        <v>109</v>
      </c>
      <c r="D7468" s="2" t="s">
        <v>26</v>
      </c>
      <c r="E7468" s="5">
        <v>-31653</v>
      </c>
      <c r="F7468" s="3" t="s">
        <v>3121</v>
      </c>
      <c r="G7468" s="3" t="s">
        <v>631</v>
      </c>
      <c r="H7468" s="2" t="s">
        <v>20</v>
      </c>
      <c r="I7468" s="2" t="s">
        <v>15519</v>
      </c>
      <c r="J7468" s="3" t="str">
        <f>HYPERLINK("https://www.boe.es/gazeta/dias/1813/05/02/pdfs/GMD-1813-122.pdf#page=3","Abrir facsímil")</f>
        <v>Abrir facsímil</v>
      </c>
      <c r="K7468" s="3" t="s">
        <v>22</v>
      </c>
    </row>
    <row r="7469" spans="1:11" ht="42" customHeight="1">
      <c r="A7469" s="2" t="s">
        <v>15520</v>
      </c>
      <c r="B7469" s="2" t="s">
        <v>15520</v>
      </c>
      <c r="C7469" s="2" t="s">
        <v>16</v>
      </c>
      <c r="D7469" s="2" t="s">
        <v>17</v>
      </c>
      <c r="E7469" s="5">
        <v>-31465</v>
      </c>
      <c r="F7469" s="3" t="s">
        <v>2930</v>
      </c>
      <c r="G7469" s="3" t="s">
        <v>8720</v>
      </c>
      <c r="H7469" s="2" t="s">
        <v>20</v>
      </c>
      <c r="I7469" s="2" t="s">
        <v>15521</v>
      </c>
      <c r="J7469" s="3" t="str">
        <f>HYPERLINK("https://www.boe.es/gazeta/dias/1813/11/06/pdfs/GRE-1813-145.pdf#page=2","Abrir facsímil")</f>
        <v>Abrir facsímil</v>
      </c>
      <c r="K7469" s="3" t="s">
        <v>22</v>
      </c>
    </row>
    <row r="7470" spans="1:11" ht="42" customHeight="1">
      <c r="A7470" s="2" t="s">
        <v>15522</v>
      </c>
      <c r="B7470" s="2" t="s">
        <v>15522</v>
      </c>
      <c r="C7470" s="2" t="s">
        <v>16</v>
      </c>
      <c r="D7470" s="2" t="s">
        <v>17</v>
      </c>
      <c r="E7470" s="5">
        <v>-31451</v>
      </c>
      <c r="F7470" s="3" t="s">
        <v>2325</v>
      </c>
      <c r="G7470" s="3" t="s">
        <v>58</v>
      </c>
      <c r="H7470" s="2" t="s">
        <v>20</v>
      </c>
      <c r="I7470" s="2" t="s">
        <v>15523</v>
      </c>
      <c r="J7470" s="3" t="str">
        <f>HYPERLINK("https://www.boe.es/gazeta/dias/1813/11/20/pdfs/GMR-1813-77.pdf#page=2","Abrir facsímil")</f>
        <v>Abrir facsímil</v>
      </c>
      <c r="K7470" s="3" t="s">
        <v>22</v>
      </c>
    </row>
    <row r="7471" spans="1:11" ht="42" customHeight="1">
      <c r="A7471" s="2" t="s">
        <v>15524</v>
      </c>
      <c r="B7471" s="2" t="s">
        <v>15524</v>
      </c>
      <c r="C7471" s="2" t="s">
        <v>16</v>
      </c>
      <c r="D7471" s="2" t="s">
        <v>17</v>
      </c>
      <c r="E7471" s="5">
        <v>-31455</v>
      </c>
      <c r="F7471" s="3" t="s">
        <v>693</v>
      </c>
      <c r="G7471" s="3" t="s">
        <v>1588</v>
      </c>
      <c r="H7471" s="2" t="s">
        <v>20</v>
      </c>
      <c r="I7471" s="2" t="s">
        <v>15525</v>
      </c>
      <c r="J7471" s="3" t="str">
        <f>HYPERLINK("https://www.boe.es/gazeta/dias/1813/11/16/pdfs/GRE-1813-150.pdf#page=4","Abrir facsímil")</f>
        <v>Abrir facsímil</v>
      </c>
      <c r="K7471" s="3" t="s">
        <v>22</v>
      </c>
    </row>
    <row r="7472" spans="1:11" ht="42" customHeight="1">
      <c r="A7472" s="2" t="s">
        <v>15526</v>
      </c>
      <c r="B7472" s="2" t="s">
        <v>15526</v>
      </c>
      <c r="C7472" s="2" t="s">
        <v>16</v>
      </c>
      <c r="D7472" s="2" t="s">
        <v>17</v>
      </c>
      <c r="E7472" s="5">
        <v>-31455</v>
      </c>
      <c r="F7472" s="3" t="s">
        <v>693</v>
      </c>
      <c r="G7472" s="3" t="s">
        <v>95</v>
      </c>
      <c r="H7472" s="2" t="s">
        <v>20</v>
      </c>
      <c r="I7472" s="2" t="s">
        <v>15527</v>
      </c>
      <c r="J7472" s="3" t="str">
        <f>HYPERLINK("https://www.boe.es/gazeta/dias/1813/11/16/pdfs/GRE-1813-150.pdf#page=6","Abrir facsímil")</f>
        <v>Abrir facsímil</v>
      </c>
      <c r="K7472" s="3" t="s">
        <v>22</v>
      </c>
    </row>
    <row r="7473" spans="1:11" ht="42" customHeight="1">
      <c r="A7473" s="2" t="s">
        <v>15528</v>
      </c>
      <c r="B7473" s="2" t="s">
        <v>15528</v>
      </c>
      <c r="C7473" s="2" t="s">
        <v>16</v>
      </c>
      <c r="D7473" s="2" t="s">
        <v>17</v>
      </c>
      <c r="E7473" s="5">
        <v>-31446</v>
      </c>
      <c r="F7473" s="3" t="s">
        <v>1078</v>
      </c>
      <c r="G7473" s="3" t="s">
        <v>58</v>
      </c>
      <c r="H7473" s="2" t="s">
        <v>20</v>
      </c>
      <c r="I7473" s="2" t="s">
        <v>15529</v>
      </c>
      <c r="J7473" s="3" t="str">
        <f>HYPERLINK("https://www.boe.es/gazeta/dias/1813/11/25/pdfs/GRE-1813-154.pdf#page=2","Abrir facsímil")</f>
        <v>Abrir facsímil</v>
      </c>
      <c r="K7473" s="3" t="s">
        <v>22</v>
      </c>
    </row>
    <row r="7474" spans="1:11" ht="42" customHeight="1">
      <c r="A7474" s="2" t="s">
        <v>15530</v>
      </c>
      <c r="B7474" s="2" t="s">
        <v>15530</v>
      </c>
      <c r="C7474" s="2" t="s">
        <v>16</v>
      </c>
      <c r="D7474" s="2" t="s">
        <v>17</v>
      </c>
      <c r="E7474" s="5">
        <v>-31694</v>
      </c>
      <c r="F7474" s="3" t="s">
        <v>2756</v>
      </c>
      <c r="G7474" s="3" t="s">
        <v>58</v>
      </c>
      <c r="H7474" s="2" t="s">
        <v>20</v>
      </c>
      <c r="I7474" s="2" t="s">
        <v>15531</v>
      </c>
      <c r="J7474" s="3" t="str">
        <f>HYPERLINK("https://www.boe.es/gazeta/dias/1813/03/22/pdfs/GMD-1813-81.pdf#page=2","Abrir facsímil")</f>
        <v>Abrir facsímil</v>
      </c>
      <c r="K7474" s="3" t="s">
        <v>22</v>
      </c>
    </row>
    <row r="7475" spans="1:11" ht="42" customHeight="1">
      <c r="A7475" s="2" t="s">
        <v>15532</v>
      </c>
      <c r="B7475" s="2" t="s">
        <v>15532</v>
      </c>
      <c r="C7475" s="2" t="s">
        <v>16</v>
      </c>
      <c r="D7475" s="2" t="s">
        <v>17</v>
      </c>
      <c r="E7475" s="5">
        <v>-31660</v>
      </c>
      <c r="F7475" s="3" t="s">
        <v>1632</v>
      </c>
      <c r="G7475" s="3" t="s">
        <v>65</v>
      </c>
      <c r="H7475" s="2" t="s">
        <v>20</v>
      </c>
      <c r="I7475" s="2" t="s">
        <v>15533</v>
      </c>
      <c r="J7475" s="3" t="str">
        <f>HYPERLINK("https://www.boe.es/gazeta/dias/1813/04/25/pdfs/GMD-1813-115.pdf#page=1","Abrir facsímil")</f>
        <v>Abrir facsímil</v>
      </c>
      <c r="K7475" s="3" t="s">
        <v>22</v>
      </c>
    </row>
    <row r="7476" spans="1:11" ht="42" customHeight="1">
      <c r="A7476" s="2" t="s">
        <v>15534</v>
      </c>
      <c r="B7476" s="2" t="s">
        <v>15534</v>
      </c>
      <c r="C7476" s="2" t="s">
        <v>16</v>
      </c>
      <c r="D7476" s="2" t="s">
        <v>17</v>
      </c>
      <c r="E7476" s="5">
        <v>-31648</v>
      </c>
      <c r="F7476" s="3" t="s">
        <v>3263</v>
      </c>
      <c r="G7476" s="3" t="s">
        <v>65</v>
      </c>
      <c r="H7476" s="2" t="s">
        <v>20</v>
      </c>
      <c r="I7476" s="2" t="s">
        <v>15535</v>
      </c>
      <c r="J7476" s="3" t="str">
        <f>HYPERLINK("https://www.boe.es/gazeta/dias/1813/05/07/pdfs/GMD-1813-127.pdf#page=1","Abrir facsímil")</f>
        <v>Abrir facsímil</v>
      </c>
      <c r="K7476" s="3" t="s">
        <v>22</v>
      </c>
    </row>
    <row r="7477" spans="1:11" ht="42" customHeight="1">
      <c r="A7477" s="2" t="s">
        <v>15534</v>
      </c>
      <c r="B7477" s="2" t="s">
        <v>15534</v>
      </c>
      <c r="C7477" s="2" t="s">
        <v>16</v>
      </c>
      <c r="D7477" s="2" t="s">
        <v>17</v>
      </c>
      <c r="E7477" s="5">
        <v>-31613</v>
      </c>
      <c r="F7477" s="3" t="s">
        <v>1629</v>
      </c>
      <c r="G7477" s="3" t="s">
        <v>15496</v>
      </c>
      <c r="H7477" s="2" t="s">
        <v>20</v>
      </c>
      <c r="I7477" s="2" t="s">
        <v>15536</v>
      </c>
      <c r="J7477" s="3" t="str">
        <f>HYPERLINK("https://www.boe.es/gazeta/dias/1813/06/11/pdfs/GMR-1813-4.pdf#page=2","Abrir facsímil")</f>
        <v>Abrir facsímil</v>
      </c>
      <c r="K7477" s="3" t="s">
        <v>22</v>
      </c>
    </row>
    <row r="7478" spans="1:11" ht="42" customHeight="1">
      <c r="A7478" s="2" t="s">
        <v>15534</v>
      </c>
      <c r="B7478" s="2" t="s">
        <v>15534</v>
      </c>
      <c r="C7478" s="2" t="s">
        <v>16</v>
      </c>
      <c r="D7478" s="2" t="s">
        <v>17</v>
      </c>
      <c r="E7478" s="5">
        <v>-31474</v>
      </c>
      <c r="F7478" s="3" t="s">
        <v>1082</v>
      </c>
      <c r="G7478" s="3" t="s">
        <v>19</v>
      </c>
      <c r="H7478" s="2" t="s">
        <v>20</v>
      </c>
      <c r="I7478" s="2" t="s">
        <v>15537</v>
      </c>
      <c r="J7478" s="3" t="str">
        <f>HYPERLINK("https://www.boe.es/gazeta/dias/1813/10/28/pdfs/GMR-1813-65.pdf#page=4","Abrir facsímil")</f>
        <v>Abrir facsímil</v>
      </c>
      <c r="K7478" s="3" t="s">
        <v>22</v>
      </c>
    </row>
    <row r="7479" spans="1:11" ht="42" customHeight="1">
      <c r="A7479" s="2" t="s">
        <v>15534</v>
      </c>
      <c r="B7479" s="2" t="s">
        <v>15534</v>
      </c>
      <c r="C7479" s="2" t="s">
        <v>16</v>
      </c>
      <c r="D7479" s="2" t="s">
        <v>17</v>
      </c>
      <c r="E7479" s="5">
        <v>-31460</v>
      </c>
      <c r="F7479" s="3" t="s">
        <v>599</v>
      </c>
      <c r="G7479" s="3" t="s">
        <v>58</v>
      </c>
      <c r="H7479" s="2" t="s">
        <v>20</v>
      </c>
      <c r="I7479" s="2" t="s">
        <v>15538</v>
      </c>
      <c r="J7479" s="3" t="str">
        <f>HYPERLINK("https://www.boe.es/gazeta/dias/1813/11/11/pdfs/GMR-1813-72.pdf#page=2","Abrir facsímil")</f>
        <v>Abrir facsímil</v>
      </c>
      <c r="K7479" s="3" t="s">
        <v>22</v>
      </c>
    </row>
    <row r="7480" spans="1:11" ht="42" customHeight="1">
      <c r="A7480" s="2" t="s">
        <v>15534</v>
      </c>
      <c r="B7480" s="2" t="s">
        <v>15534</v>
      </c>
      <c r="C7480" s="2" t="s">
        <v>16</v>
      </c>
      <c r="D7480" s="2" t="s">
        <v>17</v>
      </c>
      <c r="E7480" s="5">
        <v>-31458</v>
      </c>
      <c r="F7480" s="3" t="s">
        <v>2315</v>
      </c>
      <c r="G7480" s="3" t="s">
        <v>58</v>
      </c>
      <c r="H7480" s="2" t="s">
        <v>20</v>
      </c>
      <c r="I7480" s="2" t="s">
        <v>15539</v>
      </c>
      <c r="J7480" s="3" t="str">
        <f>HYPERLINK("https://www.boe.es/gazeta/dias/1813/11/13/pdfs/GMR-1813-73.pdf#page=2","Abrir facsímil")</f>
        <v>Abrir facsímil</v>
      </c>
      <c r="K7480" s="3" t="s">
        <v>22</v>
      </c>
    </row>
    <row r="7481" spans="1:11" ht="42" customHeight="1">
      <c r="A7481" s="2" t="s">
        <v>15534</v>
      </c>
      <c r="B7481" s="2" t="s">
        <v>15534</v>
      </c>
      <c r="C7481" s="2" t="s">
        <v>16</v>
      </c>
      <c r="D7481" s="2" t="s">
        <v>17</v>
      </c>
      <c r="E7481" s="5">
        <v>-31458</v>
      </c>
      <c r="F7481" s="3" t="s">
        <v>2315</v>
      </c>
      <c r="G7481" s="3" t="s">
        <v>19</v>
      </c>
      <c r="H7481" s="2" t="s">
        <v>20</v>
      </c>
      <c r="I7481" s="2" t="s">
        <v>15540</v>
      </c>
      <c r="J7481" s="3" t="str">
        <f>HYPERLINK("https://www.boe.es/gazeta/dias/1813/11/13/pdfs/GMR-1813-73.pdf#page=4","Abrir facsímil")</f>
        <v>Abrir facsímil</v>
      </c>
      <c r="K7481" s="3" t="s">
        <v>22</v>
      </c>
    </row>
    <row r="7482" spans="1:11" ht="42" customHeight="1">
      <c r="A7482" s="2" t="s">
        <v>15541</v>
      </c>
      <c r="B7482" s="2" t="s">
        <v>15541</v>
      </c>
      <c r="C7482" s="2" t="s">
        <v>16</v>
      </c>
      <c r="D7482" s="2" t="s">
        <v>17</v>
      </c>
      <c r="E7482" s="5">
        <v>-31453</v>
      </c>
      <c r="F7482" s="3" t="s">
        <v>695</v>
      </c>
      <c r="G7482" s="3" t="s">
        <v>54</v>
      </c>
      <c r="H7482" s="2" t="s">
        <v>20</v>
      </c>
      <c r="I7482" s="2" t="s">
        <v>15542</v>
      </c>
      <c r="J7482" s="3" t="str">
        <f>HYPERLINK("https://www.boe.es/gazeta/dias/1813/11/18/pdfs/GRE-1813-151.pdf#page=3","Abrir facsímil")</f>
        <v>Abrir facsímil</v>
      </c>
      <c r="K7482" s="3" t="s">
        <v>22</v>
      </c>
    </row>
    <row r="7483" spans="1:11" ht="42" customHeight="1">
      <c r="A7483" s="2" t="s">
        <v>15543</v>
      </c>
      <c r="B7483" s="2" t="s">
        <v>15543</v>
      </c>
      <c r="C7483" s="2" t="s">
        <v>16</v>
      </c>
      <c r="D7483" s="2" t="s">
        <v>17</v>
      </c>
      <c r="E7483" s="5">
        <v>-31613</v>
      </c>
      <c r="F7483" s="3" t="s">
        <v>1629</v>
      </c>
      <c r="G7483" s="3" t="s">
        <v>2177</v>
      </c>
      <c r="H7483" s="2" t="s">
        <v>20</v>
      </c>
      <c r="I7483" s="2" t="s">
        <v>15544</v>
      </c>
      <c r="J7483" s="3" t="str">
        <f>HYPERLINK("https://www.boe.es/gazeta/dias/1813/06/11/pdfs/GMR-1813-4.pdf#page=5","Abrir facsímil")</f>
        <v>Abrir facsímil</v>
      </c>
      <c r="K7483" s="3" t="s">
        <v>22</v>
      </c>
    </row>
    <row r="7484" spans="1:11" ht="42" customHeight="1">
      <c r="A7484" s="2" t="s">
        <v>15545</v>
      </c>
      <c r="B7484" s="2" t="s">
        <v>15545</v>
      </c>
      <c r="C7484" s="2" t="s">
        <v>16</v>
      </c>
      <c r="D7484" s="2" t="s">
        <v>17</v>
      </c>
      <c r="E7484" s="5">
        <v>-31772</v>
      </c>
      <c r="F7484" s="3" t="s">
        <v>2361</v>
      </c>
      <c r="G7484" s="3" t="s">
        <v>65</v>
      </c>
      <c r="H7484" s="2" t="s">
        <v>20</v>
      </c>
      <c r="I7484" s="2" t="s">
        <v>15546</v>
      </c>
      <c r="J7484" s="3" t="str">
        <f>HYPERLINK("https://www.boe.es/gazeta/dias/1813/01/03/pdfs/GMD-1813-3.pdf#page=1","Abrir facsímil")</f>
        <v>Abrir facsímil</v>
      </c>
      <c r="K7484" s="3" t="s">
        <v>22</v>
      </c>
    </row>
    <row r="7485" spans="1:11" ht="42" customHeight="1">
      <c r="A7485" s="2" t="s">
        <v>15545</v>
      </c>
      <c r="B7485" s="2" t="s">
        <v>15545</v>
      </c>
      <c r="C7485" s="2" t="s">
        <v>16</v>
      </c>
      <c r="D7485" s="2" t="s">
        <v>17</v>
      </c>
      <c r="E7485" s="5">
        <v>-31532</v>
      </c>
      <c r="F7485" s="3" t="s">
        <v>215</v>
      </c>
      <c r="G7485" s="3" t="s">
        <v>19</v>
      </c>
      <c r="H7485" s="2" t="s">
        <v>20</v>
      </c>
      <c r="I7485" s="2" t="s">
        <v>15547</v>
      </c>
      <c r="J7485" s="3" t="str">
        <f>HYPERLINK("https://www.boe.es/gazeta/dias/1813/08/31/pdfs/GRE-1813-111.pdf#page=4","Abrir facsímil")</f>
        <v>Abrir facsímil</v>
      </c>
      <c r="K7485" s="3" t="s">
        <v>22</v>
      </c>
    </row>
    <row r="7486" spans="1:11" ht="42" customHeight="1">
      <c r="A7486" s="2" t="s">
        <v>15548</v>
      </c>
      <c r="B7486" s="2" t="s">
        <v>15548</v>
      </c>
      <c r="C7486" s="2" t="s">
        <v>16</v>
      </c>
      <c r="D7486" s="2" t="s">
        <v>17</v>
      </c>
      <c r="E7486" s="5">
        <v>-31446</v>
      </c>
      <c r="F7486" s="3" t="s">
        <v>1078</v>
      </c>
      <c r="G7486" s="3" t="s">
        <v>54</v>
      </c>
      <c r="H7486" s="2" t="s">
        <v>20</v>
      </c>
      <c r="I7486" s="2" t="s">
        <v>15549</v>
      </c>
      <c r="J7486" s="3" t="str">
        <f>HYPERLINK("https://www.boe.es/gazeta/dias/1813/11/25/pdfs/GRE-1813-154.pdf#page=3","Abrir facsímil")</f>
        <v>Abrir facsímil</v>
      </c>
      <c r="K7486" s="3" t="s">
        <v>22</v>
      </c>
    </row>
    <row r="7487" spans="1:11" ht="42" customHeight="1">
      <c r="A7487" s="2" t="s">
        <v>15550</v>
      </c>
      <c r="B7487" s="2" t="s">
        <v>15550</v>
      </c>
      <c r="C7487" s="2" t="s">
        <v>16</v>
      </c>
      <c r="D7487" s="2" t="s">
        <v>17</v>
      </c>
      <c r="E7487" s="5">
        <v>-31446</v>
      </c>
      <c r="F7487" s="3" t="s">
        <v>1078</v>
      </c>
      <c r="G7487" s="3" t="s">
        <v>54</v>
      </c>
      <c r="H7487" s="2" t="s">
        <v>20</v>
      </c>
      <c r="I7487" s="2" t="s">
        <v>15551</v>
      </c>
      <c r="J7487" s="3" t="str">
        <f>HYPERLINK("https://www.boe.es/gazeta/dias/1813/11/25/pdfs/GRE-1813-154.pdf#page=3","Abrir facsímil")</f>
        <v>Abrir facsímil</v>
      </c>
      <c r="K7487" s="3" t="s">
        <v>22</v>
      </c>
    </row>
    <row r="7488" spans="1:11" ht="42" customHeight="1">
      <c r="A7488" s="2" t="s">
        <v>15552</v>
      </c>
      <c r="B7488" s="2" t="s">
        <v>15552</v>
      </c>
      <c r="C7488" s="2" t="s">
        <v>16</v>
      </c>
      <c r="D7488" s="2" t="s">
        <v>17</v>
      </c>
      <c r="E7488" s="5">
        <v>-31437</v>
      </c>
      <c r="F7488" s="3" t="s">
        <v>680</v>
      </c>
      <c r="G7488" s="3" t="s">
        <v>65</v>
      </c>
      <c r="H7488" s="2" t="s">
        <v>20</v>
      </c>
      <c r="I7488" s="2" t="s">
        <v>15553</v>
      </c>
      <c r="J7488" s="3" t="str">
        <f>HYPERLINK("https://www.boe.es/gazeta/dias/1813/12/04/pdfs/GMR-1813-83.pdf#page=1","Abrir facsímil")</f>
        <v>Abrir facsímil</v>
      </c>
      <c r="K7488" s="3" t="s">
        <v>22</v>
      </c>
    </row>
    <row r="7489" spans="1:11" ht="42" customHeight="1">
      <c r="A7489" s="2" t="s">
        <v>15554</v>
      </c>
      <c r="B7489" s="2" t="s">
        <v>15554</v>
      </c>
      <c r="C7489" s="2" t="s">
        <v>16</v>
      </c>
      <c r="D7489" s="2" t="s">
        <v>17</v>
      </c>
      <c r="E7489" s="5">
        <v>-31705</v>
      </c>
      <c r="F7489" s="3" t="s">
        <v>4455</v>
      </c>
      <c r="G7489" s="3" t="s">
        <v>65</v>
      </c>
      <c r="H7489" s="2" t="s">
        <v>20</v>
      </c>
      <c r="I7489" s="2" t="s">
        <v>15555</v>
      </c>
      <c r="J7489" s="3" t="str">
        <f>HYPERLINK("https://www.boe.es/gazeta/dias/1813/03/11/pdfs/GMD-1813-70.pdf#page=1","Abrir facsímil")</f>
        <v>Abrir facsímil</v>
      </c>
      <c r="K7489" s="3" t="s">
        <v>22</v>
      </c>
    </row>
    <row r="7490" spans="1:11" ht="42" customHeight="1">
      <c r="A7490" s="2" t="s">
        <v>15556</v>
      </c>
      <c r="B7490" s="2" t="s">
        <v>15556</v>
      </c>
      <c r="C7490" s="2" t="s">
        <v>16</v>
      </c>
      <c r="D7490" s="2" t="s">
        <v>17</v>
      </c>
      <c r="E7490" s="5">
        <v>-31497</v>
      </c>
      <c r="F7490" s="3" t="s">
        <v>223</v>
      </c>
      <c r="G7490" s="3" t="s">
        <v>87</v>
      </c>
      <c r="H7490" s="2" t="s">
        <v>20</v>
      </c>
      <c r="I7490" s="2" t="s">
        <v>15557</v>
      </c>
      <c r="J7490" s="3" t="str">
        <f>HYPERLINK("https://www.boe.es/gazeta/dias/1813/10/05/pdfs/GRE-1813-130.pdf#page=7","Abrir facsímil")</f>
        <v>Abrir facsímil</v>
      </c>
      <c r="K7490" s="3" t="s">
        <v>22</v>
      </c>
    </row>
    <row r="7491" spans="1:11" ht="42" customHeight="1">
      <c r="A7491" s="2" t="s">
        <v>15556</v>
      </c>
      <c r="B7491" s="2" t="s">
        <v>15556</v>
      </c>
      <c r="C7491" s="2" t="s">
        <v>16</v>
      </c>
      <c r="D7491" s="2" t="s">
        <v>17</v>
      </c>
      <c r="E7491" s="5">
        <v>-31448</v>
      </c>
      <c r="F7491" s="3" t="s">
        <v>325</v>
      </c>
      <c r="G7491" s="3" t="s">
        <v>95</v>
      </c>
      <c r="H7491" s="2" t="s">
        <v>20</v>
      </c>
      <c r="I7491" s="2" t="s">
        <v>15558</v>
      </c>
      <c r="J7491" s="3" t="str">
        <f>HYPERLINK("https://www.boe.es/gazeta/dias/1813/11/23/pdfs/GMR-1813-78.pdf#page=6","Abrir facsímil")</f>
        <v>Abrir facsímil</v>
      </c>
      <c r="K7491" s="3" t="s">
        <v>22</v>
      </c>
    </row>
    <row r="7492" spans="1:11" ht="42" customHeight="1">
      <c r="A7492" s="2" t="s">
        <v>15556</v>
      </c>
      <c r="B7492" s="2" t="s">
        <v>15556</v>
      </c>
      <c r="C7492" s="2" t="s">
        <v>16</v>
      </c>
      <c r="D7492" s="2" t="s">
        <v>17</v>
      </c>
      <c r="E7492" s="5">
        <v>-31446</v>
      </c>
      <c r="F7492" s="3" t="s">
        <v>1078</v>
      </c>
      <c r="G7492" s="3" t="s">
        <v>82</v>
      </c>
      <c r="H7492" s="2" t="s">
        <v>20</v>
      </c>
      <c r="I7492" s="2" t="s">
        <v>15559</v>
      </c>
      <c r="J7492" s="3" t="str">
        <f>HYPERLINK("https://www.boe.es/gazeta/dias/1813/11/25/pdfs/GRE-1813-154.pdf#page=5","Abrir facsímil")</f>
        <v>Abrir facsímil</v>
      </c>
      <c r="K7492" s="3" t="s">
        <v>22</v>
      </c>
    </row>
    <row r="7493" spans="1:11" ht="42" customHeight="1">
      <c r="A7493" s="2" t="s">
        <v>15556</v>
      </c>
      <c r="B7493" s="2" t="s">
        <v>15556</v>
      </c>
      <c r="C7493" s="2" t="s">
        <v>16</v>
      </c>
      <c r="D7493" s="2" t="s">
        <v>17</v>
      </c>
      <c r="E7493" s="5">
        <v>-31434</v>
      </c>
      <c r="F7493" s="3" t="s">
        <v>18</v>
      </c>
      <c r="G7493" s="3" t="s">
        <v>87</v>
      </c>
      <c r="H7493" s="2" t="s">
        <v>20</v>
      </c>
      <c r="I7493" s="2" t="s">
        <v>15560</v>
      </c>
      <c r="J7493" s="3" t="str">
        <f>HYPERLINK("https://www.boe.es/gazeta/dias/1813/12/07/pdfs/GRE-1813-161.pdf#page=7","Abrir facsímil")</f>
        <v>Abrir facsímil</v>
      </c>
      <c r="K7493" s="3" t="s">
        <v>22</v>
      </c>
    </row>
    <row r="7494" spans="1:11" ht="42" customHeight="1">
      <c r="A7494" s="2" t="s">
        <v>15556</v>
      </c>
      <c r="B7494" s="2" t="s">
        <v>15556</v>
      </c>
      <c r="C7494" s="2" t="s">
        <v>16</v>
      </c>
      <c r="D7494" s="2" t="s">
        <v>17</v>
      </c>
      <c r="E7494" s="5">
        <v>-31427</v>
      </c>
      <c r="F7494" s="3" t="s">
        <v>489</v>
      </c>
      <c r="G7494" s="3" t="s">
        <v>2459</v>
      </c>
      <c r="H7494" s="2" t="s">
        <v>20</v>
      </c>
      <c r="I7494" s="2" t="s">
        <v>15561</v>
      </c>
      <c r="J7494" s="3" t="str">
        <f>HYPERLINK("https://www.boe.es/gazeta/dias/1813/12/14/pdfs/GMR-1813-87.pdf#page=2","Abrir facsímil")</f>
        <v>Abrir facsímil</v>
      </c>
      <c r="K7494" s="3" t="s">
        <v>22</v>
      </c>
    </row>
    <row r="7495" spans="1:11" ht="42" customHeight="1">
      <c r="A7495" s="2" t="s">
        <v>15562</v>
      </c>
      <c r="B7495" s="2" t="s">
        <v>15562</v>
      </c>
      <c r="C7495" s="2" t="s">
        <v>25</v>
      </c>
      <c r="D7495" s="2" t="s">
        <v>26</v>
      </c>
      <c r="E7495" s="5">
        <v>-31667</v>
      </c>
      <c r="F7495" s="3" t="s">
        <v>3712</v>
      </c>
      <c r="G7495" s="3" t="s">
        <v>58</v>
      </c>
      <c r="H7495" s="2" t="s">
        <v>20</v>
      </c>
      <c r="I7495" s="2" t="s">
        <v>15563</v>
      </c>
      <c r="J7495" s="3" t="str">
        <f>HYPERLINK("https://www.boe.es/gazeta/dias/1813/04/18/pdfs/GMD-1813-108.pdf#page=2","Abrir facsímil")</f>
        <v>Abrir facsímil</v>
      </c>
      <c r="K7495" s="3" t="s">
        <v>22</v>
      </c>
    </row>
    <row r="7496" spans="1:11" ht="42" customHeight="1">
      <c r="A7496" s="2" t="s">
        <v>15564</v>
      </c>
      <c r="B7496" s="2" t="s">
        <v>15564</v>
      </c>
      <c r="C7496" s="2" t="s">
        <v>34</v>
      </c>
      <c r="D7496" s="2" t="s">
        <v>35</v>
      </c>
      <c r="E7496" s="5">
        <v>-31663</v>
      </c>
      <c r="F7496" s="3" t="s">
        <v>871</v>
      </c>
      <c r="G7496" s="3" t="s">
        <v>58</v>
      </c>
      <c r="H7496" s="2" t="s">
        <v>20</v>
      </c>
      <c r="I7496" s="2" t="s">
        <v>15565</v>
      </c>
      <c r="J7496" s="3" t="str">
        <f>HYPERLINK("https://www.boe.es/gazeta/dias/1813/04/22/pdfs/GMD-1813-112.pdf#page=2","Abrir facsímil")</f>
        <v>Abrir facsímil</v>
      </c>
      <c r="K7496" s="3" t="s">
        <v>22</v>
      </c>
    </row>
    <row r="7497" spans="1:11" ht="42" customHeight="1">
      <c r="A7497" s="2" t="s">
        <v>15566</v>
      </c>
      <c r="B7497" s="2" t="s">
        <v>15566</v>
      </c>
      <c r="C7497" s="2" t="s">
        <v>16</v>
      </c>
      <c r="D7497" s="2" t="s">
        <v>17</v>
      </c>
      <c r="E7497" s="5">
        <v>-31518</v>
      </c>
      <c r="F7497" s="3" t="s">
        <v>1090</v>
      </c>
      <c r="G7497" s="3" t="s">
        <v>95</v>
      </c>
      <c r="H7497" s="2" t="s">
        <v>20</v>
      </c>
      <c r="I7497" s="2" t="s">
        <v>15567</v>
      </c>
      <c r="J7497" s="3" t="str">
        <f>HYPERLINK("https://www.boe.es/gazeta/dias/1813/09/14/pdfs/GMR-1813-42.pdf#page=6","Abrir facsímil")</f>
        <v>Abrir facsímil</v>
      </c>
      <c r="K7497" s="3" t="s">
        <v>22</v>
      </c>
    </row>
    <row r="7498" spans="1:11" ht="42" customHeight="1">
      <c r="A7498" s="2" t="s">
        <v>15568</v>
      </c>
      <c r="B7498" s="2" t="s">
        <v>15568</v>
      </c>
      <c r="C7498" s="2" t="s">
        <v>16</v>
      </c>
      <c r="D7498" s="2" t="s">
        <v>17</v>
      </c>
      <c r="E7498" s="5">
        <v>-31511</v>
      </c>
      <c r="F7498" s="3" t="s">
        <v>935</v>
      </c>
      <c r="G7498" s="3" t="s">
        <v>28</v>
      </c>
      <c r="H7498" s="2" t="s">
        <v>20</v>
      </c>
      <c r="I7498" s="2" t="s">
        <v>15569</v>
      </c>
      <c r="J7498" s="3" t="str">
        <f>HYPERLINK("https://www.boe.es/gazeta/dias/1813/09/21/pdfs/GMR-1813-46.pdf#page=8","Abrir facsímil")</f>
        <v>Abrir facsímil</v>
      </c>
      <c r="K7498" s="3" t="s">
        <v>22</v>
      </c>
    </row>
    <row r="7499" spans="1:11" ht="42" customHeight="1">
      <c r="A7499" s="2" t="s">
        <v>15570</v>
      </c>
      <c r="B7499" s="2" t="s">
        <v>15570</v>
      </c>
      <c r="C7499" s="2" t="s">
        <v>16</v>
      </c>
      <c r="D7499" s="2" t="s">
        <v>17</v>
      </c>
      <c r="E7499" s="5">
        <v>-31572</v>
      </c>
      <c r="F7499" s="3" t="s">
        <v>317</v>
      </c>
      <c r="G7499" s="3" t="s">
        <v>82</v>
      </c>
      <c r="H7499" s="2" t="s">
        <v>20</v>
      </c>
      <c r="I7499" s="2" t="s">
        <v>15571</v>
      </c>
      <c r="J7499" s="3" t="str">
        <f>HYPERLINK("https://www.boe.es/gazeta/dias/1813/07/22/pdfs/GRE-1813-93.pdf#page=5","Abrir facsímil")</f>
        <v>Abrir facsímil</v>
      </c>
      <c r="K7499" s="3" t="s">
        <v>22</v>
      </c>
    </row>
    <row r="7500" spans="1:11" ht="42" customHeight="1">
      <c r="A7500" s="2" t="s">
        <v>15572</v>
      </c>
      <c r="B7500" s="2" t="s">
        <v>15572</v>
      </c>
      <c r="C7500" s="2" t="s">
        <v>187</v>
      </c>
      <c r="D7500" s="2" t="s">
        <v>26</v>
      </c>
      <c r="E7500" s="5">
        <v>-31695</v>
      </c>
      <c r="F7500" s="3" t="s">
        <v>2770</v>
      </c>
      <c r="G7500" s="3" t="s">
        <v>65</v>
      </c>
      <c r="H7500" s="2" t="s">
        <v>20</v>
      </c>
      <c r="I7500" s="2" t="s">
        <v>15573</v>
      </c>
      <c r="J7500" s="3" t="str">
        <f>HYPERLINK("https://www.boe.es/gazeta/dias/1813/03/21/pdfs/GMD-1813-80.pdf#page=1","Abrir facsímil")</f>
        <v>Abrir facsímil</v>
      </c>
      <c r="K7500" s="3" t="s">
        <v>22</v>
      </c>
    </row>
    <row r="7501" spans="1:11" ht="42" customHeight="1">
      <c r="A7501" s="2" t="s">
        <v>15574</v>
      </c>
      <c r="B7501" s="2" t="s">
        <v>15574</v>
      </c>
      <c r="C7501" s="2" t="s">
        <v>16</v>
      </c>
      <c r="D7501" s="2" t="s">
        <v>17</v>
      </c>
      <c r="E7501" s="5">
        <v>-31578</v>
      </c>
      <c r="F7501" s="3" t="s">
        <v>974</v>
      </c>
      <c r="G7501" s="3" t="s">
        <v>19</v>
      </c>
      <c r="H7501" s="2" t="s">
        <v>20</v>
      </c>
      <c r="I7501" s="2" t="s">
        <v>15575</v>
      </c>
      <c r="J7501" s="3" t="str">
        <f>HYPERLINK("https://www.boe.es/gazeta/dias/1813/07/16/pdfs/GMR-1813-18.pdf#page=4","Abrir facsímil")</f>
        <v>Abrir facsímil</v>
      </c>
      <c r="K7501" s="3" t="s">
        <v>22</v>
      </c>
    </row>
    <row r="7502" spans="1:11" ht="42" customHeight="1">
      <c r="A7502" s="2" t="s">
        <v>15576</v>
      </c>
      <c r="B7502" s="2" t="s">
        <v>15577</v>
      </c>
      <c r="C7502" s="2" t="s">
        <v>69</v>
      </c>
      <c r="D7502" s="2" t="s">
        <v>26</v>
      </c>
      <c r="E7502" s="5">
        <v>-31416</v>
      </c>
      <c r="F7502" s="3" t="s">
        <v>278</v>
      </c>
      <c r="G7502" s="3" t="s">
        <v>1863</v>
      </c>
      <c r="H7502" s="2" t="s">
        <v>20</v>
      </c>
      <c r="I7502" s="2" t="s">
        <v>15578</v>
      </c>
      <c r="J7502" s="3" t="str">
        <f>HYPERLINK("https://www.boe.es/gazeta/dias/1813/12/25/pdfs/GMR-1813-92.pdf#page=12","Abrir facsímil")</f>
        <v>Abrir facsímil</v>
      </c>
      <c r="K7502" s="3" t="s">
        <v>22</v>
      </c>
    </row>
    <row r="7503" spans="1:11" ht="42" customHeight="1">
      <c r="A7503" s="2" t="s">
        <v>15579</v>
      </c>
      <c r="B7503" s="2" t="s">
        <v>15580</v>
      </c>
      <c r="C7503" s="2" t="s">
        <v>16</v>
      </c>
      <c r="D7503" s="2" t="s">
        <v>17</v>
      </c>
      <c r="E7503" s="5">
        <v>-31444</v>
      </c>
      <c r="F7503" s="3" t="s">
        <v>2451</v>
      </c>
      <c r="G7503" s="3" t="s">
        <v>87</v>
      </c>
      <c r="H7503" s="2" t="s">
        <v>20</v>
      </c>
      <c r="I7503" s="2" t="s">
        <v>15581</v>
      </c>
      <c r="J7503" s="3" t="str">
        <f>HYPERLINK("https://www.boe.es/gazeta/dias/1813/11/27/pdfs/GRE-1813-157.pdf#page=7","Abrir facsímil")</f>
        <v>Abrir facsímil</v>
      </c>
      <c r="K7503" s="3" t="s">
        <v>22</v>
      </c>
    </row>
    <row r="7504" spans="1:11" ht="42" customHeight="1">
      <c r="A7504" s="2" t="s">
        <v>15582</v>
      </c>
      <c r="B7504" s="2" t="s">
        <v>15582</v>
      </c>
      <c r="C7504" s="2" t="s">
        <v>16</v>
      </c>
      <c r="D7504" s="2" t="s">
        <v>17</v>
      </c>
      <c r="E7504" s="5">
        <v>-31642</v>
      </c>
      <c r="F7504" s="3" t="s">
        <v>582</v>
      </c>
      <c r="G7504" s="3" t="s">
        <v>6740</v>
      </c>
      <c r="H7504" s="2" t="s">
        <v>20</v>
      </c>
      <c r="I7504" s="2" t="s">
        <v>15583</v>
      </c>
      <c r="J7504" s="3" t="str">
        <f>HYPERLINK("https://www.boe.es/gazeta/dias/1813/05/13/pdfs/GRE-1813-59.pdf#page=4","Abrir facsímil")</f>
        <v>Abrir facsímil</v>
      </c>
      <c r="K7504" s="3" t="s">
        <v>22</v>
      </c>
    </row>
    <row r="7505" spans="1:11" ht="42" customHeight="1">
      <c r="A7505" s="2" t="s">
        <v>15584</v>
      </c>
      <c r="B7505" s="2" t="s">
        <v>15584</v>
      </c>
      <c r="C7505" s="2" t="s">
        <v>25</v>
      </c>
      <c r="D7505" s="2" t="s">
        <v>26</v>
      </c>
      <c r="E7505" s="5">
        <v>-31704</v>
      </c>
      <c r="F7505" s="3" t="s">
        <v>6300</v>
      </c>
      <c r="G7505" s="3" t="s">
        <v>15585</v>
      </c>
      <c r="H7505" s="2" t="s">
        <v>20</v>
      </c>
      <c r="I7505" s="2" t="s">
        <v>15586</v>
      </c>
      <c r="J7505" s="3" t="str">
        <f>HYPERLINK("https://www.boe.es/gazeta/dias/1813/03/12/pdfs/GMD-1813-71.pdf#page=3","Abrir facsímil")</f>
        <v>Abrir facsímil</v>
      </c>
      <c r="K7505" s="3" t="s">
        <v>22</v>
      </c>
    </row>
    <row r="7506" spans="1:11" ht="42" customHeight="1">
      <c r="A7506" s="2" t="s">
        <v>15587</v>
      </c>
      <c r="B7506" s="2" t="s">
        <v>15588</v>
      </c>
      <c r="C7506" s="2" t="s">
        <v>16</v>
      </c>
      <c r="D7506" s="2" t="s">
        <v>17</v>
      </c>
      <c r="E7506" s="5">
        <v>-31572</v>
      </c>
      <c r="F7506" s="3" t="s">
        <v>317</v>
      </c>
      <c r="G7506" s="3" t="s">
        <v>28</v>
      </c>
      <c r="H7506" s="2" t="s">
        <v>20</v>
      </c>
      <c r="I7506" s="2" t="s">
        <v>15589</v>
      </c>
      <c r="J7506" s="3" t="str">
        <f>HYPERLINK("https://www.boe.es/gazeta/dias/1813/07/22/pdfs/GRE-1813-93.pdf#page=8","Abrir facsímil")</f>
        <v>Abrir facsímil</v>
      </c>
      <c r="K7506" s="3" t="s">
        <v>22</v>
      </c>
    </row>
    <row r="7507" spans="1:11" ht="42" customHeight="1">
      <c r="A7507" s="2" t="s">
        <v>15590</v>
      </c>
      <c r="B7507" s="2" t="s">
        <v>15590</v>
      </c>
      <c r="C7507" s="2" t="s">
        <v>25</v>
      </c>
      <c r="D7507" s="2" t="s">
        <v>26</v>
      </c>
      <c r="E7507" s="5">
        <v>-31677</v>
      </c>
      <c r="F7507" s="3" t="s">
        <v>76</v>
      </c>
      <c r="G7507" s="3" t="s">
        <v>28</v>
      </c>
      <c r="H7507" s="2" t="s">
        <v>20</v>
      </c>
      <c r="I7507" s="2" t="s">
        <v>15591</v>
      </c>
      <c r="J7507" s="3" t="str">
        <f>HYPERLINK("https://www.boe.es/gazeta/dias/1813/04/08/pdfs/GRE-1813-43.pdf#page=8","Abrir facsímil")</f>
        <v>Abrir facsímil</v>
      </c>
      <c r="K7507" s="3" t="s">
        <v>22</v>
      </c>
    </row>
    <row r="7508" spans="1:11" ht="42" customHeight="1">
      <c r="A7508" s="2" t="s">
        <v>15592</v>
      </c>
      <c r="B7508" s="2" t="s">
        <v>15592</v>
      </c>
      <c r="C7508" s="2" t="s">
        <v>109</v>
      </c>
      <c r="D7508" s="2" t="s">
        <v>26</v>
      </c>
      <c r="E7508" s="5">
        <v>-31427</v>
      </c>
      <c r="F7508" s="3" t="s">
        <v>489</v>
      </c>
      <c r="G7508" s="3" t="s">
        <v>258</v>
      </c>
      <c r="H7508" s="2" t="s">
        <v>20</v>
      </c>
      <c r="I7508" s="2" t="s">
        <v>15593</v>
      </c>
      <c r="J7508" s="3" t="str">
        <f>HYPERLINK("https://www.boe.es/gazeta/dias/1813/12/14/pdfs/GMR-1813-87.pdf#page=12","Abrir facsímil")</f>
        <v>Abrir facsímil</v>
      </c>
      <c r="K7508" s="3" t="s">
        <v>22</v>
      </c>
    </row>
    <row r="7509" spans="1:11" ht="42" customHeight="1">
      <c r="A7509" s="2" t="s">
        <v>15594</v>
      </c>
      <c r="B7509" s="2" t="s">
        <v>15594</v>
      </c>
      <c r="C7509" s="2" t="s">
        <v>16</v>
      </c>
      <c r="D7509" s="2" t="s">
        <v>17</v>
      </c>
      <c r="E7509" s="5">
        <v>-31469</v>
      </c>
      <c r="F7509" s="3" t="s">
        <v>1452</v>
      </c>
      <c r="G7509" s="3" t="s">
        <v>82</v>
      </c>
      <c r="H7509" s="2" t="s">
        <v>20</v>
      </c>
      <c r="I7509" s="2" t="s">
        <v>15595</v>
      </c>
      <c r="J7509" s="3" t="str">
        <f>HYPERLINK("https://www.boe.es/gazeta/dias/1813/11/02/pdfs/GRE-1813-143.pdf#page=5","Abrir facsímil")</f>
        <v>Abrir facsímil</v>
      </c>
      <c r="K7509" s="3" t="s">
        <v>22</v>
      </c>
    </row>
    <row r="7510" spans="1:11" ht="42" customHeight="1">
      <c r="A7510" s="2" t="s">
        <v>15596</v>
      </c>
      <c r="B7510" s="2" t="s">
        <v>15597</v>
      </c>
      <c r="C7510" s="2" t="s">
        <v>16</v>
      </c>
      <c r="D7510" s="2" t="s">
        <v>17</v>
      </c>
      <c r="E7510" s="5">
        <v>-31460</v>
      </c>
      <c r="F7510" s="3" t="s">
        <v>599</v>
      </c>
      <c r="G7510" s="3" t="s">
        <v>28</v>
      </c>
      <c r="H7510" s="2" t="s">
        <v>20</v>
      </c>
      <c r="I7510" s="2" t="s">
        <v>15598</v>
      </c>
      <c r="J7510" s="3" t="str">
        <f>HYPERLINK("https://www.boe.es/gazeta/dias/1813/11/11/pdfs/GMR-1813-72.pdf#page=8","Abrir facsímil")</f>
        <v>Abrir facsímil</v>
      </c>
      <c r="K7510" s="3" t="s">
        <v>22</v>
      </c>
    </row>
    <row r="7511" spans="1:11" ht="42" customHeight="1">
      <c r="A7511" s="2" t="s">
        <v>15599</v>
      </c>
      <c r="B7511" s="2" t="s">
        <v>15600</v>
      </c>
      <c r="C7511" s="2" t="s">
        <v>16</v>
      </c>
      <c r="D7511" s="2" t="s">
        <v>97</v>
      </c>
      <c r="E7511" s="5">
        <v>-31479</v>
      </c>
      <c r="F7511" s="3" t="s">
        <v>290</v>
      </c>
      <c r="G7511" s="3" t="s">
        <v>258</v>
      </c>
      <c r="H7511" s="2" t="s">
        <v>20</v>
      </c>
      <c r="I7511" s="2" t="s">
        <v>15601</v>
      </c>
      <c r="J7511" s="3" t="str">
        <f>HYPERLINK("https://www.boe.es/gazeta/dias/1813/10/23/pdfs/GRE-1813-139E.pdf#page=12","Abrir facsímil")</f>
        <v>Abrir facsímil</v>
      </c>
      <c r="K7511" s="3" t="s">
        <v>22</v>
      </c>
    </row>
    <row r="7512" spans="1:11" ht="42" customHeight="1">
      <c r="A7512" s="2" t="s">
        <v>15602</v>
      </c>
      <c r="B7512" s="2" t="s">
        <v>15603</v>
      </c>
      <c r="C7512" s="2" t="s">
        <v>16</v>
      </c>
      <c r="D7512" s="2" t="s">
        <v>17</v>
      </c>
      <c r="E7512" s="5">
        <v>-31665</v>
      </c>
      <c r="F7512" s="3" t="s">
        <v>396</v>
      </c>
      <c r="G7512" s="3" t="s">
        <v>397</v>
      </c>
      <c r="H7512" s="2" t="s">
        <v>29</v>
      </c>
      <c r="I7512" s="2" t="s">
        <v>15604</v>
      </c>
      <c r="J7512" s="3" t="str">
        <f>HYPERLINK("https://www.boe.es/gazeta/dias/1813/04/20/pdfs/GRE-1813-49.pdf#page=8","Abrir facsímil")</f>
        <v>Abrir facsímil</v>
      </c>
      <c r="K7512" s="3" t="s">
        <v>31</v>
      </c>
    </row>
    <row r="7513" spans="1:11" ht="42" customHeight="1">
      <c r="A7513" s="2" t="s">
        <v>15605</v>
      </c>
      <c r="B7513" s="2" t="s">
        <v>15605</v>
      </c>
      <c r="C7513" s="2" t="s">
        <v>16</v>
      </c>
      <c r="D7513" s="2" t="s">
        <v>17</v>
      </c>
      <c r="E7513" s="5">
        <v>-31462</v>
      </c>
      <c r="F7513" s="3" t="s">
        <v>1028</v>
      </c>
      <c r="G7513" s="3" t="s">
        <v>54</v>
      </c>
      <c r="H7513" s="2" t="s">
        <v>20</v>
      </c>
      <c r="I7513" s="2" t="s">
        <v>15606</v>
      </c>
      <c r="J7513" s="3" t="str">
        <f>HYPERLINK("https://www.boe.es/gazeta/dias/1813/11/09/pdfs/GMR-1813-71.pdf#page=3","Abrir facsímil")</f>
        <v>Abrir facsímil</v>
      </c>
      <c r="K7513" s="3" t="s">
        <v>22</v>
      </c>
    </row>
    <row r="7514" spans="1:11" ht="42" customHeight="1">
      <c r="A7514" s="2" t="s">
        <v>15607</v>
      </c>
      <c r="B7514" s="2" t="s">
        <v>15607</v>
      </c>
      <c r="C7514" s="2" t="s">
        <v>16</v>
      </c>
      <c r="D7514" s="2" t="s">
        <v>17</v>
      </c>
      <c r="E7514" s="5">
        <v>-31465</v>
      </c>
      <c r="F7514" s="3" t="s">
        <v>407</v>
      </c>
      <c r="G7514" s="3" t="s">
        <v>54</v>
      </c>
      <c r="H7514" s="2" t="s">
        <v>20</v>
      </c>
      <c r="I7514" s="2" t="s">
        <v>15608</v>
      </c>
      <c r="J7514" s="3" t="str">
        <f>HYPERLINK("https://www.boe.es/gazeta/dias/1813/11/06/pdfs/GMR-1813-70.pdf#page=3","Abrir facsímil")</f>
        <v>Abrir facsímil</v>
      </c>
      <c r="K7514" s="3" t="s">
        <v>22</v>
      </c>
    </row>
    <row r="7515" spans="1:11" ht="42" customHeight="1">
      <c r="A7515" s="2" t="s">
        <v>15609</v>
      </c>
      <c r="B7515" s="2" t="s">
        <v>15610</v>
      </c>
      <c r="C7515" s="2" t="s">
        <v>16</v>
      </c>
      <c r="D7515" s="2" t="s">
        <v>97</v>
      </c>
      <c r="E7515" s="5">
        <v>-31716</v>
      </c>
      <c r="F7515" s="3" t="s">
        <v>6756</v>
      </c>
      <c r="G7515" s="3" t="s">
        <v>2048</v>
      </c>
      <c r="H7515" s="2" t="s">
        <v>20</v>
      </c>
      <c r="I7515" s="2" t="s">
        <v>15611</v>
      </c>
      <c r="J7515" s="3" t="str">
        <f>HYPERLINK("https://www.boe.es/gazeta/dias/1813/02/28/pdfs/GRE-1813-26E.pdf#page=3","Abrir facsímil")</f>
        <v>Abrir facsímil</v>
      </c>
      <c r="K7515" s="3" t="s">
        <v>22</v>
      </c>
    </row>
    <row r="7516" spans="1:11" ht="42" customHeight="1">
      <c r="A7516" s="2" t="s">
        <v>15612</v>
      </c>
      <c r="B7516" s="2" t="s">
        <v>15612</v>
      </c>
      <c r="C7516" s="2" t="s">
        <v>16</v>
      </c>
      <c r="D7516" s="2" t="s">
        <v>17</v>
      </c>
      <c r="E7516" s="5">
        <v>-31623</v>
      </c>
      <c r="F7516" s="3" t="s">
        <v>267</v>
      </c>
      <c r="G7516" s="3" t="s">
        <v>58</v>
      </c>
      <c r="H7516" s="2" t="s">
        <v>20</v>
      </c>
      <c r="I7516" s="2" t="s">
        <v>15613</v>
      </c>
      <c r="J7516" s="3" t="str">
        <f>HYPERLINK("https://www.boe.es/gazeta/dias/1813/06/01/pdfs/GRE-1813-67.pdf#page=2","Abrir facsímil")</f>
        <v>Abrir facsímil</v>
      </c>
      <c r="K7516" s="3" t="s">
        <v>22</v>
      </c>
    </row>
    <row r="7517" spans="1:11" ht="42" customHeight="1">
      <c r="A7517" s="2" t="s">
        <v>15614</v>
      </c>
      <c r="B7517" s="2" t="s">
        <v>15614</v>
      </c>
      <c r="C7517" s="2" t="s">
        <v>25</v>
      </c>
      <c r="D7517" s="2" t="s">
        <v>26</v>
      </c>
      <c r="E7517" s="5">
        <v>-31677</v>
      </c>
      <c r="F7517" s="3" t="s">
        <v>76</v>
      </c>
      <c r="G7517" s="3" t="s">
        <v>28</v>
      </c>
      <c r="H7517" s="2" t="s">
        <v>20</v>
      </c>
      <c r="I7517" s="2" t="s">
        <v>15615</v>
      </c>
      <c r="J7517" s="3" t="str">
        <f>HYPERLINK("https://www.boe.es/gazeta/dias/1813/04/08/pdfs/GRE-1813-43.pdf#page=8","Abrir facsímil")</f>
        <v>Abrir facsímil</v>
      </c>
      <c r="K7517" s="3" t="s">
        <v>22</v>
      </c>
    </row>
    <row r="7518" spans="1:11" ht="42" customHeight="1">
      <c r="A7518" s="2" t="s">
        <v>15614</v>
      </c>
      <c r="B7518" s="2" t="s">
        <v>15614</v>
      </c>
      <c r="C7518" s="2" t="s">
        <v>16</v>
      </c>
      <c r="D7518" s="2" t="s">
        <v>17</v>
      </c>
      <c r="E7518" s="5">
        <v>-31623</v>
      </c>
      <c r="F7518" s="3" t="s">
        <v>267</v>
      </c>
      <c r="G7518" s="3" t="s">
        <v>676</v>
      </c>
      <c r="H7518" s="2" t="s">
        <v>20</v>
      </c>
      <c r="I7518" s="2" t="s">
        <v>15616</v>
      </c>
      <c r="J7518" s="3" t="str">
        <f>HYPERLINK("https://www.boe.es/gazeta/dias/1813/06/01/pdfs/GRE-1813-67.pdf#page=4","Abrir facsímil")</f>
        <v>Abrir facsímil</v>
      </c>
      <c r="K7518" s="3" t="s">
        <v>22</v>
      </c>
    </row>
    <row r="7519" spans="1:11" ht="42" customHeight="1">
      <c r="A7519" s="2" t="s">
        <v>15617</v>
      </c>
      <c r="B7519" s="2" t="s">
        <v>15618</v>
      </c>
      <c r="C7519" s="2" t="s">
        <v>277</v>
      </c>
      <c r="D7519" s="2" t="s">
        <v>26</v>
      </c>
      <c r="E7519" s="5">
        <v>-31490</v>
      </c>
      <c r="F7519" s="3" t="s">
        <v>2909</v>
      </c>
      <c r="G7519" s="3" t="s">
        <v>258</v>
      </c>
      <c r="H7519" s="2" t="s">
        <v>20</v>
      </c>
      <c r="I7519" s="2" t="s">
        <v>15619</v>
      </c>
      <c r="J7519" s="3" t="str">
        <f>HYPERLINK("https://www.boe.es/gazeta/dias/1813/10/12/pdfs/GMR-1813-57.pdf#page=12","Abrir facsímil")</f>
        <v>Abrir facsímil</v>
      </c>
      <c r="K7519" s="3" t="s">
        <v>22</v>
      </c>
    </row>
    <row r="7520" spans="1:11" ht="42" customHeight="1">
      <c r="A7520" s="2" t="s">
        <v>15620</v>
      </c>
      <c r="B7520" s="2" t="s">
        <v>15620</v>
      </c>
      <c r="C7520" s="2" t="s">
        <v>16</v>
      </c>
      <c r="D7520" s="2" t="s">
        <v>17</v>
      </c>
      <c r="E7520" s="5">
        <v>-31444</v>
      </c>
      <c r="F7520" s="3" t="s">
        <v>2451</v>
      </c>
      <c r="G7520" s="3" t="s">
        <v>19</v>
      </c>
      <c r="H7520" s="2" t="s">
        <v>20</v>
      </c>
      <c r="I7520" s="2" t="s">
        <v>15621</v>
      </c>
      <c r="J7520" s="3" t="str">
        <f>HYPERLINK("https://www.boe.es/gazeta/dias/1813/11/27/pdfs/GRE-1813-157.pdf#page=4","Abrir facsímil")</f>
        <v>Abrir facsímil</v>
      </c>
      <c r="K7520" s="3" t="s">
        <v>22</v>
      </c>
    </row>
    <row r="7521" spans="1:11" ht="42" customHeight="1">
      <c r="A7521" s="2" t="s">
        <v>15622</v>
      </c>
      <c r="B7521" s="2" t="s">
        <v>15622</v>
      </c>
      <c r="C7521" s="2" t="s">
        <v>25</v>
      </c>
      <c r="D7521" s="2" t="s">
        <v>26</v>
      </c>
      <c r="E7521" s="5">
        <v>-31549</v>
      </c>
      <c r="F7521" s="3" t="s">
        <v>332</v>
      </c>
      <c r="G7521" s="3" t="s">
        <v>19</v>
      </c>
      <c r="H7521" s="2" t="s">
        <v>20</v>
      </c>
      <c r="I7521" s="2" t="s">
        <v>15623</v>
      </c>
      <c r="J7521" s="3" t="str">
        <f>HYPERLINK("https://www.boe.es/gazeta/dias/1813/08/14/pdfs/GMR-1813-28.pdf#page=4","Abrir facsímil")</f>
        <v>Abrir facsímil</v>
      </c>
      <c r="K7521" s="3" t="s">
        <v>22</v>
      </c>
    </row>
    <row r="7522" spans="1:11" ht="42" customHeight="1">
      <c r="A7522" s="2" t="s">
        <v>15624</v>
      </c>
      <c r="B7522" s="2" t="s">
        <v>15625</v>
      </c>
      <c r="C7522" s="2" t="s">
        <v>16</v>
      </c>
      <c r="D7522" s="2" t="s">
        <v>17</v>
      </c>
      <c r="E7522" s="5">
        <v>-31472</v>
      </c>
      <c r="F7522" s="3" t="s">
        <v>1942</v>
      </c>
      <c r="G7522" s="3" t="s">
        <v>82</v>
      </c>
      <c r="H7522" s="2" t="s">
        <v>20</v>
      </c>
      <c r="I7522" s="2" t="s">
        <v>15626</v>
      </c>
      <c r="J7522" s="3" t="str">
        <f>HYPERLINK("https://www.boe.es/gazeta/dias/1813/10/30/pdfs/GRE-1813-142.pdf#page=5","Abrir facsímil")</f>
        <v>Abrir facsímil</v>
      </c>
      <c r="K7522" s="3" t="s">
        <v>22</v>
      </c>
    </row>
    <row r="7523" spans="1:11" ht="42" customHeight="1">
      <c r="A7523" s="2" t="s">
        <v>15627</v>
      </c>
      <c r="B7523" s="2" t="s">
        <v>15628</v>
      </c>
      <c r="C7523" s="2" t="s">
        <v>16</v>
      </c>
      <c r="D7523" s="2" t="s">
        <v>17</v>
      </c>
      <c r="E7523" s="5">
        <v>-31595</v>
      </c>
      <c r="F7523" s="3" t="s">
        <v>1319</v>
      </c>
      <c r="G7523" s="3" t="s">
        <v>58</v>
      </c>
      <c r="H7523" s="2" t="s">
        <v>20</v>
      </c>
      <c r="I7523" s="2" t="s">
        <v>15629</v>
      </c>
      <c r="J7523" s="3" t="str">
        <f>HYPERLINK("https://www.boe.es/gazeta/dias/1813/06/29/pdfs/GRE-1813-80.pdf#page=2","Abrir facsímil")</f>
        <v>Abrir facsímil</v>
      </c>
      <c r="K7523" s="3" t="s">
        <v>22</v>
      </c>
    </row>
    <row r="7524" spans="1:11" ht="42" customHeight="1">
      <c r="A7524" s="2" t="s">
        <v>15630</v>
      </c>
      <c r="B7524" s="2" t="s">
        <v>15631</v>
      </c>
      <c r="C7524" s="2" t="s">
        <v>16</v>
      </c>
      <c r="D7524" s="2" t="s">
        <v>17</v>
      </c>
      <c r="E7524" s="5">
        <v>-31613</v>
      </c>
      <c r="F7524" s="3" t="s">
        <v>1629</v>
      </c>
      <c r="G7524" s="3" t="s">
        <v>19</v>
      </c>
      <c r="H7524" s="2" t="s">
        <v>20</v>
      </c>
      <c r="I7524" s="2" t="s">
        <v>15632</v>
      </c>
      <c r="J7524" s="3" t="str">
        <f>HYPERLINK("https://www.boe.es/gazeta/dias/1813/06/11/pdfs/GMR-1813-4.pdf#page=4","Abrir facsímil")</f>
        <v>Abrir facsímil</v>
      </c>
      <c r="K7524" s="3" t="s">
        <v>22</v>
      </c>
    </row>
    <row r="7525" spans="1:11" ht="42" customHeight="1">
      <c r="A7525" s="2" t="s">
        <v>15633</v>
      </c>
      <c r="B7525" s="2" t="s">
        <v>15634</v>
      </c>
      <c r="C7525" s="2" t="s">
        <v>16</v>
      </c>
      <c r="D7525" s="2" t="s">
        <v>17</v>
      </c>
      <c r="E7525" s="5">
        <v>-31770</v>
      </c>
      <c r="F7525" s="3" t="s">
        <v>1738</v>
      </c>
      <c r="G7525" s="3" t="s">
        <v>65</v>
      </c>
      <c r="H7525" s="2" t="s">
        <v>20</v>
      </c>
      <c r="I7525" s="2" t="s">
        <v>15635</v>
      </c>
      <c r="J7525" s="3" t="str">
        <f>HYPERLINK("https://www.boe.es/gazeta/dias/1813/01/05/pdfs/GRE-1813-2.pdf#page=1","Abrir facsímil")</f>
        <v>Abrir facsímil</v>
      </c>
      <c r="K7525" s="3" t="s">
        <v>22</v>
      </c>
    </row>
    <row r="7526" spans="1:11" ht="42" customHeight="1">
      <c r="A7526" s="2" t="s">
        <v>15633</v>
      </c>
      <c r="B7526" s="2" t="s">
        <v>15634</v>
      </c>
      <c r="C7526" s="2" t="s">
        <v>16</v>
      </c>
      <c r="D7526" s="2" t="s">
        <v>17</v>
      </c>
      <c r="E7526" s="5">
        <v>-31619</v>
      </c>
      <c r="F7526" s="3" t="s">
        <v>749</v>
      </c>
      <c r="G7526" s="3" t="s">
        <v>65</v>
      </c>
      <c r="H7526" s="2" t="s">
        <v>20</v>
      </c>
      <c r="I7526" s="2" t="s">
        <v>15636</v>
      </c>
      <c r="J7526" s="3" t="str">
        <f>HYPERLINK("https://www.boe.es/gazeta/dias/1813/06/05/pdfs/GRE-1813-70.pdf#page=1","Abrir facsímil")</f>
        <v>Abrir facsímil</v>
      </c>
      <c r="K7526" s="3" t="s">
        <v>22</v>
      </c>
    </row>
    <row r="7527" spans="1:11" ht="42" customHeight="1">
      <c r="A7527" s="2" t="s">
        <v>15633</v>
      </c>
      <c r="B7527" s="2" t="s">
        <v>15634</v>
      </c>
      <c r="C7527" s="2" t="s">
        <v>16</v>
      </c>
      <c r="D7527" s="2" t="s">
        <v>17</v>
      </c>
      <c r="E7527" s="5">
        <v>-31599</v>
      </c>
      <c r="F7527" s="3" t="s">
        <v>2470</v>
      </c>
      <c r="G7527" s="3" t="s">
        <v>58</v>
      </c>
      <c r="H7527" s="2" t="s">
        <v>20</v>
      </c>
      <c r="I7527" s="2" t="s">
        <v>15637</v>
      </c>
      <c r="J7527" s="3" t="str">
        <f>HYPERLINK("https://www.boe.es/gazeta/dias/1813/06/25/pdfs/GMR-1813-11.pdf#page=2","Abrir facsímil")</f>
        <v>Abrir facsímil</v>
      </c>
      <c r="K7527" s="3" t="s">
        <v>22</v>
      </c>
    </row>
    <row r="7528" spans="1:11" ht="42" customHeight="1">
      <c r="A7528" s="2" t="s">
        <v>15633</v>
      </c>
      <c r="B7528" s="2" t="s">
        <v>15634</v>
      </c>
      <c r="C7528" s="2" t="s">
        <v>16</v>
      </c>
      <c r="D7528" s="2" t="s">
        <v>17</v>
      </c>
      <c r="E7528" s="5">
        <v>-31595</v>
      </c>
      <c r="F7528" s="3" t="s">
        <v>1319</v>
      </c>
      <c r="G7528" s="3" t="s">
        <v>54</v>
      </c>
      <c r="H7528" s="2" t="s">
        <v>20</v>
      </c>
      <c r="I7528" s="2" t="s">
        <v>15638</v>
      </c>
      <c r="J7528" s="3" t="str">
        <f>HYPERLINK("https://www.boe.es/gazeta/dias/1813/06/29/pdfs/GRE-1813-80.pdf#page=3","Abrir facsímil")</f>
        <v>Abrir facsímil</v>
      </c>
      <c r="K7528" s="3" t="s">
        <v>22</v>
      </c>
    </row>
    <row r="7529" spans="1:11" ht="42" customHeight="1">
      <c r="A7529" s="2" t="s">
        <v>15633</v>
      </c>
      <c r="B7529" s="2" t="s">
        <v>15634</v>
      </c>
      <c r="C7529" s="2" t="s">
        <v>16</v>
      </c>
      <c r="D7529" s="2" t="s">
        <v>17</v>
      </c>
      <c r="E7529" s="5">
        <v>-31588</v>
      </c>
      <c r="F7529" s="3" t="s">
        <v>2402</v>
      </c>
      <c r="G7529" s="3" t="s">
        <v>65</v>
      </c>
      <c r="H7529" s="2" t="s">
        <v>20</v>
      </c>
      <c r="I7529" s="2" t="s">
        <v>15639</v>
      </c>
      <c r="J7529" s="3" t="str">
        <f>HYPERLINK("https://www.boe.es/gazeta/dias/1813/07/06/pdfs/GRE-1813-84.pdf#page=1","Abrir facsímil")</f>
        <v>Abrir facsímil</v>
      </c>
      <c r="K7529" s="3" t="s">
        <v>22</v>
      </c>
    </row>
    <row r="7530" spans="1:11" ht="42" customHeight="1">
      <c r="A7530" s="2" t="s">
        <v>15633</v>
      </c>
      <c r="B7530" s="2" t="s">
        <v>15634</v>
      </c>
      <c r="C7530" s="2" t="s">
        <v>16</v>
      </c>
      <c r="D7530" s="2" t="s">
        <v>17</v>
      </c>
      <c r="E7530" s="5">
        <v>-31585</v>
      </c>
      <c r="F7530" s="3" t="s">
        <v>177</v>
      </c>
      <c r="G7530" s="3" t="s">
        <v>54</v>
      </c>
      <c r="H7530" s="2" t="s">
        <v>20</v>
      </c>
      <c r="I7530" s="2" t="s">
        <v>15640</v>
      </c>
      <c r="J7530" s="3" t="str">
        <f>HYPERLINK("https://www.boe.es/gazeta/dias/1813/07/09/pdfs/GMR-1813-16.pdf#page=3","Abrir facsímil")</f>
        <v>Abrir facsímil</v>
      </c>
      <c r="K7530" s="3" t="s">
        <v>22</v>
      </c>
    </row>
    <row r="7531" spans="1:11" ht="42" customHeight="1">
      <c r="A7531" s="2" t="s">
        <v>15633</v>
      </c>
      <c r="B7531" s="2" t="s">
        <v>15634</v>
      </c>
      <c r="C7531" s="2" t="s">
        <v>16</v>
      </c>
      <c r="D7531" s="2" t="s">
        <v>17</v>
      </c>
      <c r="E7531" s="5">
        <v>-31581</v>
      </c>
      <c r="F7531" s="3" t="s">
        <v>1321</v>
      </c>
      <c r="G7531" s="3" t="s">
        <v>58</v>
      </c>
      <c r="H7531" s="2" t="s">
        <v>20</v>
      </c>
      <c r="I7531" s="2" t="s">
        <v>15641</v>
      </c>
      <c r="J7531" s="3" t="str">
        <f>HYPERLINK("https://www.boe.es/gazeta/dias/1813/07/13/pdfs/GMR-1813-17.pdf#page=2","Abrir facsímil")</f>
        <v>Abrir facsímil</v>
      </c>
      <c r="K7531" s="3" t="s">
        <v>22</v>
      </c>
    </row>
    <row r="7532" spans="1:11" ht="42" customHeight="1">
      <c r="A7532" s="2" t="s">
        <v>15633</v>
      </c>
      <c r="B7532" s="2" t="s">
        <v>15634</v>
      </c>
      <c r="C7532" s="2" t="s">
        <v>16</v>
      </c>
      <c r="D7532" s="2" t="s">
        <v>17</v>
      </c>
      <c r="E7532" s="5">
        <v>-31581</v>
      </c>
      <c r="F7532" s="3" t="s">
        <v>1321</v>
      </c>
      <c r="G7532" s="3" t="s">
        <v>54</v>
      </c>
      <c r="H7532" s="2" t="s">
        <v>20</v>
      </c>
      <c r="I7532" s="2" t="s">
        <v>15642</v>
      </c>
      <c r="J7532" s="3" t="str">
        <f>HYPERLINK("https://www.boe.es/gazeta/dias/1813/07/13/pdfs/GMR-1813-17.pdf#page=3","Abrir facsímil")</f>
        <v>Abrir facsímil</v>
      </c>
      <c r="K7532" s="3" t="s">
        <v>22</v>
      </c>
    </row>
    <row r="7533" spans="1:11" ht="42" customHeight="1">
      <c r="A7533" s="2" t="s">
        <v>15633</v>
      </c>
      <c r="B7533" s="2" t="s">
        <v>15634</v>
      </c>
      <c r="C7533" s="2" t="s">
        <v>16</v>
      </c>
      <c r="D7533" s="2" t="s">
        <v>17</v>
      </c>
      <c r="E7533" s="5">
        <v>-31578</v>
      </c>
      <c r="F7533" s="3" t="s">
        <v>974</v>
      </c>
      <c r="G7533" s="3" t="s">
        <v>2367</v>
      </c>
      <c r="H7533" s="2" t="s">
        <v>20</v>
      </c>
      <c r="I7533" s="2" t="s">
        <v>15643</v>
      </c>
      <c r="J7533" s="3" t="str">
        <f>HYPERLINK("https://www.boe.es/gazeta/dias/1813/07/16/pdfs/GMR-1813-18.pdf#page=6","Abrir facsímil")</f>
        <v>Abrir facsímil</v>
      </c>
      <c r="K7533" s="3" t="s">
        <v>22</v>
      </c>
    </row>
    <row r="7534" spans="1:11" ht="42" customHeight="1">
      <c r="A7534" s="2" t="s">
        <v>15633</v>
      </c>
      <c r="B7534" s="2" t="s">
        <v>15634</v>
      </c>
      <c r="C7534" s="2" t="s">
        <v>16</v>
      </c>
      <c r="D7534" s="2" t="s">
        <v>17</v>
      </c>
      <c r="E7534" s="5">
        <v>-31571</v>
      </c>
      <c r="F7534" s="3" t="s">
        <v>788</v>
      </c>
      <c r="G7534" s="3" t="s">
        <v>2048</v>
      </c>
      <c r="H7534" s="2" t="s">
        <v>20</v>
      </c>
      <c r="I7534" s="2" t="s">
        <v>15644</v>
      </c>
      <c r="J7534" s="3" t="str">
        <f>HYPERLINK("https://www.boe.es/gazeta/dias/1813/07/23/pdfs/GMR-1813-20.pdf#page=3","Abrir facsímil")</f>
        <v>Abrir facsímil</v>
      </c>
      <c r="K7534" s="3" t="s">
        <v>22</v>
      </c>
    </row>
    <row r="7535" spans="1:11" ht="42" customHeight="1">
      <c r="A7535" s="2" t="s">
        <v>15633</v>
      </c>
      <c r="B7535" s="2" t="s">
        <v>15634</v>
      </c>
      <c r="C7535" s="2" t="s">
        <v>16</v>
      </c>
      <c r="D7535" s="2" t="s">
        <v>17</v>
      </c>
      <c r="E7535" s="5">
        <v>-31559</v>
      </c>
      <c r="F7535" s="3" t="s">
        <v>1485</v>
      </c>
      <c r="G7535" s="3" t="s">
        <v>58</v>
      </c>
      <c r="H7535" s="2" t="s">
        <v>20</v>
      </c>
      <c r="I7535" s="2" t="s">
        <v>15645</v>
      </c>
      <c r="J7535" s="3" t="str">
        <f>HYPERLINK("https://www.boe.es/gazeta/dias/1813/08/04/pdfs/GRE-1813-113.pdf#page=2","Abrir facsímil")</f>
        <v>Abrir facsímil</v>
      </c>
      <c r="K7535" s="3" t="s">
        <v>22</v>
      </c>
    </row>
    <row r="7536" spans="1:11" ht="42" customHeight="1">
      <c r="A7536" s="2" t="s">
        <v>15633</v>
      </c>
      <c r="B7536" s="2" t="s">
        <v>15634</v>
      </c>
      <c r="C7536" s="2" t="s">
        <v>16</v>
      </c>
      <c r="D7536" s="2" t="s">
        <v>17</v>
      </c>
      <c r="E7536" s="5">
        <v>-31532</v>
      </c>
      <c r="F7536" s="3" t="s">
        <v>215</v>
      </c>
      <c r="G7536" s="3" t="s">
        <v>19</v>
      </c>
      <c r="H7536" s="2" t="s">
        <v>20</v>
      </c>
      <c r="I7536" s="2" t="s">
        <v>15646</v>
      </c>
      <c r="J7536" s="3" t="str">
        <f>HYPERLINK("https://www.boe.es/gazeta/dias/1813/08/31/pdfs/GRE-1813-111.pdf#page=4","Abrir facsímil")</f>
        <v>Abrir facsímil</v>
      </c>
      <c r="K7536" s="3" t="s">
        <v>22</v>
      </c>
    </row>
    <row r="7537" spans="1:11" ht="42" customHeight="1">
      <c r="A7537" s="2" t="s">
        <v>15633</v>
      </c>
      <c r="B7537" s="2" t="s">
        <v>15634</v>
      </c>
      <c r="C7537" s="2" t="s">
        <v>16</v>
      </c>
      <c r="D7537" s="2" t="s">
        <v>17</v>
      </c>
      <c r="E7537" s="5">
        <v>-31528</v>
      </c>
      <c r="F7537" s="3" t="s">
        <v>1485</v>
      </c>
      <c r="G7537" s="3" t="s">
        <v>58</v>
      </c>
      <c r="H7537" s="2" t="s">
        <v>20</v>
      </c>
      <c r="I7537" s="2" t="s">
        <v>15645</v>
      </c>
      <c r="J7537" s="3" t="str">
        <f>HYPERLINK("https://www.boe.es/gazeta/dias/1813/09/04/pdfs/GRE-1813-113.pdf#page=2","Abrir facsímil")</f>
        <v>Abrir facsímil</v>
      </c>
      <c r="K7537" s="3" t="s">
        <v>22</v>
      </c>
    </row>
    <row r="7538" spans="1:11" ht="42" customHeight="1">
      <c r="A7538" s="2" t="s">
        <v>15633</v>
      </c>
      <c r="B7538" s="2" t="s">
        <v>15634</v>
      </c>
      <c r="C7538" s="2" t="s">
        <v>16</v>
      </c>
      <c r="D7538" s="2" t="s">
        <v>17</v>
      </c>
      <c r="E7538" s="5">
        <v>-31481</v>
      </c>
      <c r="F7538" s="3" t="s">
        <v>380</v>
      </c>
      <c r="G7538" s="3" t="s">
        <v>95</v>
      </c>
      <c r="H7538" s="2" t="s">
        <v>20</v>
      </c>
      <c r="I7538" s="2" t="s">
        <v>15647</v>
      </c>
      <c r="J7538" s="3" t="str">
        <f>HYPERLINK("https://www.boe.es/gazeta/dias/1813/10/21/pdfs/GRE-1813-137.pdf#page=6","Abrir facsímil")</f>
        <v>Abrir facsímil</v>
      </c>
      <c r="K7538" s="3" t="s">
        <v>22</v>
      </c>
    </row>
    <row r="7539" spans="1:11" ht="42" customHeight="1">
      <c r="A7539" s="2" t="s">
        <v>15633</v>
      </c>
      <c r="B7539" s="2" t="s">
        <v>15634</v>
      </c>
      <c r="C7539" s="2" t="s">
        <v>16</v>
      </c>
      <c r="D7539" s="2" t="s">
        <v>17</v>
      </c>
      <c r="E7539" s="5">
        <v>-31479</v>
      </c>
      <c r="F7539" s="3" t="s">
        <v>2383</v>
      </c>
      <c r="G7539" s="3" t="s">
        <v>65</v>
      </c>
      <c r="H7539" s="2" t="s">
        <v>20</v>
      </c>
      <c r="I7539" s="2" t="s">
        <v>15648</v>
      </c>
      <c r="J7539" s="3" t="str">
        <f>HYPERLINK("https://www.boe.es/gazeta/dias/1813/10/23/pdfs/GRE-1813-138.pdf#page=1","Abrir facsímil")</f>
        <v>Abrir facsímil</v>
      </c>
      <c r="K7539" s="3" t="s">
        <v>22</v>
      </c>
    </row>
    <row r="7540" spans="1:11" ht="42" customHeight="1">
      <c r="A7540" s="2" t="s">
        <v>15633</v>
      </c>
      <c r="B7540" s="2" t="s">
        <v>15634</v>
      </c>
      <c r="C7540" s="2" t="s">
        <v>16</v>
      </c>
      <c r="D7540" s="2" t="s">
        <v>17</v>
      </c>
      <c r="E7540" s="5">
        <v>-31462</v>
      </c>
      <c r="F7540" s="3" t="s">
        <v>542</v>
      </c>
      <c r="G7540" s="3" t="s">
        <v>54</v>
      </c>
      <c r="H7540" s="2" t="s">
        <v>20</v>
      </c>
      <c r="I7540" s="2" t="s">
        <v>15649</v>
      </c>
      <c r="J7540" s="3" t="str">
        <f>HYPERLINK("https://www.boe.es/gazeta/dias/1813/11/09/pdfs/GRE-1813-146.pdf#page=3","Abrir facsímil")</f>
        <v>Abrir facsímil</v>
      </c>
      <c r="K7540" s="3" t="s">
        <v>22</v>
      </c>
    </row>
    <row r="7541" spans="1:11" ht="42" customHeight="1">
      <c r="A7541" s="2" t="s">
        <v>15650</v>
      </c>
      <c r="B7541" s="2" t="s">
        <v>15651</v>
      </c>
      <c r="C7541" s="2" t="s">
        <v>25</v>
      </c>
      <c r="D7541" s="2" t="s">
        <v>26</v>
      </c>
      <c r="E7541" s="5">
        <v>-31752</v>
      </c>
      <c r="F7541" s="3" t="s">
        <v>182</v>
      </c>
      <c r="G7541" s="3" t="s">
        <v>183</v>
      </c>
      <c r="H7541" s="2" t="s">
        <v>20</v>
      </c>
      <c r="I7541" s="2" t="s">
        <v>15652</v>
      </c>
      <c r="J7541" s="3" t="str">
        <f>HYPERLINK("https://www.boe.es/gazeta/dias/1813/01/23/pdfs/GRE-1813-10.pdf#page=8","Abrir facsímil")</f>
        <v>Abrir facsímil</v>
      </c>
      <c r="K7541" s="3" t="s">
        <v>22</v>
      </c>
    </row>
    <row r="7542" spans="1:11" ht="42" customHeight="1">
      <c r="A7542" s="2" t="s">
        <v>15653</v>
      </c>
      <c r="B7542" s="2" t="s">
        <v>15653</v>
      </c>
      <c r="C7542" s="2" t="s">
        <v>16</v>
      </c>
      <c r="D7542" s="2" t="s">
        <v>17</v>
      </c>
      <c r="E7542" s="5">
        <v>-31535</v>
      </c>
      <c r="F7542" s="3" t="s">
        <v>366</v>
      </c>
      <c r="G7542" s="3" t="s">
        <v>65</v>
      </c>
      <c r="H7542" s="2" t="s">
        <v>20</v>
      </c>
      <c r="I7542" s="2" t="s">
        <v>15654</v>
      </c>
      <c r="J7542" s="3" t="str">
        <f>HYPERLINK("https://www.boe.es/gazeta/dias/1813/08/28/pdfs/GRE-1813-110.pdf#page=1","Abrir facsímil")</f>
        <v>Abrir facsímil</v>
      </c>
      <c r="K7542" s="3" t="s">
        <v>22</v>
      </c>
    </row>
    <row r="7543" spans="1:11" ht="42" customHeight="1">
      <c r="A7543" s="2" t="s">
        <v>15655</v>
      </c>
      <c r="B7543" s="2" t="s">
        <v>15655</v>
      </c>
      <c r="C7543" s="2" t="s">
        <v>16</v>
      </c>
      <c r="D7543" s="2" t="s">
        <v>17</v>
      </c>
      <c r="E7543" s="5">
        <v>-31595</v>
      </c>
      <c r="F7543" s="3" t="s">
        <v>70</v>
      </c>
      <c r="G7543" s="3" t="s">
        <v>54</v>
      </c>
      <c r="H7543" s="2" t="s">
        <v>20</v>
      </c>
      <c r="I7543" s="2" t="s">
        <v>15656</v>
      </c>
      <c r="J7543" s="3" t="str">
        <f>HYPERLINK("https://www.boe.es/gazeta/dias/1813/06/29/pdfs/GMR-1813-13.pdf#page=3","Abrir facsímil")</f>
        <v>Abrir facsímil</v>
      </c>
      <c r="K7543" s="3" t="s">
        <v>22</v>
      </c>
    </row>
    <row r="7544" spans="1:11" ht="42" customHeight="1">
      <c r="A7544" s="2" t="s">
        <v>15655</v>
      </c>
      <c r="B7544" s="2" t="s">
        <v>15655</v>
      </c>
      <c r="C7544" s="2" t="s">
        <v>16</v>
      </c>
      <c r="D7544" s="2" t="s">
        <v>17</v>
      </c>
      <c r="E7544" s="5">
        <v>-31532</v>
      </c>
      <c r="F7544" s="3" t="s">
        <v>1728</v>
      </c>
      <c r="G7544" s="3" t="s">
        <v>65</v>
      </c>
      <c r="H7544" s="2" t="s">
        <v>20</v>
      </c>
      <c r="I7544" s="2" t="s">
        <v>15657</v>
      </c>
      <c r="J7544" s="3" t="str">
        <f>HYPERLINK("https://www.boe.es/gazeta/dias/1813/08/31/pdfs/GMR-1813-35.pdf#page=1","Abrir facsímil")</f>
        <v>Abrir facsímil</v>
      </c>
      <c r="K7544" s="3" t="s">
        <v>22</v>
      </c>
    </row>
    <row r="7545" spans="1:11" ht="42" customHeight="1">
      <c r="A7545" s="2" t="s">
        <v>15658</v>
      </c>
      <c r="B7545" s="2" t="s">
        <v>15658</v>
      </c>
      <c r="C7545" s="2" t="s">
        <v>16</v>
      </c>
      <c r="D7545" s="2" t="s">
        <v>97</v>
      </c>
      <c r="E7545" s="5">
        <v>-31446</v>
      </c>
      <c r="F7545" s="3" t="s">
        <v>1877</v>
      </c>
      <c r="G7545" s="3" t="s">
        <v>1878</v>
      </c>
      <c r="H7545" s="2" t="s">
        <v>20</v>
      </c>
      <c r="I7545" s="2" t="s">
        <v>15659</v>
      </c>
      <c r="J7545" s="3" t="str">
        <f>HYPERLINK("https://www.boe.es/gazeta/dias/1813/11/25/pdfs/GRE-1813-155E.pdf#page=8","Abrir facsímil")</f>
        <v>Abrir facsímil</v>
      </c>
      <c r="K7545" s="3" t="s">
        <v>22</v>
      </c>
    </row>
    <row r="7546" spans="1:11" ht="42" customHeight="1">
      <c r="A7546" s="2" t="s">
        <v>15658</v>
      </c>
      <c r="B7546" s="2" t="s">
        <v>15658</v>
      </c>
      <c r="C7546" s="2" t="s">
        <v>16</v>
      </c>
      <c r="D7546" s="2" t="s">
        <v>97</v>
      </c>
      <c r="E7546" s="5">
        <v>-31446</v>
      </c>
      <c r="F7546" s="3" t="s">
        <v>1877</v>
      </c>
      <c r="G7546" s="3" t="s">
        <v>19</v>
      </c>
      <c r="H7546" s="2" t="s">
        <v>20</v>
      </c>
      <c r="I7546" s="2" t="s">
        <v>15660</v>
      </c>
      <c r="J7546" s="3" t="str">
        <f>HYPERLINK("https://www.boe.es/gazeta/dias/1813/11/25/pdfs/GRE-1813-155E.pdf#page=4","Abrir facsímil")</f>
        <v>Abrir facsímil</v>
      </c>
      <c r="K7546" s="3" t="s">
        <v>22</v>
      </c>
    </row>
    <row r="7547" spans="1:11" ht="42" customHeight="1">
      <c r="A7547" s="2" t="s">
        <v>15658</v>
      </c>
      <c r="B7547" s="2" t="s">
        <v>15658</v>
      </c>
      <c r="C7547" s="2" t="s">
        <v>16</v>
      </c>
      <c r="D7547" s="2" t="s">
        <v>17</v>
      </c>
      <c r="E7547" s="5">
        <v>-31441</v>
      </c>
      <c r="F7547" s="3" t="s">
        <v>1933</v>
      </c>
      <c r="G7547" s="3" t="s">
        <v>19</v>
      </c>
      <c r="H7547" s="2" t="s">
        <v>20</v>
      </c>
      <c r="I7547" s="2" t="s">
        <v>15661</v>
      </c>
      <c r="J7547" s="3" t="str">
        <f>HYPERLINK("https://www.boe.es/gazeta/dias/1813/11/30/pdfs/GMR-1813-81.pdf#page=4","Abrir facsímil")</f>
        <v>Abrir facsímil</v>
      </c>
      <c r="K7547" s="3" t="s">
        <v>22</v>
      </c>
    </row>
    <row r="7548" spans="1:11" ht="42" customHeight="1">
      <c r="A7548" s="2" t="s">
        <v>15662</v>
      </c>
      <c r="B7548" s="2" t="s">
        <v>15663</v>
      </c>
      <c r="C7548" s="2" t="s">
        <v>16</v>
      </c>
      <c r="D7548" s="2" t="s">
        <v>17</v>
      </c>
      <c r="E7548" s="5">
        <v>-31763</v>
      </c>
      <c r="F7548" s="3" t="s">
        <v>668</v>
      </c>
      <c r="G7548" s="3" t="s">
        <v>669</v>
      </c>
      <c r="H7548" s="2" t="s">
        <v>20</v>
      </c>
      <c r="I7548" s="2" t="s">
        <v>15664</v>
      </c>
      <c r="J7548" s="3" t="str">
        <f>HYPERLINK("https://www.boe.es/gazeta/dias/1813/01/12/pdfs/GRE-1813-5.pdf#page=6","Abrir facsímil")</f>
        <v>Abrir facsímil</v>
      </c>
      <c r="K7548" s="3" t="s">
        <v>22</v>
      </c>
    </row>
    <row r="7549" spans="1:11" ht="42" customHeight="1">
      <c r="A7549" s="2" t="s">
        <v>15665</v>
      </c>
      <c r="B7549" s="2" t="s">
        <v>15666</v>
      </c>
      <c r="C7549" s="2" t="s">
        <v>16</v>
      </c>
      <c r="D7549" s="2" t="s">
        <v>97</v>
      </c>
      <c r="E7549" s="5">
        <v>-31519</v>
      </c>
      <c r="F7549" s="3" t="s">
        <v>312</v>
      </c>
      <c r="G7549" s="3" t="s">
        <v>58</v>
      </c>
      <c r="H7549" s="2" t="s">
        <v>20</v>
      </c>
      <c r="I7549" s="2" t="s">
        <v>15667</v>
      </c>
      <c r="J7549" s="3" t="str">
        <f>HYPERLINK("https://www.boe.es/gazeta/dias/1813/09/13/pdfs/GRE-1813-118E.pdf#page=2","Abrir facsímil")</f>
        <v>Abrir facsímil</v>
      </c>
      <c r="K7549" s="3" t="s">
        <v>22</v>
      </c>
    </row>
    <row r="7550" spans="1:11" ht="42" customHeight="1">
      <c r="A7550" s="2" t="s">
        <v>15668</v>
      </c>
      <c r="B7550" s="2" t="s">
        <v>15669</v>
      </c>
      <c r="C7550" s="2" t="s">
        <v>16</v>
      </c>
      <c r="D7550" s="2" t="s">
        <v>17</v>
      </c>
      <c r="E7550" s="5">
        <v>-31544</v>
      </c>
      <c r="F7550" s="3" t="s">
        <v>200</v>
      </c>
      <c r="G7550" s="3" t="s">
        <v>1863</v>
      </c>
      <c r="H7550" s="2" t="s">
        <v>20</v>
      </c>
      <c r="I7550" s="2" t="s">
        <v>15670</v>
      </c>
      <c r="J7550" s="3" t="str">
        <f>HYPERLINK("https://www.boe.es/gazeta/dias/1813/08/19/pdfs/GRE-1813-106.pdf#page=8","Abrir facsímil")</f>
        <v>Abrir facsímil</v>
      </c>
      <c r="K7550" s="3" t="s">
        <v>22</v>
      </c>
    </row>
    <row r="7551" spans="1:11" ht="42" customHeight="1">
      <c r="A7551" s="2" t="s">
        <v>15671</v>
      </c>
      <c r="B7551" s="2" t="s">
        <v>15672</v>
      </c>
      <c r="C7551" s="2" t="s">
        <v>34</v>
      </c>
      <c r="D7551" s="2" t="s">
        <v>35</v>
      </c>
      <c r="E7551" s="5">
        <v>-31507</v>
      </c>
      <c r="F7551" s="3" t="s">
        <v>61</v>
      </c>
      <c r="G7551" s="3" t="s">
        <v>28</v>
      </c>
      <c r="H7551" s="2" t="s">
        <v>20</v>
      </c>
      <c r="I7551" s="2" t="s">
        <v>15673</v>
      </c>
      <c r="J7551" s="3" t="str">
        <f>HYPERLINK("https://www.boe.es/gazeta/dias/1813/09/25/pdfs/GMR-1813-48.pdf#page=8","Abrir facsímil")</f>
        <v>Abrir facsímil</v>
      </c>
      <c r="K7551" s="3" t="s">
        <v>22</v>
      </c>
    </row>
    <row r="7552" spans="1:11" ht="42" customHeight="1">
      <c r="A7552" s="2" t="s">
        <v>15674</v>
      </c>
      <c r="B7552" s="2" t="s">
        <v>15674</v>
      </c>
      <c r="C7552" s="2" t="s">
        <v>16</v>
      </c>
      <c r="D7552" s="2" t="s">
        <v>17</v>
      </c>
      <c r="E7552" s="5">
        <v>-31413</v>
      </c>
      <c r="F7552" s="3" t="s">
        <v>149</v>
      </c>
      <c r="G7552" s="3" t="s">
        <v>58</v>
      </c>
      <c r="H7552" s="2" t="s">
        <v>20</v>
      </c>
      <c r="I7552" s="2" t="s">
        <v>15675</v>
      </c>
      <c r="J7552" s="3" t="str">
        <f>HYPERLINK("https://www.boe.es/gazeta/dias/1813/12/28/pdfs/GMR-1813-93.pdf#page=2","Abrir facsímil")</f>
        <v>Abrir facsímil</v>
      </c>
      <c r="K7552" s="3" t="s">
        <v>22</v>
      </c>
    </row>
    <row r="7553" spans="1:11" ht="42" customHeight="1">
      <c r="A7553" s="2" t="s">
        <v>15676</v>
      </c>
      <c r="B7553" s="2" t="s">
        <v>15676</v>
      </c>
      <c r="C7553" s="2" t="s">
        <v>16</v>
      </c>
      <c r="D7553" s="2" t="s">
        <v>17</v>
      </c>
      <c r="E7553" s="5">
        <v>-31771</v>
      </c>
      <c r="F7553" s="3" t="s">
        <v>1976</v>
      </c>
      <c r="G7553" s="3" t="s">
        <v>65</v>
      </c>
      <c r="H7553" s="2" t="s">
        <v>20</v>
      </c>
      <c r="I7553" s="2" t="s">
        <v>15677</v>
      </c>
      <c r="J7553" s="3" t="str">
        <f>HYPERLINK("https://www.boe.es/gazeta/dias/1813/01/04/pdfs/GMD-1813-4.pdf#page=1","Abrir facsímil")</f>
        <v>Abrir facsímil</v>
      </c>
      <c r="K7553" s="3" t="s">
        <v>22</v>
      </c>
    </row>
    <row r="7554" spans="1:11" ht="42" customHeight="1">
      <c r="A7554" s="2" t="s">
        <v>15678</v>
      </c>
      <c r="B7554" s="2" t="s">
        <v>15678</v>
      </c>
      <c r="C7554" s="2" t="s">
        <v>16</v>
      </c>
      <c r="D7554" s="2" t="s">
        <v>17</v>
      </c>
      <c r="E7554" s="5">
        <v>-31592</v>
      </c>
      <c r="F7554" s="3" t="s">
        <v>175</v>
      </c>
      <c r="G7554" s="3" t="s">
        <v>54</v>
      </c>
      <c r="H7554" s="2" t="s">
        <v>20</v>
      </c>
      <c r="I7554" s="2" t="s">
        <v>15679</v>
      </c>
      <c r="J7554" s="3" t="str">
        <f>HYPERLINK("https://www.boe.es/gazeta/dias/1813/07/02/pdfs/GRE-1813-82.pdf#page=3","Abrir facsímil")</f>
        <v>Abrir facsímil</v>
      </c>
      <c r="K7554" s="3" t="s">
        <v>22</v>
      </c>
    </row>
    <row r="7555" spans="1:11" ht="42" customHeight="1">
      <c r="A7555" s="2" t="s">
        <v>15680</v>
      </c>
      <c r="B7555" s="2" t="s">
        <v>15681</v>
      </c>
      <c r="C7555" s="2" t="s">
        <v>25</v>
      </c>
      <c r="D7555" s="2" t="s">
        <v>26</v>
      </c>
      <c r="E7555" s="5">
        <v>-31521</v>
      </c>
      <c r="F7555" s="3" t="s">
        <v>1256</v>
      </c>
      <c r="G7555" s="3" t="s">
        <v>87</v>
      </c>
      <c r="H7555" s="2" t="s">
        <v>20</v>
      </c>
      <c r="I7555" s="2" t="s">
        <v>15682</v>
      </c>
      <c r="J7555" s="3" t="str">
        <f>HYPERLINK("https://www.boe.es/gazeta/dias/1813/09/11/pdfs/GRE-1813-116.pdf#page=7","Abrir facsímil")</f>
        <v>Abrir facsímil</v>
      </c>
      <c r="K7555" s="3" t="s">
        <v>22</v>
      </c>
    </row>
    <row r="7556" spans="1:11" ht="42" customHeight="1">
      <c r="A7556" s="2" t="s">
        <v>15683</v>
      </c>
      <c r="B7556" s="2" t="s">
        <v>15684</v>
      </c>
      <c r="C7556" s="2" t="s">
        <v>69</v>
      </c>
      <c r="D7556" s="2" t="s">
        <v>26</v>
      </c>
      <c r="E7556" s="5">
        <v>-31655</v>
      </c>
      <c r="F7556" s="3" t="s">
        <v>858</v>
      </c>
      <c r="G7556" s="3" t="s">
        <v>983</v>
      </c>
      <c r="H7556" s="2" t="s">
        <v>20</v>
      </c>
      <c r="I7556" s="2" t="s">
        <v>15685</v>
      </c>
      <c r="J7556" s="3" t="str">
        <f>HYPERLINK("https://www.boe.es/gazeta/dias/1813/04/30/pdfs/GMD-1813-120.pdf#page=3","Abrir facsímil")</f>
        <v>Abrir facsímil</v>
      </c>
      <c r="K7556" s="3" t="s">
        <v>22</v>
      </c>
    </row>
    <row r="7557" spans="1:11" ht="42" customHeight="1">
      <c r="A7557" s="2" t="s">
        <v>15686</v>
      </c>
      <c r="B7557" s="2" t="s">
        <v>15687</v>
      </c>
      <c r="C7557" s="2" t="s">
        <v>16</v>
      </c>
      <c r="D7557" s="2" t="s">
        <v>97</v>
      </c>
      <c r="E7557" s="5">
        <v>-31519</v>
      </c>
      <c r="F7557" s="3" t="s">
        <v>312</v>
      </c>
      <c r="G7557" s="3" t="s">
        <v>28</v>
      </c>
      <c r="H7557" s="2" t="s">
        <v>20</v>
      </c>
      <c r="I7557" s="2" t="s">
        <v>15688</v>
      </c>
      <c r="J7557" s="3" t="str">
        <f>HYPERLINK("https://www.boe.es/gazeta/dias/1813/09/13/pdfs/GRE-1813-118E.pdf#page=8","Abrir facsímil")</f>
        <v>Abrir facsímil</v>
      </c>
      <c r="K7557" s="3" t="s">
        <v>22</v>
      </c>
    </row>
    <row r="7558" spans="1:11" ht="42" customHeight="1">
      <c r="A7558" s="2" t="s">
        <v>15686</v>
      </c>
      <c r="B7558" s="2" t="s">
        <v>15687</v>
      </c>
      <c r="C7558" s="2" t="s">
        <v>16</v>
      </c>
      <c r="D7558" s="2" t="s">
        <v>17</v>
      </c>
      <c r="E7558" s="5">
        <v>-31507</v>
      </c>
      <c r="F7558" s="3" t="s">
        <v>61</v>
      </c>
      <c r="G7558" s="3" t="s">
        <v>791</v>
      </c>
      <c r="H7558" s="2" t="s">
        <v>20</v>
      </c>
      <c r="I7558" s="2" t="s">
        <v>15689</v>
      </c>
      <c r="J7558" s="3" t="str">
        <f>HYPERLINK("https://www.boe.es/gazeta/dias/1813/09/25/pdfs/GMR-1813-48.pdf#page=7","Abrir facsímil")</f>
        <v>Abrir facsímil</v>
      </c>
      <c r="K7558" s="3" t="s">
        <v>22</v>
      </c>
    </row>
    <row r="7559" spans="1:11" ht="42" customHeight="1">
      <c r="A7559" s="2" t="s">
        <v>15690</v>
      </c>
      <c r="B7559" s="2" t="s">
        <v>15691</v>
      </c>
      <c r="C7559" s="2" t="s">
        <v>16</v>
      </c>
      <c r="D7559" s="2" t="s">
        <v>97</v>
      </c>
      <c r="E7559" s="5">
        <v>-31519</v>
      </c>
      <c r="F7559" s="3" t="s">
        <v>312</v>
      </c>
      <c r="G7559" s="3" t="s">
        <v>28</v>
      </c>
      <c r="H7559" s="2" t="s">
        <v>20</v>
      </c>
      <c r="I7559" s="2" t="s">
        <v>15692</v>
      </c>
      <c r="J7559" s="3" t="str">
        <f>HYPERLINK("https://www.boe.es/gazeta/dias/1813/09/13/pdfs/GRE-1813-118E.pdf#page=8","Abrir facsímil")</f>
        <v>Abrir facsímil</v>
      </c>
      <c r="K7559" s="3" t="s">
        <v>22</v>
      </c>
    </row>
    <row r="7560" spans="1:11" ht="42" customHeight="1">
      <c r="A7560" s="2" t="s">
        <v>15693</v>
      </c>
      <c r="B7560" s="2" t="s">
        <v>15693</v>
      </c>
      <c r="C7560" s="2" t="s">
        <v>16</v>
      </c>
      <c r="D7560" s="2" t="s">
        <v>17</v>
      </c>
      <c r="E7560" s="5">
        <v>-31605</v>
      </c>
      <c r="F7560" s="3" t="s">
        <v>884</v>
      </c>
      <c r="G7560" s="3" t="s">
        <v>19</v>
      </c>
      <c r="H7560" s="2" t="s">
        <v>20</v>
      </c>
      <c r="I7560" s="2" t="s">
        <v>15694</v>
      </c>
      <c r="J7560" s="3" t="str">
        <f>HYPERLINK("https://www.boe.es/gazeta/dias/1813/06/19/pdfs/GRE-1813-76.pdf#page=4","Abrir facsímil")</f>
        <v>Abrir facsímil</v>
      </c>
      <c r="K7560" s="3" t="s">
        <v>22</v>
      </c>
    </row>
    <row r="7561" spans="1:11" ht="42" customHeight="1">
      <c r="A7561" s="2" t="s">
        <v>15695</v>
      </c>
      <c r="B7561" s="2" t="s">
        <v>15695</v>
      </c>
      <c r="C7561" s="2" t="s">
        <v>16</v>
      </c>
      <c r="D7561" s="2" t="s">
        <v>17</v>
      </c>
      <c r="E7561" s="5">
        <v>-31770</v>
      </c>
      <c r="F7561" s="3" t="s">
        <v>1738</v>
      </c>
      <c r="G7561" s="3" t="s">
        <v>2984</v>
      </c>
      <c r="H7561" s="2" t="s">
        <v>20</v>
      </c>
      <c r="I7561" s="2" t="s">
        <v>15696</v>
      </c>
      <c r="J7561" s="3" t="str">
        <f>HYPERLINK("https://www.boe.es/gazeta/dias/1813/01/05/pdfs/GRE-1813-2.pdf#page=4","Abrir facsímil")</f>
        <v>Abrir facsímil</v>
      </c>
      <c r="K7561" s="3" t="s">
        <v>22</v>
      </c>
    </row>
    <row r="7562" spans="1:11" ht="42" customHeight="1">
      <c r="A7562" s="2" t="s">
        <v>15695</v>
      </c>
      <c r="B7562" s="2" t="s">
        <v>15695</v>
      </c>
      <c r="C7562" s="2" t="s">
        <v>16</v>
      </c>
      <c r="D7562" s="2" t="s">
        <v>17</v>
      </c>
      <c r="E7562" s="5">
        <v>-31770</v>
      </c>
      <c r="F7562" s="3" t="s">
        <v>188</v>
      </c>
      <c r="G7562" s="3" t="s">
        <v>19</v>
      </c>
      <c r="H7562" s="2" t="s">
        <v>20</v>
      </c>
      <c r="I7562" s="2" t="s">
        <v>15697</v>
      </c>
      <c r="J7562" s="3" t="str">
        <f>HYPERLINK("https://www.boe.es/gazeta/dias/1813/01/05/pdfs/GRE-1813-3.pdf#page=4","Abrir facsímil")</f>
        <v>Abrir facsímil</v>
      </c>
      <c r="K7562" s="3" t="s">
        <v>22</v>
      </c>
    </row>
    <row r="7563" spans="1:11" ht="42" customHeight="1">
      <c r="A7563" s="2" t="s">
        <v>15695</v>
      </c>
      <c r="B7563" s="2" t="s">
        <v>15695</v>
      </c>
      <c r="C7563" s="2" t="s">
        <v>16</v>
      </c>
      <c r="D7563" s="2" t="s">
        <v>17</v>
      </c>
      <c r="E7563" s="5">
        <v>-31768</v>
      </c>
      <c r="F7563" s="3" t="s">
        <v>188</v>
      </c>
      <c r="G7563" s="3" t="s">
        <v>19</v>
      </c>
      <c r="H7563" s="2" t="s">
        <v>20</v>
      </c>
      <c r="I7563" s="2" t="s">
        <v>15697</v>
      </c>
      <c r="J7563" s="3" t="str">
        <f>HYPERLINK("https://www.boe.es/gazeta/dias/1813/01/07/pdfs/GRE-1813-3.pdf#page=4","Abrir facsímil")</f>
        <v>Abrir facsímil</v>
      </c>
      <c r="K7563" s="3" t="s">
        <v>22</v>
      </c>
    </row>
    <row r="7564" spans="1:11" ht="42" customHeight="1">
      <c r="A7564" s="2" t="s">
        <v>15695</v>
      </c>
      <c r="B7564" s="2" t="s">
        <v>15695</v>
      </c>
      <c r="C7564" s="2" t="s">
        <v>16</v>
      </c>
      <c r="D7564" s="2" t="s">
        <v>17</v>
      </c>
      <c r="E7564" s="5">
        <v>-31733</v>
      </c>
      <c r="F7564" s="3" t="s">
        <v>3036</v>
      </c>
      <c r="G7564" s="3" t="s">
        <v>82</v>
      </c>
      <c r="H7564" s="2" t="s">
        <v>20</v>
      </c>
      <c r="I7564" s="2" t="s">
        <v>15698</v>
      </c>
      <c r="J7564" s="3" t="str">
        <f>HYPERLINK("https://www.boe.es/gazeta/dias/1813/02/11/pdfs/GRE-1813-18.pdf#page=5","Abrir facsímil")</f>
        <v>Abrir facsímil</v>
      </c>
      <c r="K7564" s="3" t="s">
        <v>22</v>
      </c>
    </row>
    <row r="7565" spans="1:11" ht="42" customHeight="1">
      <c r="A7565" s="2" t="s">
        <v>15695</v>
      </c>
      <c r="B7565" s="2" t="s">
        <v>15695</v>
      </c>
      <c r="C7565" s="2" t="s">
        <v>16</v>
      </c>
      <c r="D7565" s="2" t="s">
        <v>17</v>
      </c>
      <c r="E7565" s="5">
        <v>-31731</v>
      </c>
      <c r="F7565" s="3" t="s">
        <v>866</v>
      </c>
      <c r="G7565" s="3" t="s">
        <v>4688</v>
      </c>
      <c r="H7565" s="2" t="s">
        <v>20</v>
      </c>
      <c r="I7565" s="2" t="s">
        <v>15699</v>
      </c>
      <c r="J7565" s="3" t="str">
        <f>HYPERLINK("https://www.boe.es/gazeta/dias/1813/02/13/pdfs/GRE-1813-19.pdf#page=5","Abrir facsímil")</f>
        <v>Abrir facsímil</v>
      </c>
      <c r="K7565" s="3" t="s">
        <v>22</v>
      </c>
    </row>
    <row r="7566" spans="1:11" ht="42" customHeight="1">
      <c r="A7566" s="2" t="s">
        <v>15695</v>
      </c>
      <c r="B7566" s="2" t="s">
        <v>15695</v>
      </c>
      <c r="C7566" s="2" t="s">
        <v>16</v>
      </c>
      <c r="D7566" s="2" t="s">
        <v>17</v>
      </c>
      <c r="E7566" s="5">
        <v>-31728</v>
      </c>
      <c r="F7566" s="3" t="s">
        <v>1434</v>
      </c>
      <c r="G7566" s="3" t="s">
        <v>58</v>
      </c>
      <c r="H7566" s="2" t="s">
        <v>20</v>
      </c>
      <c r="I7566" s="2" t="s">
        <v>15700</v>
      </c>
      <c r="J7566" s="3" t="str">
        <f>HYPERLINK("https://www.boe.es/gazeta/dias/1813/02/16/pdfs/GRE-1813-20.pdf#page=2","Abrir facsímil")</f>
        <v>Abrir facsímil</v>
      </c>
      <c r="K7566" s="3" t="s">
        <v>22</v>
      </c>
    </row>
    <row r="7567" spans="1:11" ht="42" customHeight="1">
      <c r="A7567" s="2" t="s">
        <v>15695</v>
      </c>
      <c r="B7567" s="2" t="s">
        <v>15695</v>
      </c>
      <c r="C7567" s="2" t="s">
        <v>16</v>
      </c>
      <c r="D7567" s="2" t="s">
        <v>17</v>
      </c>
      <c r="E7567" s="5">
        <v>-31602</v>
      </c>
      <c r="F7567" s="3" t="s">
        <v>2117</v>
      </c>
      <c r="G7567" s="3" t="s">
        <v>58</v>
      </c>
      <c r="H7567" s="2" t="s">
        <v>20</v>
      </c>
      <c r="I7567" s="2" t="s">
        <v>15701</v>
      </c>
      <c r="J7567" s="3" t="str">
        <f>HYPERLINK("https://www.boe.es/gazeta/dias/1813/06/22/pdfs/GMR-1813-9.pdf#page=2","Abrir facsímil")</f>
        <v>Abrir facsímil</v>
      </c>
      <c r="K7567" s="3" t="s">
        <v>22</v>
      </c>
    </row>
    <row r="7568" spans="1:11" ht="42" customHeight="1">
      <c r="A7568" s="2" t="s">
        <v>15702</v>
      </c>
      <c r="B7568" s="2" t="s">
        <v>15702</v>
      </c>
      <c r="C7568" s="2" t="s">
        <v>16</v>
      </c>
      <c r="D7568" s="2" t="s">
        <v>17</v>
      </c>
      <c r="E7568" s="5">
        <v>-31606</v>
      </c>
      <c r="F7568" s="3" t="s">
        <v>124</v>
      </c>
      <c r="G7568" s="3" t="s">
        <v>82</v>
      </c>
      <c r="H7568" s="2" t="s">
        <v>20</v>
      </c>
      <c r="I7568" s="2" t="s">
        <v>15703</v>
      </c>
      <c r="J7568" s="3" t="str">
        <f>HYPERLINK("https://www.boe.es/gazeta/dias/1813/06/18/pdfs/GMR-1813-7.pdf#page=5","Abrir facsímil")</f>
        <v>Abrir facsímil</v>
      </c>
      <c r="K7568" s="3" t="s">
        <v>22</v>
      </c>
    </row>
    <row r="7569" spans="1:11" ht="42" customHeight="1">
      <c r="A7569" s="2" t="s">
        <v>15704</v>
      </c>
      <c r="B7569" s="2" t="s">
        <v>15705</v>
      </c>
      <c r="C7569" s="2" t="s">
        <v>34</v>
      </c>
      <c r="D7569" s="2" t="s">
        <v>35</v>
      </c>
      <c r="E7569" s="5">
        <v>-31516</v>
      </c>
      <c r="F7569" s="3" t="s">
        <v>246</v>
      </c>
      <c r="G7569" s="3" t="s">
        <v>54</v>
      </c>
      <c r="H7569" s="2" t="s">
        <v>20</v>
      </c>
      <c r="I7569" s="2" t="s">
        <v>15706</v>
      </c>
      <c r="J7569" s="3" t="str">
        <f>HYPERLINK("https://www.boe.es/gazeta/dias/1813/09/16/pdfs/GMR-1813-43.pdf#page=3","Abrir facsímil")</f>
        <v>Abrir facsímil</v>
      </c>
      <c r="K7569" s="3" t="s">
        <v>22</v>
      </c>
    </row>
    <row r="7570" spans="1:11" ht="42" customHeight="1">
      <c r="A7570" s="2" t="s">
        <v>15707</v>
      </c>
      <c r="B7570" s="2" t="s">
        <v>15708</v>
      </c>
      <c r="C7570" s="2" t="s">
        <v>16</v>
      </c>
      <c r="D7570" s="2" t="s">
        <v>17</v>
      </c>
      <c r="E7570" s="5">
        <v>-31754</v>
      </c>
      <c r="F7570" s="3" t="s">
        <v>899</v>
      </c>
      <c r="G7570" s="3" t="s">
        <v>900</v>
      </c>
      <c r="H7570" s="2" t="s">
        <v>20</v>
      </c>
      <c r="I7570" s="2" t="s">
        <v>15709</v>
      </c>
      <c r="J7570" s="3" t="str">
        <f>HYPERLINK("https://www.boe.es/gazeta/dias/1813/01/21/pdfs/GRE-1813-9.pdf#page=8","Abrir facsímil")</f>
        <v>Abrir facsímil</v>
      </c>
      <c r="K7570" s="3" t="s">
        <v>22</v>
      </c>
    </row>
    <row r="7571" spans="1:11" ht="42" customHeight="1">
      <c r="A7571" s="2" t="s">
        <v>15710</v>
      </c>
      <c r="B7571" s="2" t="s">
        <v>15710</v>
      </c>
      <c r="C7571" s="2" t="s">
        <v>34</v>
      </c>
      <c r="D7571" s="2" t="s">
        <v>35</v>
      </c>
      <c r="E7571" s="5">
        <v>-31430</v>
      </c>
      <c r="F7571" s="3" t="s">
        <v>1161</v>
      </c>
      <c r="G7571" s="3" t="s">
        <v>87</v>
      </c>
      <c r="H7571" s="2" t="s">
        <v>20</v>
      </c>
      <c r="I7571" s="2" t="s">
        <v>15711</v>
      </c>
      <c r="J7571" s="3" t="str">
        <f>HYPERLINK("https://www.boe.es/gazeta/dias/1813/12/11/pdfs/GMR-1813-86.pdf#page=7","Abrir facsímil")</f>
        <v>Abrir facsímil</v>
      </c>
      <c r="K7571" s="3" t="s">
        <v>22</v>
      </c>
    </row>
    <row r="7572" spans="1:11" ht="42" customHeight="1">
      <c r="A7572" s="2" t="s">
        <v>15712</v>
      </c>
      <c r="B7572" s="2" t="s">
        <v>15713</v>
      </c>
      <c r="C7572" s="2" t="s">
        <v>16</v>
      </c>
      <c r="D7572" s="2" t="s">
        <v>97</v>
      </c>
      <c r="E7572" s="5">
        <v>-31519</v>
      </c>
      <c r="F7572" s="3" t="s">
        <v>312</v>
      </c>
      <c r="G7572" s="3" t="s">
        <v>28</v>
      </c>
      <c r="H7572" s="2" t="s">
        <v>20</v>
      </c>
      <c r="I7572" s="2" t="s">
        <v>15714</v>
      </c>
      <c r="J7572" s="3" t="str">
        <f>HYPERLINK("https://www.boe.es/gazeta/dias/1813/09/13/pdfs/GRE-1813-118E.pdf#page=8","Abrir facsímil")</f>
        <v>Abrir facsímil</v>
      </c>
      <c r="K7572" s="3" t="s">
        <v>22</v>
      </c>
    </row>
    <row r="7573" spans="1:11" ht="42" customHeight="1">
      <c r="A7573" s="2" t="s">
        <v>15715</v>
      </c>
      <c r="B7573" s="2" t="s">
        <v>15716</v>
      </c>
      <c r="C7573" s="2" t="s">
        <v>25</v>
      </c>
      <c r="D7573" s="2" t="s">
        <v>26</v>
      </c>
      <c r="E7573" s="5">
        <v>-31507</v>
      </c>
      <c r="F7573" s="3" t="s">
        <v>61</v>
      </c>
      <c r="G7573" s="3" t="s">
        <v>791</v>
      </c>
      <c r="H7573" s="2" t="s">
        <v>20</v>
      </c>
      <c r="I7573" s="2" t="s">
        <v>15717</v>
      </c>
      <c r="J7573" s="3" t="str">
        <f>HYPERLINK("https://www.boe.es/gazeta/dias/1813/09/25/pdfs/GMR-1813-48.pdf#page=7","Abrir facsímil")</f>
        <v>Abrir facsímil</v>
      </c>
      <c r="K7573" s="3" t="s">
        <v>22</v>
      </c>
    </row>
    <row r="7574" spans="1:11" ht="42" customHeight="1">
      <c r="A7574" s="2" t="s">
        <v>15718</v>
      </c>
      <c r="B7574" s="2" t="s">
        <v>15719</v>
      </c>
      <c r="C7574" s="2" t="s">
        <v>34</v>
      </c>
      <c r="D7574" s="2" t="s">
        <v>35</v>
      </c>
      <c r="E7574" s="5">
        <v>-31709</v>
      </c>
      <c r="F7574" s="3" t="s">
        <v>36</v>
      </c>
      <c r="G7574" s="3" t="s">
        <v>303</v>
      </c>
      <c r="H7574" s="2" t="s">
        <v>20</v>
      </c>
      <c r="I7574" s="2" t="s">
        <v>15720</v>
      </c>
      <c r="J7574" s="3" t="str">
        <f>HYPERLINK("https://www.boe.es/gazeta/dias/1813/03/07/pdfs/GMD-1813-66.pdf#page=3","Abrir facsímil")</f>
        <v>Abrir facsímil</v>
      </c>
      <c r="K7574" s="3" t="s">
        <v>22</v>
      </c>
    </row>
    <row r="7575" spans="1:11" ht="42" customHeight="1">
      <c r="A7575" s="2" t="s">
        <v>15721</v>
      </c>
      <c r="B7575" s="2" t="s">
        <v>15721</v>
      </c>
      <c r="C7575" s="2" t="s">
        <v>16</v>
      </c>
      <c r="D7575" s="2" t="s">
        <v>17</v>
      </c>
      <c r="E7575" s="5">
        <v>-31687</v>
      </c>
      <c r="F7575" s="3" t="s">
        <v>2723</v>
      </c>
      <c r="G7575" s="3" t="s">
        <v>58</v>
      </c>
      <c r="H7575" s="2" t="s">
        <v>20</v>
      </c>
      <c r="I7575" s="2" t="s">
        <v>15722</v>
      </c>
      <c r="J7575" s="3" t="str">
        <f>HYPERLINK("https://www.boe.es/gazeta/dias/1813/03/29/pdfs/GMD-1813-88.pdf#page=2","Abrir facsímil")</f>
        <v>Abrir facsímil</v>
      </c>
      <c r="K7575" s="3" t="s">
        <v>22</v>
      </c>
    </row>
    <row r="7576" spans="1:11" ht="42" customHeight="1">
      <c r="A7576" s="2" t="s">
        <v>15721</v>
      </c>
      <c r="B7576" s="2" t="s">
        <v>15721</v>
      </c>
      <c r="C7576" s="2" t="s">
        <v>16</v>
      </c>
      <c r="D7576" s="2" t="s">
        <v>17</v>
      </c>
      <c r="E7576" s="5">
        <v>-31493</v>
      </c>
      <c r="F7576" s="3" t="s">
        <v>1996</v>
      </c>
      <c r="G7576" s="3" t="s">
        <v>87</v>
      </c>
      <c r="H7576" s="2" t="s">
        <v>20</v>
      </c>
      <c r="I7576" s="2" t="s">
        <v>15723</v>
      </c>
      <c r="J7576" s="3" t="str">
        <f>HYPERLINK("https://www.boe.es/gazeta/dias/1813/10/09/pdfs/GRE-1813-132.pdf#page=7","Abrir facsímil")</f>
        <v>Abrir facsímil</v>
      </c>
      <c r="K7576" s="3" t="s">
        <v>22</v>
      </c>
    </row>
    <row r="7577" spans="1:11" ht="42" customHeight="1">
      <c r="A7577" s="2" t="s">
        <v>15724</v>
      </c>
      <c r="B7577" s="2" t="s">
        <v>15725</v>
      </c>
      <c r="C7577" s="2" t="s">
        <v>16</v>
      </c>
      <c r="D7577" s="2" t="s">
        <v>17</v>
      </c>
      <c r="E7577" s="5">
        <v>-31619</v>
      </c>
      <c r="F7577" s="3" t="s">
        <v>749</v>
      </c>
      <c r="G7577" s="3" t="s">
        <v>54</v>
      </c>
      <c r="H7577" s="2" t="s">
        <v>20</v>
      </c>
      <c r="I7577" s="2" t="s">
        <v>15726</v>
      </c>
      <c r="J7577" s="3" t="str">
        <f>HYPERLINK("https://www.boe.es/gazeta/dias/1813/06/05/pdfs/GRE-1813-70.pdf#page=3","Abrir facsímil")</f>
        <v>Abrir facsímil</v>
      </c>
      <c r="K7577" s="3" t="s">
        <v>22</v>
      </c>
    </row>
    <row r="7578" spans="1:11" ht="42" customHeight="1">
      <c r="A7578" s="2" t="s">
        <v>15727</v>
      </c>
      <c r="B7578" s="2" t="s">
        <v>15728</v>
      </c>
      <c r="C7578" s="2" t="s">
        <v>34</v>
      </c>
      <c r="D7578" s="2" t="s">
        <v>35</v>
      </c>
      <c r="E7578" s="5">
        <v>-31588</v>
      </c>
      <c r="F7578" s="3" t="s">
        <v>1535</v>
      </c>
      <c r="G7578" s="3" t="s">
        <v>3006</v>
      </c>
      <c r="H7578" s="2" t="s">
        <v>20</v>
      </c>
      <c r="I7578" s="2" t="s">
        <v>15729</v>
      </c>
      <c r="J7578" s="3" t="str">
        <f>HYPERLINK("https://www.boe.es/gazeta/dias/1813/07/06/pdfs/GMR-1813-15.pdf#page=15","Abrir facsímil")</f>
        <v>Abrir facsímil</v>
      </c>
      <c r="K7578" s="3" t="s">
        <v>22</v>
      </c>
    </row>
    <row r="7579" spans="1:11" ht="42" customHeight="1">
      <c r="A7579" s="2" t="s">
        <v>15730</v>
      </c>
      <c r="B7579" s="2" t="s">
        <v>15731</v>
      </c>
      <c r="C7579" s="2" t="s">
        <v>16</v>
      </c>
      <c r="D7579" s="2" t="s">
        <v>17</v>
      </c>
      <c r="E7579" s="5">
        <v>-31493</v>
      </c>
      <c r="F7579" s="3" t="s">
        <v>1996</v>
      </c>
      <c r="G7579" s="3" t="s">
        <v>95</v>
      </c>
      <c r="H7579" s="2" t="s">
        <v>20</v>
      </c>
      <c r="I7579" s="2" t="s">
        <v>15732</v>
      </c>
      <c r="J7579" s="3" t="str">
        <f>HYPERLINK("https://www.boe.es/gazeta/dias/1813/10/09/pdfs/GRE-1813-132.pdf#page=6","Abrir facsímil")</f>
        <v>Abrir facsímil</v>
      </c>
      <c r="K7579" s="3" t="s">
        <v>22</v>
      </c>
    </row>
    <row r="7580" spans="1:11" ht="42" customHeight="1">
      <c r="A7580" s="2" t="s">
        <v>15733</v>
      </c>
      <c r="B7580" s="2" t="s">
        <v>15734</v>
      </c>
      <c r="C7580" s="2" t="s">
        <v>16</v>
      </c>
      <c r="D7580" s="2" t="s">
        <v>17</v>
      </c>
      <c r="E7580" s="5">
        <v>-31502</v>
      </c>
      <c r="F7580" s="3" t="s">
        <v>257</v>
      </c>
      <c r="G7580" s="3" t="s">
        <v>15735</v>
      </c>
      <c r="H7580" s="2" t="s">
        <v>20</v>
      </c>
      <c r="I7580" s="2" t="s">
        <v>15736</v>
      </c>
      <c r="J7580" s="3" t="str">
        <f>HYPERLINK("https://www.boe.es/gazeta/dias/1813/09/30/pdfs/GMR-1813-51.pdf#page=9","Abrir facsímil")</f>
        <v>Abrir facsímil</v>
      </c>
      <c r="K7580" s="3" t="s">
        <v>22</v>
      </c>
    </row>
    <row r="7581" spans="1:11" ht="42" customHeight="1">
      <c r="A7581" s="2" t="s">
        <v>15737</v>
      </c>
      <c r="B7581" s="2" t="s">
        <v>15738</v>
      </c>
      <c r="C7581" s="2" t="s">
        <v>16</v>
      </c>
      <c r="D7581" s="2" t="s">
        <v>17</v>
      </c>
      <c r="E7581" s="5">
        <v>-31502</v>
      </c>
      <c r="F7581" s="3" t="s">
        <v>257</v>
      </c>
      <c r="G7581" s="3" t="s">
        <v>207</v>
      </c>
      <c r="H7581" s="2" t="s">
        <v>20</v>
      </c>
      <c r="I7581" s="2" t="s">
        <v>15739</v>
      </c>
      <c r="J7581" s="3" t="str">
        <f>HYPERLINK("https://www.boe.es/gazeta/dias/1813/09/30/pdfs/GMR-1813-51.pdf#page=10","Abrir facsímil")</f>
        <v>Abrir facsímil</v>
      </c>
      <c r="K7581" s="3" t="s">
        <v>22</v>
      </c>
    </row>
    <row r="7582" spans="1:11" ht="42" customHeight="1">
      <c r="A7582" s="2" t="s">
        <v>15740</v>
      </c>
      <c r="B7582" s="2" t="s">
        <v>15741</v>
      </c>
      <c r="C7582" s="2" t="s">
        <v>16</v>
      </c>
      <c r="D7582" s="2" t="s">
        <v>17</v>
      </c>
      <c r="E7582" s="5">
        <v>-31549</v>
      </c>
      <c r="F7582" s="3" t="s">
        <v>332</v>
      </c>
      <c r="G7582" s="3" t="s">
        <v>258</v>
      </c>
      <c r="H7582" s="2" t="s">
        <v>20</v>
      </c>
      <c r="I7582" s="2" t="s">
        <v>15742</v>
      </c>
      <c r="J7582" s="3" t="str">
        <f>HYPERLINK("https://www.boe.es/gazeta/dias/1813/08/14/pdfs/GMR-1813-28.pdf#page=12","Abrir facsímil")</f>
        <v>Abrir facsímil</v>
      </c>
      <c r="K7582" s="3" t="s">
        <v>22</v>
      </c>
    </row>
    <row r="7583" spans="1:11" ht="42" customHeight="1">
      <c r="A7583" s="2" t="s">
        <v>15740</v>
      </c>
      <c r="B7583" s="2" t="s">
        <v>15741</v>
      </c>
      <c r="C7583" s="2" t="s">
        <v>16</v>
      </c>
      <c r="D7583" s="2" t="s">
        <v>17</v>
      </c>
      <c r="E7583" s="5">
        <v>-31535</v>
      </c>
      <c r="F7583" s="3" t="s">
        <v>894</v>
      </c>
      <c r="G7583" s="3" t="s">
        <v>28</v>
      </c>
      <c r="H7583" s="2" t="s">
        <v>20</v>
      </c>
      <c r="I7583" s="2" t="s">
        <v>15743</v>
      </c>
      <c r="J7583" s="3" t="str">
        <f>HYPERLINK("https://www.boe.es/gazeta/dias/1813/08/28/pdfs/GMR-1813-34.pdf#page=8","Abrir facsímil")</f>
        <v>Abrir facsímil</v>
      </c>
      <c r="K7583" s="3" t="s">
        <v>22</v>
      </c>
    </row>
    <row r="7584" spans="1:11" ht="42" customHeight="1">
      <c r="A7584" s="2" t="s">
        <v>15744</v>
      </c>
      <c r="B7584" s="2" t="s">
        <v>15745</v>
      </c>
      <c r="C7584" s="2" t="s">
        <v>16</v>
      </c>
      <c r="D7584" s="2" t="s">
        <v>17</v>
      </c>
      <c r="E7584" s="5">
        <v>-31532</v>
      </c>
      <c r="F7584" s="3" t="s">
        <v>1728</v>
      </c>
      <c r="G7584" s="3" t="s">
        <v>15746</v>
      </c>
      <c r="H7584" s="2" t="s">
        <v>20</v>
      </c>
      <c r="I7584" s="2" t="s">
        <v>15747</v>
      </c>
      <c r="J7584" s="3" t="str">
        <f>HYPERLINK("https://www.boe.es/gazeta/dias/1813/08/31/pdfs/GMR-1813-35.pdf#page=12","Abrir facsímil")</f>
        <v>Abrir facsímil</v>
      </c>
      <c r="K7584" s="3" t="s">
        <v>22</v>
      </c>
    </row>
    <row r="7585" spans="1:11" ht="42" customHeight="1">
      <c r="A7585" s="2" t="s">
        <v>15748</v>
      </c>
      <c r="B7585" s="2" t="s">
        <v>15748</v>
      </c>
      <c r="C7585" s="2" t="s">
        <v>16</v>
      </c>
      <c r="D7585" s="2" t="s">
        <v>17</v>
      </c>
      <c r="E7585" s="5">
        <v>-31637</v>
      </c>
      <c r="F7585" s="3" t="s">
        <v>234</v>
      </c>
      <c r="G7585" s="3" t="s">
        <v>95</v>
      </c>
      <c r="H7585" s="2" t="s">
        <v>20</v>
      </c>
      <c r="I7585" s="2" t="s">
        <v>15749</v>
      </c>
      <c r="J7585" s="3" t="str">
        <f>HYPERLINK("https://www.boe.es/gazeta/dias/1813/05/18/pdfs/GRE-1813-61.pdf#page=6","Abrir facsímil")</f>
        <v>Abrir facsímil</v>
      </c>
      <c r="K7585" s="3" t="s">
        <v>22</v>
      </c>
    </row>
    <row r="7586" spans="1:11" ht="42" customHeight="1">
      <c r="A7586" s="2" t="s">
        <v>15750</v>
      </c>
      <c r="B7586" s="2" t="s">
        <v>15750</v>
      </c>
      <c r="C7586" s="2" t="s">
        <v>16</v>
      </c>
      <c r="D7586" s="2" t="s">
        <v>17</v>
      </c>
      <c r="E7586" s="5">
        <v>-31661</v>
      </c>
      <c r="F7586" s="3" t="s">
        <v>5131</v>
      </c>
      <c r="G7586" s="3" t="s">
        <v>65</v>
      </c>
      <c r="H7586" s="2" t="s">
        <v>20</v>
      </c>
      <c r="I7586" s="2" t="s">
        <v>15751</v>
      </c>
      <c r="J7586" s="3" t="str">
        <f>HYPERLINK("https://www.boe.es/gazeta/dias/1813/04/24/pdfs/GMD-1813-114.pdf#page=1","Abrir facsímil")</f>
        <v>Abrir facsímil</v>
      </c>
      <c r="K7586" s="3" t="s">
        <v>22</v>
      </c>
    </row>
    <row r="7587" spans="1:11" ht="42" customHeight="1">
      <c r="A7587" s="2" t="s">
        <v>15752</v>
      </c>
      <c r="B7587" s="2" t="s">
        <v>15752</v>
      </c>
      <c r="C7587" s="2" t="s">
        <v>34</v>
      </c>
      <c r="D7587" s="2" t="s">
        <v>35</v>
      </c>
      <c r="E7587" s="5">
        <v>-31413</v>
      </c>
      <c r="F7587" s="3" t="s">
        <v>149</v>
      </c>
      <c r="G7587" s="3" t="s">
        <v>82</v>
      </c>
      <c r="H7587" s="2" t="s">
        <v>20</v>
      </c>
      <c r="I7587" s="2" t="s">
        <v>15753</v>
      </c>
      <c r="J7587" s="3" t="str">
        <f>HYPERLINK("https://www.boe.es/gazeta/dias/1813/12/28/pdfs/GMR-1813-93.pdf#page=5","Abrir facsímil")</f>
        <v>Abrir facsímil</v>
      </c>
      <c r="K7587" s="3" t="s">
        <v>22</v>
      </c>
    </row>
    <row r="7588" spans="1:11" ht="42" customHeight="1">
      <c r="A7588" s="2" t="s">
        <v>15754</v>
      </c>
      <c r="B7588" s="2" t="s">
        <v>15754</v>
      </c>
      <c r="C7588" s="2" t="s">
        <v>34</v>
      </c>
      <c r="D7588" s="2" t="s">
        <v>35</v>
      </c>
      <c r="E7588" s="5">
        <v>-31560</v>
      </c>
      <c r="F7588" s="3" t="s">
        <v>590</v>
      </c>
      <c r="G7588" s="3" t="s">
        <v>58</v>
      </c>
      <c r="H7588" s="2" t="s">
        <v>20</v>
      </c>
      <c r="I7588" s="2" t="s">
        <v>15755</v>
      </c>
      <c r="J7588" s="3" t="str">
        <f>HYPERLINK("https://www.boe.es/gazeta/dias/1813/08/03/pdfs/GRE-1813-98.pdf#page=2","Abrir facsímil")</f>
        <v>Abrir facsímil</v>
      </c>
      <c r="K7588" s="3" t="s">
        <v>22</v>
      </c>
    </row>
    <row r="7589" spans="1:11" ht="42" customHeight="1">
      <c r="A7589" s="2" t="s">
        <v>15756</v>
      </c>
      <c r="B7589" s="2" t="s">
        <v>15757</v>
      </c>
      <c r="C7589" s="2" t="s">
        <v>435</v>
      </c>
      <c r="D7589" s="2" t="s">
        <v>26</v>
      </c>
      <c r="E7589" s="5">
        <v>-31720</v>
      </c>
      <c r="F7589" s="3" t="s">
        <v>672</v>
      </c>
      <c r="G7589" s="3" t="s">
        <v>54</v>
      </c>
      <c r="H7589" s="2" t="s">
        <v>20</v>
      </c>
      <c r="I7589" s="2" t="s">
        <v>15758</v>
      </c>
      <c r="J7589" s="3" t="str">
        <f>HYPERLINK("https://www.boe.es/gazeta/dias/1813/02/24/pdfs/GMD-1813-55.pdf#page=3","Abrir facsímil")</f>
        <v>Abrir facsímil</v>
      </c>
      <c r="K7589" s="3" t="s">
        <v>22</v>
      </c>
    </row>
    <row r="7590" spans="1:11" ht="42" customHeight="1">
      <c r="A7590" s="2" t="s">
        <v>15759</v>
      </c>
      <c r="B7590" s="2" t="s">
        <v>15759</v>
      </c>
      <c r="C7590" s="2" t="s">
        <v>16</v>
      </c>
      <c r="D7590" s="2" t="s">
        <v>17</v>
      </c>
      <c r="E7590" s="5">
        <v>-31728</v>
      </c>
      <c r="F7590" s="3" t="s">
        <v>1434</v>
      </c>
      <c r="G7590" s="3" t="s">
        <v>58</v>
      </c>
      <c r="H7590" s="2" t="s">
        <v>20</v>
      </c>
      <c r="I7590" s="2" t="s">
        <v>15760</v>
      </c>
      <c r="J7590" s="3" t="str">
        <f>HYPERLINK("https://www.boe.es/gazeta/dias/1813/02/16/pdfs/GRE-1813-20.pdf#page=2","Abrir facsímil")</f>
        <v>Abrir facsímil</v>
      </c>
      <c r="K7590" s="3" t="s">
        <v>22</v>
      </c>
    </row>
    <row r="7591" spans="1:11" ht="42" customHeight="1">
      <c r="A7591" s="2" t="s">
        <v>15761</v>
      </c>
      <c r="B7591" s="2" t="s">
        <v>15761</v>
      </c>
      <c r="C7591" s="2" t="s">
        <v>16</v>
      </c>
      <c r="D7591" s="2" t="s">
        <v>17</v>
      </c>
      <c r="E7591" s="5">
        <v>-31728</v>
      </c>
      <c r="F7591" s="3" t="s">
        <v>1434</v>
      </c>
      <c r="G7591" s="3" t="s">
        <v>54</v>
      </c>
      <c r="H7591" s="2" t="s">
        <v>20</v>
      </c>
      <c r="I7591" s="2" t="s">
        <v>15762</v>
      </c>
      <c r="J7591" s="3" t="str">
        <f>HYPERLINK("https://www.boe.es/gazeta/dias/1813/02/16/pdfs/GRE-1813-20.pdf#page=3","Abrir facsímil")</f>
        <v>Abrir facsímil</v>
      </c>
      <c r="K7591" s="3" t="s">
        <v>22</v>
      </c>
    </row>
    <row r="7592" spans="1:11" ht="42" customHeight="1">
      <c r="A7592" s="2" t="s">
        <v>15763</v>
      </c>
      <c r="B7592" s="2" t="s">
        <v>15763</v>
      </c>
      <c r="C7592" s="2" t="s">
        <v>16</v>
      </c>
      <c r="D7592" s="2" t="s">
        <v>17</v>
      </c>
      <c r="E7592" s="5">
        <v>-31731</v>
      </c>
      <c r="F7592" s="3" t="s">
        <v>866</v>
      </c>
      <c r="G7592" s="3" t="s">
        <v>8695</v>
      </c>
      <c r="H7592" s="2" t="s">
        <v>20</v>
      </c>
      <c r="I7592" s="2" t="s">
        <v>15764</v>
      </c>
      <c r="J7592" s="3" t="str">
        <f>HYPERLINK("https://www.boe.es/gazeta/dias/1813/02/13/pdfs/GRE-1813-19.pdf#page=2","Abrir facsímil")</f>
        <v>Abrir facsímil</v>
      </c>
      <c r="K7592" s="3" t="s">
        <v>22</v>
      </c>
    </row>
    <row r="7593" spans="1:11" ht="42" customHeight="1">
      <c r="A7593" s="2" t="s">
        <v>15765</v>
      </c>
      <c r="B7593" s="2" t="s">
        <v>15766</v>
      </c>
      <c r="C7593" s="2" t="s">
        <v>16</v>
      </c>
      <c r="D7593" s="2" t="s">
        <v>17</v>
      </c>
      <c r="E7593" s="5">
        <v>-31771</v>
      </c>
      <c r="F7593" s="3" t="s">
        <v>1976</v>
      </c>
      <c r="G7593" s="3" t="s">
        <v>65</v>
      </c>
      <c r="H7593" s="2" t="s">
        <v>20</v>
      </c>
      <c r="I7593" s="2" t="s">
        <v>15767</v>
      </c>
      <c r="J7593" s="3" t="str">
        <f>HYPERLINK("https://www.boe.es/gazeta/dias/1813/01/04/pdfs/GMD-1813-4.pdf#page=1","Abrir facsímil")</f>
        <v>Abrir facsímil</v>
      </c>
      <c r="K7593" s="3" t="s">
        <v>22</v>
      </c>
    </row>
    <row r="7594" spans="1:11" ht="42" customHeight="1">
      <c r="A7594" s="2" t="s">
        <v>15768</v>
      </c>
      <c r="B7594" s="2" t="s">
        <v>15769</v>
      </c>
      <c r="C7594" s="2" t="s">
        <v>16</v>
      </c>
      <c r="D7594" s="2" t="s">
        <v>17</v>
      </c>
      <c r="E7594" s="5">
        <v>-31507</v>
      </c>
      <c r="F7594" s="3" t="s">
        <v>61</v>
      </c>
      <c r="G7594" s="3" t="s">
        <v>791</v>
      </c>
      <c r="H7594" s="2" t="s">
        <v>20</v>
      </c>
      <c r="I7594" s="2" t="s">
        <v>15770</v>
      </c>
      <c r="J7594" s="3" t="str">
        <f>HYPERLINK("https://www.boe.es/gazeta/dias/1813/09/25/pdfs/GMR-1813-48.pdf#page=7","Abrir facsímil")</f>
        <v>Abrir facsímil</v>
      </c>
      <c r="K7594" s="3" t="s">
        <v>22</v>
      </c>
    </row>
    <row r="7595" spans="1:11" ht="42" customHeight="1">
      <c r="A7595" s="2" t="s">
        <v>15771</v>
      </c>
      <c r="B7595" s="2" t="s">
        <v>15772</v>
      </c>
      <c r="C7595" s="2" t="s">
        <v>16</v>
      </c>
      <c r="D7595" s="2" t="s">
        <v>17</v>
      </c>
      <c r="E7595" s="5">
        <v>-31623</v>
      </c>
      <c r="F7595" s="3" t="s">
        <v>267</v>
      </c>
      <c r="G7595" s="3" t="s">
        <v>676</v>
      </c>
      <c r="H7595" s="2" t="s">
        <v>20</v>
      </c>
      <c r="I7595" s="2" t="s">
        <v>15773</v>
      </c>
      <c r="J7595" s="3" t="str">
        <f>HYPERLINK("https://www.boe.es/gazeta/dias/1813/06/01/pdfs/GRE-1813-67.pdf#page=4","Abrir facsímil")</f>
        <v>Abrir facsímil</v>
      </c>
      <c r="K7595" s="3" t="s">
        <v>22</v>
      </c>
    </row>
    <row r="7596" spans="1:11" ht="42" customHeight="1">
      <c r="A7596" s="2" t="s">
        <v>15774</v>
      </c>
      <c r="B7596" s="2" t="s">
        <v>15775</v>
      </c>
      <c r="C7596" s="2" t="s">
        <v>16</v>
      </c>
      <c r="D7596" s="2" t="s">
        <v>17</v>
      </c>
      <c r="E7596" s="5">
        <v>-31467</v>
      </c>
      <c r="F7596" s="3" t="s">
        <v>120</v>
      </c>
      <c r="G7596" s="3" t="s">
        <v>58</v>
      </c>
      <c r="H7596" s="2" t="s">
        <v>20</v>
      </c>
      <c r="I7596" s="2" t="s">
        <v>15776</v>
      </c>
      <c r="J7596" s="3" t="str">
        <f>HYPERLINK("https://www.boe.es/gazeta/dias/1813/11/04/pdfs/GMR-1813-68.pdf#page=2","Abrir facsímil")</f>
        <v>Abrir facsímil</v>
      </c>
      <c r="K7596" s="3" t="s">
        <v>22</v>
      </c>
    </row>
    <row r="7597" spans="1:11" ht="42" customHeight="1">
      <c r="A7597" s="2" t="s">
        <v>15777</v>
      </c>
      <c r="B7597" s="2" t="s">
        <v>15777</v>
      </c>
      <c r="C7597" s="2" t="s">
        <v>16</v>
      </c>
      <c r="D7597" s="2" t="s">
        <v>17</v>
      </c>
      <c r="E7597" s="5">
        <v>-31413</v>
      </c>
      <c r="F7597" s="3" t="s">
        <v>149</v>
      </c>
      <c r="G7597" s="3" t="s">
        <v>54</v>
      </c>
      <c r="H7597" s="2" t="s">
        <v>20</v>
      </c>
      <c r="I7597" s="2" t="s">
        <v>15778</v>
      </c>
      <c r="J7597" s="3" t="str">
        <f>HYPERLINK("https://www.boe.es/gazeta/dias/1813/12/28/pdfs/GMR-1813-93.pdf#page=3","Abrir facsímil")</f>
        <v>Abrir facsímil</v>
      </c>
      <c r="K7597" s="3" t="s">
        <v>22</v>
      </c>
    </row>
    <row r="7598" spans="1:11" ht="42" customHeight="1">
      <c r="A7598" s="2" t="s">
        <v>15779</v>
      </c>
      <c r="B7598" s="2" t="s">
        <v>15779</v>
      </c>
      <c r="C7598" s="2" t="s">
        <v>16</v>
      </c>
      <c r="D7598" s="2" t="s">
        <v>17</v>
      </c>
      <c r="E7598" s="5">
        <v>-31693</v>
      </c>
      <c r="F7598" s="3" t="s">
        <v>1847</v>
      </c>
      <c r="G7598" s="3" t="s">
        <v>54</v>
      </c>
      <c r="H7598" s="2" t="s">
        <v>20</v>
      </c>
      <c r="I7598" s="2" t="s">
        <v>15780</v>
      </c>
      <c r="J7598" s="3" t="str">
        <f>HYPERLINK("https://www.boe.es/gazeta/dias/1813/03/23/pdfs/GMD-1813-82.pdf#page=3","Abrir facsímil")</f>
        <v>Abrir facsímil</v>
      </c>
      <c r="K7598" s="3" t="s">
        <v>22</v>
      </c>
    </row>
    <row r="7599" spans="1:11" ht="42" customHeight="1">
      <c r="A7599" s="2" t="s">
        <v>15781</v>
      </c>
      <c r="B7599" s="2" t="s">
        <v>15781</v>
      </c>
      <c r="C7599" s="2" t="s">
        <v>16</v>
      </c>
      <c r="D7599" s="2" t="s">
        <v>17</v>
      </c>
      <c r="E7599" s="5">
        <v>-31724</v>
      </c>
      <c r="F7599" s="3" t="s">
        <v>684</v>
      </c>
      <c r="G7599" s="3" t="s">
        <v>1495</v>
      </c>
      <c r="H7599" s="2" t="s">
        <v>20</v>
      </c>
      <c r="I7599" s="2" t="s">
        <v>15782</v>
      </c>
      <c r="J7599" s="3" t="str">
        <f>HYPERLINK("https://www.boe.es/gazeta/dias/1813/02/20/pdfs/GMD-1813-51.pdf#page=4","Abrir facsímil")</f>
        <v>Abrir facsímil</v>
      </c>
      <c r="K7599" s="3" t="s">
        <v>22</v>
      </c>
    </row>
    <row r="7600" spans="1:11" ht="42" customHeight="1">
      <c r="A7600" s="2" t="s">
        <v>15783</v>
      </c>
      <c r="B7600" s="2" t="s">
        <v>15784</v>
      </c>
      <c r="C7600" s="2" t="s">
        <v>16</v>
      </c>
      <c r="D7600" s="2" t="s">
        <v>17</v>
      </c>
      <c r="E7600" s="5">
        <v>-31432</v>
      </c>
      <c r="F7600" s="3" t="s">
        <v>803</v>
      </c>
      <c r="G7600" s="3" t="s">
        <v>6141</v>
      </c>
      <c r="H7600" s="2" t="s">
        <v>20</v>
      </c>
      <c r="I7600" s="2" t="s">
        <v>15785</v>
      </c>
      <c r="J7600" s="3" t="str">
        <f>HYPERLINK("https://www.boe.es/gazeta/dias/1813/12/09/pdfs/GRE-1813-162.pdf#page=7","Abrir facsímil")</f>
        <v>Abrir facsímil</v>
      </c>
      <c r="K7600" s="3" t="s">
        <v>22</v>
      </c>
    </row>
    <row r="7601" spans="1:11" ht="42" customHeight="1">
      <c r="A7601" s="2" t="s">
        <v>15786</v>
      </c>
      <c r="B7601" s="2" t="s">
        <v>15787</v>
      </c>
      <c r="C7601" s="2" t="s">
        <v>16</v>
      </c>
      <c r="D7601" s="2" t="s">
        <v>17</v>
      </c>
      <c r="E7601" s="5">
        <v>-31567</v>
      </c>
      <c r="F7601" s="3" t="s">
        <v>820</v>
      </c>
      <c r="G7601" s="3" t="s">
        <v>313</v>
      </c>
      <c r="H7601" s="2" t="s">
        <v>20</v>
      </c>
      <c r="I7601" s="2" t="s">
        <v>15788</v>
      </c>
      <c r="J7601" s="3" t="str">
        <f>HYPERLINK("https://www.boe.es/gazeta/dias/1813/07/27/pdfs/GMR-1813-21.pdf#page=9","Abrir facsímil")</f>
        <v>Abrir facsímil</v>
      </c>
      <c r="K7601" s="3" t="s">
        <v>22</v>
      </c>
    </row>
    <row r="7602" spans="1:11" ht="42" customHeight="1">
      <c r="A7602" s="2" t="s">
        <v>15789</v>
      </c>
      <c r="B7602" s="2" t="s">
        <v>15789</v>
      </c>
      <c r="C7602" s="2" t="s">
        <v>16</v>
      </c>
      <c r="D7602" s="2" t="s">
        <v>17</v>
      </c>
      <c r="E7602" s="5">
        <v>-31691</v>
      </c>
      <c r="F7602" s="3" t="s">
        <v>1621</v>
      </c>
      <c r="G7602" s="3" t="s">
        <v>58</v>
      </c>
      <c r="H7602" s="2" t="s">
        <v>20</v>
      </c>
      <c r="I7602" s="2" t="s">
        <v>15790</v>
      </c>
      <c r="J7602" s="3" t="str">
        <f>HYPERLINK("https://www.boe.es/gazeta/dias/1813/03/25/pdfs/GMD-1813-84.pdf#page=2","Abrir facsímil")</f>
        <v>Abrir facsímil</v>
      </c>
      <c r="K7602" s="3" t="s">
        <v>22</v>
      </c>
    </row>
    <row r="7603" spans="1:11" ht="42" customHeight="1">
      <c r="A7603" s="2" t="s">
        <v>15791</v>
      </c>
      <c r="B7603" s="2" t="s">
        <v>15792</v>
      </c>
      <c r="C7603" s="2" t="s">
        <v>25</v>
      </c>
      <c r="D7603" s="2" t="s">
        <v>26</v>
      </c>
      <c r="E7603" s="5">
        <v>-31532</v>
      </c>
      <c r="F7603" s="3" t="s">
        <v>215</v>
      </c>
      <c r="G7603" s="3" t="s">
        <v>95</v>
      </c>
      <c r="H7603" s="2" t="s">
        <v>20</v>
      </c>
      <c r="I7603" s="2" t="s">
        <v>15793</v>
      </c>
      <c r="J7603" s="3" t="str">
        <f>HYPERLINK("https://www.boe.es/gazeta/dias/1813/08/31/pdfs/GRE-1813-111.pdf#page=6","Abrir facsímil")</f>
        <v>Abrir facsímil</v>
      </c>
      <c r="K7603" s="3" t="s">
        <v>22</v>
      </c>
    </row>
    <row r="7604" spans="1:11" ht="42" customHeight="1">
      <c r="A7604" s="2" t="s">
        <v>15794</v>
      </c>
      <c r="B7604" s="2" t="s">
        <v>15795</v>
      </c>
      <c r="C7604" s="2" t="s">
        <v>16</v>
      </c>
      <c r="D7604" s="2" t="s">
        <v>17</v>
      </c>
      <c r="E7604" s="5">
        <v>-31570</v>
      </c>
      <c r="F7604" s="3" t="s">
        <v>1803</v>
      </c>
      <c r="G7604" s="3" t="s">
        <v>19</v>
      </c>
      <c r="H7604" s="2" t="s">
        <v>20</v>
      </c>
      <c r="I7604" s="2" t="s">
        <v>15796</v>
      </c>
      <c r="J7604" s="3" t="str">
        <f>HYPERLINK("https://www.boe.es/gazeta/dias/1813/07/24/pdfs/GRE-1813-94.pdf#page=4","Abrir facsímil")</f>
        <v>Abrir facsímil</v>
      </c>
      <c r="K7604" s="3" t="s">
        <v>22</v>
      </c>
    </row>
    <row r="7605" spans="1:11" ht="42" customHeight="1">
      <c r="A7605" s="2" t="s">
        <v>15797</v>
      </c>
      <c r="B7605" s="2" t="s">
        <v>15797</v>
      </c>
      <c r="C7605" s="2" t="s">
        <v>16</v>
      </c>
      <c r="D7605" s="2" t="s">
        <v>17</v>
      </c>
      <c r="E7605" s="5">
        <v>-31698</v>
      </c>
      <c r="F7605" s="3" t="s">
        <v>470</v>
      </c>
      <c r="G7605" s="3" t="s">
        <v>471</v>
      </c>
      <c r="H7605" s="2" t="s">
        <v>20</v>
      </c>
      <c r="I7605" s="2" t="s">
        <v>15798</v>
      </c>
      <c r="J7605" s="3" t="str">
        <f>HYPERLINK("https://www.boe.es/gazeta/dias/1813/03/18/pdfs/GRE-1813-34.pdf#page=7","Abrir facsímil")</f>
        <v>Abrir facsímil</v>
      </c>
      <c r="K7605" s="3" t="s">
        <v>22</v>
      </c>
    </row>
    <row r="7606" spans="1:11" ht="42" customHeight="1">
      <c r="A7606" s="2" t="s">
        <v>15799</v>
      </c>
      <c r="B7606" s="2" t="s">
        <v>15799</v>
      </c>
      <c r="C7606" s="2" t="s">
        <v>16</v>
      </c>
      <c r="D7606" s="2" t="s">
        <v>17</v>
      </c>
      <c r="E7606" s="5">
        <v>-31756</v>
      </c>
      <c r="F7606" s="3" t="s">
        <v>951</v>
      </c>
      <c r="G7606" s="3" t="s">
        <v>6421</v>
      </c>
      <c r="H7606" s="2" t="s">
        <v>20</v>
      </c>
      <c r="I7606" s="2" t="s">
        <v>15800</v>
      </c>
      <c r="J7606" s="3" t="str">
        <f>HYPERLINK("https://www.boe.es/gazeta/dias/1813/01/19/pdfs/GRE-1813-8.pdf#page=3","Abrir facsímil")</f>
        <v>Abrir facsímil</v>
      </c>
      <c r="K7606" s="3" t="s">
        <v>22</v>
      </c>
    </row>
    <row r="7607" spans="1:11" ht="42" customHeight="1">
      <c r="A7607" s="2" t="s">
        <v>15801</v>
      </c>
      <c r="B7607" s="2" t="s">
        <v>15801</v>
      </c>
      <c r="C7607" s="2" t="s">
        <v>16</v>
      </c>
      <c r="D7607" s="2" t="s">
        <v>17</v>
      </c>
      <c r="E7607" s="5">
        <v>-31731</v>
      </c>
      <c r="F7607" s="3" t="s">
        <v>866</v>
      </c>
      <c r="G7607" s="3" t="s">
        <v>54</v>
      </c>
      <c r="H7607" s="2" t="s">
        <v>20</v>
      </c>
      <c r="I7607" s="2" t="s">
        <v>15802</v>
      </c>
      <c r="J7607" s="3" t="str">
        <f>HYPERLINK("https://www.boe.es/gazeta/dias/1813/02/13/pdfs/GRE-1813-19.pdf#page=3","Abrir facsímil")</f>
        <v>Abrir facsímil</v>
      </c>
      <c r="K7607" s="3" t="s">
        <v>22</v>
      </c>
    </row>
    <row r="7608" spans="1:11" ht="42" customHeight="1">
      <c r="A7608" s="2" t="s">
        <v>15803</v>
      </c>
      <c r="B7608" s="2" t="s">
        <v>15803</v>
      </c>
      <c r="C7608" s="2" t="s">
        <v>16</v>
      </c>
      <c r="D7608" s="2" t="s">
        <v>17</v>
      </c>
      <c r="E7608" s="5">
        <v>-31696</v>
      </c>
      <c r="F7608" s="3" t="s">
        <v>520</v>
      </c>
      <c r="G7608" s="3" t="s">
        <v>529</v>
      </c>
      <c r="H7608" s="2" t="s">
        <v>20</v>
      </c>
      <c r="I7608" s="2" t="s">
        <v>15804</v>
      </c>
      <c r="J7608" s="3" t="str">
        <f>HYPERLINK("https://www.boe.es/gazeta/dias/1813/03/20/pdfs/GRE-1813-35.pdf#page=6","Abrir facsímil")</f>
        <v>Abrir facsímil</v>
      </c>
      <c r="K7608" s="3" t="s">
        <v>22</v>
      </c>
    </row>
    <row r="7609" spans="1:11" ht="42" customHeight="1">
      <c r="A7609" s="2" t="s">
        <v>15805</v>
      </c>
      <c r="B7609" s="2" t="s">
        <v>15805</v>
      </c>
      <c r="C7609" s="2" t="s">
        <v>16</v>
      </c>
      <c r="D7609" s="2" t="s">
        <v>17</v>
      </c>
      <c r="E7609" s="5">
        <v>-31698</v>
      </c>
      <c r="F7609" s="3" t="s">
        <v>470</v>
      </c>
      <c r="G7609" s="3" t="s">
        <v>471</v>
      </c>
      <c r="H7609" s="2" t="s">
        <v>20</v>
      </c>
      <c r="I7609" s="2" t="s">
        <v>15806</v>
      </c>
      <c r="J7609" s="3" t="str">
        <f>HYPERLINK("https://www.boe.es/gazeta/dias/1813/03/18/pdfs/GRE-1813-34.pdf#page=7","Abrir facsímil")</f>
        <v>Abrir facsímil</v>
      </c>
      <c r="K7609" s="3" t="s">
        <v>22</v>
      </c>
    </row>
    <row r="7610" spans="1:11" ht="42" customHeight="1">
      <c r="A7610" s="2" t="s">
        <v>15807</v>
      </c>
      <c r="B7610" s="2" t="s">
        <v>15807</v>
      </c>
      <c r="C7610" s="2" t="s">
        <v>16</v>
      </c>
      <c r="D7610" s="2" t="s">
        <v>17</v>
      </c>
      <c r="E7610" s="5">
        <v>-31756</v>
      </c>
      <c r="F7610" s="3" t="s">
        <v>951</v>
      </c>
      <c r="G7610" s="3" t="s">
        <v>6421</v>
      </c>
      <c r="H7610" s="2" t="s">
        <v>20</v>
      </c>
      <c r="I7610" s="2" t="s">
        <v>15808</v>
      </c>
      <c r="J7610" s="3" t="str">
        <f>HYPERLINK("https://www.boe.es/gazeta/dias/1813/01/19/pdfs/GRE-1813-8.pdf#page=3","Abrir facsímil")</f>
        <v>Abrir facsímil</v>
      </c>
      <c r="K7610" s="3" t="s">
        <v>22</v>
      </c>
    </row>
    <row r="7611" spans="1:11" ht="42" customHeight="1">
      <c r="A7611" s="2" t="s">
        <v>15809</v>
      </c>
      <c r="B7611" s="2" t="s">
        <v>15809</v>
      </c>
      <c r="C7611" s="2" t="s">
        <v>16</v>
      </c>
      <c r="D7611" s="2" t="s">
        <v>17</v>
      </c>
      <c r="E7611" s="5">
        <v>-31740</v>
      </c>
      <c r="F7611" s="3" t="s">
        <v>5259</v>
      </c>
      <c r="G7611" s="3" t="s">
        <v>65</v>
      </c>
      <c r="H7611" s="2" t="s">
        <v>20</v>
      </c>
      <c r="I7611" s="2" t="s">
        <v>15810</v>
      </c>
      <c r="J7611" s="3" t="str">
        <f>HYPERLINK("https://www.boe.es/gazeta/dias/1813/02/04/pdfs/GMD-1813-35.pdf#page=1","Abrir facsímil")</f>
        <v>Abrir facsímil</v>
      </c>
      <c r="K7611" s="3" t="s">
        <v>22</v>
      </c>
    </row>
    <row r="7612" spans="1:11" ht="42" customHeight="1">
      <c r="A7612" s="2" t="s">
        <v>15809</v>
      </c>
      <c r="B7612" s="2" t="s">
        <v>15809</v>
      </c>
      <c r="C7612" s="2" t="s">
        <v>16</v>
      </c>
      <c r="D7612" s="2" t="s">
        <v>17</v>
      </c>
      <c r="E7612" s="5">
        <v>-31716</v>
      </c>
      <c r="F7612" s="3" t="s">
        <v>1652</v>
      </c>
      <c r="G7612" s="3" t="s">
        <v>65</v>
      </c>
      <c r="H7612" s="2" t="s">
        <v>20</v>
      </c>
      <c r="I7612" s="2" t="s">
        <v>15811</v>
      </c>
      <c r="J7612" s="3" t="str">
        <f>HYPERLINK("https://www.boe.es/gazeta/dias/1813/02/28/pdfs/GMD-1813-59.pdf#page=1","Abrir facsímil")</f>
        <v>Abrir facsímil</v>
      </c>
      <c r="K7612" s="3" t="s">
        <v>22</v>
      </c>
    </row>
    <row r="7613" spans="1:11" ht="42" customHeight="1">
      <c r="A7613" s="2" t="s">
        <v>15812</v>
      </c>
      <c r="B7613" s="2" t="s">
        <v>15813</v>
      </c>
      <c r="C7613" s="2" t="s">
        <v>34</v>
      </c>
      <c r="D7613" s="2" t="s">
        <v>35</v>
      </c>
      <c r="E7613" s="5">
        <v>-31469</v>
      </c>
      <c r="F7613" s="3" t="s">
        <v>1311</v>
      </c>
      <c r="G7613" s="3" t="s">
        <v>28</v>
      </c>
      <c r="H7613" s="2" t="s">
        <v>20</v>
      </c>
      <c r="I7613" s="2" t="s">
        <v>15814</v>
      </c>
      <c r="J7613" s="3" t="str">
        <f>HYPERLINK("https://www.boe.es/gazeta/dias/1813/11/02/pdfs/GMR-1813-67.pdf#page=8","Abrir facsímil")</f>
        <v>Abrir facsímil</v>
      </c>
      <c r="K7613" s="3" t="s">
        <v>22</v>
      </c>
    </row>
    <row r="7614" spans="1:11" ht="42" customHeight="1">
      <c r="A7614" s="2" t="s">
        <v>15815</v>
      </c>
      <c r="B7614" s="2" t="s">
        <v>15815</v>
      </c>
      <c r="C7614" s="2" t="s">
        <v>16</v>
      </c>
      <c r="D7614" s="2" t="s">
        <v>97</v>
      </c>
      <c r="E7614" s="5">
        <v>-31445</v>
      </c>
      <c r="F7614" s="3" t="s">
        <v>299</v>
      </c>
      <c r="G7614" s="3" t="s">
        <v>58</v>
      </c>
      <c r="H7614" s="2" t="s">
        <v>20</v>
      </c>
      <c r="I7614" s="2" t="s">
        <v>15816</v>
      </c>
      <c r="J7614" s="3" t="str">
        <f>HYPERLINK("https://www.boe.es/gazeta/dias/1813/11/26/pdfs/GRE-1813-156E.pdf#page=2","Abrir facsímil")</f>
        <v>Abrir facsímil</v>
      </c>
      <c r="K7614" s="3" t="s">
        <v>22</v>
      </c>
    </row>
    <row r="7615" spans="1:11" ht="42" customHeight="1">
      <c r="A7615" s="2" t="s">
        <v>15817</v>
      </c>
      <c r="B7615" s="2" t="s">
        <v>15817</v>
      </c>
      <c r="C7615" s="2" t="s">
        <v>16</v>
      </c>
      <c r="D7615" s="2" t="s">
        <v>17</v>
      </c>
      <c r="E7615" s="5">
        <v>-31432</v>
      </c>
      <c r="F7615" s="3" t="s">
        <v>702</v>
      </c>
      <c r="G7615" s="3" t="s">
        <v>19</v>
      </c>
      <c r="H7615" s="2" t="s">
        <v>20</v>
      </c>
      <c r="I7615" s="2" t="s">
        <v>15818</v>
      </c>
      <c r="J7615" s="3" t="str">
        <f>HYPERLINK("https://www.boe.es/gazeta/dias/1813/12/09/pdfs/GMR-1813-85.pdf#page=4","Abrir facsímil")</f>
        <v>Abrir facsímil</v>
      </c>
      <c r="K7615" s="3" t="s">
        <v>22</v>
      </c>
    </row>
    <row r="7616" spans="1:11" ht="42" customHeight="1">
      <c r="A7616" s="2" t="s">
        <v>15819</v>
      </c>
      <c r="B7616" s="2" t="s">
        <v>15819</v>
      </c>
      <c r="C7616" s="2" t="s">
        <v>16</v>
      </c>
      <c r="D7616" s="2" t="s">
        <v>17</v>
      </c>
      <c r="E7616" s="5">
        <v>-31588</v>
      </c>
      <c r="F7616" s="3" t="s">
        <v>1535</v>
      </c>
      <c r="G7616" s="3" t="s">
        <v>313</v>
      </c>
      <c r="H7616" s="2" t="s">
        <v>20</v>
      </c>
      <c r="I7616" s="2" t="s">
        <v>15820</v>
      </c>
      <c r="J7616" s="3" t="str">
        <f>HYPERLINK("https://www.boe.es/gazeta/dias/1813/07/06/pdfs/GMR-1813-15.pdf#page=9","Abrir facsímil")</f>
        <v>Abrir facsímil</v>
      </c>
      <c r="K7616" s="3" t="s">
        <v>22</v>
      </c>
    </row>
    <row r="7617" spans="1:11" ht="42" customHeight="1">
      <c r="A7617" s="2" t="s">
        <v>15821</v>
      </c>
      <c r="B7617" s="2" t="s">
        <v>15821</v>
      </c>
      <c r="C7617" s="2" t="s">
        <v>69</v>
      </c>
      <c r="D7617" s="2" t="s">
        <v>26</v>
      </c>
      <c r="E7617" s="5">
        <v>-31684</v>
      </c>
      <c r="F7617" s="3" t="s">
        <v>427</v>
      </c>
      <c r="G7617" s="3" t="s">
        <v>6237</v>
      </c>
      <c r="H7617" s="2" t="s">
        <v>20</v>
      </c>
      <c r="I7617" s="2" t="s">
        <v>15822</v>
      </c>
      <c r="J7617" s="3" t="str">
        <f>HYPERLINK("https://www.boe.es/gazeta/dias/1813/04/01/pdfs/GRE-1813-40.pdf#page=6","Abrir facsímil")</f>
        <v>Abrir facsímil</v>
      </c>
      <c r="K7617" s="3" t="s">
        <v>22</v>
      </c>
    </row>
    <row r="7618" spans="1:11" ht="42" customHeight="1">
      <c r="A7618" s="2" t="s">
        <v>15821</v>
      </c>
      <c r="B7618" s="2" t="s">
        <v>15821</v>
      </c>
      <c r="C7618" s="2" t="s">
        <v>16</v>
      </c>
      <c r="D7618" s="2" t="s">
        <v>17</v>
      </c>
      <c r="E7618" s="5">
        <v>-31654</v>
      </c>
      <c r="F7618" s="3" t="s">
        <v>852</v>
      </c>
      <c r="G7618" s="3" t="s">
        <v>65</v>
      </c>
      <c r="H7618" s="2" t="s">
        <v>20</v>
      </c>
      <c r="I7618" s="2" t="s">
        <v>15823</v>
      </c>
      <c r="J7618" s="3" t="str">
        <f>HYPERLINK("https://www.boe.es/gazeta/dias/1813/05/01/pdfs/GMD-1813-121.pdf#page=1","Abrir facsímil")</f>
        <v>Abrir facsímil</v>
      </c>
      <c r="K7618" s="3" t="s">
        <v>22</v>
      </c>
    </row>
    <row r="7619" spans="1:11" ht="42" customHeight="1">
      <c r="A7619" s="2" t="s">
        <v>15821</v>
      </c>
      <c r="B7619" s="2" t="s">
        <v>15821</v>
      </c>
      <c r="C7619" s="2" t="s">
        <v>16</v>
      </c>
      <c r="D7619" s="2" t="s">
        <v>17</v>
      </c>
      <c r="E7619" s="5">
        <v>-31606</v>
      </c>
      <c r="F7619" s="3" t="s">
        <v>124</v>
      </c>
      <c r="G7619" s="3" t="s">
        <v>95</v>
      </c>
      <c r="H7619" s="2" t="s">
        <v>20</v>
      </c>
      <c r="I7619" s="2" t="s">
        <v>15824</v>
      </c>
      <c r="J7619" s="3" t="str">
        <f>HYPERLINK("https://www.boe.es/gazeta/dias/1813/06/18/pdfs/GMR-1813-7.pdf#page=6","Abrir facsímil")</f>
        <v>Abrir facsímil</v>
      </c>
      <c r="K7619" s="3" t="s">
        <v>22</v>
      </c>
    </row>
    <row r="7620" spans="1:11" ht="42" customHeight="1">
      <c r="A7620" s="2" t="s">
        <v>15825</v>
      </c>
      <c r="B7620" s="2" t="s">
        <v>15826</v>
      </c>
      <c r="C7620" s="2" t="s">
        <v>25</v>
      </c>
      <c r="D7620" s="2" t="s">
        <v>26</v>
      </c>
      <c r="E7620" s="5">
        <v>-31672</v>
      </c>
      <c r="F7620" s="3" t="s">
        <v>3964</v>
      </c>
      <c r="G7620" s="3" t="s">
        <v>19</v>
      </c>
      <c r="H7620" s="2" t="s">
        <v>20</v>
      </c>
      <c r="I7620" s="2" t="s">
        <v>15827</v>
      </c>
      <c r="J7620" s="3" t="str">
        <f>HYPERLINK("https://www.boe.es/gazeta/dias/1813/04/13/pdfs/GMD-1813-103.pdf#page=4","Abrir facsímil")</f>
        <v>Abrir facsímil</v>
      </c>
      <c r="K7620" s="3" t="s">
        <v>22</v>
      </c>
    </row>
    <row r="7621" spans="1:11" ht="42" customHeight="1">
      <c r="A7621" s="2" t="s">
        <v>15828</v>
      </c>
      <c r="B7621" s="2" t="s">
        <v>15828</v>
      </c>
      <c r="C7621" s="2" t="s">
        <v>16</v>
      </c>
      <c r="D7621" s="2" t="s">
        <v>17</v>
      </c>
      <c r="E7621" s="5">
        <v>-31585</v>
      </c>
      <c r="F7621" s="3" t="s">
        <v>177</v>
      </c>
      <c r="G7621" s="3" t="s">
        <v>313</v>
      </c>
      <c r="H7621" s="2" t="s">
        <v>20</v>
      </c>
      <c r="I7621" s="2" t="s">
        <v>15829</v>
      </c>
      <c r="J7621" s="3" t="str">
        <f>HYPERLINK("https://www.boe.es/gazeta/dias/1813/07/09/pdfs/GMR-1813-16.pdf#page=9","Abrir facsímil")</f>
        <v>Abrir facsímil</v>
      </c>
      <c r="K7621" s="3" t="s">
        <v>22</v>
      </c>
    </row>
    <row r="7622" spans="1:11" ht="42" customHeight="1">
      <c r="A7622" s="2" t="s">
        <v>15830</v>
      </c>
      <c r="B7622" s="2" t="s">
        <v>15830</v>
      </c>
      <c r="C7622" s="2" t="s">
        <v>16</v>
      </c>
      <c r="D7622" s="2" t="s">
        <v>17</v>
      </c>
      <c r="E7622" s="5">
        <v>-31769</v>
      </c>
      <c r="F7622" s="3" t="s">
        <v>431</v>
      </c>
      <c r="G7622" s="3" t="s">
        <v>65</v>
      </c>
      <c r="H7622" s="2" t="s">
        <v>20</v>
      </c>
      <c r="I7622" s="2" t="s">
        <v>15831</v>
      </c>
      <c r="J7622" s="3" t="str">
        <f>HYPERLINK("https://www.boe.es/gazeta/dias/1813/01/06/pdfs/GMD-1813-6.pdf#page=1","Abrir facsímil")</f>
        <v>Abrir facsímil</v>
      </c>
      <c r="K7622" s="3" t="s">
        <v>22</v>
      </c>
    </row>
    <row r="7623" spans="1:11" ht="42" customHeight="1">
      <c r="A7623" s="2" t="s">
        <v>15832</v>
      </c>
      <c r="B7623" s="2" t="s">
        <v>15832</v>
      </c>
      <c r="C7623" s="2" t="s">
        <v>435</v>
      </c>
      <c r="D7623" s="2" t="s">
        <v>26</v>
      </c>
      <c r="E7623" s="5">
        <v>-31695</v>
      </c>
      <c r="F7623" s="3" t="s">
        <v>2770</v>
      </c>
      <c r="G7623" s="3" t="s">
        <v>58</v>
      </c>
      <c r="H7623" s="2" t="s">
        <v>20</v>
      </c>
      <c r="I7623" s="2" t="s">
        <v>15833</v>
      </c>
      <c r="J7623" s="3" t="str">
        <f>HYPERLINK("https://www.boe.es/gazeta/dias/1813/03/21/pdfs/GMD-1813-80.pdf#page=2","Abrir facsímil")</f>
        <v>Abrir facsímil</v>
      </c>
      <c r="K7623" s="3" t="s">
        <v>22</v>
      </c>
    </row>
    <row r="7624" spans="1:11" ht="42" customHeight="1">
      <c r="A7624" s="2" t="s">
        <v>15834</v>
      </c>
      <c r="B7624" s="2" t="s">
        <v>15834</v>
      </c>
      <c r="C7624" s="2" t="s">
        <v>16</v>
      </c>
      <c r="D7624" s="2" t="s">
        <v>17</v>
      </c>
      <c r="E7624" s="5">
        <v>-31647</v>
      </c>
      <c r="F7624" s="3" t="s">
        <v>1972</v>
      </c>
      <c r="G7624" s="3" t="s">
        <v>3167</v>
      </c>
      <c r="H7624" s="2" t="s">
        <v>20</v>
      </c>
      <c r="I7624" s="2" t="s">
        <v>15835</v>
      </c>
      <c r="J7624" s="3" t="str">
        <f>HYPERLINK("https://www.boe.es/gazeta/dias/1813/05/08/pdfs/GRE-1813-57.pdf#page=3","Abrir facsímil")</f>
        <v>Abrir facsímil</v>
      </c>
      <c r="K7624" s="3" t="s">
        <v>22</v>
      </c>
    </row>
    <row r="7625" spans="1:11" ht="42" customHeight="1">
      <c r="A7625" s="2" t="s">
        <v>15836</v>
      </c>
      <c r="B7625" s="2" t="s">
        <v>15836</v>
      </c>
      <c r="C7625" s="2" t="s">
        <v>16</v>
      </c>
      <c r="D7625" s="2" t="s">
        <v>17</v>
      </c>
      <c r="E7625" s="5">
        <v>-31679</v>
      </c>
      <c r="F7625" s="3" t="s">
        <v>571</v>
      </c>
      <c r="G7625" s="3" t="s">
        <v>1558</v>
      </c>
      <c r="H7625" s="2" t="s">
        <v>20</v>
      </c>
      <c r="I7625" s="2" t="s">
        <v>15837</v>
      </c>
      <c r="J7625" s="3" t="str">
        <f>HYPERLINK("https://www.boe.es/gazeta/dias/1813/04/06/pdfs/GRE-1813-42.pdf#page=4","Abrir facsímil")</f>
        <v>Abrir facsímil</v>
      </c>
      <c r="K7625" s="3" t="s">
        <v>22</v>
      </c>
    </row>
    <row r="7626" spans="1:11" ht="42" customHeight="1">
      <c r="A7626" s="2" t="s">
        <v>15838</v>
      </c>
      <c r="B7626" s="2" t="s">
        <v>15838</v>
      </c>
      <c r="C7626" s="2" t="s">
        <v>187</v>
      </c>
      <c r="D7626" s="2" t="s">
        <v>26</v>
      </c>
      <c r="E7626" s="5">
        <v>-31773</v>
      </c>
      <c r="F7626" s="3" t="s">
        <v>3667</v>
      </c>
      <c r="G7626" s="3" t="s">
        <v>5107</v>
      </c>
      <c r="H7626" s="2" t="s">
        <v>20</v>
      </c>
      <c r="I7626" s="2" t="s">
        <v>15839</v>
      </c>
      <c r="J7626" s="3" t="str">
        <f>HYPERLINK("https://www.boe.es/gazeta/dias/1813/01/02/pdfs/GRE-1813-1.pdf#page=5","Abrir facsímil")</f>
        <v>Abrir facsímil</v>
      </c>
      <c r="K7626" s="3" t="s">
        <v>22</v>
      </c>
    </row>
    <row r="7627" spans="1:11" ht="42" customHeight="1">
      <c r="A7627" s="2" t="s">
        <v>15838</v>
      </c>
      <c r="B7627" s="2" t="s">
        <v>15838</v>
      </c>
      <c r="C7627" s="2" t="s">
        <v>16</v>
      </c>
      <c r="D7627" s="2" t="s">
        <v>17</v>
      </c>
      <c r="E7627" s="5">
        <v>-31726</v>
      </c>
      <c r="F7627" s="3" t="s">
        <v>533</v>
      </c>
      <c r="G7627" s="3" t="s">
        <v>534</v>
      </c>
      <c r="H7627" s="2" t="s">
        <v>20</v>
      </c>
      <c r="I7627" s="2" t="s">
        <v>15840</v>
      </c>
      <c r="J7627" s="3" t="str">
        <f>HYPERLINK("https://www.boe.es/gazeta/dias/1813/02/18/pdfs/GRE-1813-21.pdf#page=4","Abrir facsímil")</f>
        <v>Abrir facsímil</v>
      </c>
      <c r="K7627" s="3" t="s">
        <v>22</v>
      </c>
    </row>
    <row r="7628" spans="1:11" ht="42" customHeight="1">
      <c r="A7628" s="2" t="s">
        <v>15841</v>
      </c>
      <c r="B7628" s="2" t="s">
        <v>15841</v>
      </c>
      <c r="C7628" s="2" t="s">
        <v>16</v>
      </c>
      <c r="D7628" s="2" t="s">
        <v>17</v>
      </c>
      <c r="E7628" s="5">
        <v>-31458</v>
      </c>
      <c r="F7628" s="3" t="s">
        <v>2315</v>
      </c>
      <c r="G7628" s="3" t="s">
        <v>58</v>
      </c>
      <c r="H7628" s="2" t="s">
        <v>20</v>
      </c>
      <c r="I7628" s="2" t="s">
        <v>15842</v>
      </c>
      <c r="J7628" s="3" t="str">
        <f>HYPERLINK("https://www.boe.es/gazeta/dias/1813/11/13/pdfs/GMR-1813-73.pdf#page=2","Abrir facsímil")</f>
        <v>Abrir facsímil</v>
      </c>
      <c r="K7628" s="3" t="s">
        <v>22</v>
      </c>
    </row>
    <row r="7629" spans="1:11" ht="42" customHeight="1">
      <c r="A7629" s="2" t="s">
        <v>15843</v>
      </c>
      <c r="B7629" s="2" t="s">
        <v>15844</v>
      </c>
      <c r="C7629" s="2" t="s">
        <v>25</v>
      </c>
      <c r="D7629" s="2" t="s">
        <v>26</v>
      </c>
      <c r="E7629" s="5">
        <v>-31745</v>
      </c>
      <c r="F7629" s="3" t="s">
        <v>445</v>
      </c>
      <c r="G7629" s="3" t="s">
        <v>28</v>
      </c>
      <c r="H7629" s="2" t="s">
        <v>20</v>
      </c>
      <c r="I7629" s="2" t="s">
        <v>15845</v>
      </c>
      <c r="J7629" s="3" t="str">
        <f>HYPERLINK("https://www.boe.es/gazeta/dias/1813/01/30/pdfs/GRE-1813-13.pdf#page=8","Abrir facsímil")</f>
        <v>Abrir facsímil</v>
      </c>
      <c r="K7629" s="3" t="s">
        <v>22</v>
      </c>
    </row>
    <row r="7630" spans="1:11" ht="42" customHeight="1">
      <c r="A7630" s="2" t="s">
        <v>15846</v>
      </c>
      <c r="B7630" s="2" t="s">
        <v>15847</v>
      </c>
      <c r="C7630" s="2" t="s">
        <v>25</v>
      </c>
      <c r="D7630" s="2" t="s">
        <v>26</v>
      </c>
      <c r="E7630" s="5">
        <v>-31684</v>
      </c>
      <c r="F7630" s="3" t="s">
        <v>427</v>
      </c>
      <c r="G7630" s="3" t="s">
        <v>1123</v>
      </c>
      <c r="H7630" s="2" t="s">
        <v>20</v>
      </c>
      <c r="I7630" s="2" t="s">
        <v>15848</v>
      </c>
      <c r="J7630" s="3" t="str">
        <f>HYPERLINK("https://www.boe.es/gazeta/dias/1813/04/01/pdfs/GRE-1813-40.pdf#page=8","Abrir facsímil")</f>
        <v>Abrir facsímil</v>
      </c>
      <c r="K7630" s="3" t="s">
        <v>22</v>
      </c>
    </row>
    <row r="7631" spans="1:11" ht="42" customHeight="1">
      <c r="A7631" s="2" t="s">
        <v>15849</v>
      </c>
      <c r="B7631" s="2" t="s">
        <v>15850</v>
      </c>
      <c r="C7631" s="2" t="s">
        <v>34</v>
      </c>
      <c r="D7631" s="2" t="s">
        <v>35</v>
      </c>
      <c r="E7631" s="5">
        <v>-31709</v>
      </c>
      <c r="F7631" s="3" t="s">
        <v>36</v>
      </c>
      <c r="G7631" s="3" t="s">
        <v>19</v>
      </c>
      <c r="H7631" s="2" t="s">
        <v>20</v>
      </c>
      <c r="I7631" s="2" t="s">
        <v>15851</v>
      </c>
      <c r="J7631" s="3" t="str">
        <f>HYPERLINK("https://www.boe.es/gazeta/dias/1813/03/07/pdfs/GMD-1813-66.pdf#page=4","Abrir facsímil")</f>
        <v>Abrir facsímil</v>
      </c>
      <c r="K7631" s="3" t="s">
        <v>22</v>
      </c>
    </row>
    <row r="7632" spans="1:11" ht="42" customHeight="1">
      <c r="A7632" s="2" t="s">
        <v>15852</v>
      </c>
      <c r="B7632" s="2" t="s">
        <v>15852</v>
      </c>
      <c r="C7632" s="2" t="s">
        <v>16</v>
      </c>
      <c r="D7632" s="2" t="s">
        <v>17</v>
      </c>
      <c r="E7632" s="5">
        <v>-31669</v>
      </c>
      <c r="F7632" s="3" t="s">
        <v>1570</v>
      </c>
      <c r="G7632" s="3" t="s">
        <v>54</v>
      </c>
      <c r="H7632" s="2" t="s">
        <v>20</v>
      </c>
      <c r="I7632" s="2" t="s">
        <v>15853</v>
      </c>
      <c r="J7632" s="3" t="str">
        <f>HYPERLINK("https://www.boe.es/gazeta/dias/1813/04/16/pdfs/GMD-1813-106.pdf#page=3","Abrir facsímil")</f>
        <v>Abrir facsímil</v>
      </c>
      <c r="K7632" s="3" t="s">
        <v>22</v>
      </c>
    </row>
    <row r="7633" spans="1:11" ht="42" customHeight="1">
      <c r="A7633" s="2" t="s">
        <v>15854</v>
      </c>
      <c r="B7633" s="2" t="s">
        <v>15854</v>
      </c>
      <c r="C7633" s="2" t="s">
        <v>34</v>
      </c>
      <c r="D7633" s="2" t="s">
        <v>35</v>
      </c>
      <c r="E7633" s="5">
        <v>-31697</v>
      </c>
      <c r="F7633" s="3" t="s">
        <v>2761</v>
      </c>
      <c r="G7633" s="3" t="s">
        <v>54</v>
      </c>
      <c r="H7633" s="2" t="s">
        <v>20</v>
      </c>
      <c r="I7633" s="2" t="s">
        <v>15855</v>
      </c>
      <c r="J7633" s="3" t="str">
        <f>HYPERLINK("https://www.boe.es/gazeta/dias/1813/03/19/pdfs/GMD-1813-78.pdf#page=3","Abrir facsímil")</f>
        <v>Abrir facsímil</v>
      </c>
      <c r="K7633" s="3" t="s">
        <v>22</v>
      </c>
    </row>
    <row r="7634" spans="1:11" ht="42" customHeight="1">
      <c r="A7634" s="2" t="s">
        <v>15856</v>
      </c>
      <c r="B7634" s="2" t="s">
        <v>15857</v>
      </c>
      <c r="C7634" s="2" t="s">
        <v>187</v>
      </c>
      <c r="D7634" s="2" t="s">
        <v>26</v>
      </c>
      <c r="E7634" s="5">
        <v>-31584</v>
      </c>
      <c r="F7634" s="3" t="s">
        <v>114</v>
      </c>
      <c r="G7634" s="3" t="s">
        <v>28</v>
      </c>
      <c r="H7634" s="2" t="s">
        <v>20</v>
      </c>
      <c r="I7634" s="2" t="s">
        <v>15858</v>
      </c>
      <c r="J7634" s="3" t="str">
        <f>HYPERLINK("https://www.boe.es/gazeta/dias/1813/07/10/pdfs/GRE-1813-86.pdf#page=8","Abrir facsímil")</f>
        <v>Abrir facsímil</v>
      </c>
      <c r="K7634" s="3" t="s">
        <v>22</v>
      </c>
    </row>
    <row r="7635" spans="1:11" ht="42" customHeight="1">
      <c r="A7635" s="2" t="s">
        <v>15859</v>
      </c>
      <c r="B7635" s="2" t="s">
        <v>15859</v>
      </c>
      <c r="C7635" s="2" t="s">
        <v>25</v>
      </c>
      <c r="D7635" s="2" t="s">
        <v>26</v>
      </c>
      <c r="E7635" s="5">
        <v>-31712</v>
      </c>
      <c r="F7635" s="3" t="s">
        <v>719</v>
      </c>
      <c r="G7635" s="3" t="s">
        <v>58</v>
      </c>
      <c r="H7635" s="2" t="s">
        <v>20</v>
      </c>
      <c r="I7635" s="2" t="s">
        <v>15860</v>
      </c>
      <c r="J7635" s="3" t="str">
        <f>HYPERLINK("https://www.boe.es/gazeta/dias/1813/03/04/pdfs/GMD-1813-63.pdf#page=2","Abrir facsímil")</f>
        <v>Abrir facsímil</v>
      </c>
      <c r="K7635" s="3" t="s">
        <v>22</v>
      </c>
    </row>
    <row r="7636" spans="1:11" ht="42" customHeight="1">
      <c r="A7636" s="2" t="s">
        <v>15861</v>
      </c>
      <c r="B7636" s="2" t="s">
        <v>15862</v>
      </c>
      <c r="C7636" s="2" t="s">
        <v>16</v>
      </c>
      <c r="D7636" s="2" t="s">
        <v>97</v>
      </c>
      <c r="E7636" s="5">
        <v>-31519</v>
      </c>
      <c r="F7636" s="3" t="s">
        <v>312</v>
      </c>
      <c r="G7636" s="3" t="s">
        <v>82</v>
      </c>
      <c r="H7636" s="2" t="s">
        <v>20</v>
      </c>
      <c r="I7636" s="2" t="s">
        <v>15863</v>
      </c>
      <c r="J7636" s="3" t="str">
        <f>HYPERLINK("https://www.boe.es/gazeta/dias/1813/09/13/pdfs/GRE-1813-118E.pdf#page=5","Abrir facsímil")</f>
        <v>Abrir facsímil</v>
      </c>
      <c r="K7636" s="3" t="s">
        <v>22</v>
      </c>
    </row>
    <row r="7637" spans="1:11" ht="42" customHeight="1">
      <c r="A7637" s="2" t="s">
        <v>15864</v>
      </c>
      <c r="B7637" s="2" t="s">
        <v>15865</v>
      </c>
      <c r="C7637" s="2" t="s">
        <v>16</v>
      </c>
      <c r="D7637" s="2" t="s">
        <v>97</v>
      </c>
      <c r="E7637" s="5">
        <v>-31519</v>
      </c>
      <c r="F7637" s="3" t="s">
        <v>312</v>
      </c>
      <c r="G7637" s="3" t="s">
        <v>95</v>
      </c>
      <c r="H7637" s="2" t="s">
        <v>29</v>
      </c>
      <c r="I7637" s="2" t="s">
        <v>15866</v>
      </c>
      <c r="J7637" s="3" t="str">
        <f>HYPERLINK("https://www.boe.es/gazeta/dias/1813/09/13/pdfs/GRE-1813-118E.pdf#page=6","Abrir facsímil")</f>
        <v>Abrir facsímil</v>
      </c>
      <c r="K7637" s="3" t="s">
        <v>31</v>
      </c>
    </row>
    <row r="7638" spans="1:11" ht="42" customHeight="1">
      <c r="A7638" s="2" t="s">
        <v>15867</v>
      </c>
      <c r="B7638" s="2" t="s">
        <v>15868</v>
      </c>
      <c r="C7638" s="2" t="s">
        <v>16</v>
      </c>
      <c r="D7638" s="2" t="s">
        <v>17</v>
      </c>
      <c r="E7638" s="5">
        <v>-31521</v>
      </c>
      <c r="F7638" s="3" t="s">
        <v>1282</v>
      </c>
      <c r="G7638" s="3" t="s">
        <v>95</v>
      </c>
      <c r="H7638" s="2" t="s">
        <v>20</v>
      </c>
      <c r="I7638" s="2" t="s">
        <v>15869</v>
      </c>
      <c r="J7638" s="3" t="str">
        <f>HYPERLINK("https://www.boe.es/gazeta/dias/1813/09/11/pdfs/GMR-1813-41.pdf#page=6","Abrir facsímil")</f>
        <v>Abrir facsímil</v>
      </c>
      <c r="K7638" s="3" t="s">
        <v>22</v>
      </c>
    </row>
    <row r="7639" spans="1:11" ht="42" customHeight="1">
      <c r="A7639" s="2" t="s">
        <v>15870</v>
      </c>
      <c r="B7639" s="2" t="s">
        <v>15871</v>
      </c>
      <c r="C7639" s="2" t="s">
        <v>34</v>
      </c>
      <c r="D7639" s="2" t="s">
        <v>35</v>
      </c>
      <c r="E7639" s="5">
        <v>-31658</v>
      </c>
      <c r="F7639" s="3" t="s">
        <v>1113</v>
      </c>
      <c r="G7639" s="3" t="s">
        <v>1091</v>
      </c>
      <c r="H7639" s="2" t="s">
        <v>20</v>
      </c>
      <c r="I7639" s="2" t="s">
        <v>15872</v>
      </c>
      <c r="J7639" s="3" t="str">
        <f>HYPERLINK("https://www.boe.es/gazeta/dias/1813/04/27/pdfs/GRE-1813-52.pdf#page=7","Abrir facsímil")</f>
        <v>Abrir facsímil</v>
      </c>
      <c r="K7639" s="3" t="s">
        <v>22</v>
      </c>
    </row>
    <row r="7640" spans="1:11" ht="42" customHeight="1">
      <c r="A7640" s="2" t="s">
        <v>15873</v>
      </c>
      <c r="B7640" s="2" t="s">
        <v>15873</v>
      </c>
      <c r="C7640" s="2" t="s">
        <v>16</v>
      </c>
      <c r="D7640" s="2" t="s">
        <v>17</v>
      </c>
      <c r="E7640" s="5">
        <v>-31670</v>
      </c>
      <c r="F7640" s="3" t="s">
        <v>15874</v>
      </c>
      <c r="G7640" s="3" t="s">
        <v>15875</v>
      </c>
      <c r="H7640" s="2" t="s">
        <v>20</v>
      </c>
      <c r="I7640" s="2" t="s">
        <v>15876</v>
      </c>
      <c r="J7640" s="3" t="str">
        <f>HYPERLINK("https://www.boe.es/gazeta/dias/1813/04/15/pdfs/GMD-1813-105.pdf#page=4","Abrir facsímil")</f>
        <v>Abrir facsímil</v>
      </c>
      <c r="K7640" s="3" t="s">
        <v>22</v>
      </c>
    </row>
    <row r="7641" spans="1:11" ht="42" customHeight="1">
      <c r="A7641" s="2" t="s">
        <v>15877</v>
      </c>
      <c r="B7641" s="2" t="s">
        <v>15878</v>
      </c>
      <c r="C7641" s="2" t="s">
        <v>16</v>
      </c>
      <c r="D7641" s="2" t="s">
        <v>17</v>
      </c>
      <c r="E7641" s="5">
        <v>-31754</v>
      </c>
      <c r="F7641" s="3" t="s">
        <v>899</v>
      </c>
      <c r="G7641" s="3" t="s">
        <v>900</v>
      </c>
      <c r="H7641" s="2" t="s">
        <v>20</v>
      </c>
      <c r="I7641" s="2" t="s">
        <v>15879</v>
      </c>
      <c r="J7641" s="3" t="str">
        <f>HYPERLINK("https://www.boe.es/gazeta/dias/1813/01/21/pdfs/GRE-1813-9.pdf#page=8","Abrir facsímil")</f>
        <v>Abrir facsímil</v>
      </c>
      <c r="K7641" s="3" t="s">
        <v>22</v>
      </c>
    </row>
    <row r="7642" spans="1:11" ht="42" customHeight="1">
      <c r="A7642" s="2" t="s">
        <v>15880</v>
      </c>
      <c r="B7642" s="2" t="s">
        <v>15881</v>
      </c>
      <c r="C7642" s="2" t="s">
        <v>16</v>
      </c>
      <c r="D7642" s="2" t="s">
        <v>17</v>
      </c>
      <c r="E7642" s="5">
        <v>-31481</v>
      </c>
      <c r="F7642" s="3" t="s">
        <v>40</v>
      </c>
      <c r="G7642" s="3" t="s">
        <v>54</v>
      </c>
      <c r="H7642" s="2" t="s">
        <v>20</v>
      </c>
      <c r="I7642" s="2" t="s">
        <v>15882</v>
      </c>
      <c r="J7642" s="3" t="str">
        <f>HYPERLINK("https://www.boe.es/gazeta/dias/1813/10/21/pdfs/GMR-1813-62.pdf#page=3","Abrir facsímil")</f>
        <v>Abrir facsímil</v>
      </c>
      <c r="K7642" s="3" t="s">
        <v>22</v>
      </c>
    </row>
    <row r="7643" spans="1:11" ht="42" customHeight="1">
      <c r="A7643" s="2" t="s">
        <v>15883</v>
      </c>
      <c r="B7643" s="2" t="s">
        <v>15884</v>
      </c>
      <c r="C7643" s="2" t="s">
        <v>16</v>
      </c>
      <c r="D7643" s="2" t="s">
        <v>17</v>
      </c>
      <c r="E7643" s="5">
        <v>-31606</v>
      </c>
      <c r="F7643" s="3" t="s">
        <v>124</v>
      </c>
      <c r="G7643" s="3" t="s">
        <v>87</v>
      </c>
      <c r="H7643" s="2" t="s">
        <v>20</v>
      </c>
      <c r="I7643" s="2" t="s">
        <v>15885</v>
      </c>
      <c r="J7643" s="3" t="str">
        <f>HYPERLINK("https://www.boe.es/gazeta/dias/1813/06/18/pdfs/GMR-1813-7.pdf#page=7","Abrir facsímil")</f>
        <v>Abrir facsímil</v>
      </c>
      <c r="K7643" s="3" t="s">
        <v>22</v>
      </c>
    </row>
    <row r="7644" spans="1:11" ht="42" customHeight="1">
      <c r="A7644" s="2" t="s">
        <v>15886</v>
      </c>
      <c r="B7644" s="2" t="s">
        <v>15887</v>
      </c>
      <c r="C7644" s="2" t="s">
        <v>25</v>
      </c>
      <c r="D7644" s="2" t="s">
        <v>26</v>
      </c>
      <c r="E7644" s="5">
        <v>-31745</v>
      </c>
      <c r="F7644" s="3" t="s">
        <v>445</v>
      </c>
      <c r="G7644" s="3" t="s">
        <v>28</v>
      </c>
      <c r="H7644" s="2" t="s">
        <v>20</v>
      </c>
      <c r="I7644" s="2" t="s">
        <v>15888</v>
      </c>
      <c r="J7644" s="3" t="str">
        <f>HYPERLINK("https://www.boe.es/gazeta/dias/1813/01/30/pdfs/GRE-1813-13.pdf#page=8","Abrir facsímil")</f>
        <v>Abrir facsímil</v>
      </c>
      <c r="K7644" s="3" t="s">
        <v>22</v>
      </c>
    </row>
    <row r="7645" spans="1:11" ht="42" customHeight="1">
      <c r="A7645" s="2" t="s">
        <v>15889</v>
      </c>
      <c r="B7645" s="2" t="s">
        <v>15889</v>
      </c>
      <c r="C7645" s="2" t="s">
        <v>16</v>
      </c>
      <c r="D7645" s="2" t="s">
        <v>17</v>
      </c>
      <c r="E7645" s="5">
        <v>-31472</v>
      </c>
      <c r="F7645" s="3" t="s">
        <v>1942</v>
      </c>
      <c r="G7645" s="3" t="s">
        <v>95</v>
      </c>
      <c r="H7645" s="2" t="s">
        <v>20</v>
      </c>
      <c r="I7645" s="2" t="s">
        <v>15890</v>
      </c>
      <c r="J7645" s="3" t="str">
        <f>HYPERLINK("https://www.boe.es/gazeta/dias/1813/10/30/pdfs/GRE-1813-142.pdf#page=6","Abrir facsímil")</f>
        <v>Abrir facsímil</v>
      </c>
      <c r="K7645" s="3" t="s">
        <v>22</v>
      </c>
    </row>
    <row r="7646" spans="1:11" ht="42" customHeight="1">
      <c r="A7646" s="2" t="s">
        <v>15891</v>
      </c>
      <c r="B7646" s="2" t="s">
        <v>15891</v>
      </c>
      <c r="C7646" s="2" t="s">
        <v>16</v>
      </c>
      <c r="D7646" s="2" t="s">
        <v>17</v>
      </c>
      <c r="E7646" s="5">
        <v>-31544</v>
      </c>
      <c r="F7646" s="3" t="s">
        <v>200</v>
      </c>
      <c r="G7646" s="3" t="s">
        <v>3017</v>
      </c>
      <c r="H7646" s="2" t="s">
        <v>20</v>
      </c>
      <c r="I7646" s="2" t="s">
        <v>15892</v>
      </c>
      <c r="J7646" s="3" t="str">
        <f>HYPERLINK("https://www.boe.es/gazeta/dias/1813/08/19/pdfs/GRE-1813-106.pdf#page=4","Abrir facsímil")</f>
        <v>Abrir facsímil</v>
      </c>
      <c r="K7646" s="3" t="s">
        <v>22</v>
      </c>
    </row>
    <row r="7647" spans="1:11" ht="42" customHeight="1">
      <c r="A7647" s="2" t="s">
        <v>15893</v>
      </c>
      <c r="B7647" s="2" t="s">
        <v>15893</v>
      </c>
      <c r="C7647" s="2" t="s">
        <v>16</v>
      </c>
      <c r="D7647" s="2" t="s">
        <v>17</v>
      </c>
      <c r="E7647" s="5">
        <v>-31592</v>
      </c>
      <c r="F7647" s="3" t="s">
        <v>175</v>
      </c>
      <c r="G7647" s="3" t="s">
        <v>82</v>
      </c>
      <c r="H7647" s="2" t="s">
        <v>20</v>
      </c>
      <c r="I7647" s="2" t="s">
        <v>15894</v>
      </c>
      <c r="J7647" s="3" t="str">
        <f>HYPERLINK("https://www.boe.es/gazeta/dias/1813/07/02/pdfs/GRE-1813-82.pdf#page=5","Abrir facsímil")</f>
        <v>Abrir facsímil</v>
      </c>
      <c r="K7647" s="3" t="s">
        <v>22</v>
      </c>
    </row>
    <row r="7648" spans="1:11" ht="42" customHeight="1">
      <c r="A7648" s="2" t="s">
        <v>15893</v>
      </c>
      <c r="B7648" s="2" t="s">
        <v>15893</v>
      </c>
      <c r="C7648" s="2" t="s">
        <v>16</v>
      </c>
      <c r="D7648" s="2" t="s">
        <v>17</v>
      </c>
      <c r="E7648" s="5">
        <v>-31585</v>
      </c>
      <c r="F7648" s="3" t="s">
        <v>177</v>
      </c>
      <c r="G7648" s="3" t="s">
        <v>207</v>
      </c>
      <c r="H7648" s="2" t="s">
        <v>20</v>
      </c>
      <c r="I7648" s="2" t="s">
        <v>15895</v>
      </c>
      <c r="J7648" s="3" t="str">
        <f>HYPERLINK("https://www.boe.es/gazeta/dias/1813/07/09/pdfs/GMR-1813-16.pdf#page=10","Abrir facsímil")</f>
        <v>Abrir facsímil</v>
      </c>
      <c r="K7648" s="3" t="s">
        <v>22</v>
      </c>
    </row>
    <row r="7649" spans="1:11" ht="42" customHeight="1">
      <c r="A7649" s="2" t="s">
        <v>15896</v>
      </c>
      <c r="B7649" s="2" t="s">
        <v>15896</v>
      </c>
      <c r="C7649" s="2" t="s">
        <v>16</v>
      </c>
      <c r="D7649" s="2" t="s">
        <v>17</v>
      </c>
      <c r="E7649" s="5">
        <v>-31518</v>
      </c>
      <c r="F7649" s="3" t="s">
        <v>1090</v>
      </c>
      <c r="G7649" s="3" t="s">
        <v>65</v>
      </c>
      <c r="H7649" s="2" t="s">
        <v>20</v>
      </c>
      <c r="I7649" s="2" t="s">
        <v>15897</v>
      </c>
      <c r="J7649" s="3" t="str">
        <f>HYPERLINK("https://www.boe.es/gazeta/dias/1813/09/14/pdfs/GMR-1813-42.pdf#page=1","Abrir facsímil")</f>
        <v>Abrir facsímil</v>
      </c>
      <c r="K7649" s="3" t="s">
        <v>22</v>
      </c>
    </row>
    <row r="7650" spans="1:11" ht="42" customHeight="1">
      <c r="A7650" s="2" t="s">
        <v>15898</v>
      </c>
      <c r="B7650" s="2" t="s">
        <v>15899</v>
      </c>
      <c r="C7650" s="2" t="s">
        <v>16</v>
      </c>
      <c r="D7650" s="2" t="s">
        <v>97</v>
      </c>
      <c r="E7650" s="5">
        <v>-31479</v>
      </c>
      <c r="F7650" s="3" t="s">
        <v>290</v>
      </c>
      <c r="G7650" s="3" t="s">
        <v>82</v>
      </c>
      <c r="H7650" s="2" t="s">
        <v>20</v>
      </c>
      <c r="I7650" s="2" t="s">
        <v>15900</v>
      </c>
      <c r="J7650" s="3" t="str">
        <f>HYPERLINK("https://www.boe.es/gazeta/dias/1813/10/23/pdfs/GRE-1813-139E.pdf#page=5","Abrir facsímil")</f>
        <v>Abrir facsímil</v>
      </c>
      <c r="K7650" s="3" t="s">
        <v>22</v>
      </c>
    </row>
    <row r="7651" spans="1:11" ht="42" customHeight="1">
      <c r="A7651" s="2" t="s">
        <v>15898</v>
      </c>
      <c r="B7651" s="2" t="s">
        <v>15899</v>
      </c>
      <c r="C7651" s="2" t="s">
        <v>16</v>
      </c>
      <c r="D7651" s="2" t="s">
        <v>17</v>
      </c>
      <c r="E7651" s="5">
        <v>-31465</v>
      </c>
      <c r="F7651" s="3" t="s">
        <v>407</v>
      </c>
      <c r="G7651" s="3" t="s">
        <v>19</v>
      </c>
      <c r="H7651" s="2" t="s">
        <v>20</v>
      </c>
      <c r="I7651" s="2" t="s">
        <v>15901</v>
      </c>
      <c r="J7651" s="3" t="str">
        <f>HYPERLINK("https://www.boe.es/gazeta/dias/1813/11/06/pdfs/GMR-1813-70.pdf#page=4","Abrir facsímil")</f>
        <v>Abrir facsímil</v>
      </c>
      <c r="K7651" s="3" t="s">
        <v>22</v>
      </c>
    </row>
    <row r="7652" spans="1:11" ht="42" customHeight="1">
      <c r="A7652" s="2" t="s">
        <v>15902</v>
      </c>
      <c r="B7652" s="2" t="s">
        <v>15903</v>
      </c>
      <c r="C7652" s="2" t="s">
        <v>34</v>
      </c>
      <c r="D7652" s="2" t="s">
        <v>35</v>
      </c>
      <c r="E7652" s="5">
        <v>-31709</v>
      </c>
      <c r="F7652" s="3" t="s">
        <v>36</v>
      </c>
      <c r="G7652" s="3" t="s">
        <v>303</v>
      </c>
      <c r="H7652" s="2" t="s">
        <v>20</v>
      </c>
      <c r="I7652" s="2" t="s">
        <v>15904</v>
      </c>
      <c r="J7652" s="3" t="str">
        <f>HYPERLINK("https://www.boe.es/gazeta/dias/1813/03/07/pdfs/GMD-1813-66.pdf#page=3","Abrir facsímil")</f>
        <v>Abrir facsímil</v>
      </c>
      <c r="K7652" s="3" t="s">
        <v>22</v>
      </c>
    </row>
    <row r="7653" spans="1:11" ht="42" customHeight="1">
      <c r="A7653" s="2" t="s">
        <v>15905</v>
      </c>
      <c r="B7653" s="2" t="s">
        <v>15906</v>
      </c>
      <c r="C7653" s="2" t="s">
        <v>25</v>
      </c>
      <c r="D7653" s="2" t="s">
        <v>26</v>
      </c>
      <c r="E7653" s="5">
        <v>-31738</v>
      </c>
      <c r="F7653" s="3" t="s">
        <v>556</v>
      </c>
      <c r="G7653" s="3" t="s">
        <v>3260</v>
      </c>
      <c r="H7653" s="2" t="s">
        <v>20</v>
      </c>
      <c r="I7653" s="2" t="s">
        <v>15907</v>
      </c>
      <c r="J7653" s="3" t="str">
        <f>HYPERLINK("https://www.boe.es/gazeta/dias/1813/02/06/pdfs/GRE-1813-16.pdf#page=7","Abrir facsímil")</f>
        <v>Abrir facsímil</v>
      </c>
      <c r="K7653" s="3" t="s">
        <v>22</v>
      </c>
    </row>
    <row r="7654" spans="1:11" ht="42" customHeight="1">
      <c r="A7654" s="2" t="s">
        <v>15908</v>
      </c>
      <c r="B7654" s="2" t="s">
        <v>15909</v>
      </c>
      <c r="C7654" s="2" t="s">
        <v>187</v>
      </c>
      <c r="D7654" s="2" t="s">
        <v>26</v>
      </c>
      <c r="E7654" s="5">
        <v>-31745</v>
      </c>
      <c r="F7654" s="3" t="s">
        <v>445</v>
      </c>
      <c r="G7654" s="3" t="s">
        <v>28</v>
      </c>
      <c r="H7654" s="2" t="s">
        <v>20</v>
      </c>
      <c r="I7654" s="2" t="s">
        <v>15910</v>
      </c>
      <c r="J7654" s="3" t="str">
        <f>HYPERLINK("https://www.boe.es/gazeta/dias/1813/01/30/pdfs/GRE-1813-13.pdf#page=8","Abrir facsímil")</f>
        <v>Abrir facsímil</v>
      </c>
      <c r="K7654" s="3" t="s">
        <v>22</v>
      </c>
    </row>
    <row r="7655" spans="1:11" ht="42" customHeight="1">
      <c r="A7655" s="2" t="s">
        <v>15911</v>
      </c>
      <c r="B7655" s="2" t="s">
        <v>15912</v>
      </c>
      <c r="C7655" s="2" t="s">
        <v>109</v>
      </c>
      <c r="D7655" s="2" t="s">
        <v>26</v>
      </c>
      <c r="E7655" s="5">
        <v>-31441</v>
      </c>
      <c r="F7655" s="3" t="s">
        <v>1933</v>
      </c>
      <c r="G7655" s="3" t="s">
        <v>87</v>
      </c>
      <c r="H7655" s="2" t="s">
        <v>20</v>
      </c>
      <c r="I7655" s="2" t="s">
        <v>15913</v>
      </c>
      <c r="J7655" s="3" t="str">
        <f>HYPERLINK("https://www.boe.es/gazeta/dias/1813/11/30/pdfs/GMR-1813-81.pdf#page=7","Abrir facsímil")</f>
        <v>Abrir facsímil</v>
      </c>
      <c r="K7655" s="3" t="s">
        <v>22</v>
      </c>
    </row>
    <row r="7656" spans="1:11" ht="42" customHeight="1">
      <c r="A7656" s="2" t="s">
        <v>15914</v>
      </c>
      <c r="B7656" s="2" t="s">
        <v>15915</v>
      </c>
      <c r="C7656" s="2" t="s">
        <v>25</v>
      </c>
      <c r="D7656" s="2" t="s">
        <v>26</v>
      </c>
      <c r="E7656" s="5">
        <v>-31747</v>
      </c>
      <c r="F7656" s="3" t="s">
        <v>86</v>
      </c>
      <c r="G7656" s="3" t="s">
        <v>87</v>
      </c>
      <c r="H7656" s="2" t="s">
        <v>20</v>
      </c>
      <c r="I7656" s="2" t="s">
        <v>15916</v>
      </c>
      <c r="J7656" s="3" t="str">
        <f>HYPERLINK("https://www.boe.es/gazeta/dias/1813/01/28/pdfs/GRE-1813-12.pdf#page=7","Abrir facsímil")</f>
        <v>Abrir facsímil</v>
      </c>
      <c r="K7656" s="3" t="s">
        <v>22</v>
      </c>
    </row>
    <row r="7657" spans="1:11" ht="42" customHeight="1">
      <c r="A7657" s="2" t="s">
        <v>15917</v>
      </c>
      <c r="B7657" s="2" t="s">
        <v>15918</v>
      </c>
      <c r="C7657" s="2" t="s">
        <v>187</v>
      </c>
      <c r="D7657" s="2" t="s">
        <v>26</v>
      </c>
      <c r="E7657" s="5">
        <v>-31745</v>
      </c>
      <c r="F7657" s="3" t="s">
        <v>445</v>
      </c>
      <c r="G7657" s="3" t="s">
        <v>28</v>
      </c>
      <c r="H7657" s="2" t="s">
        <v>20</v>
      </c>
      <c r="I7657" s="2" t="s">
        <v>15919</v>
      </c>
      <c r="J7657" s="3" t="str">
        <f>HYPERLINK("https://www.boe.es/gazeta/dias/1813/01/30/pdfs/GRE-1813-13.pdf#page=8","Abrir facsímil")</f>
        <v>Abrir facsímil</v>
      </c>
      <c r="K7657" s="3" t="s">
        <v>22</v>
      </c>
    </row>
    <row r="7658" spans="1:11" ht="42" customHeight="1">
      <c r="A7658" s="2" t="s">
        <v>15920</v>
      </c>
      <c r="B7658" s="2" t="s">
        <v>15920</v>
      </c>
      <c r="C7658" s="2" t="s">
        <v>16</v>
      </c>
      <c r="D7658" s="2" t="s">
        <v>17</v>
      </c>
      <c r="E7658" s="5">
        <v>-31563</v>
      </c>
      <c r="F7658" s="3" t="s">
        <v>1267</v>
      </c>
      <c r="G7658" s="3" t="s">
        <v>95</v>
      </c>
      <c r="H7658" s="2" t="s">
        <v>20</v>
      </c>
      <c r="I7658" s="2" t="s">
        <v>15921</v>
      </c>
      <c r="J7658" s="3" t="str">
        <f>HYPERLINK("https://www.boe.es/gazeta/dias/1813/07/31/pdfs/GRE-1813-97.pdf#page=6","Abrir facsímil")</f>
        <v>Abrir facsímil</v>
      </c>
      <c r="K7658" s="3" t="s">
        <v>22</v>
      </c>
    </row>
    <row r="7659" spans="1:11" ht="42" customHeight="1">
      <c r="A7659" s="2" t="s">
        <v>15922</v>
      </c>
      <c r="B7659" s="2" t="s">
        <v>15923</v>
      </c>
      <c r="C7659" s="2" t="s">
        <v>25</v>
      </c>
      <c r="D7659" s="2" t="s">
        <v>26</v>
      </c>
      <c r="E7659" s="5">
        <v>-31752</v>
      </c>
      <c r="F7659" s="3" t="s">
        <v>182</v>
      </c>
      <c r="G7659" s="3" t="s">
        <v>183</v>
      </c>
      <c r="H7659" s="2" t="s">
        <v>20</v>
      </c>
      <c r="I7659" s="2" t="s">
        <v>15924</v>
      </c>
      <c r="J7659" s="3" t="str">
        <f>HYPERLINK("https://www.boe.es/gazeta/dias/1813/01/23/pdfs/GRE-1813-10.pdf#page=8","Abrir facsímil")</f>
        <v>Abrir facsímil</v>
      </c>
      <c r="K7659" s="3" t="s">
        <v>22</v>
      </c>
    </row>
    <row r="7660" spans="1:11" ht="42" customHeight="1">
      <c r="A7660" s="2" t="s">
        <v>15925</v>
      </c>
      <c r="B7660" s="2" t="s">
        <v>15926</v>
      </c>
      <c r="C7660" s="2" t="s">
        <v>25</v>
      </c>
      <c r="D7660" s="2" t="s">
        <v>26</v>
      </c>
      <c r="E7660" s="5">
        <v>-31677</v>
      </c>
      <c r="F7660" s="3" t="s">
        <v>76</v>
      </c>
      <c r="G7660" s="3" t="s">
        <v>28</v>
      </c>
      <c r="H7660" s="2" t="s">
        <v>20</v>
      </c>
      <c r="I7660" s="2" t="s">
        <v>15927</v>
      </c>
      <c r="J7660" s="3" t="str">
        <f>HYPERLINK("https://www.boe.es/gazeta/dias/1813/04/08/pdfs/GRE-1813-43.pdf#page=8","Abrir facsímil")</f>
        <v>Abrir facsímil</v>
      </c>
      <c r="K7660" s="3" t="s">
        <v>22</v>
      </c>
    </row>
    <row r="7661" spans="1:11" ht="42" customHeight="1">
      <c r="A7661" s="2" t="s">
        <v>15928</v>
      </c>
      <c r="B7661" s="2" t="s">
        <v>15929</v>
      </c>
      <c r="C7661" s="2" t="s">
        <v>34</v>
      </c>
      <c r="D7661" s="2" t="s">
        <v>35</v>
      </c>
      <c r="E7661" s="5">
        <v>-31747</v>
      </c>
      <c r="F7661" s="3" t="s">
        <v>4771</v>
      </c>
      <c r="G7661" s="3" t="s">
        <v>19</v>
      </c>
      <c r="H7661" s="2" t="s">
        <v>20</v>
      </c>
      <c r="I7661" s="2" t="s">
        <v>15930</v>
      </c>
      <c r="J7661" s="3" t="str">
        <f>HYPERLINK("https://www.boe.es/gazeta/dias/1813/01/28/pdfs/GMD-1813-28.pdf#page=4","Abrir facsímil")</f>
        <v>Abrir facsímil</v>
      </c>
      <c r="K7661" s="3" t="s">
        <v>22</v>
      </c>
    </row>
    <row r="7662" spans="1:11" ht="42" customHeight="1">
      <c r="A7662" s="2" t="s">
        <v>15928</v>
      </c>
      <c r="B7662" s="2" t="s">
        <v>15929</v>
      </c>
      <c r="C7662" s="2" t="s">
        <v>109</v>
      </c>
      <c r="D7662" s="2" t="s">
        <v>26</v>
      </c>
      <c r="E7662" s="5">
        <v>-31521</v>
      </c>
      <c r="F7662" s="3" t="s">
        <v>1282</v>
      </c>
      <c r="G7662" s="3" t="s">
        <v>258</v>
      </c>
      <c r="H7662" s="2" t="s">
        <v>20</v>
      </c>
      <c r="I7662" s="2" t="s">
        <v>15931</v>
      </c>
      <c r="J7662" s="3" t="str">
        <f>HYPERLINK("https://www.boe.es/gazeta/dias/1813/09/11/pdfs/GMR-1813-41.pdf#page=12","Abrir facsímil")</f>
        <v>Abrir facsímil</v>
      </c>
      <c r="K7662" s="3" t="s">
        <v>22</v>
      </c>
    </row>
    <row r="7663" spans="1:11" ht="42" customHeight="1">
      <c r="A7663" s="2" t="s">
        <v>15928</v>
      </c>
      <c r="B7663" s="2" t="s">
        <v>15929</v>
      </c>
      <c r="C7663" s="2" t="s">
        <v>25</v>
      </c>
      <c r="D7663" s="2" t="s">
        <v>26</v>
      </c>
      <c r="E7663" s="5">
        <v>-31416</v>
      </c>
      <c r="F7663" s="3" t="s">
        <v>278</v>
      </c>
      <c r="G7663" s="3" t="s">
        <v>207</v>
      </c>
      <c r="H7663" s="2" t="s">
        <v>20</v>
      </c>
      <c r="I7663" s="2" t="s">
        <v>15932</v>
      </c>
      <c r="J7663" s="3" t="str">
        <f>HYPERLINK("https://www.boe.es/gazeta/dias/1813/12/25/pdfs/GMR-1813-92.pdf#page=10","Abrir facsímil")</f>
        <v>Abrir facsímil</v>
      </c>
      <c r="K7663" s="3" t="s">
        <v>22</v>
      </c>
    </row>
    <row r="7664" spans="1:11" ht="42" customHeight="1">
      <c r="A7664" s="2" t="s">
        <v>15933</v>
      </c>
      <c r="B7664" s="2" t="s">
        <v>15934</v>
      </c>
      <c r="C7664" s="2" t="s">
        <v>16</v>
      </c>
      <c r="D7664" s="2" t="s">
        <v>17</v>
      </c>
      <c r="E7664" s="5">
        <v>-31563</v>
      </c>
      <c r="F7664" s="3" t="s">
        <v>1267</v>
      </c>
      <c r="G7664" s="3" t="s">
        <v>82</v>
      </c>
      <c r="H7664" s="2" t="s">
        <v>20</v>
      </c>
      <c r="I7664" s="2" t="s">
        <v>15935</v>
      </c>
      <c r="J7664" s="3" t="str">
        <f>HYPERLINK("https://www.boe.es/gazeta/dias/1813/07/31/pdfs/GRE-1813-97.pdf#page=5","Abrir facsímil")</f>
        <v>Abrir facsímil</v>
      </c>
      <c r="K7664" s="3" t="s">
        <v>22</v>
      </c>
    </row>
    <row r="7665" spans="1:11" ht="42" customHeight="1">
      <c r="A7665" s="2" t="s">
        <v>15936</v>
      </c>
      <c r="B7665" s="2" t="s">
        <v>15937</v>
      </c>
      <c r="C7665" s="2" t="s">
        <v>25</v>
      </c>
      <c r="D7665" s="2" t="s">
        <v>26</v>
      </c>
      <c r="E7665" s="5">
        <v>-31689</v>
      </c>
      <c r="F7665" s="3" t="s">
        <v>48</v>
      </c>
      <c r="G7665" s="3" t="s">
        <v>162</v>
      </c>
      <c r="H7665" s="2" t="s">
        <v>20</v>
      </c>
      <c r="I7665" s="2" t="s">
        <v>15938</v>
      </c>
      <c r="J7665" s="3" t="str">
        <f>HYPERLINK("https://www.boe.es/gazeta/dias/1813/03/27/pdfs/GRE-1813-38.pdf#page=8","Abrir facsímil")</f>
        <v>Abrir facsímil</v>
      </c>
      <c r="K7665" s="3" t="s">
        <v>22</v>
      </c>
    </row>
    <row r="7666" spans="1:11" ht="42" customHeight="1">
      <c r="A7666" s="2" t="s">
        <v>15939</v>
      </c>
      <c r="B7666" s="2" t="s">
        <v>15940</v>
      </c>
      <c r="C7666" s="2" t="s">
        <v>25</v>
      </c>
      <c r="D7666" s="2" t="s">
        <v>26</v>
      </c>
      <c r="E7666" s="5">
        <v>-31677</v>
      </c>
      <c r="F7666" s="3" t="s">
        <v>76</v>
      </c>
      <c r="G7666" s="3" t="s">
        <v>28</v>
      </c>
      <c r="H7666" s="2" t="s">
        <v>20</v>
      </c>
      <c r="I7666" s="2" t="s">
        <v>15941</v>
      </c>
      <c r="J7666" s="3" t="str">
        <f>HYPERLINK("https://www.boe.es/gazeta/dias/1813/04/08/pdfs/GRE-1813-43.pdf#page=8","Abrir facsímil")</f>
        <v>Abrir facsímil</v>
      </c>
      <c r="K7666" s="3" t="s">
        <v>22</v>
      </c>
    </row>
    <row r="7667" spans="1:11" ht="42" customHeight="1">
      <c r="A7667" s="2" t="s">
        <v>15942</v>
      </c>
      <c r="B7667" s="2" t="s">
        <v>15943</v>
      </c>
      <c r="C7667" s="2" t="s">
        <v>109</v>
      </c>
      <c r="D7667" s="2" t="s">
        <v>26</v>
      </c>
      <c r="E7667" s="5">
        <v>-31521</v>
      </c>
      <c r="F7667" s="3" t="s">
        <v>1282</v>
      </c>
      <c r="G7667" s="3" t="s">
        <v>258</v>
      </c>
      <c r="H7667" s="2" t="s">
        <v>20</v>
      </c>
      <c r="I7667" s="2" t="s">
        <v>15944</v>
      </c>
      <c r="J7667" s="3" t="str">
        <f>HYPERLINK("https://www.boe.es/gazeta/dias/1813/09/11/pdfs/GMR-1813-41.pdf#page=12","Abrir facsímil")</f>
        <v>Abrir facsímil</v>
      </c>
      <c r="K7667" s="3" t="s">
        <v>22</v>
      </c>
    </row>
    <row r="7668" spans="1:11" ht="42" customHeight="1">
      <c r="A7668" s="2" t="s">
        <v>15945</v>
      </c>
      <c r="B7668" s="2" t="s">
        <v>15946</v>
      </c>
      <c r="C7668" s="2" t="s">
        <v>16</v>
      </c>
      <c r="D7668" s="2" t="s">
        <v>17</v>
      </c>
      <c r="E7668" s="5">
        <v>-31570</v>
      </c>
      <c r="F7668" s="3" t="s">
        <v>1803</v>
      </c>
      <c r="G7668" s="3" t="s">
        <v>82</v>
      </c>
      <c r="H7668" s="2" t="s">
        <v>20</v>
      </c>
      <c r="I7668" s="2" t="s">
        <v>15947</v>
      </c>
      <c r="J7668" s="3" t="str">
        <f>HYPERLINK("https://www.boe.es/gazeta/dias/1813/07/24/pdfs/GRE-1813-94.pdf#page=5","Abrir facsímil")</f>
        <v>Abrir facsímil</v>
      </c>
      <c r="K7668" s="3" t="s">
        <v>22</v>
      </c>
    </row>
    <row r="7669" spans="1:11" ht="42" customHeight="1">
      <c r="A7669" s="2" t="s">
        <v>15948</v>
      </c>
      <c r="B7669" s="2" t="s">
        <v>15948</v>
      </c>
      <c r="C7669" s="2" t="s">
        <v>16</v>
      </c>
      <c r="D7669" s="2" t="s">
        <v>17</v>
      </c>
      <c r="E7669" s="5">
        <v>-31698</v>
      </c>
      <c r="F7669" s="3" t="s">
        <v>470</v>
      </c>
      <c r="G7669" s="3" t="s">
        <v>471</v>
      </c>
      <c r="H7669" s="2" t="s">
        <v>20</v>
      </c>
      <c r="I7669" s="2" t="s">
        <v>15949</v>
      </c>
      <c r="J7669" s="3" t="str">
        <f>HYPERLINK("https://www.boe.es/gazeta/dias/1813/03/18/pdfs/GRE-1813-34.pdf#page=7","Abrir facsímil")</f>
        <v>Abrir facsímil</v>
      </c>
      <c r="K7669" s="3" t="s">
        <v>22</v>
      </c>
    </row>
    <row r="7670" spans="1:11" ht="42" customHeight="1">
      <c r="A7670" s="2" t="s">
        <v>15950</v>
      </c>
      <c r="B7670" s="2" t="s">
        <v>15951</v>
      </c>
      <c r="C7670" s="2" t="s">
        <v>16</v>
      </c>
      <c r="D7670" s="2" t="s">
        <v>17</v>
      </c>
      <c r="E7670" s="5">
        <v>-31745</v>
      </c>
      <c r="F7670" s="3" t="s">
        <v>445</v>
      </c>
      <c r="G7670" s="3" t="s">
        <v>28</v>
      </c>
      <c r="H7670" s="2" t="s">
        <v>20</v>
      </c>
      <c r="I7670" s="2" t="s">
        <v>15952</v>
      </c>
      <c r="J7670" s="3" t="str">
        <f>HYPERLINK("https://www.boe.es/gazeta/dias/1813/01/30/pdfs/GRE-1813-13.pdf#page=8","Abrir facsímil")</f>
        <v>Abrir facsímil</v>
      </c>
      <c r="K7670" s="3" t="s">
        <v>22</v>
      </c>
    </row>
    <row r="7671" spans="1:11" ht="42" customHeight="1">
      <c r="A7671" s="2" t="s">
        <v>15953</v>
      </c>
      <c r="B7671" s="2" t="s">
        <v>15954</v>
      </c>
      <c r="C7671" s="2" t="s">
        <v>25</v>
      </c>
      <c r="D7671" s="2" t="s">
        <v>26</v>
      </c>
      <c r="E7671" s="5">
        <v>-31677</v>
      </c>
      <c r="F7671" s="3" t="s">
        <v>76</v>
      </c>
      <c r="G7671" s="3" t="s">
        <v>28</v>
      </c>
      <c r="H7671" s="2" t="s">
        <v>20</v>
      </c>
      <c r="I7671" s="2" t="s">
        <v>15955</v>
      </c>
      <c r="J7671" s="3" t="str">
        <f>HYPERLINK("https://www.boe.es/gazeta/dias/1813/04/08/pdfs/GRE-1813-43.pdf#page=8","Abrir facsímil")</f>
        <v>Abrir facsímil</v>
      </c>
      <c r="K7671" s="3" t="s">
        <v>22</v>
      </c>
    </row>
    <row r="7672" spans="1:11" ht="42" customHeight="1">
      <c r="A7672" s="2" t="s">
        <v>15956</v>
      </c>
      <c r="B7672" s="2" t="s">
        <v>15957</v>
      </c>
      <c r="C7672" s="2" t="s">
        <v>25</v>
      </c>
      <c r="D7672" s="2" t="s">
        <v>26</v>
      </c>
      <c r="E7672" s="5">
        <v>-31413</v>
      </c>
      <c r="F7672" s="3" t="s">
        <v>149</v>
      </c>
      <c r="G7672" s="3" t="s">
        <v>28</v>
      </c>
      <c r="H7672" s="2" t="s">
        <v>20</v>
      </c>
      <c r="I7672" s="2" t="s">
        <v>15958</v>
      </c>
      <c r="J7672" s="3" t="str">
        <f>HYPERLINK("https://www.boe.es/gazeta/dias/1813/12/28/pdfs/GMR-1813-93.pdf#page=8","Abrir facsímil")</f>
        <v>Abrir facsímil</v>
      </c>
      <c r="K7672" s="3" t="s">
        <v>22</v>
      </c>
    </row>
    <row r="7673" spans="1:11" ht="42" customHeight="1">
      <c r="A7673" s="2" t="s">
        <v>15959</v>
      </c>
      <c r="B7673" s="2" t="s">
        <v>15960</v>
      </c>
      <c r="C7673" s="2" t="s">
        <v>16</v>
      </c>
      <c r="D7673" s="2" t="s">
        <v>17</v>
      </c>
      <c r="E7673" s="5">
        <v>-31723</v>
      </c>
      <c r="F7673" s="3" t="s">
        <v>273</v>
      </c>
      <c r="G7673" s="3" t="s">
        <v>19</v>
      </c>
      <c r="H7673" s="2" t="s">
        <v>29</v>
      </c>
      <c r="I7673" s="2" t="s">
        <v>15961</v>
      </c>
      <c r="J7673" s="3" t="str">
        <f>HYPERLINK("https://www.boe.es/gazeta/dias/1813/02/21/pdfs/GMD-1813-52.pdf#page=4","Abrir facsímil")</f>
        <v>Abrir facsímil</v>
      </c>
      <c r="K7673" s="3" t="s">
        <v>31</v>
      </c>
    </row>
    <row r="7674" spans="1:11" ht="42" customHeight="1">
      <c r="A7674" s="2" t="s">
        <v>15962</v>
      </c>
      <c r="B7674" s="2" t="s">
        <v>15963</v>
      </c>
      <c r="C7674" s="2" t="s">
        <v>16</v>
      </c>
      <c r="D7674" s="2" t="s">
        <v>17</v>
      </c>
      <c r="E7674" s="5">
        <v>-31467</v>
      </c>
      <c r="F7674" s="3" t="s">
        <v>1464</v>
      </c>
      <c r="G7674" s="3" t="s">
        <v>19</v>
      </c>
      <c r="H7674" s="2" t="s">
        <v>29</v>
      </c>
      <c r="I7674" s="2" t="s">
        <v>15964</v>
      </c>
      <c r="J7674" s="3" t="str">
        <f>HYPERLINK("https://www.boe.es/gazeta/dias/1813/11/04/pdfs/GRE-1813-144.pdf#page=4","Abrir facsímil")</f>
        <v>Abrir facsímil</v>
      </c>
      <c r="K7674" s="3" t="s">
        <v>31</v>
      </c>
    </row>
    <row r="7675" spans="1:11" ht="42" customHeight="1">
      <c r="A7675" s="2" t="s">
        <v>15965</v>
      </c>
      <c r="B7675" s="2" t="s">
        <v>15965</v>
      </c>
      <c r="C7675" s="2" t="s">
        <v>16</v>
      </c>
      <c r="D7675" s="2" t="s">
        <v>17</v>
      </c>
      <c r="E7675" s="5">
        <v>-31680</v>
      </c>
      <c r="F7675" s="3" t="s">
        <v>4851</v>
      </c>
      <c r="G7675" s="3" t="s">
        <v>58</v>
      </c>
      <c r="H7675" s="2" t="s">
        <v>20</v>
      </c>
      <c r="I7675" s="2" t="s">
        <v>15966</v>
      </c>
      <c r="J7675" s="3" t="str">
        <f>HYPERLINK("https://www.boe.es/gazeta/dias/1813/04/05/pdfs/GMD-1813-95.pdf#page=2","Abrir facsímil")</f>
        <v>Abrir facsímil</v>
      </c>
      <c r="K7675" s="3" t="s">
        <v>22</v>
      </c>
    </row>
    <row r="7676" spans="1:11" ht="42" customHeight="1">
      <c r="A7676" s="2" t="s">
        <v>15967</v>
      </c>
      <c r="B7676" s="2" t="s">
        <v>15967</v>
      </c>
      <c r="C7676" s="2" t="s">
        <v>16</v>
      </c>
      <c r="D7676" s="2" t="s">
        <v>17</v>
      </c>
      <c r="E7676" s="5">
        <v>-31474</v>
      </c>
      <c r="F7676" s="3" t="s">
        <v>130</v>
      </c>
      <c r="G7676" s="3" t="s">
        <v>54</v>
      </c>
      <c r="H7676" s="2" t="s">
        <v>20</v>
      </c>
      <c r="I7676" s="2" t="s">
        <v>15968</v>
      </c>
      <c r="J7676" s="3" t="str">
        <f>HYPERLINK("https://www.boe.es/gazeta/dias/1813/10/28/pdfs/GRE-1813-141.pdf#page=3","Abrir facsímil")</f>
        <v>Abrir facsímil</v>
      </c>
      <c r="K7676" s="3" t="s">
        <v>22</v>
      </c>
    </row>
    <row r="7677" spans="1:11" ht="42" customHeight="1">
      <c r="A7677" s="2" t="s">
        <v>15969</v>
      </c>
      <c r="B7677" s="2" t="s">
        <v>15969</v>
      </c>
      <c r="C7677" s="2" t="s">
        <v>16</v>
      </c>
      <c r="D7677" s="2" t="s">
        <v>17</v>
      </c>
      <c r="E7677" s="5">
        <v>-31691</v>
      </c>
      <c r="F7677" s="3" t="s">
        <v>1621</v>
      </c>
      <c r="G7677" s="3" t="s">
        <v>58</v>
      </c>
      <c r="H7677" s="2" t="s">
        <v>20</v>
      </c>
      <c r="I7677" s="2" t="s">
        <v>15970</v>
      </c>
      <c r="J7677" s="3" t="str">
        <f>HYPERLINK("https://www.boe.es/gazeta/dias/1813/03/25/pdfs/GMD-1813-84.pdf#page=2","Abrir facsímil")</f>
        <v>Abrir facsímil</v>
      </c>
      <c r="K7677" s="3" t="s">
        <v>22</v>
      </c>
    </row>
    <row r="7678" spans="1:11" ht="42" customHeight="1">
      <c r="A7678" s="2" t="s">
        <v>15971</v>
      </c>
      <c r="B7678" s="2" t="s">
        <v>15972</v>
      </c>
      <c r="C7678" s="2" t="s">
        <v>16</v>
      </c>
      <c r="D7678" s="2" t="s">
        <v>17</v>
      </c>
      <c r="E7678" s="5">
        <v>-31509</v>
      </c>
      <c r="F7678" s="3" t="s">
        <v>2007</v>
      </c>
      <c r="G7678" s="3" t="s">
        <v>15973</v>
      </c>
      <c r="H7678" s="2" t="s">
        <v>20</v>
      </c>
      <c r="I7678" s="2" t="s">
        <v>15974</v>
      </c>
      <c r="J7678" s="3" t="str">
        <f>HYPERLINK("https://www.boe.es/gazeta/dias/1813/09/23/pdfs/GRE-1813-125.pdf#page=8","Abrir facsímil")</f>
        <v>Abrir facsímil</v>
      </c>
      <c r="K7678" s="3" t="s">
        <v>22</v>
      </c>
    </row>
    <row r="7679" spans="1:11" ht="42" customHeight="1">
      <c r="A7679" s="2" t="s">
        <v>15975</v>
      </c>
      <c r="B7679" s="2" t="s">
        <v>15976</v>
      </c>
      <c r="C7679" s="2" t="s">
        <v>16</v>
      </c>
      <c r="D7679" s="2" t="s">
        <v>17</v>
      </c>
      <c r="E7679" s="5">
        <v>-31521</v>
      </c>
      <c r="F7679" s="3" t="s">
        <v>1256</v>
      </c>
      <c r="G7679" s="3" t="s">
        <v>3407</v>
      </c>
      <c r="H7679" s="2" t="s">
        <v>20</v>
      </c>
      <c r="I7679" s="2" t="s">
        <v>15977</v>
      </c>
      <c r="J7679" s="3" t="str">
        <f>HYPERLINK("https://www.boe.es/gazeta/dias/1813/09/11/pdfs/GRE-1813-116.pdf#page=6","Abrir facsímil")</f>
        <v>Abrir facsímil</v>
      </c>
      <c r="K7679" s="3" t="s">
        <v>22</v>
      </c>
    </row>
    <row r="7680" spans="1:11" ht="42" customHeight="1">
      <c r="A7680" s="2" t="s">
        <v>15978</v>
      </c>
      <c r="B7680" s="2" t="s">
        <v>15978</v>
      </c>
      <c r="C7680" s="2" t="s">
        <v>16</v>
      </c>
      <c r="D7680" s="2" t="s">
        <v>17</v>
      </c>
      <c r="E7680" s="5">
        <v>-31488</v>
      </c>
      <c r="F7680" s="3" t="s">
        <v>2370</v>
      </c>
      <c r="G7680" s="3" t="s">
        <v>95</v>
      </c>
      <c r="H7680" s="2" t="s">
        <v>20</v>
      </c>
      <c r="I7680" s="2" t="s">
        <v>15979</v>
      </c>
      <c r="J7680" s="3" t="str">
        <f>HYPERLINK("https://www.boe.es/gazeta/dias/1813/10/14/pdfs/GMR-1813-59.pdf#page=6","Abrir facsímil")</f>
        <v>Abrir facsímil</v>
      </c>
      <c r="K7680" s="3" t="s">
        <v>22</v>
      </c>
    </row>
    <row r="7681" spans="1:11" ht="42" customHeight="1">
      <c r="A7681" s="2" t="s">
        <v>15980</v>
      </c>
      <c r="B7681" s="2" t="s">
        <v>15981</v>
      </c>
      <c r="C7681" s="2" t="s">
        <v>16</v>
      </c>
      <c r="D7681" s="2" t="s">
        <v>17</v>
      </c>
      <c r="E7681" s="5">
        <v>-31740</v>
      </c>
      <c r="F7681" s="3" t="s">
        <v>354</v>
      </c>
      <c r="G7681" s="3" t="s">
        <v>19</v>
      </c>
      <c r="H7681" s="2" t="s">
        <v>20</v>
      </c>
      <c r="I7681" s="2" t="s">
        <v>15982</v>
      </c>
      <c r="J7681" s="3" t="str">
        <f>HYPERLINK("https://www.boe.es/gazeta/dias/1813/02/04/pdfs/GRE-1813-15.pdf#page=4","Abrir facsímil")</f>
        <v>Abrir facsímil</v>
      </c>
      <c r="K7681" s="3" t="s">
        <v>22</v>
      </c>
    </row>
    <row r="7682" spans="1:11" ht="42" customHeight="1">
      <c r="A7682" s="2" t="s">
        <v>15983</v>
      </c>
      <c r="B7682" s="2" t="s">
        <v>15984</v>
      </c>
      <c r="C7682" s="2" t="s">
        <v>187</v>
      </c>
      <c r="D7682" s="2" t="s">
        <v>26</v>
      </c>
      <c r="E7682" s="5">
        <v>-31556</v>
      </c>
      <c r="F7682" s="3" t="s">
        <v>118</v>
      </c>
      <c r="G7682" s="3" t="s">
        <v>28</v>
      </c>
      <c r="H7682" s="2" t="s">
        <v>20</v>
      </c>
      <c r="I7682" s="2" t="s">
        <v>15985</v>
      </c>
      <c r="J7682" s="3" t="str">
        <f>HYPERLINK("https://www.boe.es/gazeta/dias/1813/08/07/pdfs/GMR-1813-25.pdf#page=8","Abrir facsímil")</f>
        <v>Abrir facsímil</v>
      </c>
      <c r="K7682" s="3" t="s">
        <v>22</v>
      </c>
    </row>
    <row r="7683" spans="1:11" ht="42" customHeight="1">
      <c r="A7683" s="2" t="s">
        <v>15986</v>
      </c>
      <c r="B7683" s="2" t="s">
        <v>15987</v>
      </c>
      <c r="C7683" s="2" t="s">
        <v>16</v>
      </c>
      <c r="D7683" s="2" t="s">
        <v>97</v>
      </c>
      <c r="E7683" s="5">
        <v>-31499</v>
      </c>
      <c r="F7683" s="3" t="s">
        <v>220</v>
      </c>
      <c r="G7683" s="3" t="s">
        <v>54</v>
      </c>
      <c r="H7683" s="2" t="s">
        <v>20</v>
      </c>
      <c r="I7683" s="2" t="s">
        <v>15988</v>
      </c>
      <c r="J7683" s="3" t="str">
        <f>HYPERLINK("https://www.boe.es/gazeta/dias/1813/10/03/pdfs/GMR-1813-53E.pdf#page=3","Abrir facsímil")</f>
        <v>Abrir facsímil</v>
      </c>
      <c r="K7683" s="3" t="s">
        <v>22</v>
      </c>
    </row>
    <row r="7684" spans="1:11" ht="42" customHeight="1">
      <c r="A7684" s="2" t="s">
        <v>15989</v>
      </c>
      <c r="B7684" s="2" t="s">
        <v>15990</v>
      </c>
      <c r="C7684" s="2" t="s">
        <v>34</v>
      </c>
      <c r="D7684" s="2" t="s">
        <v>35</v>
      </c>
      <c r="E7684" s="5">
        <v>-31453</v>
      </c>
      <c r="F7684" s="3" t="s">
        <v>887</v>
      </c>
      <c r="G7684" s="3" t="s">
        <v>4559</v>
      </c>
      <c r="H7684" s="2" t="s">
        <v>20</v>
      </c>
      <c r="I7684" s="2" t="s">
        <v>15991</v>
      </c>
      <c r="J7684" s="3" t="str">
        <f>HYPERLINK("https://www.boe.es/gazeta/dias/1813/11/18/pdfs/GMR-1813-76.pdf#page=12","Abrir facsímil")</f>
        <v>Abrir facsímil</v>
      </c>
      <c r="K7684" s="3" t="s">
        <v>22</v>
      </c>
    </row>
    <row r="7685" spans="1:11" ht="42" customHeight="1">
      <c r="A7685" s="2" t="s">
        <v>15992</v>
      </c>
      <c r="B7685" s="2" t="s">
        <v>15993</v>
      </c>
      <c r="C7685" s="2" t="s">
        <v>25</v>
      </c>
      <c r="D7685" s="2" t="s">
        <v>26</v>
      </c>
      <c r="E7685" s="5">
        <v>-31481</v>
      </c>
      <c r="F7685" s="3" t="s">
        <v>40</v>
      </c>
      <c r="G7685" s="3" t="s">
        <v>87</v>
      </c>
      <c r="H7685" s="2" t="s">
        <v>20</v>
      </c>
      <c r="I7685" s="2" t="s">
        <v>15994</v>
      </c>
      <c r="J7685" s="3" t="str">
        <f>HYPERLINK("https://www.boe.es/gazeta/dias/1813/10/21/pdfs/GMR-1813-62.pdf#page=7","Abrir facsímil")</f>
        <v>Abrir facsímil</v>
      </c>
      <c r="K7685" s="3" t="s">
        <v>22</v>
      </c>
    </row>
    <row r="7686" spans="1:11" ht="42" customHeight="1">
      <c r="A7686" s="2" t="s">
        <v>15995</v>
      </c>
      <c r="B7686" s="2" t="s">
        <v>15996</v>
      </c>
      <c r="C7686" s="2" t="s">
        <v>435</v>
      </c>
      <c r="D7686" s="2" t="s">
        <v>26</v>
      </c>
      <c r="E7686" s="5">
        <v>-31560</v>
      </c>
      <c r="F7686" s="3" t="s">
        <v>590</v>
      </c>
      <c r="G7686" s="3" t="s">
        <v>87</v>
      </c>
      <c r="H7686" s="2" t="s">
        <v>20</v>
      </c>
      <c r="I7686" s="2" t="s">
        <v>15997</v>
      </c>
      <c r="J7686" s="3" t="str">
        <f>HYPERLINK("https://www.boe.es/gazeta/dias/1813/08/03/pdfs/GRE-1813-98.pdf#page=7","Abrir facsímil")</f>
        <v>Abrir facsímil</v>
      </c>
      <c r="K7686" s="3" t="s">
        <v>22</v>
      </c>
    </row>
    <row r="7687" spans="1:11" ht="42" customHeight="1">
      <c r="A7687" s="2" t="s">
        <v>15998</v>
      </c>
      <c r="B7687" s="2" t="s">
        <v>15998</v>
      </c>
      <c r="C7687" s="2" t="s">
        <v>34</v>
      </c>
      <c r="D7687" s="2" t="s">
        <v>35</v>
      </c>
      <c r="E7687" s="5">
        <v>-31500</v>
      </c>
      <c r="F7687" s="3" t="s">
        <v>938</v>
      </c>
      <c r="G7687" s="3" t="s">
        <v>5553</v>
      </c>
      <c r="H7687" s="2" t="s">
        <v>20</v>
      </c>
      <c r="I7687" s="2" t="s">
        <v>15999</v>
      </c>
      <c r="J7687" s="3" t="str">
        <f>HYPERLINK("https://www.boe.es/gazeta/dias/1813/10/02/pdfs/GMR-1813-52.pdf#page=5","Abrir facsímil")</f>
        <v>Abrir facsímil</v>
      </c>
      <c r="K7687" s="3" t="s">
        <v>22</v>
      </c>
    </row>
    <row r="7688" spans="1:11" ht="42" customHeight="1">
      <c r="A7688" s="2" t="s">
        <v>16000</v>
      </c>
      <c r="B7688" s="2" t="s">
        <v>16001</v>
      </c>
      <c r="C7688" s="2" t="s">
        <v>34</v>
      </c>
      <c r="D7688" s="2" t="s">
        <v>35</v>
      </c>
      <c r="E7688" s="5">
        <v>-31500</v>
      </c>
      <c r="F7688" s="3" t="s">
        <v>938</v>
      </c>
      <c r="G7688" s="3" t="s">
        <v>5553</v>
      </c>
      <c r="H7688" s="2" t="s">
        <v>20</v>
      </c>
      <c r="I7688" s="2" t="s">
        <v>16002</v>
      </c>
      <c r="J7688" s="3" t="str">
        <f>HYPERLINK("https://www.boe.es/gazeta/dias/1813/10/02/pdfs/GMR-1813-52.pdf#page=5","Abrir facsímil")</f>
        <v>Abrir facsímil</v>
      </c>
      <c r="K7688" s="3" t="s">
        <v>22</v>
      </c>
    </row>
    <row r="7689" spans="1:11" ht="42" customHeight="1">
      <c r="A7689" s="2" t="s">
        <v>16003</v>
      </c>
      <c r="B7689" s="2" t="s">
        <v>16004</v>
      </c>
      <c r="C7689" s="2" t="s">
        <v>16</v>
      </c>
      <c r="D7689" s="2" t="s">
        <v>17</v>
      </c>
      <c r="E7689" s="5">
        <v>-31490</v>
      </c>
      <c r="F7689" s="3" t="s">
        <v>3271</v>
      </c>
      <c r="G7689" s="3" t="s">
        <v>28</v>
      </c>
      <c r="H7689" s="2" t="s">
        <v>20</v>
      </c>
      <c r="I7689" s="2" t="s">
        <v>16005</v>
      </c>
      <c r="J7689" s="3" t="str">
        <f>HYPERLINK("https://www.boe.es/gazeta/dias/1813/10/12/pdfs/GRE-1813-133.pdf#page=8","Abrir facsímil")</f>
        <v>Abrir facsímil</v>
      </c>
      <c r="K7689" s="3" t="s">
        <v>22</v>
      </c>
    </row>
    <row r="7690" spans="1:11" ht="42" customHeight="1">
      <c r="A7690" s="2" t="s">
        <v>16006</v>
      </c>
      <c r="B7690" s="2" t="s">
        <v>16007</v>
      </c>
      <c r="C7690" s="2" t="s">
        <v>34</v>
      </c>
      <c r="D7690" s="2" t="s">
        <v>35</v>
      </c>
      <c r="E7690" s="5">
        <v>-31715</v>
      </c>
      <c r="F7690" s="3" t="s">
        <v>3358</v>
      </c>
      <c r="G7690" s="3" t="s">
        <v>58</v>
      </c>
      <c r="H7690" s="2" t="s">
        <v>20</v>
      </c>
      <c r="I7690" s="2" t="s">
        <v>16008</v>
      </c>
      <c r="J7690" s="3" t="str">
        <f>HYPERLINK("https://www.boe.es/gazeta/dias/1813/03/01/pdfs/GMD-1813-60.pdf#page=2","Abrir facsímil")</f>
        <v>Abrir facsímil</v>
      </c>
      <c r="K7690" s="3" t="s">
        <v>22</v>
      </c>
    </row>
    <row r="7691" spans="1:11" ht="42" customHeight="1">
      <c r="A7691" s="2" t="s">
        <v>16009</v>
      </c>
      <c r="B7691" s="2" t="s">
        <v>16010</v>
      </c>
      <c r="C7691" s="2" t="s">
        <v>16</v>
      </c>
      <c r="D7691" s="2" t="s">
        <v>17</v>
      </c>
      <c r="E7691" s="5">
        <v>-31675</v>
      </c>
      <c r="F7691" s="3" t="s">
        <v>27</v>
      </c>
      <c r="G7691" s="3" t="s">
        <v>648</v>
      </c>
      <c r="H7691" s="2" t="s">
        <v>20</v>
      </c>
      <c r="I7691" s="2" t="s">
        <v>16011</v>
      </c>
      <c r="J7691" s="3" t="str">
        <f>HYPERLINK("https://www.boe.es/gazeta/dias/1813/04/10/pdfs/GRE-1813-44.pdf#page=7","Abrir facsímil")</f>
        <v>Abrir facsímil</v>
      </c>
      <c r="K7691" s="3" t="s">
        <v>22</v>
      </c>
    </row>
    <row r="7692" spans="1:11" ht="42" customHeight="1">
      <c r="A7692" s="2" t="s">
        <v>16012</v>
      </c>
      <c r="B7692" s="2" t="s">
        <v>16012</v>
      </c>
      <c r="C7692" s="2" t="s">
        <v>16</v>
      </c>
      <c r="D7692" s="2" t="s">
        <v>17</v>
      </c>
      <c r="E7692" s="5">
        <v>-31502</v>
      </c>
      <c r="F7692" s="3" t="s">
        <v>1363</v>
      </c>
      <c r="G7692" s="3" t="s">
        <v>82</v>
      </c>
      <c r="H7692" s="2" t="s">
        <v>20</v>
      </c>
      <c r="I7692" s="2" t="s">
        <v>16013</v>
      </c>
      <c r="J7692" s="3" t="str">
        <f>HYPERLINK("https://www.boe.es/gazeta/dias/1813/09/30/pdfs/GRE-1813-128.pdf#page=5","Abrir facsímil")</f>
        <v>Abrir facsímil</v>
      </c>
      <c r="K7692" s="3" t="s">
        <v>22</v>
      </c>
    </row>
    <row r="7693" spans="1:11" ht="42" customHeight="1">
      <c r="A7693" s="2" t="s">
        <v>16014</v>
      </c>
      <c r="B7693" s="2" t="s">
        <v>16014</v>
      </c>
      <c r="C7693" s="2" t="s">
        <v>16</v>
      </c>
      <c r="D7693" s="2" t="s">
        <v>17</v>
      </c>
      <c r="E7693" s="5">
        <v>-31467</v>
      </c>
      <c r="F7693" s="3" t="s">
        <v>1464</v>
      </c>
      <c r="G7693" s="3" t="s">
        <v>19</v>
      </c>
      <c r="H7693" s="2" t="s">
        <v>20</v>
      </c>
      <c r="I7693" s="2" t="s">
        <v>16015</v>
      </c>
      <c r="J7693" s="3" t="str">
        <f>HYPERLINK("https://www.boe.es/gazeta/dias/1813/11/04/pdfs/GRE-1813-144.pdf#page=4","Abrir facsímil")</f>
        <v>Abrir facsímil</v>
      </c>
      <c r="K7693" s="3" t="s">
        <v>22</v>
      </c>
    </row>
    <row r="7694" spans="1:11" ht="42" customHeight="1">
      <c r="A7694" s="2" t="s">
        <v>16016</v>
      </c>
      <c r="B7694" s="2" t="s">
        <v>16017</v>
      </c>
      <c r="C7694" s="2" t="s">
        <v>16</v>
      </c>
      <c r="D7694" s="2" t="s">
        <v>17</v>
      </c>
      <c r="E7694" s="5">
        <v>-31486</v>
      </c>
      <c r="F7694" s="3" t="s">
        <v>1284</v>
      </c>
      <c r="G7694" s="3" t="s">
        <v>87</v>
      </c>
      <c r="H7694" s="2" t="s">
        <v>20</v>
      </c>
      <c r="I7694" s="2" t="s">
        <v>16018</v>
      </c>
      <c r="J7694" s="3" t="str">
        <f>HYPERLINK("https://www.boe.es/gazeta/dias/1813/10/16/pdfs/GMR-1813-60.pdf#page=7","Abrir facsímil")</f>
        <v>Abrir facsímil</v>
      </c>
      <c r="K7694" s="3" t="s">
        <v>22</v>
      </c>
    </row>
    <row r="7695" spans="1:11" ht="42" customHeight="1">
      <c r="A7695" s="2" t="s">
        <v>16016</v>
      </c>
      <c r="B7695" s="2" t="s">
        <v>16017</v>
      </c>
      <c r="C7695" s="2" t="s">
        <v>16</v>
      </c>
      <c r="D7695" s="2" t="s">
        <v>17</v>
      </c>
      <c r="E7695" s="5">
        <v>-31467</v>
      </c>
      <c r="F7695" s="3" t="s">
        <v>1464</v>
      </c>
      <c r="G7695" s="3" t="s">
        <v>19</v>
      </c>
      <c r="H7695" s="2" t="s">
        <v>20</v>
      </c>
      <c r="I7695" s="2" t="s">
        <v>16019</v>
      </c>
      <c r="J7695" s="3" t="str">
        <f>HYPERLINK("https://www.boe.es/gazeta/dias/1813/11/04/pdfs/GRE-1813-144.pdf#page=4","Abrir facsímil")</f>
        <v>Abrir facsímil</v>
      </c>
      <c r="K7695" s="3" t="s">
        <v>22</v>
      </c>
    </row>
    <row r="7696" spans="1:11" ht="42" customHeight="1">
      <c r="A7696" s="2" t="s">
        <v>16020</v>
      </c>
      <c r="B7696" s="2" t="s">
        <v>16020</v>
      </c>
      <c r="C7696" s="2" t="s">
        <v>25</v>
      </c>
      <c r="D7696" s="2" t="s">
        <v>26</v>
      </c>
      <c r="E7696" s="5">
        <v>-31465</v>
      </c>
      <c r="F7696" s="3" t="s">
        <v>407</v>
      </c>
      <c r="G7696" s="3" t="s">
        <v>28</v>
      </c>
      <c r="H7696" s="2" t="s">
        <v>20</v>
      </c>
      <c r="I7696" s="2" t="s">
        <v>16021</v>
      </c>
      <c r="J7696" s="3" t="str">
        <f>HYPERLINK("https://www.boe.es/gazeta/dias/1813/11/06/pdfs/GMR-1813-70.pdf#page=8","Abrir facsímil")</f>
        <v>Abrir facsímil</v>
      </c>
      <c r="K7696" s="3" t="s">
        <v>22</v>
      </c>
    </row>
    <row r="7697" spans="1:11" ht="42" customHeight="1">
      <c r="A7697" s="2" t="s">
        <v>16022</v>
      </c>
      <c r="B7697" s="2" t="s">
        <v>16023</v>
      </c>
      <c r="C7697" s="2" t="s">
        <v>25</v>
      </c>
      <c r="D7697" s="2" t="s">
        <v>26</v>
      </c>
      <c r="E7697" s="5">
        <v>-31532</v>
      </c>
      <c r="F7697" s="3" t="s">
        <v>215</v>
      </c>
      <c r="G7697" s="3" t="s">
        <v>95</v>
      </c>
      <c r="H7697" s="2" t="s">
        <v>20</v>
      </c>
      <c r="I7697" s="2" t="s">
        <v>16024</v>
      </c>
      <c r="J7697" s="3" t="str">
        <f>HYPERLINK("https://www.boe.es/gazeta/dias/1813/08/31/pdfs/GRE-1813-111.pdf#page=6","Abrir facsímil")</f>
        <v>Abrir facsímil</v>
      </c>
      <c r="K7697" s="3" t="s">
        <v>22</v>
      </c>
    </row>
    <row r="7698" spans="1:11" ht="42" customHeight="1">
      <c r="A7698" s="2" t="s">
        <v>16025</v>
      </c>
      <c r="B7698" s="2" t="s">
        <v>16026</v>
      </c>
      <c r="C7698" s="2" t="s">
        <v>34</v>
      </c>
      <c r="D7698" s="2" t="s">
        <v>35</v>
      </c>
      <c r="E7698" s="5">
        <v>-31709</v>
      </c>
      <c r="F7698" s="3" t="s">
        <v>36</v>
      </c>
      <c r="G7698" s="3" t="s">
        <v>303</v>
      </c>
      <c r="H7698" s="2" t="s">
        <v>20</v>
      </c>
      <c r="I7698" s="2" t="s">
        <v>16027</v>
      </c>
      <c r="J7698" s="3" t="str">
        <f>HYPERLINK("https://www.boe.es/gazeta/dias/1813/03/07/pdfs/GMD-1813-66.pdf#page=3","Abrir facsímil")</f>
        <v>Abrir facsímil</v>
      </c>
      <c r="K7698" s="3" t="s">
        <v>22</v>
      </c>
    </row>
    <row r="7699" spans="1:11" ht="42" customHeight="1">
      <c r="A7699" s="2" t="s">
        <v>16028</v>
      </c>
      <c r="B7699" s="2" t="s">
        <v>16029</v>
      </c>
      <c r="C7699" s="2" t="s">
        <v>16</v>
      </c>
      <c r="D7699" s="2" t="s">
        <v>17</v>
      </c>
      <c r="E7699" s="5">
        <v>-31560</v>
      </c>
      <c r="F7699" s="3" t="s">
        <v>590</v>
      </c>
      <c r="G7699" s="3" t="s">
        <v>87</v>
      </c>
      <c r="H7699" s="2" t="s">
        <v>20</v>
      </c>
      <c r="I7699" s="2" t="s">
        <v>16030</v>
      </c>
      <c r="J7699" s="3" t="str">
        <f>HYPERLINK("https://www.boe.es/gazeta/dias/1813/08/03/pdfs/GRE-1813-98.pdf#page=7","Abrir facsímil")</f>
        <v>Abrir facsímil</v>
      </c>
      <c r="K7699" s="3" t="s">
        <v>22</v>
      </c>
    </row>
    <row r="7700" spans="1:11" ht="42" customHeight="1">
      <c r="A7700" s="2" t="s">
        <v>16031</v>
      </c>
      <c r="B7700" s="2" t="s">
        <v>16032</v>
      </c>
      <c r="C7700" s="2" t="s">
        <v>16</v>
      </c>
      <c r="D7700" s="2" t="s">
        <v>17</v>
      </c>
      <c r="E7700" s="5">
        <v>-31626</v>
      </c>
      <c r="F7700" s="3" t="s">
        <v>64</v>
      </c>
      <c r="G7700" s="3" t="s">
        <v>87</v>
      </c>
      <c r="H7700" s="2" t="s">
        <v>20</v>
      </c>
      <c r="I7700" s="2" t="s">
        <v>16033</v>
      </c>
      <c r="J7700" s="3" t="str">
        <f>HYPERLINK("https://www.boe.es/gazeta/dias/1813/05/29/pdfs/GRE-1813-66.pdf#page=7","Abrir facsímil")</f>
        <v>Abrir facsímil</v>
      </c>
      <c r="K7700" s="3" t="s">
        <v>22</v>
      </c>
    </row>
    <row r="7701" spans="1:11" ht="42" customHeight="1">
      <c r="A7701" s="2" t="s">
        <v>16034</v>
      </c>
      <c r="B7701" s="2" t="s">
        <v>16035</v>
      </c>
      <c r="C7701" s="2" t="s">
        <v>187</v>
      </c>
      <c r="D7701" s="2" t="s">
        <v>26</v>
      </c>
      <c r="E7701" s="5">
        <v>-31689</v>
      </c>
      <c r="F7701" s="3" t="s">
        <v>48</v>
      </c>
      <c r="G7701" s="3" t="s">
        <v>162</v>
      </c>
      <c r="H7701" s="2" t="s">
        <v>20</v>
      </c>
      <c r="I7701" s="2" t="s">
        <v>16036</v>
      </c>
      <c r="J7701" s="3" t="str">
        <f>HYPERLINK("https://www.boe.es/gazeta/dias/1813/03/27/pdfs/GRE-1813-38.pdf#page=8","Abrir facsímil")</f>
        <v>Abrir facsímil</v>
      </c>
      <c r="K7701" s="3" t="s">
        <v>22</v>
      </c>
    </row>
    <row r="7702" spans="1:11" ht="42" customHeight="1">
      <c r="A7702" s="2" t="s">
        <v>16037</v>
      </c>
      <c r="B7702" s="2" t="s">
        <v>16038</v>
      </c>
      <c r="C7702" s="2" t="s">
        <v>34</v>
      </c>
      <c r="D7702" s="2" t="s">
        <v>35</v>
      </c>
      <c r="E7702" s="5">
        <v>-31709</v>
      </c>
      <c r="F7702" s="3" t="s">
        <v>36</v>
      </c>
      <c r="G7702" s="3" t="s">
        <v>303</v>
      </c>
      <c r="H7702" s="2" t="s">
        <v>20</v>
      </c>
      <c r="I7702" s="2" t="s">
        <v>16039</v>
      </c>
      <c r="J7702" s="3" t="str">
        <f>HYPERLINK("https://www.boe.es/gazeta/dias/1813/03/07/pdfs/GMD-1813-66.pdf#page=3","Abrir facsímil")</f>
        <v>Abrir facsímil</v>
      </c>
      <c r="K7702" s="3" t="s">
        <v>22</v>
      </c>
    </row>
    <row r="7703" spans="1:11" ht="42" customHeight="1">
      <c r="A7703" s="2" t="s">
        <v>16040</v>
      </c>
      <c r="B7703" s="2" t="s">
        <v>16041</v>
      </c>
      <c r="C7703" s="2" t="s">
        <v>16</v>
      </c>
      <c r="D7703" s="2" t="s">
        <v>17</v>
      </c>
      <c r="E7703" s="5">
        <v>-31738</v>
      </c>
      <c r="F7703" s="3" t="s">
        <v>556</v>
      </c>
      <c r="G7703" s="3" t="s">
        <v>28</v>
      </c>
      <c r="H7703" s="2" t="s">
        <v>20</v>
      </c>
      <c r="I7703" s="2" t="s">
        <v>16042</v>
      </c>
      <c r="J7703" s="3" t="str">
        <f>HYPERLINK("https://www.boe.es/gazeta/dias/1813/02/06/pdfs/GRE-1813-16.pdf#page=8","Abrir facsímil")</f>
        <v>Abrir facsímil</v>
      </c>
      <c r="K7703" s="3" t="s">
        <v>22</v>
      </c>
    </row>
    <row r="7704" spans="1:11" ht="42" customHeight="1">
      <c r="A7704" s="2" t="s">
        <v>16043</v>
      </c>
      <c r="B7704" s="2" t="s">
        <v>16044</v>
      </c>
      <c r="C7704" s="2" t="s">
        <v>16</v>
      </c>
      <c r="D7704" s="2" t="s">
        <v>17</v>
      </c>
      <c r="E7704" s="5">
        <v>-31567</v>
      </c>
      <c r="F7704" s="3" t="s">
        <v>820</v>
      </c>
      <c r="G7704" s="3" t="s">
        <v>821</v>
      </c>
      <c r="H7704" s="2" t="s">
        <v>20</v>
      </c>
      <c r="I7704" s="2" t="s">
        <v>16045</v>
      </c>
      <c r="J7704" s="3" t="str">
        <f>HYPERLINK("https://www.boe.es/gazeta/dias/1813/07/27/pdfs/GMR-1813-21.pdf#page=13","Abrir facsímil")</f>
        <v>Abrir facsímil</v>
      </c>
      <c r="K7704" s="3" t="s">
        <v>22</v>
      </c>
    </row>
    <row r="7705" spans="1:11" ht="42" customHeight="1">
      <c r="A7705" s="2" t="s">
        <v>16046</v>
      </c>
      <c r="B7705" s="2" t="s">
        <v>16047</v>
      </c>
      <c r="C7705" s="2" t="s">
        <v>16</v>
      </c>
      <c r="D7705" s="2" t="s">
        <v>97</v>
      </c>
      <c r="E7705" s="5">
        <v>-31519</v>
      </c>
      <c r="F7705" s="3" t="s">
        <v>312</v>
      </c>
      <c r="G7705" s="3" t="s">
        <v>87</v>
      </c>
      <c r="H7705" s="2" t="s">
        <v>20</v>
      </c>
      <c r="I7705" s="2" t="s">
        <v>16048</v>
      </c>
      <c r="J7705" s="3" t="str">
        <f>HYPERLINK("https://www.boe.es/gazeta/dias/1813/09/13/pdfs/GRE-1813-118E.pdf#page=7","Abrir facsímil")</f>
        <v>Abrir facsímil</v>
      </c>
      <c r="K7705" s="3" t="s">
        <v>22</v>
      </c>
    </row>
    <row r="7706" spans="1:11" ht="42" customHeight="1">
      <c r="A7706" s="2" t="s">
        <v>16049</v>
      </c>
      <c r="B7706" s="2" t="s">
        <v>16050</v>
      </c>
      <c r="C7706" s="2" t="s">
        <v>25</v>
      </c>
      <c r="D7706" s="2" t="s">
        <v>26</v>
      </c>
      <c r="E7706" s="5">
        <v>-31677</v>
      </c>
      <c r="F7706" s="3" t="s">
        <v>76</v>
      </c>
      <c r="G7706" s="3" t="s">
        <v>28</v>
      </c>
      <c r="H7706" s="2" t="s">
        <v>29</v>
      </c>
      <c r="I7706" s="2" t="s">
        <v>16051</v>
      </c>
      <c r="J7706" s="3" t="str">
        <f>HYPERLINK("https://www.boe.es/gazeta/dias/1813/04/08/pdfs/GRE-1813-43.pdf#page=8","Abrir facsímil")</f>
        <v>Abrir facsímil</v>
      </c>
      <c r="K7706" s="3" t="s">
        <v>31</v>
      </c>
    </row>
    <row r="7707" spans="1:11" ht="42" customHeight="1">
      <c r="A7707" s="2" t="s">
        <v>16052</v>
      </c>
      <c r="B7707" s="2" t="s">
        <v>16053</v>
      </c>
      <c r="C7707" s="2" t="s">
        <v>34</v>
      </c>
      <c r="D7707" s="2" t="s">
        <v>35</v>
      </c>
      <c r="E7707" s="5">
        <v>-31658</v>
      </c>
      <c r="F7707" s="3" t="s">
        <v>1113</v>
      </c>
      <c r="G7707" s="3" t="s">
        <v>28</v>
      </c>
      <c r="H7707" s="2" t="s">
        <v>20</v>
      </c>
      <c r="I7707" s="2" t="s">
        <v>16054</v>
      </c>
      <c r="J7707" s="3" t="str">
        <f>HYPERLINK("https://www.boe.es/gazeta/dias/1813/04/27/pdfs/GRE-1813-52.pdf#page=8","Abrir facsímil")</f>
        <v>Abrir facsímil</v>
      </c>
      <c r="K7707" s="3" t="s">
        <v>22</v>
      </c>
    </row>
    <row r="7708" spans="1:11" ht="42" customHeight="1">
      <c r="A7708" s="2" t="s">
        <v>16055</v>
      </c>
      <c r="B7708" s="2" t="s">
        <v>16055</v>
      </c>
      <c r="C7708" s="2" t="s">
        <v>34</v>
      </c>
      <c r="D7708" s="2" t="s">
        <v>35</v>
      </c>
      <c r="E7708" s="5">
        <v>-31500</v>
      </c>
      <c r="F7708" s="3" t="s">
        <v>938</v>
      </c>
      <c r="G7708" s="3" t="s">
        <v>5553</v>
      </c>
      <c r="H7708" s="2" t="s">
        <v>20</v>
      </c>
      <c r="I7708" s="2" t="s">
        <v>16056</v>
      </c>
      <c r="J7708" s="3" t="str">
        <f>HYPERLINK("https://www.boe.es/gazeta/dias/1813/10/02/pdfs/GMR-1813-52.pdf#page=5","Abrir facsímil")</f>
        <v>Abrir facsímil</v>
      </c>
      <c r="K7708" s="3" t="s">
        <v>22</v>
      </c>
    </row>
    <row r="7709" spans="1:11" ht="42" customHeight="1">
      <c r="A7709" s="2" t="s">
        <v>16057</v>
      </c>
      <c r="B7709" s="2" t="s">
        <v>16058</v>
      </c>
      <c r="C7709" s="2" t="s">
        <v>34</v>
      </c>
      <c r="D7709" s="2" t="s">
        <v>35</v>
      </c>
      <c r="E7709" s="5">
        <v>-31455</v>
      </c>
      <c r="F7709" s="3" t="s">
        <v>6184</v>
      </c>
      <c r="G7709" s="3" t="s">
        <v>16059</v>
      </c>
      <c r="H7709" s="2" t="s">
        <v>20</v>
      </c>
      <c r="I7709" s="2" t="s">
        <v>16060</v>
      </c>
      <c r="J7709" s="3" t="str">
        <f>HYPERLINK("https://www.boe.es/gazeta/dias/1813/11/16/pdfs/GMR-1813-74.pdf#page=8","Abrir facsímil")</f>
        <v>Abrir facsímil</v>
      </c>
      <c r="K7709" s="3" t="s">
        <v>22</v>
      </c>
    </row>
    <row r="7710" spans="1:11" ht="42" customHeight="1">
      <c r="A7710" s="2" t="s">
        <v>16061</v>
      </c>
      <c r="B7710" s="2" t="s">
        <v>16062</v>
      </c>
      <c r="C7710" s="2" t="s">
        <v>25</v>
      </c>
      <c r="D7710" s="2" t="s">
        <v>26</v>
      </c>
      <c r="E7710" s="5">
        <v>-31486</v>
      </c>
      <c r="F7710" s="3" t="s">
        <v>597</v>
      </c>
      <c r="G7710" s="3" t="s">
        <v>54</v>
      </c>
      <c r="H7710" s="2" t="s">
        <v>20</v>
      </c>
      <c r="I7710" s="2" t="s">
        <v>16063</v>
      </c>
      <c r="J7710" s="3" t="str">
        <f>HYPERLINK("https://www.boe.es/gazeta/dias/1813/10/16/pdfs/GRE-1813-135.pdf#page=3","Abrir facsímil")</f>
        <v>Abrir facsímil</v>
      </c>
      <c r="K7710" s="3" t="s">
        <v>22</v>
      </c>
    </row>
    <row r="7711" spans="1:11" ht="42" customHeight="1">
      <c r="A7711" s="2" t="s">
        <v>16064</v>
      </c>
      <c r="B7711" s="2" t="s">
        <v>16065</v>
      </c>
      <c r="C7711" s="2" t="s">
        <v>16</v>
      </c>
      <c r="D7711" s="2" t="s">
        <v>97</v>
      </c>
      <c r="E7711" s="5">
        <v>-31519</v>
      </c>
      <c r="F7711" s="3" t="s">
        <v>312</v>
      </c>
      <c r="G7711" s="3" t="s">
        <v>178</v>
      </c>
      <c r="H7711" s="2" t="s">
        <v>20</v>
      </c>
      <c r="I7711" s="2" t="s">
        <v>16066</v>
      </c>
      <c r="J7711" s="3" t="str">
        <f>HYPERLINK("https://www.boe.es/gazeta/dias/1813/09/13/pdfs/GRE-1813-118E.pdf#page=11","Abrir facsímil")</f>
        <v>Abrir facsímil</v>
      </c>
      <c r="K7711" s="3" t="s">
        <v>22</v>
      </c>
    </row>
    <row r="7712" spans="1:11" ht="42" customHeight="1">
      <c r="A7712" s="2" t="s">
        <v>16067</v>
      </c>
      <c r="B7712" s="2" t="s">
        <v>16067</v>
      </c>
      <c r="C7712" s="2" t="s">
        <v>16</v>
      </c>
      <c r="D7712" s="2" t="s">
        <v>17</v>
      </c>
      <c r="E7712" s="5">
        <v>-31479</v>
      </c>
      <c r="F7712" s="3" t="s">
        <v>2383</v>
      </c>
      <c r="G7712" s="3" t="s">
        <v>19</v>
      </c>
      <c r="H7712" s="2" t="s">
        <v>20</v>
      </c>
      <c r="I7712" s="2" t="s">
        <v>16068</v>
      </c>
      <c r="J7712" s="3" t="str">
        <f>HYPERLINK("https://www.boe.es/gazeta/dias/1813/10/23/pdfs/GRE-1813-138.pdf#page=4","Abrir facsímil")</f>
        <v>Abrir facsímil</v>
      </c>
      <c r="K7712" s="3" t="s">
        <v>22</v>
      </c>
    </row>
    <row r="7713" spans="1:11" ht="42" customHeight="1">
      <c r="A7713" s="2" t="s">
        <v>16069</v>
      </c>
      <c r="B7713" s="2" t="s">
        <v>16069</v>
      </c>
      <c r="C7713" s="2" t="s">
        <v>16</v>
      </c>
      <c r="D7713" s="2" t="s">
        <v>17</v>
      </c>
      <c r="E7713" s="5">
        <v>-31656</v>
      </c>
      <c r="F7713" s="3" t="s">
        <v>576</v>
      </c>
      <c r="G7713" s="3" t="s">
        <v>10732</v>
      </c>
      <c r="H7713" s="2" t="s">
        <v>20</v>
      </c>
      <c r="I7713" s="2" t="s">
        <v>16070</v>
      </c>
      <c r="J7713" s="3" t="str">
        <f>HYPERLINK("https://www.boe.es/gazeta/dias/1813/04/29/pdfs/GRE-1813-53.pdf#page=3","Abrir facsímil")</f>
        <v>Abrir facsímil</v>
      </c>
      <c r="K7713" s="3" t="s">
        <v>22</v>
      </c>
    </row>
    <row r="7714" spans="1:11" ht="42" customHeight="1">
      <c r="A7714" s="2" t="s">
        <v>16071</v>
      </c>
      <c r="B7714" s="2" t="s">
        <v>16071</v>
      </c>
      <c r="C7714" s="2" t="s">
        <v>16</v>
      </c>
      <c r="D7714" s="2" t="s">
        <v>17</v>
      </c>
      <c r="E7714" s="5">
        <v>-31713</v>
      </c>
      <c r="F7714" s="3" t="s">
        <v>3677</v>
      </c>
      <c r="G7714" s="3" t="s">
        <v>65</v>
      </c>
      <c r="H7714" s="2" t="s">
        <v>20</v>
      </c>
      <c r="I7714" s="2" t="s">
        <v>16072</v>
      </c>
      <c r="J7714" s="3" t="str">
        <f>HYPERLINK("https://www.boe.es/gazeta/dias/1813/03/03/pdfs/GMD-1813-62.pdf#page=1","Abrir facsímil")</f>
        <v>Abrir facsímil</v>
      </c>
      <c r="K7714" s="3" t="s">
        <v>22</v>
      </c>
    </row>
    <row r="7715" spans="1:11" ht="42" customHeight="1">
      <c r="A7715" s="2" t="s">
        <v>16073</v>
      </c>
      <c r="B7715" s="2" t="s">
        <v>16074</v>
      </c>
      <c r="C7715" s="2" t="s">
        <v>16</v>
      </c>
      <c r="D7715" s="2" t="s">
        <v>17</v>
      </c>
      <c r="E7715" s="5">
        <v>-31722</v>
      </c>
      <c r="F7715" s="3" t="s">
        <v>3675</v>
      </c>
      <c r="G7715" s="3" t="s">
        <v>65</v>
      </c>
      <c r="H7715" s="2" t="s">
        <v>20</v>
      </c>
      <c r="I7715" s="2" t="s">
        <v>16075</v>
      </c>
      <c r="J7715" s="3" t="str">
        <f>HYPERLINK("https://www.boe.es/gazeta/dias/1813/02/22/pdfs/GMD-1813-53.pdf#page=1","Abrir facsímil")</f>
        <v>Abrir facsímil</v>
      </c>
      <c r="K7715" s="3" t="s">
        <v>22</v>
      </c>
    </row>
    <row r="7716" spans="1:11" ht="42" customHeight="1">
      <c r="A7716" s="2" t="s">
        <v>16076</v>
      </c>
      <c r="B7716" s="2" t="s">
        <v>16076</v>
      </c>
      <c r="C7716" s="2" t="s">
        <v>16</v>
      </c>
      <c r="D7716" s="2" t="s">
        <v>17</v>
      </c>
      <c r="E7716" s="5">
        <v>-31771</v>
      </c>
      <c r="F7716" s="3" t="s">
        <v>1976</v>
      </c>
      <c r="G7716" s="3" t="s">
        <v>65</v>
      </c>
      <c r="H7716" s="2" t="s">
        <v>20</v>
      </c>
      <c r="I7716" s="2" t="s">
        <v>16077</v>
      </c>
      <c r="J7716" s="3" t="str">
        <f>HYPERLINK("https://www.boe.es/gazeta/dias/1813/01/04/pdfs/GMD-1813-4.pdf#page=1","Abrir facsímil")</f>
        <v>Abrir facsímil</v>
      </c>
      <c r="K7716" s="3" t="s">
        <v>22</v>
      </c>
    </row>
    <row r="7717" spans="1:11" ht="42" customHeight="1">
      <c r="A7717" s="2" t="s">
        <v>16078</v>
      </c>
      <c r="B7717" s="2" t="s">
        <v>16079</v>
      </c>
      <c r="C7717" s="2" t="s">
        <v>34</v>
      </c>
      <c r="D7717" s="2" t="s">
        <v>35</v>
      </c>
      <c r="E7717" s="5">
        <v>-31704</v>
      </c>
      <c r="F7717" s="3" t="s">
        <v>6300</v>
      </c>
      <c r="G7717" s="3" t="s">
        <v>15585</v>
      </c>
      <c r="H7717" s="2" t="s">
        <v>20</v>
      </c>
      <c r="I7717" s="2" t="s">
        <v>16080</v>
      </c>
      <c r="J7717" s="3" t="str">
        <f>HYPERLINK("https://www.boe.es/gazeta/dias/1813/03/12/pdfs/GMD-1813-71.pdf#page=3","Abrir facsímil")</f>
        <v>Abrir facsímil</v>
      </c>
      <c r="K7717" s="3" t="s">
        <v>22</v>
      </c>
    </row>
    <row r="7718" spans="1:11" ht="42" customHeight="1">
      <c r="A7718" s="2" t="s">
        <v>16081</v>
      </c>
      <c r="B7718" s="2" t="s">
        <v>16081</v>
      </c>
      <c r="C7718" s="2" t="s">
        <v>16</v>
      </c>
      <c r="D7718" s="2" t="s">
        <v>17</v>
      </c>
      <c r="E7718" s="5">
        <v>-31639</v>
      </c>
      <c r="F7718" s="3" t="s">
        <v>10126</v>
      </c>
      <c r="G7718" s="3" t="s">
        <v>65</v>
      </c>
      <c r="H7718" s="2" t="s">
        <v>20</v>
      </c>
      <c r="I7718" s="2" t="s">
        <v>16082</v>
      </c>
      <c r="J7718" s="3" t="str">
        <f>HYPERLINK("https://www.boe.es/gazeta/dias/1813/05/16/pdfs/GMD-1813-136.pdf#page=1","Abrir facsímil")</f>
        <v>Abrir facsímil</v>
      </c>
      <c r="K7718" s="3" t="s">
        <v>22</v>
      </c>
    </row>
    <row r="7719" spans="1:11" ht="42" customHeight="1">
      <c r="A7719" s="2" t="s">
        <v>16081</v>
      </c>
      <c r="B7719" s="2" t="s">
        <v>16081</v>
      </c>
      <c r="C7719" s="2" t="s">
        <v>16</v>
      </c>
      <c r="D7719" s="2" t="s">
        <v>17</v>
      </c>
      <c r="E7719" s="5">
        <v>-31483</v>
      </c>
      <c r="F7719" s="3" t="s">
        <v>1292</v>
      </c>
      <c r="G7719" s="3" t="s">
        <v>1476</v>
      </c>
      <c r="H7719" s="2" t="s">
        <v>20</v>
      </c>
      <c r="I7719" s="2" t="s">
        <v>16083</v>
      </c>
      <c r="J7719" s="3" t="str">
        <f>HYPERLINK("https://www.boe.es/gazeta/dias/1813/10/19/pdfs/GMR-1813-61.pdf#page=6","Abrir facsímil")</f>
        <v>Abrir facsímil</v>
      </c>
      <c r="K7719" s="3" t="s">
        <v>22</v>
      </c>
    </row>
    <row r="7720" spans="1:11" ht="42" customHeight="1">
      <c r="A7720" s="2" t="s">
        <v>16081</v>
      </c>
      <c r="B7720" s="2" t="s">
        <v>16081</v>
      </c>
      <c r="C7720" s="2" t="s">
        <v>16</v>
      </c>
      <c r="D7720" s="2" t="s">
        <v>17</v>
      </c>
      <c r="E7720" s="5">
        <v>-31474</v>
      </c>
      <c r="F7720" s="3" t="s">
        <v>130</v>
      </c>
      <c r="G7720" s="3" t="s">
        <v>95</v>
      </c>
      <c r="H7720" s="2" t="s">
        <v>20</v>
      </c>
      <c r="I7720" s="2" t="s">
        <v>16084</v>
      </c>
      <c r="J7720" s="3" t="str">
        <f>HYPERLINK("https://www.boe.es/gazeta/dias/1813/10/28/pdfs/GRE-1813-141.pdf#page=6","Abrir facsímil")</f>
        <v>Abrir facsímil</v>
      </c>
      <c r="K7720" s="3" t="s">
        <v>22</v>
      </c>
    </row>
    <row r="7721" spans="1:11" ht="42" customHeight="1">
      <c r="A7721" s="2" t="s">
        <v>16085</v>
      </c>
      <c r="B7721" s="2" t="s">
        <v>16085</v>
      </c>
      <c r="C7721" s="2" t="s">
        <v>16</v>
      </c>
      <c r="D7721" s="2" t="s">
        <v>17</v>
      </c>
      <c r="E7721" s="5">
        <v>-31542</v>
      </c>
      <c r="F7721" s="3" t="s">
        <v>337</v>
      </c>
      <c r="G7721" s="3" t="s">
        <v>65</v>
      </c>
      <c r="H7721" s="2" t="s">
        <v>20</v>
      </c>
      <c r="I7721" s="2" t="s">
        <v>16086</v>
      </c>
      <c r="J7721" s="3" t="str">
        <f>HYPERLINK("https://www.boe.es/gazeta/dias/1813/08/21/pdfs/GRE-1813-107.pdf#page=1","Abrir facsímil")</f>
        <v>Abrir facsímil</v>
      </c>
      <c r="K7721" s="3" t="s">
        <v>22</v>
      </c>
    </row>
    <row r="7722" spans="1:11" ht="42" customHeight="1">
      <c r="A7722" s="2" t="s">
        <v>16087</v>
      </c>
      <c r="B7722" s="2" t="s">
        <v>16087</v>
      </c>
      <c r="C7722" s="2" t="s">
        <v>16</v>
      </c>
      <c r="D7722" s="2" t="s">
        <v>17</v>
      </c>
      <c r="E7722" s="5">
        <v>-31647</v>
      </c>
      <c r="F7722" s="3" t="s">
        <v>5110</v>
      </c>
      <c r="G7722" s="3" t="s">
        <v>54</v>
      </c>
      <c r="H7722" s="2" t="s">
        <v>20</v>
      </c>
      <c r="I7722" s="2" t="s">
        <v>16088</v>
      </c>
      <c r="J7722" s="3" t="str">
        <f>HYPERLINK("https://www.boe.es/gazeta/dias/1813/05/08/pdfs/GMD-1813-128.pdf#page=3","Abrir facsímil")</f>
        <v>Abrir facsímil</v>
      </c>
      <c r="K7722" s="3" t="s">
        <v>22</v>
      </c>
    </row>
    <row r="7723" spans="1:11" ht="42" customHeight="1">
      <c r="A7723" s="2" t="s">
        <v>16087</v>
      </c>
      <c r="B7723" s="2" t="s">
        <v>16087</v>
      </c>
      <c r="C7723" s="2" t="s">
        <v>16</v>
      </c>
      <c r="D7723" s="2" t="s">
        <v>17</v>
      </c>
      <c r="E7723" s="5">
        <v>-31606</v>
      </c>
      <c r="F7723" s="3" t="s">
        <v>124</v>
      </c>
      <c r="G7723" s="3" t="s">
        <v>54</v>
      </c>
      <c r="H7723" s="2" t="s">
        <v>20</v>
      </c>
      <c r="I7723" s="2" t="s">
        <v>16089</v>
      </c>
      <c r="J7723" s="3" t="str">
        <f>HYPERLINK("https://www.boe.es/gazeta/dias/1813/06/18/pdfs/GMR-1813-7.pdf#page=3","Abrir facsímil")</f>
        <v>Abrir facsímil</v>
      </c>
      <c r="K7723" s="3" t="s">
        <v>22</v>
      </c>
    </row>
    <row r="7724" spans="1:11" ht="42" customHeight="1">
      <c r="A7724" s="2" t="s">
        <v>16087</v>
      </c>
      <c r="B7724" s="2" t="s">
        <v>16087</v>
      </c>
      <c r="C7724" s="2" t="s">
        <v>16</v>
      </c>
      <c r="D7724" s="2" t="s">
        <v>17</v>
      </c>
      <c r="E7724" s="5">
        <v>-31504</v>
      </c>
      <c r="F7724" s="3" t="s">
        <v>192</v>
      </c>
      <c r="G7724" s="3" t="s">
        <v>58</v>
      </c>
      <c r="H7724" s="2" t="s">
        <v>20</v>
      </c>
      <c r="I7724" s="2" t="s">
        <v>16090</v>
      </c>
      <c r="J7724" s="3" t="str">
        <f>HYPERLINK("https://www.boe.es/gazeta/dias/1813/09/28/pdfs/GRE-1813-127.pdf#page=2","Abrir facsímil")</f>
        <v>Abrir facsímil</v>
      </c>
      <c r="K7724" s="3" t="s">
        <v>22</v>
      </c>
    </row>
    <row r="7725" spans="1:11" ht="42" customHeight="1">
      <c r="A7725" s="2" t="s">
        <v>16087</v>
      </c>
      <c r="B7725" s="2" t="s">
        <v>16087</v>
      </c>
      <c r="C7725" s="2" t="s">
        <v>16</v>
      </c>
      <c r="D7725" s="2" t="s">
        <v>97</v>
      </c>
      <c r="E7725" s="5">
        <v>-31499</v>
      </c>
      <c r="F7725" s="3" t="s">
        <v>220</v>
      </c>
      <c r="G7725" s="3" t="s">
        <v>178</v>
      </c>
      <c r="H7725" s="2" t="s">
        <v>20</v>
      </c>
      <c r="I7725" s="2" t="s">
        <v>16091</v>
      </c>
      <c r="J7725" s="3" t="str">
        <f>HYPERLINK("https://www.boe.es/gazeta/dias/1813/10/03/pdfs/GMR-1813-53E.pdf#page=11","Abrir facsímil")</f>
        <v>Abrir facsímil</v>
      </c>
      <c r="K7725" s="3" t="s">
        <v>22</v>
      </c>
    </row>
    <row r="7726" spans="1:11" ht="42" customHeight="1">
      <c r="A7726" s="2" t="s">
        <v>16087</v>
      </c>
      <c r="B7726" s="2" t="s">
        <v>16087</v>
      </c>
      <c r="C7726" s="2" t="s">
        <v>16</v>
      </c>
      <c r="D7726" s="2" t="s">
        <v>97</v>
      </c>
      <c r="E7726" s="5">
        <v>-31499</v>
      </c>
      <c r="F7726" s="3" t="s">
        <v>220</v>
      </c>
      <c r="G7726" s="3" t="s">
        <v>258</v>
      </c>
      <c r="H7726" s="2" t="s">
        <v>20</v>
      </c>
      <c r="I7726" s="2" t="s">
        <v>16092</v>
      </c>
      <c r="J7726" s="3" t="str">
        <f>HYPERLINK("https://www.boe.es/gazeta/dias/1813/10/03/pdfs/GMR-1813-53E.pdf#page=12","Abrir facsímil")</f>
        <v>Abrir facsímil</v>
      </c>
      <c r="K7726" s="3" t="s">
        <v>22</v>
      </c>
    </row>
    <row r="7727" spans="1:11" ht="42" customHeight="1">
      <c r="A7727" s="2" t="s">
        <v>16087</v>
      </c>
      <c r="B7727" s="2" t="s">
        <v>16087</v>
      </c>
      <c r="C7727" s="2" t="s">
        <v>16</v>
      </c>
      <c r="D7727" s="2" t="s">
        <v>97</v>
      </c>
      <c r="E7727" s="5">
        <v>-31499</v>
      </c>
      <c r="F7727" s="3" t="s">
        <v>220</v>
      </c>
      <c r="G7727" s="3" t="s">
        <v>87</v>
      </c>
      <c r="H7727" s="2" t="s">
        <v>20</v>
      </c>
      <c r="I7727" s="2" t="s">
        <v>16093</v>
      </c>
      <c r="J7727" s="3" t="str">
        <f>HYPERLINK("https://www.boe.es/gazeta/dias/1813/10/03/pdfs/GMR-1813-53E.pdf#page=7","Abrir facsímil")</f>
        <v>Abrir facsímil</v>
      </c>
      <c r="K7727" s="3" t="s">
        <v>22</v>
      </c>
    </row>
    <row r="7728" spans="1:11" ht="42" customHeight="1">
      <c r="A7728" s="2" t="s">
        <v>16087</v>
      </c>
      <c r="B7728" s="2" t="s">
        <v>16087</v>
      </c>
      <c r="C7728" s="2" t="s">
        <v>16</v>
      </c>
      <c r="D7728" s="2" t="s">
        <v>17</v>
      </c>
      <c r="E7728" s="5">
        <v>-31486</v>
      </c>
      <c r="F7728" s="3" t="s">
        <v>1284</v>
      </c>
      <c r="G7728" s="3" t="s">
        <v>54</v>
      </c>
      <c r="H7728" s="2" t="s">
        <v>20</v>
      </c>
      <c r="I7728" s="2" t="s">
        <v>16094</v>
      </c>
      <c r="J7728" s="3" t="str">
        <f>HYPERLINK("https://www.boe.es/gazeta/dias/1813/10/16/pdfs/GMR-1813-60.pdf#page=3","Abrir facsímil")</f>
        <v>Abrir facsímil</v>
      </c>
      <c r="K7728" s="3" t="s">
        <v>22</v>
      </c>
    </row>
    <row r="7729" spans="1:11" ht="42" customHeight="1">
      <c r="A7729" s="2" t="s">
        <v>16087</v>
      </c>
      <c r="B7729" s="2" t="s">
        <v>16087</v>
      </c>
      <c r="C7729" s="2" t="s">
        <v>16</v>
      </c>
      <c r="D7729" s="2" t="s">
        <v>17</v>
      </c>
      <c r="E7729" s="5">
        <v>-31483</v>
      </c>
      <c r="F7729" s="3" t="s">
        <v>1292</v>
      </c>
      <c r="G7729" s="3" t="s">
        <v>28</v>
      </c>
      <c r="H7729" s="2" t="s">
        <v>20</v>
      </c>
      <c r="I7729" s="2" t="s">
        <v>16095</v>
      </c>
      <c r="J7729" s="3" t="str">
        <f>HYPERLINK("https://www.boe.es/gazeta/dias/1813/10/19/pdfs/GMR-1813-61.pdf#page=8","Abrir facsímil")</f>
        <v>Abrir facsímil</v>
      </c>
      <c r="K7729" s="3" t="s">
        <v>22</v>
      </c>
    </row>
    <row r="7730" spans="1:11" ht="42" customHeight="1">
      <c r="A7730" s="2" t="s">
        <v>16087</v>
      </c>
      <c r="B7730" s="2" t="s">
        <v>16087</v>
      </c>
      <c r="C7730" s="2" t="s">
        <v>16</v>
      </c>
      <c r="D7730" s="2" t="s">
        <v>17</v>
      </c>
      <c r="E7730" s="5">
        <v>-31481</v>
      </c>
      <c r="F7730" s="3" t="s">
        <v>40</v>
      </c>
      <c r="G7730" s="3" t="s">
        <v>54</v>
      </c>
      <c r="H7730" s="2" t="s">
        <v>20</v>
      </c>
      <c r="I7730" s="2" t="s">
        <v>16096</v>
      </c>
      <c r="J7730" s="3" t="str">
        <f>HYPERLINK("https://www.boe.es/gazeta/dias/1813/10/21/pdfs/GMR-1813-62.pdf#page=3","Abrir facsímil")</f>
        <v>Abrir facsímil</v>
      </c>
      <c r="K7730" s="3" t="s">
        <v>22</v>
      </c>
    </row>
    <row r="7731" spans="1:11" ht="42" customHeight="1">
      <c r="A7731" s="2" t="s">
        <v>16087</v>
      </c>
      <c r="B7731" s="2" t="s">
        <v>16087</v>
      </c>
      <c r="C7731" s="2" t="s">
        <v>16</v>
      </c>
      <c r="D7731" s="2" t="s">
        <v>17</v>
      </c>
      <c r="E7731" s="5">
        <v>-31481</v>
      </c>
      <c r="F7731" s="3" t="s">
        <v>380</v>
      </c>
      <c r="G7731" s="3" t="s">
        <v>95</v>
      </c>
      <c r="H7731" s="2" t="s">
        <v>20</v>
      </c>
      <c r="I7731" s="2" t="s">
        <v>16097</v>
      </c>
      <c r="J7731" s="3" t="str">
        <f>HYPERLINK("https://www.boe.es/gazeta/dias/1813/10/21/pdfs/GRE-1813-137.pdf#page=6","Abrir facsímil")</f>
        <v>Abrir facsímil</v>
      </c>
      <c r="K7731" s="3" t="s">
        <v>22</v>
      </c>
    </row>
    <row r="7732" spans="1:11" ht="42" customHeight="1">
      <c r="A7732" s="2" t="s">
        <v>16087</v>
      </c>
      <c r="B7732" s="2" t="s">
        <v>16087</v>
      </c>
      <c r="C7732" s="2" t="s">
        <v>16</v>
      </c>
      <c r="D7732" s="2" t="s">
        <v>17</v>
      </c>
      <c r="E7732" s="5">
        <v>-31476</v>
      </c>
      <c r="F7732" s="3" t="s">
        <v>229</v>
      </c>
      <c r="G7732" s="3" t="s">
        <v>19</v>
      </c>
      <c r="H7732" s="2" t="s">
        <v>20</v>
      </c>
      <c r="I7732" s="2" t="s">
        <v>16098</v>
      </c>
      <c r="J7732" s="3" t="str">
        <f>HYPERLINK("https://www.boe.es/gazeta/dias/1813/10/26/pdfs/GRE-1813-140.pdf#page=4","Abrir facsímil")</f>
        <v>Abrir facsímil</v>
      </c>
      <c r="K7732" s="3" t="s">
        <v>22</v>
      </c>
    </row>
    <row r="7733" spans="1:11" ht="42" customHeight="1">
      <c r="A7733" s="2" t="s">
        <v>16087</v>
      </c>
      <c r="B7733" s="2" t="s">
        <v>16087</v>
      </c>
      <c r="C7733" s="2" t="s">
        <v>16</v>
      </c>
      <c r="D7733" s="2" t="s">
        <v>17</v>
      </c>
      <c r="E7733" s="5">
        <v>-31462</v>
      </c>
      <c r="F7733" s="3" t="s">
        <v>542</v>
      </c>
      <c r="G7733" s="3" t="s">
        <v>54</v>
      </c>
      <c r="H7733" s="2" t="s">
        <v>20</v>
      </c>
      <c r="I7733" s="2" t="s">
        <v>16099</v>
      </c>
      <c r="J7733" s="3" t="str">
        <f>HYPERLINK("https://www.boe.es/gazeta/dias/1813/11/09/pdfs/GRE-1813-146.pdf#page=3","Abrir facsímil")</f>
        <v>Abrir facsímil</v>
      </c>
      <c r="K7733" s="3" t="s">
        <v>22</v>
      </c>
    </row>
    <row r="7734" spans="1:11" ht="42" customHeight="1">
      <c r="A7734" s="2" t="s">
        <v>16087</v>
      </c>
      <c r="B7734" s="2" t="s">
        <v>16087</v>
      </c>
      <c r="C7734" s="2" t="s">
        <v>16</v>
      </c>
      <c r="D7734" s="2" t="s">
        <v>17</v>
      </c>
      <c r="E7734" s="5">
        <v>-31462</v>
      </c>
      <c r="F7734" s="3" t="s">
        <v>542</v>
      </c>
      <c r="G7734" s="3" t="s">
        <v>19</v>
      </c>
      <c r="H7734" s="2" t="s">
        <v>20</v>
      </c>
      <c r="I7734" s="2" t="s">
        <v>16100</v>
      </c>
      <c r="J7734" s="3" t="str">
        <f>HYPERLINK("https://www.boe.es/gazeta/dias/1813/11/09/pdfs/GRE-1813-146.pdf#page=4","Abrir facsímil")</f>
        <v>Abrir facsímil</v>
      </c>
      <c r="K7734" s="3" t="s">
        <v>22</v>
      </c>
    </row>
    <row r="7735" spans="1:11" ht="42" customHeight="1">
      <c r="A7735" s="2" t="s">
        <v>16087</v>
      </c>
      <c r="B7735" s="2" t="s">
        <v>16087</v>
      </c>
      <c r="C7735" s="2" t="s">
        <v>16</v>
      </c>
      <c r="D7735" s="2" t="s">
        <v>17</v>
      </c>
      <c r="E7735" s="5">
        <v>-31458</v>
      </c>
      <c r="F7735" s="3" t="s">
        <v>2315</v>
      </c>
      <c r="G7735" s="3" t="s">
        <v>87</v>
      </c>
      <c r="H7735" s="2" t="s">
        <v>20</v>
      </c>
      <c r="I7735" s="2" t="s">
        <v>16101</v>
      </c>
      <c r="J7735" s="3" t="str">
        <f>HYPERLINK("https://www.boe.es/gazeta/dias/1813/11/13/pdfs/GMR-1813-73.pdf#page=7","Abrir facsímil")</f>
        <v>Abrir facsímil</v>
      </c>
      <c r="K7735" s="3" t="s">
        <v>22</v>
      </c>
    </row>
    <row r="7736" spans="1:11" ht="42" customHeight="1">
      <c r="A7736" s="2" t="s">
        <v>16087</v>
      </c>
      <c r="B7736" s="2" t="s">
        <v>16087</v>
      </c>
      <c r="C7736" s="2" t="s">
        <v>16</v>
      </c>
      <c r="D7736" s="2" t="s">
        <v>17</v>
      </c>
      <c r="E7736" s="5">
        <v>-31416</v>
      </c>
      <c r="F7736" s="3" t="s">
        <v>110</v>
      </c>
      <c r="G7736" s="3" t="s">
        <v>65</v>
      </c>
      <c r="H7736" s="2" t="s">
        <v>20</v>
      </c>
      <c r="I7736" s="2" t="s">
        <v>16102</v>
      </c>
      <c r="J7736" s="3" t="str">
        <f>HYPERLINK("https://www.boe.es/gazeta/dias/1813/12/25/pdfs/GRE-1813-169.pdf#page=1","Abrir facsímil")</f>
        <v>Abrir facsímil</v>
      </c>
      <c r="K7736" s="3" t="s">
        <v>22</v>
      </c>
    </row>
    <row r="7737" spans="1:11" ht="42" customHeight="1">
      <c r="A7737" s="2" t="s">
        <v>16103</v>
      </c>
      <c r="B7737" s="2" t="s">
        <v>16103</v>
      </c>
      <c r="C7737" s="2" t="s">
        <v>16</v>
      </c>
      <c r="D7737" s="2" t="s">
        <v>17</v>
      </c>
      <c r="E7737" s="5">
        <v>-31637</v>
      </c>
      <c r="F7737" s="3" t="s">
        <v>855</v>
      </c>
      <c r="G7737" s="3" t="s">
        <v>58</v>
      </c>
      <c r="H7737" s="2" t="s">
        <v>20</v>
      </c>
      <c r="I7737" s="2" t="s">
        <v>16104</v>
      </c>
      <c r="J7737" s="3" t="str">
        <f>HYPERLINK("https://www.boe.es/gazeta/dias/1813/05/18/pdfs/GMD-1813-138.pdf#page=2","Abrir facsímil")</f>
        <v>Abrir facsímil</v>
      </c>
      <c r="K7737" s="3" t="s">
        <v>22</v>
      </c>
    </row>
    <row r="7738" spans="1:11" ht="42" customHeight="1">
      <c r="A7738" s="2" t="s">
        <v>16103</v>
      </c>
      <c r="B7738" s="2" t="s">
        <v>16103</v>
      </c>
      <c r="C7738" s="2" t="s">
        <v>16</v>
      </c>
      <c r="D7738" s="2" t="s">
        <v>97</v>
      </c>
      <c r="E7738" s="5">
        <v>-31499</v>
      </c>
      <c r="F7738" s="3" t="s">
        <v>220</v>
      </c>
      <c r="G7738" s="3" t="s">
        <v>207</v>
      </c>
      <c r="H7738" s="2" t="s">
        <v>20</v>
      </c>
      <c r="I7738" s="2" t="s">
        <v>16105</v>
      </c>
      <c r="J7738" s="3" t="str">
        <f>HYPERLINK("https://www.boe.es/gazeta/dias/1813/10/03/pdfs/GMR-1813-53E.pdf#page=10","Abrir facsímil")</f>
        <v>Abrir facsímil</v>
      </c>
      <c r="K7738" s="3" t="s">
        <v>22</v>
      </c>
    </row>
    <row r="7739" spans="1:11" ht="42" customHeight="1">
      <c r="A7739" s="2" t="s">
        <v>16106</v>
      </c>
      <c r="B7739" s="2" t="s">
        <v>16106</v>
      </c>
      <c r="C7739" s="2" t="s">
        <v>16</v>
      </c>
      <c r="D7739" s="2" t="s">
        <v>17</v>
      </c>
      <c r="E7739" s="5">
        <v>-31574</v>
      </c>
      <c r="F7739" s="3" t="s">
        <v>1343</v>
      </c>
      <c r="G7739" s="3" t="s">
        <v>58</v>
      </c>
      <c r="H7739" s="2" t="s">
        <v>20</v>
      </c>
      <c r="I7739" s="2" t="s">
        <v>16107</v>
      </c>
      <c r="J7739" s="3" t="str">
        <f>HYPERLINK("https://www.boe.es/gazeta/dias/1813/07/20/pdfs/GMR-1813-19.pdf#page=2","Abrir facsímil")</f>
        <v>Abrir facsímil</v>
      </c>
      <c r="K7739" s="3" t="s">
        <v>22</v>
      </c>
    </row>
    <row r="7740" spans="1:11" ht="42" customHeight="1">
      <c r="A7740" s="2" t="s">
        <v>16108</v>
      </c>
      <c r="B7740" s="2" t="s">
        <v>16108</v>
      </c>
      <c r="C7740" s="2" t="s">
        <v>16</v>
      </c>
      <c r="D7740" s="2" t="s">
        <v>17</v>
      </c>
      <c r="E7740" s="5">
        <v>-31509</v>
      </c>
      <c r="F7740" s="3" t="s">
        <v>202</v>
      </c>
      <c r="G7740" s="3" t="s">
        <v>54</v>
      </c>
      <c r="H7740" s="2" t="s">
        <v>20</v>
      </c>
      <c r="I7740" s="2" t="s">
        <v>16109</v>
      </c>
      <c r="J7740" s="3" t="str">
        <f>HYPERLINK("https://www.boe.es/gazeta/dias/1813/09/23/pdfs/GMR-1813-47.pdf#page=3","Abrir facsímil")</f>
        <v>Abrir facsímil</v>
      </c>
      <c r="K7740" s="3" t="s">
        <v>22</v>
      </c>
    </row>
    <row r="7741" spans="1:11" ht="42" customHeight="1">
      <c r="A7741" s="2" t="s">
        <v>16110</v>
      </c>
      <c r="B7741" s="2" t="s">
        <v>16110</v>
      </c>
      <c r="C7741" s="2" t="s">
        <v>277</v>
      </c>
      <c r="D7741" s="2" t="s">
        <v>26</v>
      </c>
      <c r="E7741" s="5">
        <v>-31652</v>
      </c>
      <c r="F7741" s="3" t="s">
        <v>3062</v>
      </c>
      <c r="G7741" s="3" t="s">
        <v>58</v>
      </c>
      <c r="H7741" s="2" t="s">
        <v>20</v>
      </c>
      <c r="I7741" s="2" t="s">
        <v>16111</v>
      </c>
      <c r="J7741" s="3" t="str">
        <f>HYPERLINK("https://www.boe.es/gazeta/dias/1813/05/03/pdfs/GMD-1813-123.pdf#page=2","Abrir facsímil")</f>
        <v>Abrir facsímil</v>
      </c>
      <c r="K7741" s="3" t="s">
        <v>22</v>
      </c>
    </row>
    <row r="7742" spans="1:11" ht="42" customHeight="1">
      <c r="A7742" s="2" t="s">
        <v>16112</v>
      </c>
      <c r="B7742" s="2" t="s">
        <v>16112</v>
      </c>
      <c r="C7742" s="2" t="s">
        <v>16</v>
      </c>
      <c r="D7742" s="2" t="s">
        <v>17</v>
      </c>
      <c r="E7742" s="5">
        <v>-31474</v>
      </c>
      <c r="F7742" s="3" t="s">
        <v>130</v>
      </c>
      <c r="G7742" s="3" t="s">
        <v>54</v>
      </c>
      <c r="H7742" s="2" t="s">
        <v>20</v>
      </c>
      <c r="I7742" s="2" t="s">
        <v>16113</v>
      </c>
      <c r="J7742" s="3" t="str">
        <f>HYPERLINK("https://www.boe.es/gazeta/dias/1813/10/28/pdfs/GRE-1813-141.pdf#page=3","Abrir facsímil")</f>
        <v>Abrir facsímil</v>
      </c>
      <c r="K7742" s="3" t="s">
        <v>22</v>
      </c>
    </row>
    <row r="7743" spans="1:11" ht="42" customHeight="1">
      <c r="A7743" s="2" t="s">
        <v>16114</v>
      </c>
      <c r="B7743" s="2" t="s">
        <v>16114</v>
      </c>
      <c r="C7743" s="2" t="s">
        <v>16</v>
      </c>
      <c r="D7743" s="2" t="s">
        <v>17</v>
      </c>
      <c r="E7743" s="5">
        <v>-31574</v>
      </c>
      <c r="F7743" s="3" t="s">
        <v>509</v>
      </c>
      <c r="G7743" s="3" t="s">
        <v>54</v>
      </c>
      <c r="H7743" s="2" t="s">
        <v>20</v>
      </c>
      <c r="I7743" s="2" t="s">
        <v>16115</v>
      </c>
      <c r="J7743" s="3" t="str">
        <f>HYPERLINK("https://www.boe.es/gazeta/dias/1813/07/20/pdfs/GRE-1813-92.pdf#page=3","Abrir facsímil")</f>
        <v>Abrir facsímil</v>
      </c>
      <c r="K7743" s="3" t="s">
        <v>22</v>
      </c>
    </row>
    <row r="7744" spans="1:11" ht="42" customHeight="1">
      <c r="A7744" s="2" t="s">
        <v>16116</v>
      </c>
      <c r="B7744" s="2" t="s">
        <v>16116</v>
      </c>
      <c r="C7744" s="2" t="s">
        <v>16</v>
      </c>
      <c r="D7744" s="2" t="s">
        <v>17</v>
      </c>
      <c r="E7744" s="5">
        <v>-31695</v>
      </c>
      <c r="F7744" s="3" t="s">
        <v>2770</v>
      </c>
      <c r="G7744" s="3" t="s">
        <v>19</v>
      </c>
      <c r="H7744" s="2" t="s">
        <v>20</v>
      </c>
      <c r="I7744" s="2" t="s">
        <v>16117</v>
      </c>
      <c r="J7744" s="3" t="str">
        <f>HYPERLINK("https://www.boe.es/gazeta/dias/1813/03/21/pdfs/GMD-1813-80.pdf#page=4","Abrir facsímil")</f>
        <v>Abrir facsímil</v>
      </c>
      <c r="K7744" s="3" t="s">
        <v>22</v>
      </c>
    </row>
    <row r="7745" spans="1:11" ht="42" customHeight="1">
      <c r="A7745" s="2" t="s">
        <v>16118</v>
      </c>
      <c r="B7745" s="2" t="s">
        <v>16118</v>
      </c>
      <c r="C7745" s="2" t="s">
        <v>16</v>
      </c>
      <c r="D7745" s="2" t="s">
        <v>17</v>
      </c>
      <c r="E7745" s="5">
        <v>-31500</v>
      </c>
      <c r="F7745" s="3" t="s">
        <v>938</v>
      </c>
      <c r="G7745" s="3" t="s">
        <v>5553</v>
      </c>
      <c r="H7745" s="2" t="s">
        <v>20</v>
      </c>
      <c r="I7745" s="2" t="s">
        <v>16119</v>
      </c>
      <c r="J7745" s="3" t="str">
        <f>HYPERLINK("https://www.boe.es/gazeta/dias/1813/10/02/pdfs/GMR-1813-52.pdf#page=5","Abrir facsímil")</f>
        <v>Abrir facsímil</v>
      </c>
      <c r="K7745" s="3" t="s">
        <v>22</v>
      </c>
    </row>
    <row r="7746" spans="1:11" ht="42" customHeight="1">
      <c r="A7746" s="2" t="s">
        <v>16120</v>
      </c>
      <c r="B7746" s="2" t="s">
        <v>16120</v>
      </c>
      <c r="C7746" s="2" t="s">
        <v>16</v>
      </c>
      <c r="D7746" s="2" t="s">
        <v>17</v>
      </c>
      <c r="E7746" s="5">
        <v>-31462</v>
      </c>
      <c r="F7746" s="3" t="s">
        <v>542</v>
      </c>
      <c r="G7746" s="3" t="s">
        <v>19</v>
      </c>
      <c r="H7746" s="2" t="s">
        <v>20</v>
      </c>
      <c r="I7746" s="2" t="s">
        <v>16121</v>
      </c>
      <c r="J7746" s="3" t="str">
        <f>HYPERLINK("https://www.boe.es/gazeta/dias/1813/11/09/pdfs/GRE-1813-146.pdf#page=4","Abrir facsímil")</f>
        <v>Abrir facsímil</v>
      </c>
      <c r="K7746" s="3" t="s">
        <v>22</v>
      </c>
    </row>
    <row r="7747" spans="1:11" ht="42" customHeight="1">
      <c r="A7747" s="2" t="s">
        <v>16122</v>
      </c>
      <c r="B7747" s="2" t="s">
        <v>16123</v>
      </c>
      <c r="C7747" s="2" t="s">
        <v>16</v>
      </c>
      <c r="D7747" s="2" t="s">
        <v>97</v>
      </c>
      <c r="E7747" s="5">
        <v>-31519</v>
      </c>
      <c r="F7747" s="3" t="s">
        <v>312</v>
      </c>
      <c r="G7747" s="3" t="s">
        <v>28</v>
      </c>
      <c r="H7747" s="2" t="s">
        <v>20</v>
      </c>
      <c r="I7747" s="2" t="s">
        <v>16124</v>
      </c>
      <c r="J7747" s="3" t="str">
        <f>HYPERLINK("https://www.boe.es/gazeta/dias/1813/09/13/pdfs/GRE-1813-118E.pdf#page=8","Abrir facsímil")</f>
        <v>Abrir facsímil</v>
      </c>
      <c r="K7747" s="3" t="s">
        <v>22</v>
      </c>
    </row>
    <row r="7748" spans="1:11" ht="42" customHeight="1">
      <c r="A7748" s="2" t="s">
        <v>16125</v>
      </c>
      <c r="B7748" s="2" t="s">
        <v>16125</v>
      </c>
      <c r="C7748" s="2" t="s">
        <v>16</v>
      </c>
      <c r="D7748" s="2" t="s">
        <v>17</v>
      </c>
      <c r="E7748" s="5">
        <v>-31623</v>
      </c>
      <c r="F7748" s="3" t="s">
        <v>267</v>
      </c>
      <c r="G7748" s="3" t="s">
        <v>270</v>
      </c>
      <c r="H7748" s="2" t="s">
        <v>20</v>
      </c>
      <c r="I7748" s="2" t="s">
        <v>16126</v>
      </c>
      <c r="J7748" s="3" t="str">
        <f>HYPERLINK("https://www.boe.es/gazeta/dias/1813/06/01/pdfs/GRE-1813-67.pdf#page=5","Abrir facsímil")</f>
        <v>Abrir facsímil</v>
      </c>
      <c r="K7748" s="3" t="s">
        <v>22</v>
      </c>
    </row>
    <row r="7749" spans="1:11" ht="42" customHeight="1">
      <c r="A7749" s="2" t="s">
        <v>16127</v>
      </c>
      <c r="B7749" s="2" t="s">
        <v>16127</v>
      </c>
      <c r="C7749" s="2" t="s">
        <v>16</v>
      </c>
      <c r="D7749" s="2" t="s">
        <v>17</v>
      </c>
      <c r="E7749" s="5">
        <v>-31679</v>
      </c>
      <c r="F7749" s="3" t="s">
        <v>571</v>
      </c>
      <c r="G7749" s="3" t="s">
        <v>54</v>
      </c>
      <c r="H7749" s="2" t="s">
        <v>20</v>
      </c>
      <c r="I7749" s="2" t="s">
        <v>16128</v>
      </c>
      <c r="J7749" s="3" t="str">
        <f>HYPERLINK("https://www.boe.es/gazeta/dias/1813/04/06/pdfs/GRE-1813-42.pdf#page=3","Abrir facsímil")</f>
        <v>Abrir facsímil</v>
      </c>
      <c r="K7749" s="3" t="s">
        <v>22</v>
      </c>
    </row>
    <row r="7750" spans="1:11" ht="42" customHeight="1">
      <c r="A7750" s="2" t="s">
        <v>16129</v>
      </c>
      <c r="B7750" s="2" t="s">
        <v>16129</v>
      </c>
      <c r="C7750" s="2" t="s">
        <v>16</v>
      </c>
      <c r="D7750" s="2" t="s">
        <v>17</v>
      </c>
      <c r="E7750" s="5">
        <v>-31476</v>
      </c>
      <c r="F7750" s="3" t="s">
        <v>158</v>
      </c>
      <c r="G7750" s="3" t="s">
        <v>54</v>
      </c>
      <c r="H7750" s="2" t="s">
        <v>20</v>
      </c>
      <c r="I7750" s="2" t="s">
        <v>16130</v>
      </c>
      <c r="J7750" s="3" t="str">
        <f>HYPERLINK("https://www.boe.es/gazeta/dias/1813/10/26/pdfs/GMR-1813-64.pdf#page=3","Abrir facsímil")</f>
        <v>Abrir facsímil</v>
      </c>
      <c r="K7750" s="3" t="s">
        <v>22</v>
      </c>
    </row>
    <row r="7751" spans="1:11" ht="42" customHeight="1">
      <c r="A7751" s="2" t="s">
        <v>16131</v>
      </c>
      <c r="B7751" s="2" t="s">
        <v>16131</v>
      </c>
      <c r="C7751" s="2" t="s">
        <v>16</v>
      </c>
      <c r="D7751" s="2" t="s">
        <v>17</v>
      </c>
      <c r="E7751" s="5">
        <v>-31462</v>
      </c>
      <c r="F7751" s="3" t="s">
        <v>542</v>
      </c>
      <c r="G7751" s="3" t="s">
        <v>87</v>
      </c>
      <c r="H7751" s="2" t="s">
        <v>20</v>
      </c>
      <c r="I7751" s="2" t="s">
        <v>16132</v>
      </c>
      <c r="J7751" s="3" t="str">
        <f>HYPERLINK("https://www.boe.es/gazeta/dias/1813/11/09/pdfs/GRE-1813-146.pdf#page=7","Abrir facsímil")</f>
        <v>Abrir facsímil</v>
      </c>
      <c r="K7751" s="3" t="s">
        <v>22</v>
      </c>
    </row>
    <row r="7752" spans="1:11" ht="42" customHeight="1">
      <c r="A7752" s="2" t="s">
        <v>16133</v>
      </c>
      <c r="B7752" s="2" t="s">
        <v>16133</v>
      </c>
      <c r="C7752" s="2" t="s">
        <v>16</v>
      </c>
      <c r="D7752" s="2" t="s">
        <v>17</v>
      </c>
      <c r="E7752" s="5">
        <v>-31655</v>
      </c>
      <c r="F7752" s="3" t="s">
        <v>858</v>
      </c>
      <c r="G7752" s="3" t="s">
        <v>58</v>
      </c>
      <c r="H7752" s="2" t="s">
        <v>20</v>
      </c>
      <c r="I7752" s="2" t="s">
        <v>16134</v>
      </c>
      <c r="J7752" s="3" t="str">
        <f>HYPERLINK("https://www.boe.es/gazeta/dias/1813/04/30/pdfs/GMD-1813-120.pdf#page=2","Abrir facsímil")</f>
        <v>Abrir facsímil</v>
      </c>
      <c r="K7752" s="3" t="s">
        <v>22</v>
      </c>
    </row>
    <row r="7753" spans="1:11" ht="42" customHeight="1">
      <c r="A7753" s="2" t="s">
        <v>16135</v>
      </c>
      <c r="B7753" s="2" t="s">
        <v>16136</v>
      </c>
      <c r="C7753" s="2" t="s">
        <v>25</v>
      </c>
      <c r="D7753" s="2" t="s">
        <v>26</v>
      </c>
      <c r="E7753" s="5">
        <v>-31675</v>
      </c>
      <c r="F7753" s="3" t="s">
        <v>27</v>
      </c>
      <c r="G7753" s="3" t="s">
        <v>28</v>
      </c>
      <c r="H7753" s="2" t="s">
        <v>20</v>
      </c>
      <c r="I7753" s="2" t="s">
        <v>16137</v>
      </c>
      <c r="J7753" s="3" t="str">
        <f>HYPERLINK("https://www.boe.es/gazeta/dias/1813/04/10/pdfs/GRE-1813-44.pdf#page=8","Abrir facsímil")</f>
        <v>Abrir facsímil</v>
      </c>
      <c r="K7753" s="3" t="s">
        <v>22</v>
      </c>
    </row>
    <row r="7754" spans="1:11" ht="42" customHeight="1">
      <c r="A7754" s="2" t="s">
        <v>16138</v>
      </c>
      <c r="B7754" s="2" t="s">
        <v>16138</v>
      </c>
      <c r="C7754" s="2" t="s">
        <v>16</v>
      </c>
      <c r="D7754" s="2" t="s">
        <v>17</v>
      </c>
      <c r="E7754" s="5">
        <v>-31481</v>
      </c>
      <c r="F7754" s="3" t="s">
        <v>40</v>
      </c>
      <c r="G7754" s="3" t="s">
        <v>65</v>
      </c>
      <c r="H7754" s="2" t="s">
        <v>20</v>
      </c>
      <c r="I7754" s="2" t="s">
        <v>16139</v>
      </c>
      <c r="J7754" s="3" t="str">
        <f>HYPERLINK("https://www.boe.es/gazeta/dias/1813/10/21/pdfs/GMR-1813-62.pdf#page=1","Abrir facsímil")</f>
        <v>Abrir facsímil</v>
      </c>
      <c r="K7754" s="3" t="s">
        <v>22</v>
      </c>
    </row>
    <row r="7755" spans="1:11" ht="42" customHeight="1">
      <c r="A7755" s="2" t="s">
        <v>16140</v>
      </c>
      <c r="B7755" s="2" t="s">
        <v>16141</v>
      </c>
      <c r="C7755" s="2" t="s">
        <v>16</v>
      </c>
      <c r="D7755" s="2" t="s">
        <v>17</v>
      </c>
      <c r="E7755" s="5">
        <v>-31711</v>
      </c>
      <c r="F7755" s="3" t="s">
        <v>385</v>
      </c>
      <c r="G7755" s="3" t="s">
        <v>747</v>
      </c>
      <c r="H7755" s="2" t="s">
        <v>20</v>
      </c>
      <c r="I7755" s="2" t="s">
        <v>16142</v>
      </c>
      <c r="J7755" s="3" t="str">
        <f>HYPERLINK("https://www.boe.es/gazeta/dias/1813/03/05/pdfs/GRE-1813-99.pdf#page=2","Abrir facsímil")</f>
        <v>Abrir facsímil</v>
      </c>
      <c r="K7755" s="3" t="s">
        <v>22</v>
      </c>
    </row>
    <row r="7756" spans="1:11" ht="42" customHeight="1">
      <c r="A7756" s="2" t="s">
        <v>16140</v>
      </c>
      <c r="B7756" s="2" t="s">
        <v>16141</v>
      </c>
      <c r="C7756" s="2" t="s">
        <v>16</v>
      </c>
      <c r="D7756" s="2" t="s">
        <v>17</v>
      </c>
      <c r="E7756" s="5">
        <v>-31558</v>
      </c>
      <c r="F7756" s="3" t="s">
        <v>385</v>
      </c>
      <c r="G7756" s="3" t="s">
        <v>747</v>
      </c>
      <c r="H7756" s="2" t="s">
        <v>20</v>
      </c>
      <c r="I7756" s="2" t="s">
        <v>16142</v>
      </c>
      <c r="J7756" s="3" t="str">
        <f>HYPERLINK("https://www.boe.es/gazeta/dias/1813/08/05/pdfs/GRE-1813-99.pdf#page=2","Abrir facsímil")</f>
        <v>Abrir facsímil</v>
      </c>
      <c r="K7756" s="3" t="s">
        <v>22</v>
      </c>
    </row>
    <row r="7757" spans="1:11" ht="42" customHeight="1">
      <c r="A7757" s="2" t="s">
        <v>16143</v>
      </c>
      <c r="B7757" s="2" t="s">
        <v>16144</v>
      </c>
      <c r="C7757" s="2" t="s">
        <v>25</v>
      </c>
      <c r="D7757" s="2" t="s">
        <v>26</v>
      </c>
      <c r="E7757" s="5">
        <v>-31476</v>
      </c>
      <c r="F7757" s="3" t="s">
        <v>158</v>
      </c>
      <c r="G7757" s="3" t="s">
        <v>82</v>
      </c>
      <c r="H7757" s="2" t="s">
        <v>20</v>
      </c>
      <c r="I7757" s="2" t="s">
        <v>16145</v>
      </c>
      <c r="J7757" s="3" t="str">
        <f>HYPERLINK("https://www.boe.es/gazeta/dias/1813/10/26/pdfs/GMR-1813-64.pdf#page=5","Abrir facsímil")</f>
        <v>Abrir facsímil</v>
      </c>
      <c r="K7757" s="3" t="s">
        <v>22</v>
      </c>
    </row>
    <row r="7758" spans="1:11" ht="42" customHeight="1">
      <c r="A7758" s="2" t="s">
        <v>16146</v>
      </c>
      <c r="B7758" s="2" t="s">
        <v>16146</v>
      </c>
      <c r="C7758" s="2" t="s">
        <v>16</v>
      </c>
      <c r="D7758" s="2" t="s">
        <v>17</v>
      </c>
      <c r="E7758" s="5">
        <v>-31507</v>
      </c>
      <c r="F7758" s="3" t="s">
        <v>61</v>
      </c>
      <c r="G7758" s="3" t="s">
        <v>65</v>
      </c>
      <c r="H7758" s="2" t="s">
        <v>20</v>
      </c>
      <c r="I7758" s="2" t="s">
        <v>16147</v>
      </c>
      <c r="J7758" s="3" t="str">
        <f>HYPERLINK("https://www.boe.es/gazeta/dias/1813/09/25/pdfs/GMR-1813-48.pdf#page=1","Abrir facsímil")</f>
        <v>Abrir facsímil</v>
      </c>
      <c r="K7758" s="3" t="s">
        <v>22</v>
      </c>
    </row>
    <row r="7759" spans="1:11" ht="42" customHeight="1">
      <c r="A7759" s="2" t="s">
        <v>16146</v>
      </c>
      <c r="B7759" s="2" t="s">
        <v>16146</v>
      </c>
      <c r="C7759" s="2" t="s">
        <v>16</v>
      </c>
      <c r="D7759" s="2" t="s">
        <v>97</v>
      </c>
      <c r="E7759" s="5">
        <v>-31499</v>
      </c>
      <c r="F7759" s="3" t="s">
        <v>220</v>
      </c>
      <c r="G7759" s="3" t="s">
        <v>54</v>
      </c>
      <c r="H7759" s="2" t="s">
        <v>20</v>
      </c>
      <c r="I7759" s="2" t="s">
        <v>16148</v>
      </c>
      <c r="J7759" s="3" t="str">
        <f>HYPERLINK("https://www.boe.es/gazeta/dias/1813/10/03/pdfs/GMR-1813-53E.pdf#page=3","Abrir facsímil")</f>
        <v>Abrir facsímil</v>
      </c>
      <c r="K7759" s="3" t="s">
        <v>22</v>
      </c>
    </row>
    <row r="7760" spans="1:11" ht="42" customHeight="1">
      <c r="A7760" s="2" t="s">
        <v>16146</v>
      </c>
      <c r="B7760" s="2" t="s">
        <v>16146</v>
      </c>
      <c r="C7760" s="2" t="s">
        <v>16</v>
      </c>
      <c r="D7760" s="2" t="s">
        <v>17</v>
      </c>
      <c r="E7760" s="5">
        <v>-31497</v>
      </c>
      <c r="F7760" s="3" t="s">
        <v>223</v>
      </c>
      <c r="G7760" s="3" t="s">
        <v>95</v>
      </c>
      <c r="H7760" s="2" t="s">
        <v>20</v>
      </c>
      <c r="I7760" s="2" t="s">
        <v>16149</v>
      </c>
      <c r="J7760" s="3" t="str">
        <f>HYPERLINK("https://www.boe.es/gazeta/dias/1813/10/05/pdfs/GRE-1813-130.pdf#page=6","Abrir facsímil")</f>
        <v>Abrir facsímil</v>
      </c>
      <c r="K7760" s="3" t="s">
        <v>22</v>
      </c>
    </row>
    <row r="7761" spans="1:11" ht="42" customHeight="1">
      <c r="A7761" s="2" t="s">
        <v>16146</v>
      </c>
      <c r="B7761" s="2" t="s">
        <v>16146</v>
      </c>
      <c r="C7761" s="2" t="s">
        <v>16</v>
      </c>
      <c r="D7761" s="2" t="s">
        <v>17</v>
      </c>
      <c r="E7761" s="5">
        <v>-31481</v>
      </c>
      <c r="F7761" s="3" t="s">
        <v>40</v>
      </c>
      <c r="G7761" s="3" t="s">
        <v>54</v>
      </c>
      <c r="H7761" s="2" t="s">
        <v>20</v>
      </c>
      <c r="I7761" s="2" t="s">
        <v>16150</v>
      </c>
      <c r="J7761" s="3" t="str">
        <f>HYPERLINK("https://www.boe.es/gazeta/dias/1813/10/21/pdfs/GMR-1813-62.pdf#page=3","Abrir facsímil")</f>
        <v>Abrir facsímil</v>
      </c>
      <c r="K7761" s="3" t="s">
        <v>22</v>
      </c>
    </row>
    <row r="7762" spans="1:11" ht="42" customHeight="1">
      <c r="A7762" s="2" t="s">
        <v>16146</v>
      </c>
      <c r="B7762" s="2" t="s">
        <v>16146</v>
      </c>
      <c r="C7762" s="2" t="s">
        <v>16</v>
      </c>
      <c r="D7762" s="2" t="s">
        <v>17</v>
      </c>
      <c r="E7762" s="5">
        <v>-31479</v>
      </c>
      <c r="F7762" s="3" t="s">
        <v>322</v>
      </c>
      <c r="G7762" s="3" t="s">
        <v>82</v>
      </c>
      <c r="H7762" s="2" t="s">
        <v>20</v>
      </c>
      <c r="I7762" s="2" t="s">
        <v>16151</v>
      </c>
      <c r="J7762" s="3" t="str">
        <f>HYPERLINK("https://www.boe.es/gazeta/dias/1813/10/23/pdfs/GMR-1813-63.pdf#page=5","Abrir facsímil")</f>
        <v>Abrir facsímil</v>
      </c>
      <c r="K7762" s="3" t="s">
        <v>22</v>
      </c>
    </row>
    <row r="7763" spans="1:11" ht="42" customHeight="1">
      <c r="A7763" s="2" t="s">
        <v>16146</v>
      </c>
      <c r="B7763" s="2" t="s">
        <v>16146</v>
      </c>
      <c r="C7763" s="2" t="s">
        <v>16</v>
      </c>
      <c r="D7763" s="2" t="s">
        <v>17</v>
      </c>
      <c r="E7763" s="5">
        <v>-31474</v>
      </c>
      <c r="F7763" s="3" t="s">
        <v>130</v>
      </c>
      <c r="G7763" s="3" t="s">
        <v>82</v>
      </c>
      <c r="H7763" s="2" t="s">
        <v>20</v>
      </c>
      <c r="I7763" s="2" t="s">
        <v>16152</v>
      </c>
      <c r="J7763" s="3" t="str">
        <f>HYPERLINK("https://www.boe.es/gazeta/dias/1813/10/28/pdfs/GRE-1813-141.pdf#page=5","Abrir facsímil")</f>
        <v>Abrir facsímil</v>
      </c>
      <c r="K7763" s="3" t="s">
        <v>22</v>
      </c>
    </row>
    <row r="7764" spans="1:11" ht="42" customHeight="1">
      <c r="A7764" s="2" t="s">
        <v>16146</v>
      </c>
      <c r="B7764" s="2" t="s">
        <v>16146</v>
      </c>
      <c r="C7764" s="2" t="s">
        <v>16</v>
      </c>
      <c r="D7764" s="2" t="s">
        <v>17</v>
      </c>
      <c r="E7764" s="5">
        <v>-31472</v>
      </c>
      <c r="F7764" s="3" t="s">
        <v>1942</v>
      </c>
      <c r="G7764" s="3" t="s">
        <v>95</v>
      </c>
      <c r="H7764" s="2" t="s">
        <v>20</v>
      </c>
      <c r="I7764" s="2" t="s">
        <v>16153</v>
      </c>
      <c r="J7764" s="3" t="str">
        <f>HYPERLINK("https://www.boe.es/gazeta/dias/1813/10/30/pdfs/GRE-1813-142.pdf#page=6","Abrir facsímil")</f>
        <v>Abrir facsímil</v>
      </c>
      <c r="K7764" s="3" t="s">
        <v>22</v>
      </c>
    </row>
    <row r="7765" spans="1:11" ht="42" customHeight="1">
      <c r="A7765" s="2" t="s">
        <v>16154</v>
      </c>
      <c r="B7765" s="2" t="s">
        <v>16154</v>
      </c>
      <c r="C7765" s="2" t="s">
        <v>16</v>
      </c>
      <c r="D7765" s="2" t="s">
        <v>17</v>
      </c>
      <c r="E7765" s="5">
        <v>-31474</v>
      </c>
      <c r="F7765" s="3" t="s">
        <v>130</v>
      </c>
      <c r="G7765" s="3" t="s">
        <v>19</v>
      </c>
      <c r="H7765" s="2" t="s">
        <v>20</v>
      </c>
      <c r="I7765" s="2" t="s">
        <v>16155</v>
      </c>
      <c r="J7765" s="3" t="str">
        <f>HYPERLINK("https://www.boe.es/gazeta/dias/1813/10/28/pdfs/GRE-1813-141.pdf#page=4","Abrir facsímil")</f>
        <v>Abrir facsímil</v>
      </c>
      <c r="K7765" s="3" t="s">
        <v>22</v>
      </c>
    </row>
    <row r="7766" spans="1:11" ht="42" customHeight="1">
      <c r="A7766" s="2" t="s">
        <v>16156</v>
      </c>
      <c r="B7766" s="2" t="s">
        <v>16157</v>
      </c>
      <c r="C7766" s="2" t="s">
        <v>16</v>
      </c>
      <c r="D7766" s="2" t="s">
        <v>17</v>
      </c>
      <c r="E7766" s="5">
        <v>-31630</v>
      </c>
      <c r="F7766" s="3" t="s">
        <v>1324</v>
      </c>
      <c r="G7766" s="3" t="s">
        <v>16158</v>
      </c>
      <c r="H7766" s="2" t="s">
        <v>20</v>
      </c>
      <c r="I7766" s="2" t="s">
        <v>16159</v>
      </c>
      <c r="J7766" s="3" t="str">
        <f>HYPERLINK("https://www.boe.es/gazeta/dias/1813/05/25/pdfs/GRE-1813-64.pdf#page=5","Abrir facsímil")</f>
        <v>Abrir facsímil</v>
      </c>
      <c r="K7766" s="3" t="s">
        <v>22</v>
      </c>
    </row>
    <row r="7767" spans="1:11" ht="42" customHeight="1">
      <c r="A7767" s="2" t="s">
        <v>16160</v>
      </c>
      <c r="B7767" s="2" t="s">
        <v>16161</v>
      </c>
      <c r="C7767" s="2" t="s">
        <v>25</v>
      </c>
      <c r="D7767" s="2" t="s">
        <v>97</v>
      </c>
      <c r="E7767" s="5">
        <v>-31479</v>
      </c>
      <c r="F7767" s="3" t="s">
        <v>290</v>
      </c>
      <c r="G7767" s="3" t="s">
        <v>3006</v>
      </c>
      <c r="H7767" s="2" t="s">
        <v>20</v>
      </c>
      <c r="I7767" s="2" t="s">
        <v>16162</v>
      </c>
      <c r="J7767" s="3" t="str">
        <f>HYPERLINK("https://www.boe.es/gazeta/dias/1813/10/23/pdfs/GRE-1813-139E.pdf#page=15","Abrir facsímil")</f>
        <v>Abrir facsímil</v>
      </c>
      <c r="K7767" s="3" t="s">
        <v>22</v>
      </c>
    </row>
    <row r="7768" spans="1:11" ht="42" customHeight="1">
      <c r="A7768" s="2" t="s">
        <v>16163</v>
      </c>
      <c r="B7768" s="2" t="s">
        <v>16164</v>
      </c>
      <c r="C7768" s="2" t="s">
        <v>34</v>
      </c>
      <c r="D7768" s="2" t="s">
        <v>35</v>
      </c>
      <c r="E7768" s="5">
        <v>-31709</v>
      </c>
      <c r="F7768" s="3" t="s">
        <v>36</v>
      </c>
      <c r="G7768" s="3" t="s">
        <v>303</v>
      </c>
      <c r="H7768" s="2" t="s">
        <v>20</v>
      </c>
      <c r="I7768" s="2" t="s">
        <v>16165</v>
      </c>
      <c r="J7768" s="3" t="str">
        <f>HYPERLINK("https://www.boe.es/gazeta/dias/1813/03/07/pdfs/GMD-1813-66.pdf#page=3","Abrir facsímil")</f>
        <v>Abrir facsímil</v>
      </c>
      <c r="K7768" s="3" t="s">
        <v>22</v>
      </c>
    </row>
    <row r="7769" spans="1:11" ht="42" customHeight="1">
      <c r="A7769" s="2" t="s">
        <v>16166</v>
      </c>
      <c r="B7769" s="2" t="s">
        <v>16167</v>
      </c>
      <c r="C7769" s="2" t="s">
        <v>25</v>
      </c>
      <c r="D7769" s="2" t="s">
        <v>26</v>
      </c>
      <c r="E7769" s="5">
        <v>-31738</v>
      </c>
      <c r="F7769" s="3" t="s">
        <v>556</v>
      </c>
      <c r="G7769" s="3" t="s">
        <v>3260</v>
      </c>
      <c r="H7769" s="2" t="s">
        <v>20</v>
      </c>
      <c r="I7769" s="2" t="s">
        <v>16168</v>
      </c>
      <c r="J7769" s="3" t="str">
        <f>HYPERLINK("https://www.boe.es/gazeta/dias/1813/02/06/pdfs/GRE-1813-16.pdf#page=7","Abrir facsímil")</f>
        <v>Abrir facsímil</v>
      </c>
      <c r="K7769" s="3" t="s">
        <v>22</v>
      </c>
    </row>
    <row r="7770" spans="1:11" ht="42" customHeight="1">
      <c r="A7770" s="2" t="s">
        <v>16169</v>
      </c>
      <c r="B7770" s="2" t="s">
        <v>16170</v>
      </c>
      <c r="C7770" s="2" t="s">
        <v>16</v>
      </c>
      <c r="D7770" s="2" t="s">
        <v>17</v>
      </c>
      <c r="E7770" s="5">
        <v>-31511</v>
      </c>
      <c r="F7770" s="3" t="s">
        <v>2149</v>
      </c>
      <c r="G7770" s="3" t="s">
        <v>54</v>
      </c>
      <c r="H7770" s="2" t="s">
        <v>20</v>
      </c>
      <c r="I7770" s="2" t="s">
        <v>16171</v>
      </c>
      <c r="J7770" s="3" t="str">
        <f>HYPERLINK("https://www.boe.es/gazeta/dias/1813/09/21/pdfs/GRE-1813-122.pdf#page=3","Abrir facsímil")</f>
        <v>Abrir facsímil</v>
      </c>
      <c r="K7770" s="3" t="s">
        <v>22</v>
      </c>
    </row>
    <row r="7771" spans="1:11" ht="42" customHeight="1">
      <c r="A7771" s="2" t="s">
        <v>16172</v>
      </c>
      <c r="B7771" s="2" t="s">
        <v>16173</v>
      </c>
      <c r="C7771" s="2" t="s">
        <v>16</v>
      </c>
      <c r="D7771" s="2" t="s">
        <v>17</v>
      </c>
      <c r="E7771" s="5">
        <v>-31521</v>
      </c>
      <c r="F7771" s="3" t="s">
        <v>1282</v>
      </c>
      <c r="G7771" s="3" t="s">
        <v>87</v>
      </c>
      <c r="H7771" s="2" t="s">
        <v>20</v>
      </c>
      <c r="I7771" s="2" t="s">
        <v>16174</v>
      </c>
      <c r="J7771" s="3" t="str">
        <f>HYPERLINK("https://www.boe.es/gazeta/dias/1813/09/11/pdfs/GMR-1813-41.pdf#page=7","Abrir facsímil")</f>
        <v>Abrir facsímil</v>
      </c>
      <c r="K7771" s="3" t="s">
        <v>22</v>
      </c>
    </row>
    <row r="7772" spans="1:11" ht="42" customHeight="1">
      <c r="A7772" s="2" t="s">
        <v>16175</v>
      </c>
      <c r="B7772" s="2" t="s">
        <v>16176</v>
      </c>
      <c r="C7772" s="2" t="s">
        <v>16</v>
      </c>
      <c r="D7772" s="2" t="s">
        <v>17</v>
      </c>
      <c r="E7772" s="5">
        <v>-31574</v>
      </c>
      <c r="F7772" s="3" t="s">
        <v>1343</v>
      </c>
      <c r="G7772" s="3" t="s">
        <v>65</v>
      </c>
      <c r="H7772" s="2" t="s">
        <v>20</v>
      </c>
      <c r="I7772" s="2" t="s">
        <v>16177</v>
      </c>
      <c r="J7772" s="3" t="str">
        <f>HYPERLINK("https://www.boe.es/gazeta/dias/1813/07/20/pdfs/GMR-1813-19.pdf#page=1","Abrir facsímil")</f>
        <v>Abrir facsímil</v>
      </c>
      <c r="K7772" s="3" t="s">
        <v>22</v>
      </c>
    </row>
    <row r="7773" spans="1:11" ht="42" customHeight="1">
      <c r="A7773" s="2" t="s">
        <v>16178</v>
      </c>
      <c r="B7773" s="2" t="s">
        <v>16179</v>
      </c>
      <c r="C7773" s="2" t="s">
        <v>25</v>
      </c>
      <c r="D7773" s="2" t="s">
        <v>26</v>
      </c>
      <c r="E7773" s="5">
        <v>-31677</v>
      </c>
      <c r="F7773" s="3" t="s">
        <v>76</v>
      </c>
      <c r="G7773" s="3" t="s">
        <v>77</v>
      </c>
      <c r="H7773" s="2" t="s">
        <v>20</v>
      </c>
      <c r="I7773" s="2" t="s">
        <v>16180</v>
      </c>
      <c r="J7773" s="3" t="str">
        <f>HYPERLINK("https://www.boe.es/gazeta/dias/1813/04/08/pdfs/GRE-1813-43.pdf#page=7","Abrir facsímil")</f>
        <v>Abrir facsímil</v>
      </c>
      <c r="K7773" s="3" t="s">
        <v>22</v>
      </c>
    </row>
    <row r="7774" spans="1:11" ht="42" customHeight="1">
      <c r="A7774" s="2" t="s">
        <v>16181</v>
      </c>
      <c r="B7774" s="2" t="s">
        <v>16181</v>
      </c>
      <c r="C7774" s="2" t="s">
        <v>16</v>
      </c>
      <c r="D7774" s="2" t="s">
        <v>17</v>
      </c>
      <c r="E7774" s="5">
        <v>-31495</v>
      </c>
      <c r="F7774" s="3" t="s">
        <v>484</v>
      </c>
      <c r="G7774" s="3" t="s">
        <v>58</v>
      </c>
      <c r="H7774" s="2" t="s">
        <v>20</v>
      </c>
      <c r="I7774" s="2" t="s">
        <v>16182</v>
      </c>
      <c r="J7774" s="3" t="str">
        <f>HYPERLINK("https://www.boe.es/gazeta/dias/1813/10/07/pdfs/GRE-1813-131.pdf#page=2","Abrir facsímil")</f>
        <v>Abrir facsímil</v>
      </c>
      <c r="K7774" s="3" t="s">
        <v>22</v>
      </c>
    </row>
    <row r="7775" spans="1:11" ht="42" customHeight="1">
      <c r="A7775" s="2" t="s">
        <v>16183</v>
      </c>
      <c r="B7775" s="2" t="s">
        <v>16184</v>
      </c>
      <c r="C7775" s="2" t="s">
        <v>16</v>
      </c>
      <c r="D7775" s="2" t="s">
        <v>17</v>
      </c>
      <c r="E7775" s="5">
        <v>-31613</v>
      </c>
      <c r="F7775" s="3" t="s">
        <v>1629</v>
      </c>
      <c r="G7775" s="3" t="s">
        <v>258</v>
      </c>
      <c r="H7775" s="2" t="s">
        <v>29</v>
      </c>
      <c r="I7775" s="2" t="s">
        <v>16185</v>
      </c>
      <c r="J7775" s="3" t="str">
        <f>HYPERLINK("https://www.boe.es/gazeta/dias/1813/06/11/pdfs/GMR-1813-4.pdf#page=12","Abrir facsímil")</f>
        <v>Abrir facsímil</v>
      </c>
      <c r="K7775" s="3" t="s">
        <v>31</v>
      </c>
    </row>
    <row r="7776" spans="1:11" ht="42" customHeight="1">
      <c r="A7776" s="2" t="s">
        <v>16186</v>
      </c>
      <c r="B7776" s="2" t="s">
        <v>16187</v>
      </c>
      <c r="C7776" s="2" t="s">
        <v>16</v>
      </c>
      <c r="D7776" s="2" t="s">
        <v>17</v>
      </c>
      <c r="E7776" s="5">
        <v>-31626</v>
      </c>
      <c r="F7776" s="3" t="s">
        <v>64</v>
      </c>
      <c r="G7776" s="3" t="s">
        <v>265</v>
      </c>
      <c r="H7776" s="2" t="s">
        <v>20</v>
      </c>
      <c r="I7776" s="2" t="s">
        <v>16188</v>
      </c>
      <c r="J7776" s="3" t="str">
        <f>HYPERLINK("https://www.boe.es/gazeta/dias/1813/05/29/pdfs/GRE-1813-66.pdf#page=2","Abrir facsímil")</f>
        <v>Abrir facsímil</v>
      </c>
      <c r="K7776" s="3" t="s">
        <v>22</v>
      </c>
    </row>
    <row r="7777" spans="1:11" ht="42" customHeight="1">
      <c r="A7777" s="2" t="s">
        <v>16189</v>
      </c>
      <c r="B7777" s="2" t="s">
        <v>16190</v>
      </c>
      <c r="C7777" s="2" t="s">
        <v>25</v>
      </c>
      <c r="D7777" s="2" t="s">
        <v>26</v>
      </c>
      <c r="E7777" s="5">
        <v>-31655</v>
      </c>
      <c r="F7777" s="3" t="s">
        <v>858</v>
      </c>
      <c r="G7777" s="3" t="s">
        <v>983</v>
      </c>
      <c r="H7777" s="2" t="s">
        <v>20</v>
      </c>
      <c r="I7777" s="2" t="s">
        <v>16191</v>
      </c>
      <c r="J7777" s="3" t="str">
        <f>HYPERLINK("https://www.boe.es/gazeta/dias/1813/04/30/pdfs/GMD-1813-120.pdf#page=3","Abrir facsímil")</f>
        <v>Abrir facsímil</v>
      </c>
      <c r="K7777" s="3" t="s">
        <v>22</v>
      </c>
    </row>
    <row r="7778" spans="1:11" ht="42" customHeight="1">
      <c r="A7778" s="2" t="s">
        <v>16192</v>
      </c>
      <c r="B7778" s="2" t="s">
        <v>16192</v>
      </c>
      <c r="C7778" s="2" t="s">
        <v>25</v>
      </c>
      <c r="D7778" s="2" t="s">
        <v>26</v>
      </c>
      <c r="E7778" s="5">
        <v>-31481</v>
      </c>
      <c r="F7778" s="3" t="s">
        <v>40</v>
      </c>
      <c r="G7778" s="3" t="s">
        <v>28</v>
      </c>
      <c r="H7778" s="2" t="s">
        <v>20</v>
      </c>
      <c r="I7778" s="2" t="s">
        <v>16193</v>
      </c>
      <c r="J7778" s="3" t="str">
        <f>HYPERLINK("https://www.boe.es/gazeta/dias/1813/10/21/pdfs/GMR-1813-62.pdf#page=8","Abrir facsímil")</f>
        <v>Abrir facsímil</v>
      </c>
      <c r="K7778" s="3" t="s">
        <v>22</v>
      </c>
    </row>
    <row r="7779" spans="1:11" ht="42" customHeight="1">
      <c r="A7779" s="2" t="s">
        <v>16194</v>
      </c>
      <c r="B7779" s="2" t="s">
        <v>16195</v>
      </c>
      <c r="C7779" s="2" t="s">
        <v>16</v>
      </c>
      <c r="D7779" s="2" t="s">
        <v>17</v>
      </c>
      <c r="E7779" s="5">
        <v>-31439</v>
      </c>
      <c r="F7779" s="3" t="s">
        <v>1298</v>
      </c>
      <c r="G7779" s="3" t="s">
        <v>87</v>
      </c>
      <c r="H7779" s="2" t="s">
        <v>20</v>
      </c>
      <c r="I7779" s="2" t="s">
        <v>16196</v>
      </c>
      <c r="J7779" s="3" t="str">
        <f>HYPERLINK("https://www.boe.es/gazeta/dias/1813/12/02/pdfs/GMR-1813-82.pdf#page=7","Abrir facsímil")</f>
        <v>Abrir facsímil</v>
      </c>
      <c r="K7779" s="3" t="s">
        <v>22</v>
      </c>
    </row>
    <row r="7780" spans="1:11" ht="42" customHeight="1">
      <c r="A7780" s="2" t="s">
        <v>16197</v>
      </c>
      <c r="B7780" s="2" t="s">
        <v>16198</v>
      </c>
      <c r="C7780" s="2" t="s">
        <v>187</v>
      </c>
      <c r="D7780" s="2" t="s">
        <v>26</v>
      </c>
      <c r="E7780" s="5">
        <v>-31574</v>
      </c>
      <c r="F7780" s="3" t="s">
        <v>1343</v>
      </c>
      <c r="G7780" s="3" t="s">
        <v>71</v>
      </c>
      <c r="H7780" s="2" t="s">
        <v>29</v>
      </c>
      <c r="I7780" s="2" t="s">
        <v>16199</v>
      </c>
      <c r="J7780" s="3" t="str">
        <f>HYPERLINK("https://www.boe.es/gazeta/dias/1813/07/20/pdfs/GMR-1813-19.pdf#page=16","Abrir facsímil")</f>
        <v>Abrir facsímil</v>
      </c>
      <c r="K7780" s="3" t="s">
        <v>31</v>
      </c>
    </row>
    <row r="7781" spans="1:11" ht="42" customHeight="1">
      <c r="A7781" s="2" t="s">
        <v>16200</v>
      </c>
      <c r="B7781" s="2" t="s">
        <v>16200</v>
      </c>
      <c r="C7781" s="2" t="s">
        <v>16</v>
      </c>
      <c r="D7781" s="2" t="s">
        <v>17</v>
      </c>
      <c r="E7781" s="5">
        <v>-31411</v>
      </c>
      <c r="F7781" s="3" t="s">
        <v>3702</v>
      </c>
      <c r="G7781" s="3" t="s">
        <v>58</v>
      </c>
      <c r="H7781" s="2" t="s">
        <v>20</v>
      </c>
      <c r="I7781" s="2" t="s">
        <v>16201</v>
      </c>
      <c r="J7781" s="3" t="str">
        <f>HYPERLINK("https://www.boe.es/gazeta/dias/1813/12/30/pdfs/GRE-1813-171.pdf#page=2","Abrir facsímil")</f>
        <v>Abrir facsímil</v>
      </c>
      <c r="K7781" s="3" t="s">
        <v>22</v>
      </c>
    </row>
    <row r="7782" spans="1:11" ht="42" customHeight="1">
      <c r="A7782" s="2" t="s">
        <v>16202</v>
      </c>
      <c r="B7782" s="2" t="s">
        <v>16202</v>
      </c>
      <c r="C7782" s="2" t="s">
        <v>16</v>
      </c>
      <c r="D7782" s="2" t="s">
        <v>17</v>
      </c>
      <c r="E7782" s="5">
        <v>-31418</v>
      </c>
      <c r="F7782" s="3" t="s">
        <v>1529</v>
      </c>
      <c r="G7782" s="3" t="s">
        <v>54</v>
      </c>
      <c r="H7782" s="2" t="s">
        <v>20</v>
      </c>
      <c r="I7782" s="2" t="s">
        <v>16203</v>
      </c>
      <c r="J7782" s="3" t="str">
        <f>HYPERLINK("https://www.boe.es/gazeta/dias/1813/12/23/pdfs/GMR-1813-91.pdf#page=3","Abrir facsímil")</f>
        <v>Abrir facsímil</v>
      </c>
      <c r="K7782" s="3" t="s">
        <v>22</v>
      </c>
    </row>
    <row r="7783" spans="1:11" ht="42" customHeight="1">
      <c r="A7783" s="2" t="s">
        <v>16204</v>
      </c>
      <c r="B7783" s="2" t="s">
        <v>16204</v>
      </c>
      <c r="C7783" s="2" t="s">
        <v>16</v>
      </c>
      <c r="D7783" s="2" t="s">
        <v>17</v>
      </c>
      <c r="E7783" s="5">
        <v>-31532</v>
      </c>
      <c r="F7783" s="3" t="s">
        <v>1728</v>
      </c>
      <c r="G7783" s="3" t="s">
        <v>207</v>
      </c>
      <c r="H7783" s="2" t="s">
        <v>20</v>
      </c>
      <c r="I7783" s="2" t="s">
        <v>16205</v>
      </c>
      <c r="J7783" s="3" t="str">
        <f>HYPERLINK("https://www.boe.es/gazeta/dias/1813/08/31/pdfs/GMR-1813-35.pdf#page=10","Abrir facsímil")</f>
        <v>Abrir facsímil</v>
      </c>
      <c r="K7783" s="3" t="s">
        <v>22</v>
      </c>
    </row>
    <row r="7784" spans="1:11" ht="42" customHeight="1">
      <c r="A7784" s="2" t="s">
        <v>16206</v>
      </c>
      <c r="B7784" s="2" t="s">
        <v>16207</v>
      </c>
      <c r="C7784" s="2" t="s">
        <v>16</v>
      </c>
      <c r="D7784" s="2" t="s">
        <v>97</v>
      </c>
      <c r="E7784" s="5">
        <v>-31479</v>
      </c>
      <c r="F7784" s="3" t="s">
        <v>290</v>
      </c>
      <c r="G7784" s="3" t="s">
        <v>19</v>
      </c>
      <c r="H7784" s="2" t="s">
        <v>20</v>
      </c>
      <c r="I7784" s="2" t="s">
        <v>16208</v>
      </c>
      <c r="J7784" s="3" t="str">
        <f>HYPERLINK("https://www.boe.es/gazeta/dias/1813/10/23/pdfs/GRE-1813-139E.pdf#page=4","Abrir facsímil")</f>
        <v>Abrir facsímil</v>
      </c>
      <c r="K7784" s="3" t="s">
        <v>22</v>
      </c>
    </row>
    <row r="7785" spans="1:11" ht="42" customHeight="1">
      <c r="A7785" s="2" t="s">
        <v>16209</v>
      </c>
      <c r="B7785" s="2" t="s">
        <v>16209</v>
      </c>
      <c r="C7785" s="2" t="s">
        <v>16</v>
      </c>
      <c r="D7785" s="2" t="s">
        <v>17</v>
      </c>
      <c r="E7785" s="5">
        <v>-31437</v>
      </c>
      <c r="F7785" s="3" t="s">
        <v>217</v>
      </c>
      <c r="G7785" s="3" t="s">
        <v>54</v>
      </c>
      <c r="H7785" s="2" t="s">
        <v>20</v>
      </c>
      <c r="I7785" s="2" t="s">
        <v>16210</v>
      </c>
      <c r="J7785" s="3" t="str">
        <f>HYPERLINK("https://www.boe.es/gazeta/dias/1813/12/04/pdfs/GRE-1813-160.pdf#page=3","Abrir facsímil")</f>
        <v>Abrir facsímil</v>
      </c>
      <c r="K7785" s="3" t="s">
        <v>22</v>
      </c>
    </row>
    <row r="7786" spans="1:11" ht="42" customHeight="1">
      <c r="A7786" s="2" t="s">
        <v>16211</v>
      </c>
      <c r="B7786" s="2" t="s">
        <v>16212</v>
      </c>
      <c r="C7786" s="2" t="s">
        <v>25</v>
      </c>
      <c r="D7786" s="2" t="s">
        <v>26</v>
      </c>
      <c r="E7786" s="5">
        <v>-31745</v>
      </c>
      <c r="F7786" s="3" t="s">
        <v>445</v>
      </c>
      <c r="G7786" s="3" t="s">
        <v>475</v>
      </c>
      <c r="H7786" s="2" t="s">
        <v>20</v>
      </c>
      <c r="I7786" s="2" t="s">
        <v>16213</v>
      </c>
      <c r="J7786" s="3" t="str">
        <f>HYPERLINK("https://www.boe.es/gazeta/dias/1813/01/30/pdfs/GRE-1813-13.pdf#page=7","Abrir facsímil")</f>
        <v>Abrir facsímil</v>
      </c>
      <c r="K7786" s="3" t="s">
        <v>22</v>
      </c>
    </row>
    <row r="7787" spans="1:11" ht="42" customHeight="1">
      <c r="A7787" s="2" t="s">
        <v>16214</v>
      </c>
      <c r="B7787" s="2" t="s">
        <v>16215</v>
      </c>
      <c r="C7787" s="2" t="s">
        <v>34</v>
      </c>
      <c r="D7787" s="2" t="s">
        <v>35</v>
      </c>
      <c r="E7787" s="5">
        <v>-31709</v>
      </c>
      <c r="F7787" s="3" t="s">
        <v>36</v>
      </c>
      <c r="G7787" s="3" t="s">
        <v>303</v>
      </c>
      <c r="H7787" s="2" t="s">
        <v>20</v>
      </c>
      <c r="I7787" s="2" t="s">
        <v>16216</v>
      </c>
      <c r="J7787" s="3" t="str">
        <f>HYPERLINK("https://www.boe.es/gazeta/dias/1813/03/07/pdfs/GMD-1813-66.pdf#page=3","Abrir facsímil")</f>
        <v>Abrir facsímil</v>
      </c>
      <c r="K7787" s="3" t="s">
        <v>22</v>
      </c>
    </row>
    <row r="7788" spans="1:11" ht="42" customHeight="1">
      <c r="A7788" s="2" t="s">
        <v>16217</v>
      </c>
      <c r="B7788" s="2" t="s">
        <v>16218</v>
      </c>
      <c r="C7788" s="2" t="s">
        <v>16</v>
      </c>
      <c r="D7788" s="2" t="s">
        <v>17</v>
      </c>
      <c r="E7788" s="5">
        <v>-31465</v>
      </c>
      <c r="F7788" s="3" t="s">
        <v>407</v>
      </c>
      <c r="G7788" s="3" t="s">
        <v>87</v>
      </c>
      <c r="H7788" s="2" t="s">
        <v>20</v>
      </c>
      <c r="I7788" s="2" t="s">
        <v>16219</v>
      </c>
      <c r="J7788" s="3" t="str">
        <f>HYPERLINK("https://www.boe.es/gazeta/dias/1813/11/06/pdfs/GMR-1813-70.pdf#page=7","Abrir facsímil")</f>
        <v>Abrir facsímil</v>
      </c>
      <c r="K7788" s="3" t="s">
        <v>22</v>
      </c>
    </row>
    <row r="7789" spans="1:11" ht="42" customHeight="1">
      <c r="A7789" s="2" t="s">
        <v>16220</v>
      </c>
      <c r="B7789" s="2" t="s">
        <v>16221</v>
      </c>
      <c r="C7789" s="2" t="s">
        <v>34</v>
      </c>
      <c r="D7789" s="2" t="s">
        <v>35</v>
      </c>
      <c r="E7789" s="5">
        <v>-31709</v>
      </c>
      <c r="F7789" s="3" t="s">
        <v>36</v>
      </c>
      <c r="G7789" s="3" t="s">
        <v>303</v>
      </c>
      <c r="H7789" s="2" t="s">
        <v>20</v>
      </c>
      <c r="I7789" s="2" t="s">
        <v>16222</v>
      </c>
      <c r="J7789" s="3" t="str">
        <f>HYPERLINK("https://www.boe.es/gazeta/dias/1813/03/07/pdfs/GMD-1813-66.pdf#page=3","Abrir facsímil")</f>
        <v>Abrir facsímil</v>
      </c>
      <c r="K7789" s="3" t="s">
        <v>22</v>
      </c>
    </row>
    <row r="7790" spans="1:11" ht="42" customHeight="1">
      <c r="A7790" s="2" t="s">
        <v>16223</v>
      </c>
      <c r="B7790" s="2" t="s">
        <v>16224</v>
      </c>
      <c r="C7790" s="2" t="s">
        <v>16</v>
      </c>
      <c r="D7790" s="2" t="s">
        <v>17</v>
      </c>
      <c r="E7790" s="5">
        <v>-31467</v>
      </c>
      <c r="F7790" s="3" t="s">
        <v>1464</v>
      </c>
      <c r="G7790" s="3" t="s">
        <v>28</v>
      </c>
      <c r="H7790" s="2" t="s">
        <v>20</v>
      </c>
      <c r="I7790" s="2" t="s">
        <v>16225</v>
      </c>
      <c r="J7790" s="3" t="str">
        <f>HYPERLINK("https://www.boe.es/gazeta/dias/1813/11/04/pdfs/GRE-1813-144.pdf#page=8","Abrir facsímil")</f>
        <v>Abrir facsímil</v>
      </c>
      <c r="K7790" s="3" t="s">
        <v>22</v>
      </c>
    </row>
    <row r="7791" spans="1:11" ht="42" customHeight="1">
      <c r="A7791" s="2" t="s">
        <v>16226</v>
      </c>
      <c r="B7791" s="2" t="s">
        <v>16226</v>
      </c>
      <c r="C7791" s="2" t="s">
        <v>16</v>
      </c>
      <c r="D7791" s="2" t="s">
        <v>17</v>
      </c>
      <c r="E7791" s="5">
        <v>-31726</v>
      </c>
      <c r="F7791" s="3" t="s">
        <v>493</v>
      </c>
      <c r="G7791" s="3" t="s">
        <v>19</v>
      </c>
      <c r="H7791" s="2" t="s">
        <v>20</v>
      </c>
      <c r="I7791" s="2" t="s">
        <v>16227</v>
      </c>
      <c r="J7791" s="3" t="str">
        <f>HYPERLINK("https://www.boe.es/gazeta/dias/1813/02/18/pdfs/GMD-1813-49.pdf#page=4","Abrir facsímil")</f>
        <v>Abrir facsímil</v>
      </c>
      <c r="K7791" s="3" t="s">
        <v>22</v>
      </c>
    </row>
    <row r="7792" spans="1:11" ht="42" customHeight="1">
      <c r="A7792" s="2" t="s">
        <v>16228</v>
      </c>
      <c r="B7792" s="2" t="s">
        <v>16229</v>
      </c>
      <c r="C7792" s="2" t="s">
        <v>25</v>
      </c>
      <c r="D7792" s="2" t="s">
        <v>26</v>
      </c>
      <c r="E7792" s="5">
        <v>-31689</v>
      </c>
      <c r="F7792" s="3" t="s">
        <v>48</v>
      </c>
      <c r="G7792" s="3" t="s">
        <v>162</v>
      </c>
      <c r="H7792" s="2" t="s">
        <v>20</v>
      </c>
      <c r="I7792" s="2" t="s">
        <v>16230</v>
      </c>
      <c r="J7792" s="3" t="str">
        <f>HYPERLINK("https://www.boe.es/gazeta/dias/1813/03/27/pdfs/GRE-1813-38.pdf#page=8","Abrir facsímil")</f>
        <v>Abrir facsímil</v>
      </c>
      <c r="K7792" s="3" t="s">
        <v>22</v>
      </c>
    </row>
    <row r="7793" spans="1:11" ht="42" customHeight="1">
      <c r="A7793" s="2" t="s">
        <v>16231</v>
      </c>
      <c r="B7793" s="2" t="s">
        <v>16231</v>
      </c>
      <c r="C7793" s="2" t="s">
        <v>16</v>
      </c>
      <c r="D7793" s="2" t="s">
        <v>17</v>
      </c>
      <c r="E7793" s="5">
        <v>-31773</v>
      </c>
      <c r="F7793" s="3" t="s">
        <v>3667</v>
      </c>
      <c r="G7793" s="3" t="s">
        <v>5107</v>
      </c>
      <c r="H7793" s="2" t="s">
        <v>20</v>
      </c>
      <c r="I7793" s="2" t="s">
        <v>16232</v>
      </c>
      <c r="J7793" s="3" t="str">
        <f>HYPERLINK("https://www.boe.es/gazeta/dias/1813/01/02/pdfs/GRE-1813-1.pdf#page=5","Abrir facsímil")</f>
        <v>Abrir facsímil</v>
      </c>
      <c r="K7793" s="3" t="s">
        <v>22</v>
      </c>
    </row>
    <row r="7794" spans="1:11" ht="42" customHeight="1">
      <c r="A7794" s="2" t="s">
        <v>16233</v>
      </c>
      <c r="B7794" s="2" t="s">
        <v>16233</v>
      </c>
      <c r="C7794" s="2" t="s">
        <v>16</v>
      </c>
      <c r="D7794" s="2" t="s">
        <v>17</v>
      </c>
      <c r="E7794" s="5">
        <v>-31535</v>
      </c>
      <c r="F7794" s="3" t="s">
        <v>366</v>
      </c>
      <c r="G7794" s="3" t="s">
        <v>58</v>
      </c>
      <c r="H7794" s="2" t="s">
        <v>20</v>
      </c>
      <c r="I7794" s="2" t="s">
        <v>16234</v>
      </c>
      <c r="J7794" s="3" t="str">
        <f>HYPERLINK("https://www.boe.es/gazeta/dias/1813/08/28/pdfs/GRE-1813-110.pdf#page=2","Abrir facsímil")</f>
        <v>Abrir facsímil</v>
      </c>
      <c r="K7794" s="3" t="s">
        <v>22</v>
      </c>
    </row>
    <row r="7795" spans="1:11" ht="42" customHeight="1">
      <c r="A7795" s="2" t="s">
        <v>16233</v>
      </c>
      <c r="B7795" s="2" t="s">
        <v>16233</v>
      </c>
      <c r="C7795" s="2" t="s">
        <v>16</v>
      </c>
      <c r="D7795" s="2" t="s">
        <v>17</v>
      </c>
      <c r="E7795" s="5">
        <v>-31535</v>
      </c>
      <c r="F7795" s="3" t="s">
        <v>366</v>
      </c>
      <c r="G7795" s="3" t="s">
        <v>19</v>
      </c>
      <c r="H7795" s="2" t="s">
        <v>20</v>
      </c>
      <c r="I7795" s="2" t="s">
        <v>16235</v>
      </c>
      <c r="J7795" s="3" t="str">
        <f>HYPERLINK("https://www.boe.es/gazeta/dias/1813/08/28/pdfs/GRE-1813-110.pdf#page=4","Abrir facsímil")</f>
        <v>Abrir facsímil</v>
      </c>
      <c r="K7795" s="3" t="s">
        <v>22</v>
      </c>
    </row>
    <row r="7796" spans="1:11" ht="42" customHeight="1">
      <c r="A7796" s="2" t="s">
        <v>16233</v>
      </c>
      <c r="B7796" s="2" t="s">
        <v>16233</v>
      </c>
      <c r="C7796" s="2" t="s">
        <v>16</v>
      </c>
      <c r="D7796" s="2" t="s">
        <v>17</v>
      </c>
      <c r="E7796" s="5">
        <v>-31425</v>
      </c>
      <c r="F7796" s="3" t="s">
        <v>1669</v>
      </c>
      <c r="G7796" s="3" t="s">
        <v>65</v>
      </c>
      <c r="H7796" s="2" t="s">
        <v>20</v>
      </c>
      <c r="I7796" s="2" t="s">
        <v>16236</v>
      </c>
      <c r="J7796" s="3" t="str">
        <f>HYPERLINK("https://www.boe.es/gazeta/dias/1813/12/16/pdfs/GRE-1813-165.pdf#page=1","Abrir facsímil")</f>
        <v>Abrir facsímil</v>
      </c>
      <c r="K7796" s="3" t="s">
        <v>22</v>
      </c>
    </row>
    <row r="7797" spans="1:11" ht="42" customHeight="1">
      <c r="A7797" s="2" t="s">
        <v>16237</v>
      </c>
      <c r="B7797" s="2" t="s">
        <v>16237</v>
      </c>
      <c r="C7797" s="2" t="s">
        <v>16</v>
      </c>
      <c r="D7797" s="2" t="s">
        <v>17</v>
      </c>
      <c r="E7797" s="5">
        <v>-31614</v>
      </c>
      <c r="F7797" s="3" t="s">
        <v>498</v>
      </c>
      <c r="G7797" s="3" t="s">
        <v>82</v>
      </c>
      <c r="H7797" s="2" t="s">
        <v>20</v>
      </c>
      <c r="I7797" s="2" t="s">
        <v>16238</v>
      </c>
      <c r="J7797" s="3" t="str">
        <f>HYPERLINK("https://www.boe.es/gazeta/dias/1813/06/10/pdfs/GRE-1813-72.pdf#page=5","Abrir facsímil")</f>
        <v>Abrir facsímil</v>
      </c>
      <c r="K7797" s="3" t="s">
        <v>22</v>
      </c>
    </row>
    <row r="7798" spans="1:11" ht="42" customHeight="1">
      <c r="A7798" s="2" t="s">
        <v>16239</v>
      </c>
      <c r="B7798" s="2" t="s">
        <v>16240</v>
      </c>
      <c r="C7798" s="2" t="s">
        <v>16</v>
      </c>
      <c r="D7798" s="2" t="s">
        <v>17</v>
      </c>
      <c r="E7798" s="5">
        <v>-31537</v>
      </c>
      <c r="F7798" s="3" t="s">
        <v>138</v>
      </c>
      <c r="G7798" s="3" t="s">
        <v>65</v>
      </c>
      <c r="H7798" s="2" t="s">
        <v>20</v>
      </c>
      <c r="I7798" s="2" t="s">
        <v>16241</v>
      </c>
      <c r="J7798" s="3" t="str">
        <f>HYPERLINK("https://www.boe.es/gazeta/dias/1813/08/26/pdfs/GMR-1813-33.pdf#page=1","Abrir facsímil")</f>
        <v>Abrir facsímil</v>
      </c>
      <c r="K7798" s="3" t="s">
        <v>22</v>
      </c>
    </row>
    <row r="7799" spans="1:11" ht="42" customHeight="1">
      <c r="A7799" s="2" t="s">
        <v>16242</v>
      </c>
      <c r="B7799" s="2" t="s">
        <v>16242</v>
      </c>
      <c r="C7799" s="2" t="s">
        <v>16</v>
      </c>
      <c r="D7799" s="2" t="s">
        <v>17</v>
      </c>
      <c r="E7799" s="5">
        <v>-31719</v>
      </c>
      <c r="F7799" s="3" t="s">
        <v>251</v>
      </c>
      <c r="G7799" s="3" t="s">
        <v>19</v>
      </c>
      <c r="H7799" s="2" t="s">
        <v>20</v>
      </c>
      <c r="I7799" s="2" t="s">
        <v>16243</v>
      </c>
      <c r="J7799" s="3" t="str">
        <f>HYPERLINK("https://www.boe.es/gazeta/dias/1813/02/25/pdfs/GMD-1813-56.pdf#page=4","Abrir facsímil")</f>
        <v>Abrir facsímil</v>
      </c>
      <c r="K7799" s="3" t="s">
        <v>22</v>
      </c>
    </row>
    <row r="7800" spans="1:11" ht="42" customHeight="1">
      <c r="A7800" s="2" t="s">
        <v>16242</v>
      </c>
      <c r="B7800" s="2" t="s">
        <v>16242</v>
      </c>
      <c r="C7800" s="2" t="s">
        <v>25</v>
      </c>
      <c r="D7800" s="2" t="s">
        <v>26</v>
      </c>
      <c r="E7800" s="5">
        <v>-31689</v>
      </c>
      <c r="F7800" s="3" t="s">
        <v>48</v>
      </c>
      <c r="G7800" s="3" t="s">
        <v>162</v>
      </c>
      <c r="H7800" s="2" t="s">
        <v>20</v>
      </c>
      <c r="I7800" s="2" t="s">
        <v>16244</v>
      </c>
      <c r="J7800" s="3" t="str">
        <f>HYPERLINK("https://www.boe.es/gazeta/dias/1813/03/27/pdfs/GRE-1813-38.pdf#page=8","Abrir facsímil")</f>
        <v>Abrir facsímil</v>
      </c>
      <c r="K7800" s="3" t="s">
        <v>22</v>
      </c>
    </row>
    <row r="7801" spans="1:11" ht="42" customHeight="1">
      <c r="A7801" s="2" t="s">
        <v>16242</v>
      </c>
      <c r="B7801" s="2" t="s">
        <v>16242</v>
      </c>
      <c r="C7801" s="2" t="s">
        <v>34</v>
      </c>
      <c r="D7801" s="2" t="s">
        <v>35</v>
      </c>
      <c r="E7801" s="5">
        <v>-31574</v>
      </c>
      <c r="F7801" s="3" t="s">
        <v>1343</v>
      </c>
      <c r="G7801" s="3" t="s">
        <v>71</v>
      </c>
      <c r="H7801" s="2" t="s">
        <v>20</v>
      </c>
      <c r="I7801" s="2" t="s">
        <v>16245</v>
      </c>
      <c r="J7801" s="3" t="str">
        <f>HYPERLINK("https://www.boe.es/gazeta/dias/1813/07/20/pdfs/GMR-1813-19.pdf#page=16","Abrir facsímil")</f>
        <v>Abrir facsímil</v>
      </c>
      <c r="K7801" s="3" t="s">
        <v>22</v>
      </c>
    </row>
    <row r="7802" spans="1:11" ht="42" customHeight="1">
      <c r="A7802" s="2" t="s">
        <v>16242</v>
      </c>
      <c r="B7802" s="2" t="s">
        <v>16242</v>
      </c>
      <c r="C7802" s="2" t="s">
        <v>16</v>
      </c>
      <c r="D7802" s="2" t="s">
        <v>17</v>
      </c>
      <c r="E7802" s="5">
        <v>-31567</v>
      </c>
      <c r="F7802" s="3" t="s">
        <v>820</v>
      </c>
      <c r="G7802" s="3" t="s">
        <v>313</v>
      </c>
      <c r="H7802" s="2" t="s">
        <v>20</v>
      </c>
      <c r="I7802" s="2" t="s">
        <v>16246</v>
      </c>
      <c r="J7802" s="3" t="str">
        <f>HYPERLINK("https://www.boe.es/gazeta/dias/1813/07/27/pdfs/GMR-1813-21.pdf#page=9","Abrir facsímil")</f>
        <v>Abrir facsímil</v>
      </c>
      <c r="K7802" s="3" t="s">
        <v>22</v>
      </c>
    </row>
    <row r="7803" spans="1:11" ht="42" customHeight="1">
      <c r="A7803" s="2" t="s">
        <v>16242</v>
      </c>
      <c r="B7803" s="2" t="s">
        <v>16242</v>
      </c>
      <c r="C7803" s="2" t="s">
        <v>16</v>
      </c>
      <c r="D7803" s="2" t="s">
        <v>17</v>
      </c>
      <c r="E7803" s="5">
        <v>-31551</v>
      </c>
      <c r="F7803" s="3" t="s">
        <v>954</v>
      </c>
      <c r="G7803" s="3" t="s">
        <v>58</v>
      </c>
      <c r="H7803" s="2" t="s">
        <v>20</v>
      </c>
      <c r="I7803" s="2" t="s">
        <v>16247</v>
      </c>
      <c r="J7803" s="3" t="str">
        <f>HYPERLINK("https://www.boe.es/gazeta/dias/1813/08/12/pdfs/GMR-1813-27.pdf#page=2","Abrir facsímil")</f>
        <v>Abrir facsímil</v>
      </c>
      <c r="K7803" s="3" t="s">
        <v>22</v>
      </c>
    </row>
    <row r="7804" spans="1:11" ht="42" customHeight="1">
      <c r="A7804" s="2" t="s">
        <v>16242</v>
      </c>
      <c r="B7804" s="2" t="s">
        <v>16242</v>
      </c>
      <c r="C7804" s="2" t="s">
        <v>16</v>
      </c>
      <c r="D7804" s="2" t="s">
        <v>17</v>
      </c>
      <c r="E7804" s="5">
        <v>-31523</v>
      </c>
      <c r="F7804" s="3" t="s">
        <v>81</v>
      </c>
      <c r="G7804" s="3" t="s">
        <v>807</v>
      </c>
      <c r="H7804" s="2" t="s">
        <v>20</v>
      </c>
      <c r="I7804" s="2" t="s">
        <v>16248</v>
      </c>
      <c r="J7804" s="3" t="str">
        <f>HYPERLINK("https://www.boe.es/gazeta/dias/1813/09/09/pdfs/GRE-1813-115.pdf#page=2","Abrir facsímil")</f>
        <v>Abrir facsímil</v>
      </c>
      <c r="K7804" s="3" t="s">
        <v>22</v>
      </c>
    </row>
    <row r="7805" spans="1:11" ht="42" customHeight="1">
      <c r="A7805" s="2" t="s">
        <v>16242</v>
      </c>
      <c r="B7805" s="2" t="s">
        <v>16242</v>
      </c>
      <c r="C7805" s="2" t="s">
        <v>16</v>
      </c>
      <c r="D7805" s="2" t="s">
        <v>97</v>
      </c>
      <c r="E7805" s="5">
        <v>-31519</v>
      </c>
      <c r="F7805" s="3" t="s">
        <v>312</v>
      </c>
      <c r="G7805" s="3" t="s">
        <v>313</v>
      </c>
      <c r="H7805" s="2" t="s">
        <v>20</v>
      </c>
      <c r="I7805" s="2" t="s">
        <v>16249</v>
      </c>
      <c r="J7805" s="3" t="str">
        <f>HYPERLINK("https://www.boe.es/gazeta/dias/1813/09/13/pdfs/GRE-1813-118E.pdf#page=9","Abrir facsímil")</f>
        <v>Abrir facsímil</v>
      </c>
      <c r="K7805" s="3" t="s">
        <v>22</v>
      </c>
    </row>
    <row r="7806" spans="1:11" ht="42" customHeight="1">
      <c r="A7806" s="2" t="s">
        <v>16242</v>
      </c>
      <c r="B7806" s="2" t="s">
        <v>16242</v>
      </c>
      <c r="C7806" s="2" t="s">
        <v>25</v>
      </c>
      <c r="D7806" s="2" t="s">
        <v>26</v>
      </c>
      <c r="E7806" s="5">
        <v>-31507</v>
      </c>
      <c r="F7806" s="3" t="s">
        <v>61</v>
      </c>
      <c r="G7806" s="3" t="s">
        <v>28</v>
      </c>
      <c r="H7806" s="2" t="s">
        <v>20</v>
      </c>
      <c r="I7806" s="2" t="s">
        <v>16250</v>
      </c>
      <c r="J7806" s="3" t="str">
        <f>HYPERLINK("https://www.boe.es/gazeta/dias/1813/09/25/pdfs/GMR-1813-48.pdf#page=8","Abrir facsímil")</f>
        <v>Abrir facsímil</v>
      </c>
      <c r="K7806" s="3" t="s">
        <v>22</v>
      </c>
    </row>
    <row r="7807" spans="1:11" ht="42" customHeight="1">
      <c r="A7807" s="2" t="s">
        <v>16242</v>
      </c>
      <c r="B7807" s="2" t="s">
        <v>16242</v>
      </c>
      <c r="C7807" s="2" t="s">
        <v>16</v>
      </c>
      <c r="D7807" s="2" t="s">
        <v>17</v>
      </c>
      <c r="E7807" s="5">
        <v>-31467</v>
      </c>
      <c r="F7807" s="3" t="s">
        <v>120</v>
      </c>
      <c r="G7807" s="3" t="s">
        <v>58</v>
      </c>
      <c r="H7807" s="2" t="s">
        <v>20</v>
      </c>
      <c r="I7807" s="2" t="s">
        <v>16251</v>
      </c>
      <c r="J7807" s="3" t="str">
        <f>HYPERLINK("https://www.boe.es/gazeta/dias/1813/11/04/pdfs/GMR-1813-68.pdf#page=2","Abrir facsímil")</f>
        <v>Abrir facsímil</v>
      </c>
      <c r="K7807" s="3" t="s">
        <v>22</v>
      </c>
    </row>
    <row r="7808" spans="1:11" ht="42" customHeight="1">
      <c r="A7808" s="2" t="s">
        <v>16242</v>
      </c>
      <c r="B7808" s="2" t="s">
        <v>16242</v>
      </c>
      <c r="C7808" s="2" t="s">
        <v>16</v>
      </c>
      <c r="D7808" s="2" t="s">
        <v>17</v>
      </c>
      <c r="E7808" s="5">
        <v>-31453</v>
      </c>
      <c r="F7808" s="3" t="s">
        <v>695</v>
      </c>
      <c r="G7808" s="3" t="s">
        <v>19</v>
      </c>
      <c r="H7808" s="2" t="s">
        <v>20</v>
      </c>
      <c r="I7808" s="2" t="s">
        <v>16252</v>
      </c>
      <c r="J7808" s="3" t="str">
        <f>HYPERLINK("https://www.boe.es/gazeta/dias/1813/11/18/pdfs/GRE-1813-151.pdf#page=4","Abrir facsímil")</f>
        <v>Abrir facsímil</v>
      </c>
      <c r="K7808" s="3" t="s">
        <v>22</v>
      </c>
    </row>
    <row r="7809" spans="1:11" ht="42" customHeight="1">
      <c r="A7809" s="2" t="s">
        <v>16253</v>
      </c>
      <c r="B7809" s="2" t="s">
        <v>16254</v>
      </c>
      <c r="C7809" s="2" t="s">
        <v>16</v>
      </c>
      <c r="D7809" s="2" t="s">
        <v>17</v>
      </c>
      <c r="E7809" s="5">
        <v>-31530</v>
      </c>
      <c r="F7809" s="3" t="s">
        <v>319</v>
      </c>
      <c r="G7809" s="3" t="s">
        <v>58</v>
      </c>
      <c r="H7809" s="2" t="s">
        <v>20</v>
      </c>
      <c r="I7809" s="2" t="s">
        <v>16255</v>
      </c>
      <c r="J7809" s="3" t="str">
        <f>HYPERLINK("https://www.boe.es/gazeta/dias/1813/09/02/pdfs/GRE-1813-112.pdf#page=2","Abrir facsímil")</f>
        <v>Abrir facsímil</v>
      </c>
      <c r="K7809" s="3" t="s">
        <v>22</v>
      </c>
    </row>
    <row r="7810" spans="1:11" ht="42" customHeight="1">
      <c r="A7810" s="2" t="s">
        <v>16253</v>
      </c>
      <c r="B7810" s="2" t="s">
        <v>16254</v>
      </c>
      <c r="C7810" s="2" t="s">
        <v>16</v>
      </c>
      <c r="D7810" s="2" t="s">
        <v>17</v>
      </c>
      <c r="E7810" s="5">
        <v>-31523</v>
      </c>
      <c r="F7810" s="3" t="s">
        <v>81</v>
      </c>
      <c r="G7810" s="3" t="s">
        <v>807</v>
      </c>
      <c r="H7810" s="2" t="s">
        <v>20</v>
      </c>
      <c r="I7810" s="2" t="s">
        <v>16256</v>
      </c>
      <c r="J7810" s="3" t="str">
        <f>HYPERLINK("https://www.boe.es/gazeta/dias/1813/09/09/pdfs/GRE-1813-115.pdf#page=2","Abrir facsímil")</f>
        <v>Abrir facsímil</v>
      </c>
      <c r="K7810" s="3" t="s">
        <v>22</v>
      </c>
    </row>
    <row r="7811" spans="1:11" ht="42" customHeight="1">
      <c r="A7811" s="2" t="s">
        <v>16257</v>
      </c>
      <c r="B7811" s="2" t="s">
        <v>16258</v>
      </c>
      <c r="C7811" s="2" t="s">
        <v>16</v>
      </c>
      <c r="D7811" s="2" t="s">
        <v>17</v>
      </c>
      <c r="E7811" s="5">
        <v>-31691</v>
      </c>
      <c r="F7811" s="3" t="s">
        <v>1542</v>
      </c>
      <c r="G7811" s="3" t="s">
        <v>82</v>
      </c>
      <c r="H7811" s="2" t="s">
        <v>20</v>
      </c>
      <c r="I7811" s="2" t="s">
        <v>16259</v>
      </c>
      <c r="J7811" s="3" t="str">
        <f>HYPERLINK("https://www.boe.es/gazeta/dias/1813/03/25/pdfs/GRE-1813-37.pdf#page=5","Abrir facsímil")</f>
        <v>Abrir facsímil</v>
      </c>
      <c r="K7811" s="3" t="s">
        <v>22</v>
      </c>
    </row>
    <row r="7812" spans="1:11" ht="42" customHeight="1">
      <c r="A7812" s="2" t="s">
        <v>16260</v>
      </c>
      <c r="B7812" s="2" t="s">
        <v>16261</v>
      </c>
      <c r="C7812" s="2" t="s">
        <v>16</v>
      </c>
      <c r="D7812" s="2" t="s">
        <v>17</v>
      </c>
      <c r="E7812" s="5">
        <v>-31523</v>
      </c>
      <c r="F7812" s="3" t="s">
        <v>81</v>
      </c>
      <c r="G7812" s="3" t="s">
        <v>807</v>
      </c>
      <c r="H7812" s="2" t="s">
        <v>20</v>
      </c>
      <c r="I7812" s="2" t="s">
        <v>16262</v>
      </c>
      <c r="J7812" s="3" t="str">
        <f>HYPERLINK("https://www.boe.es/gazeta/dias/1813/09/09/pdfs/GRE-1813-115.pdf#page=2","Abrir facsímil")</f>
        <v>Abrir facsímil</v>
      </c>
      <c r="K7812" s="3" t="s">
        <v>22</v>
      </c>
    </row>
    <row r="7813" spans="1:11" ht="42" customHeight="1">
      <c r="A7813" s="2" t="s">
        <v>16263</v>
      </c>
      <c r="B7813" s="2" t="s">
        <v>16263</v>
      </c>
      <c r="C7813" s="2" t="s">
        <v>16</v>
      </c>
      <c r="D7813" s="2" t="s">
        <v>17</v>
      </c>
      <c r="E7813" s="5">
        <v>-31737</v>
      </c>
      <c r="F7813" s="3" t="s">
        <v>5824</v>
      </c>
      <c r="G7813" s="3" t="s">
        <v>19</v>
      </c>
      <c r="H7813" s="2" t="s">
        <v>20</v>
      </c>
      <c r="I7813" s="2" t="s">
        <v>16264</v>
      </c>
      <c r="J7813" s="3" t="str">
        <f>HYPERLINK("https://www.boe.es/gazeta/dias/1813/02/07/pdfs/GMD-1813-38.pdf#page=4","Abrir facsímil")</f>
        <v>Abrir facsímil</v>
      </c>
      <c r="K7813" s="3" t="s">
        <v>22</v>
      </c>
    </row>
    <row r="7814" spans="1:11" ht="42" customHeight="1">
      <c r="A7814" s="2" t="s">
        <v>16265</v>
      </c>
      <c r="B7814" s="2" t="s">
        <v>16265</v>
      </c>
      <c r="C7814" s="2" t="s">
        <v>16</v>
      </c>
      <c r="D7814" s="2" t="s">
        <v>17</v>
      </c>
      <c r="E7814" s="5">
        <v>-31756</v>
      </c>
      <c r="F7814" s="3" t="s">
        <v>951</v>
      </c>
      <c r="G7814" s="3" t="s">
        <v>669</v>
      </c>
      <c r="H7814" s="2" t="s">
        <v>20</v>
      </c>
      <c r="I7814" s="2" t="s">
        <v>16266</v>
      </c>
      <c r="J7814" s="3" t="str">
        <f>HYPERLINK("https://www.boe.es/gazeta/dias/1813/01/19/pdfs/GRE-1813-8.pdf#page=2","Abrir facsímil")</f>
        <v>Abrir facsímil</v>
      </c>
      <c r="K7814" s="3" t="s">
        <v>22</v>
      </c>
    </row>
    <row r="7815" spans="1:11" ht="42" customHeight="1">
      <c r="A7815" s="2" t="s">
        <v>16265</v>
      </c>
      <c r="B7815" s="2" t="s">
        <v>16265</v>
      </c>
      <c r="C7815" s="2" t="s">
        <v>16</v>
      </c>
      <c r="D7815" s="2" t="s">
        <v>17</v>
      </c>
      <c r="E7815" s="5">
        <v>-31752</v>
      </c>
      <c r="F7815" s="3" t="s">
        <v>182</v>
      </c>
      <c r="G7815" s="3" t="s">
        <v>54</v>
      </c>
      <c r="H7815" s="2" t="s">
        <v>20</v>
      </c>
      <c r="I7815" s="2" t="s">
        <v>16267</v>
      </c>
      <c r="J7815" s="3" t="str">
        <f>HYPERLINK("https://www.boe.es/gazeta/dias/1813/01/23/pdfs/GRE-1813-10.pdf#page=3","Abrir facsímil")</f>
        <v>Abrir facsímil</v>
      </c>
      <c r="K7815" s="3" t="s">
        <v>22</v>
      </c>
    </row>
    <row r="7816" spans="1:11" ht="42" customHeight="1">
      <c r="A7816" s="2" t="s">
        <v>16265</v>
      </c>
      <c r="B7816" s="2" t="s">
        <v>16265</v>
      </c>
      <c r="C7816" s="2" t="s">
        <v>16</v>
      </c>
      <c r="D7816" s="2" t="s">
        <v>17</v>
      </c>
      <c r="E7816" s="5">
        <v>-31700</v>
      </c>
      <c r="F7816" s="3" t="s">
        <v>226</v>
      </c>
      <c r="G7816" s="3" t="s">
        <v>87</v>
      </c>
      <c r="H7816" s="2" t="s">
        <v>20</v>
      </c>
      <c r="I7816" s="2" t="s">
        <v>16268</v>
      </c>
      <c r="J7816" s="3" t="str">
        <f>HYPERLINK("https://www.boe.es/gazeta/dias/1813/03/16/pdfs/GRE-1813-33.pdf#page=7","Abrir facsímil")</f>
        <v>Abrir facsímil</v>
      </c>
      <c r="K7816" s="3" t="s">
        <v>22</v>
      </c>
    </row>
    <row r="7817" spans="1:11" ht="42" customHeight="1">
      <c r="A7817" s="2" t="s">
        <v>16269</v>
      </c>
      <c r="B7817" s="2" t="s">
        <v>16270</v>
      </c>
      <c r="C7817" s="2" t="s">
        <v>16</v>
      </c>
      <c r="D7817" s="2" t="s">
        <v>17</v>
      </c>
      <c r="E7817" s="5">
        <v>-31544</v>
      </c>
      <c r="F7817" s="3" t="s">
        <v>44</v>
      </c>
      <c r="G7817" s="3" t="s">
        <v>95</v>
      </c>
      <c r="H7817" s="2" t="s">
        <v>20</v>
      </c>
      <c r="I7817" s="2" t="s">
        <v>16271</v>
      </c>
      <c r="J7817" s="3" t="str">
        <f>HYPERLINK("https://www.boe.es/gazeta/dias/1813/08/19/pdfs/GMR-1813-30.pdf#page=6","Abrir facsímil")</f>
        <v>Abrir facsímil</v>
      </c>
      <c r="K7817" s="3" t="s">
        <v>22</v>
      </c>
    </row>
    <row r="7818" spans="1:11" ht="42" customHeight="1">
      <c r="A7818" s="2" t="s">
        <v>16272</v>
      </c>
      <c r="B7818" s="2" t="s">
        <v>16273</v>
      </c>
      <c r="C7818" s="2" t="s">
        <v>34</v>
      </c>
      <c r="D7818" s="2" t="s">
        <v>35</v>
      </c>
      <c r="E7818" s="5">
        <v>-31709</v>
      </c>
      <c r="F7818" s="3" t="s">
        <v>36</v>
      </c>
      <c r="G7818" s="3" t="s">
        <v>303</v>
      </c>
      <c r="H7818" s="2" t="s">
        <v>20</v>
      </c>
      <c r="I7818" s="2" t="s">
        <v>16274</v>
      </c>
      <c r="J7818" s="3" t="str">
        <f>HYPERLINK("https://www.boe.es/gazeta/dias/1813/03/07/pdfs/GMD-1813-66.pdf#page=3","Abrir facsímil")</f>
        <v>Abrir facsímil</v>
      </c>
      <c r="K7818" s="3" t="s">
        <v>22</v>
      </c>
    </row>
    <row r="7819" spans="1:11" ht="42" customHeight="1">
      <c r="A7819" s="2" t="s">
        <v>16275</v>
      </c>
      <c r="B7819" s="2" t="s">
        <v>16276</v>
      </c>
      <c r="C7819" s="2" t="s">
        <v>187</v>
      </c>
      <c r="D7819" s="2" t="s">
        <v>26</v>
      </c>
      <c r="E7819" s="5">
        <v>-31694</v>
      </c>
      <c r="F7819" s="3" t="s">
        <v>2756</v>
      </c>
      <c r="G7819" s="3" t="s">
        <v>19</v>
      </c>
      <c r="H7819" s="2" t="s">
        <v>20</v>
      </c>
      <c r="I7819" s="2" t="s">
        <v>16277</v>
      </c>
      <c r="J7819" s="3" t="str">
        <f>HYPERLINK("https://www.boe.es/gazeta/dias/1813/03/22/pdfs/GMD-1813-81.pdf#page=4","Abrir facsímil")</f>
        <v>Abrir facsímil</v>
      </c>
      <c r="K7819" s="3" t="s">
        <v>22</v>
      </c>
    </row>
    <row r="7820" spans="1:11" ht="42" customHeight="1">
      <c r="A7820" s="2" t="s">
        <v>16275</v>
      </c>
      <c r="B7820" s="2" t="s">
        <v>16276</v>
      </c>
      <c r="C7820" s="2" t="s">
        <v>25</v>
      </c>
      <c r="D7820" s="2" t="s">
        <v>26</v>
      </c>
      <c r="E7820" s="5">
        <v>-31439</v>
      </c>
      <c r="F7820" s="3" t="s">
        <v>1298</v>
      </c>
      <c r="G7820" s="3" t="s">
        <v>28</v>
      </c>
      <c r="H7820" s="2" t="s">
        <v>20</v>
      </c>
      <c r="I7820" s="2" t="s">
        <v>16278</v>
      </c>
      <c r="J7820" s="3" t="str">
        <f>HYPERLINK("https://www.boe.es/gazeta/dias/1813/12/02/pdfs/GMR-1813-82.pdf#page=8","Abrir facsímil")</f>
        <v>Abrir facsímil</v>
      </c>
      <c r="K7820" s="3" t="s">
        <v>22</v>
      </c>
    </row>
    <row r="7821" spans="1:11" ht="42" customHeight="1">
      <c r="A7821" s="2" t="s">
        <v>16275</v>
      </c>
      <c r="B7821" s="2" t="s">
        <v>16276</v>
      </c>
      <c r="C7821" s="2" t="s">
        <v>25</v>
      </c>
      <c r="D7821" s="2" t="s">
        <v>26</v>
      </c>
      <c r="E7821" s="5">
        <v>-31416</v>
      </c>
      <c r="F7821" s="3" t="s">
        <v>278</v>
      </c>
      <c r="G7821" s="3" t="s">
        <v>279</v>
      </c>
      <c r="H7821" s="2" t="s">
        <v>20</v>
      </c>
      <c r="I7821" s="2" t="s">
        <v>16279</v>
      </c>
      <c r="J7821" s="3" t="str">
        <f>HYPERLINK("https://www.boe.es/gazeta/dias/1813/12/25/pdfs/GMR-1813-92.pdf#page=11","Abrir facsímil")</f>
        <v>Abrir facsímil</v>
      </c>
      <c r="K7821" s="3" t="s">
        <v>22</v>
      </c>
    </row>
    <row r="7822" spans="1:11" ht="42" customHeight="1">
      <c r="A7822" s="2" t="s">
        <v>16280</v>
      </c>
      <c r="B7822" s="2" t="s">
        <v>16281</v>
      </c>
      <c r="C7822" s="2" t="s">
        <v>25</v>
      </c>
      <c r="D7822" s="2" t="s">
        <v>26</v>
      </c>
      <c r="E7822" s="5">
        <v>-31745</v>
      </c>
      <c r="F7822" s="3" t="s">
        <v>445</v>
      </c>
      <c r="G7822" s="3" t="s">
        <v>475</v>
      </c>
      <c r="H7822" s="2" t="s">
        <v>20</v>
      </c>
      <c r="I7822" s="2" t="s">
        <v>16282</v>
      </c>
      <c r="J7822" s="3" t="str">
        <f>HYPERLINK("https://www.boe.es/gazeta/dias/1813/01/30/pdfs/GRE-1813-13.pdf#page=7","Abrir facsímil")</f>
        <v>Abrir facsímil</v>
      </c>
      <c r="K7822" s="3" t="s">
        <v>22</v>
      </c>
    </row>
    <row r="7823" spans="1:11" ht="42" customHeight="1">
      <c r="A7823" s="2" t="s">
        <v>16283</v>
      </c>
      <c r="B7823" s="2" t="s">
        <v>16284</v>
      </c>
      <c r="C7823" s="2" t="s">
        <v>16</v>
      </c>
      <c r="D7823" s="2" t="s">
        <v>17</v>
      </c>
      <c r="E7823" s="5">
        <v>-31467</v>
      </c>
      <c r="F7823" s="3" t="s">
        <v>1464</v>
      </c>
      <c r="G7823" s="3" t="s">
        <v>82</v>
      </c>
      <c r="H7823" s="2" t="s">
        <v>20</v>
      </c>
      <c r="I7823" s="2" t="s">
        <v>16285</v>
      </c>
      <c r="J7823" s="3" t="str">
        <f>HYPERLINK("https://www.boe.es/gazeta/dias/1813/11/04/pdfs/GRE-1813-144.pdf#page=5","Abrir facsímil")</f>
        <v>Abrir facsímil</v>
      </c>
      <c r="K7823" s="3" t="s">
        <v>22</v>
      </c>
    </row>
    <row r="7824" spans="1:11" ht="42" customHeight="1">
      <c r="A7824" s="2" t="s">
        <v>16286</v>
      </c>
      <c r="B7824" s="2" t="s">
        <v>16287</v>
      </c>
      <c r="C7824" s="2" t="s">
        <v>16</v>
      </c>
      <c r="D7824" s="2" t="s">
        <v>17</v>
      </c>
      <c r="E7824" s="5">
        <v>-31740</v>
      </c>
      <c r="F7824" s="3" t="s">
        <v>354</v>
      </c>
      <c r="G7824" s="3" t="s">
        <v>19</v>
      </c>
      <c r="H7824" s="2" t="s">
        <v>20</v>
      </c>
      <c r="I7824" s="2" t="s">
        <v>16288</v>
      </c>
      <c r="J7824" s="3" t="str">
        <f>HYPERLINK("https://www.boe.es/gazeta/dias/1813/02/04/pdfs/GRE-1813-15.pdf#page=4","Abrir facsímil")</f>
        <v>Abrir facsímil</v>
      </c>
      <c r="K7824" s="3" t="s">
        <v>22</v>
      </c>
    </row>
    <row r="7825" spans="1:11" ht="42" customHeight="1">
      <c r="A7825" s="2" t="s">
        <v>16289</v>
      </c>
      <c r="B7825" s="2" t="s">
        <v>16290</v>
      </c>
      <c r="C7825" s="2" t="s">
        <v>34</v>
      </c>
      <c r="D7825" s="2" t="s">
        <v>35</v>
      </c>
      <c r="E7825" s="5">
        <v>-31709</v>
      </c>
      <c r="F7825" s="3" t="s">
        <v>36</v>
      </c>
      <c r="G7825" s="3" t="s">
        <v>19</v>
      </c>
      <c r="H7825" s="2" t="s">
        <v>20</v>
      </c>
      <c r="I7825" s="2" t="s">
        <v>16291</v>
      </c>
      <c r="J7825" s="3" t="str">
        <f>HYPERLINK("https://www.boe.es/gazeta/dias/1813/03/07/pdfs/GMD-1813-66.pdf#page=4","Abrir facsímil")</f>
        <v>Abrir facsímil</v>
      </c>
      <c r="K7825" s="3" t="s">
        <v>22</v>
      </c>
    </row>
    <row r="7826" spans="1:11" ht="42" customHeight="1">
      <c r="A7826" s="2" t="s">
        <v>16292</v>
      </c>
      <c r="B7826" s="2" t="s">
        <v>16293</v>
      </c>
      <c r="C7826" s="2" t="s">
        <v>16</v>
      </c>
      <c r="D7826" s="2" t="s">
        <v>17</v>
      </c>
      <c r="E7826" s="5">
        <v>-31709</v>
      </c>
      <c r="F7826" s="3" t="s">
        <v>36</v>
      </c>
      <c r="G7826" s="3" t="s">
        <v>58</v>
      </c>
      <c r="H7826" s="2" t="s">
        <v>20</v>
      </c>
      <c r="I7826" s="2" t="s">
        <v>16294</v>
      </c>
      <c r="J7826" s="3" t="str">
        <f>HYPERLINK("https://www.boe.es/gazeta/dias/1813/03/07/pdfs/GMD-1813-66.pdf#page=2","Abrir facsímil")</f>
        <v>Abrir facsímil</v>
      </c>
      <c r="K7826" s="3" t="s">
        <v>22</v>
      </c>
    </row>
    <row r="7827" spans="1:11" ht="42" customHeight="1">
      <c r="A7827" s="2" t="s">
        <v>16295</v>
      </c>
      <c r="B7827" s="2" t="s">
        <v>16296</v>
      </c>
      <c r="C7827" s="2" t="s">
        <v>16</v>
      </c>
      <c r="D7827" s="2" t="s">
        <v>17</v>
      </c>
      <c r="E7827" s="5">
        <v>-31521</v>
      </c>
      <c r="F7827" s="3" t="s">
        <v>1256</v>
      </c>
      <c r="G7827" s="3" t="s">
        <v>87</v>
      </c>
      <c r="H7827" s="2" t="s">
        <v>20</v>
      </c>
      <c r="I7827" s="2" t="s">
        <v>16297</v>
      </c>
      <c r="J7827" s="3" t="str">
        <f>HYPERLINK("https://www.boe.es/gazeta/dias/1813/09/11/pdfs/GRE-1813-116.pdf#page=7","Abrir facsímil")</f>
        <v>Abrir facsímil</v>
      </c>
      <c r="K7827" s="3" t="s">
        <v>22</v>
      </c>
    </row>
    <row r="7828" spans="1:11" ht="42" customHeight="1">
      <c r="A7828" s="2" t="s">
        <v>16298</v>
      </c>
      <c r="B7828" s="2" t="s">
        <v>16299</v>
      </c>
      <c r="C7828" s="2" t="s">
        <v>16</v>
      </c>
      <c r="D7828" s="2" t="s">
        <v>97</v>
      </c>
      <c r="E7828" s="5">
        <v>-31519</v>
      </c>
      <c r="F7828" s="3" t="s">
        <v>312</v>
      </c>
      <c r="G7828" s="3" t="s">
        <v>28</v>
      </c>
      <c r="H7828" s="2" t="s">
        <v>20</v>
      </c>
      <c r="I7828" s="2" t="s">
        <v>16300</v>
      </c>
      <c r="J7828" s="3" t="str">
        <f>HYPERLINK("https://www.boe.es/gazeta/dias/1813/09/13/pdfs/GRE-1813-118E.pdf#page=8","Abrir facsímil")</f>
        <v>Abrir facsímil</v>
      </c>
      <c r="K7828" s="3" t="s">
        <v>22</v>
      </c>
    </row>
    <row r="7829" spans="1:11" ht="42" customHeight="1">
      <c r="A7829" s="2" t="s">
        <v>16301</v>
      </c>
      <c r="B7829" s="2" t="s">
        <v>16302</v>
      </c>
      <c r="C7829" s="2" t="s">
        <v>16</v>
      </c>
      <c r="D7829" s="2" t="s">
        <v>17</v>
      </c>
      <c r="E7829" s="5">
        <v>-31507</v>
      </c>
      <c r="F7829" s="3" t="s">
        <v>61</v>
      </c>
      <c r="G7829" s="3" t="s">
        <v>791</v>
      </c>
      <c r="H7829" s="2" t="s">
        <v>20</v>
      </c>
      <c r="I7829" s="2" t="s">
        <v>16303</v>
      </c>
      <c r="J7829" s="3" t="str">
        <f>HYPERLINK("https://www.boe.es/gazeta/dias/1813/09/25/pdfs/GMR-1813-48.pdf#page=7","Abrir facsímil")</f>
        <v>Abrir facsímil</v>
      </c>
      <c r="K7829" s="3" t="s">
        <v>22</v>
      </c>
    </row>
    <row r="7830" spans="1:11" ht="42" customHeight="1">
      <c r="A7830" s="2" t="s">
        <v>16304</v>
      </c>
      <c r="B7830" s="2" t="s">
        <v>16305</v>
      </c>
      <c r="C7830" s="2" t="s">
        <v>34</v>
      </c>
      <c r="D7830" s="2" t="s">
        <v>35</v>
      </c>
      <c r="E7830" s="5">
        <v>-31709</v>
      </c>
      <c r="F7830" s="3" t="s">
        <v>36</v>
      </c>
      <c r="G7830" s="3" t="s">
        <v>303</v>
      </c>
      <c r="H7830" s="2" t="s">
        <v>29</v>
      </c>
      <c r="I7830" s="2" t="s">
        <v>16306</v>
      </c>
      <c r="J7830" s="3" t="str">
        <f>HYPERLINK("https://www.boe.es/gazeta/dias/1813/03/07/pdfs/GMD-1813-66.pdf#page=3","Abrir facsímil")</f>
        <v>Abrir facsímil</v>
      </c>
      <c r="K7830" s="3" t="s">
        <v>31</v>
      </c>
    </row>
    <row r="7831" spans="1:11" ht="42" customHeight="1">
      <c r="A7831" s="2" t="s">
        <v>16307</v>
      </c>
      <c r="B7831" s="2" t="s">
        <v>16308</v>
      </c>
      <c r="C7831" s="2" t="s">
        <v>16</v>
      </c>
      <c r="D7831" s="2" t="s">
        <v>17</v>
      </c>
      <c r="E7831" s="5">
        <v>-31530</v>
      </c>
      <c r="F7831" s="3" t="s">
        <v>133</v>
      </c>
      <c r="G7831" s="3" t="s">
        <v>82</v>
      </c>
      <c r="H7831" s="2" t="s">
        <v>20</v>
      </c>
      <c r="I7831" s="2" t="s">
        <v>16309</v>
      </c>
      <c r="J7831" s="3" t="str">
        <f>HYPERLINK("https://www.boe.es/gazeta/dias/1813/09/02/pdfs/GMR-1813-36.pdf#page=5","Abrir facsímil")</f>
        <v>Abrir facsímil</v>
      </c>
      <c r="K7831" s="3" t="s">
        <v>22</v>
      </c>
    </row>
    <row r="7832" spans="1:11" ht="42" customHeight="1">
      <c r="A7832" s="2" t="s">
        <v>16310</v>
      </c>
      <c r="B7832" s="2" t="s">
        <v>16310</v>
      </c>
      <c r="C7832" s="2" t="s">
        <v>16</v>
      </c>
      <c r="D7832" s="2" t="s">
        <v>97</v>
      </c>
      <c r="E7832" s="5">
        <v>-31716</v>
      </c>
      <c r="F7832" s="3" t="s">
        <v>6756</v>
      </c>
      <c r="G7832" s="3" t="s">
        <v>2048</v>
      </c>
      <c r="H7832" s="2" t="s">
        <v>20</v>
      </c>
      <c r="I7832" s="2" t="s">
        <v>16311</v>
      </c>
      <c r="J7832" s="3" t="str">
        <f>HYPERLINK("https://www.boe.es/gazeta/dias/1813/02/28/pdfs/GRE-1813-26E.pdf#page=3","Abrir facsímil")</f>
        <v>Abrir facsímil</v>
      </c>
      <c r="K7832" s="3" t="s">
        <v>22</v>
      </c>
    </row>
    <row r="7833" spans="1:11" ht="42" customHeight="1">
      <c r="A7833" s="2" t="s">
        <v>16312</v>
      </c>
      <c r="B7833" s="2" t="s">
        <v>16312</v>
      </c>
      <c r="C7833" s="2" t="s">
        <v>16</v>
      </c>
      <c r="D7833" s="2" t="s">
        <v>17</v>
      </c>
      <c r="E7833" s="5">
        <v>-31670</v>
      </c>
      <c r="F7833" s="3" t="s">
        <v>92</v>
      </c>
      <c r="G7833" s="3" t="s">
        <v>5645</v>
      </c>
      <c r="H7833" s="2" t="s">
        <v>20</v>
      </c>
      <c r="I7833" s="2" t="s">
        <v>16313</v>
      </c>
      <c r="J7833" s="3" t="str">
        <f>HYPERLINK("https://www.boe.es/gazeta/dias/1813/04/15/pdfs/GRE-1813-46.pdf#page=3","Abrir facsímil")</f>
        <v>Abrir facsímil</v>
      </c>
      <c r="K7833" s="3" t="s">
        <v>22</v>
      </c>
    </row>
    <row r="7834" spans="1:11" ht="42" customHeight="1">
      <c r="A7834" s="2" t="s">
        <v>16314</v>
      </c>
      <c r="B7834" s="2" t="s">
        <v>16315</v>
      </c>
      <c r="C7834" s="2" t="s">
        <v>16</v>
      </c>
      <c r="D7834" s="2" t="s">
        <v>17</v>
      </c>
      <c r="E7834" s="5">
        <v>-31761</v>
      </c>
      <c r="F7834" s="3" t="s">
        <v>376</v>
      </c>
      <c r="G7834" s="3" t="s">
        <v>5145</v>
      </c>
      <c r="H7834" s="2" t="s">
        <v>20</v>
      </c>
      <c r="I7834" s="2" t="s">
        <v>16316</v>
      </c>
      <c r="J7834" s="3" t="str">
        <f>HYPERLINK("https://www.boe.es/gazeta/dias/1813/01/14/pdfs/GRE-1813-6.pdf#page=8","Abrir facsímil")</f>
        <v>Abrir facsímil</v>
      </c>
      <c r="K7834" s="3" t="s">
        <v>22</v>
      </c>
    </row>
    <row r="7835" spans="1:11" ht="42" customHeight="1">
      <c r="A7835" s="2" t="s">
        <v>16314</v>
      </c>
      <c r="B7835" s="2" t="s">
        <v>16315</v>
      </c>
      <c r="C7835" s="2" t="s">
        <v>34</v>
      </c>
      <c r="D7835" s="2" t="s">
        <v>35</v>
      </c>
      <c r="E7835" s="5">
        <v>-31635</v>
      </c>
      <c r="F7835" s="3" t="s">
        <v>2173</v>
      </c>
      <c r="G7835" s="3" t="s">
        <v>16317</v>
      </c>
      <c r="H7835" s="2" t="s">
        <v>20</v>
      </c>
      <c r="I7835" s="2" t="s">
        <v>16318</v>
      </c>
      <c r="J7835" s="3" t="str">
        <f>HYPERLINK("https://www.boe.es/gazeta/dias/1813/05/20/pdfs/GRE-1813-62.pdf#page=7","Abrir facsímil")</f>
        <v>Abrir facsímil</v>
      </c>
      <c r="K7835" s="3" t="s">
        <v>22</v>
      </c>
    </row>
    <row r="7836" spans="1:11" ht="42" customHeight="1">
      <c r="A7836" s="2" t="s">
        <v>16314</v>
      </c>
      <c r="B7836" s="2" t="s">
        <v>16315</v>
      </c>
      <c r="C7836" s="2" t="s">
        <v>34</v>
      </c>
      <c r="D7836" s="2" t="s">
        <v>97</v>
      </c>
      <c r="E7836" s="5">
        <v>-31623</v>
      </c>
      <c r="F7836" s="3" t="s">
        <v>786</v>
      </c>
      <c r="G7836" s="3" t="s">
        <v>65</v>
      </c>
      <c r="H7836" s="2" t="s">
        <v>20</v>
      </c>
      <c r="I7836" s="2" t="s">
        <v>16319</v>
      </c>
      <c r="J7836" s="3" t="str">
        <f>HYPERLINK("https://www.boe.es/gazeta/dias/1813/06/01/pdfs/GRE-1813-68E.pdf#page=1","Abrir facsímil")</f>
        <v>Abrir facsímil</v>
      </c>
      <c r="K7836" s="3" t="s">
        <v>22</v>
      </c>
    </row>
    <row r="7837" spans="1:11" ht="42" customHeight="1">
      <c r="A7837" s="2" t="s">
        <v>16314</v>
      </c>
      <c r="B7837" s="2" t="s">
        <v>16315</v>
      </c>
      <c r="C7837" s="2" t="s">
        <v>435</v>
      </c>
      <c r="D7837" s="2" t="s">
        <v>26</v>
      </c>
      <c r="E7837" s="5">
        <v>-31593</v>
      </c>
      <c r="F7837" s="3" t="s">
        <v>5942</v>
      </c>
      <c r="G7837" s="3" t="s">
        <v>28</v>
      </c>
      <c r="H7837" s="2" t="s">
        <v>20</v>
      </c>
      <c r="I7837" s="2" t="s">
        <v>16320</v>
      </c>
      <c r="J7837" s="3" t="str">
        <f>HYPERLINK("https://www.boe.es/gazeta/dias/1813/07/01/pdfs/GRE-1813-81.pdf#page=8","Abrir facsímil")</f>
        <v>Abrir facsímil</v>
      </c>
      <c r="K7837" s="3" t="s">
        <v>22</v>
      </c>
    </row>
    <row r="7838" spans="1:11" ht="42" customHeight="1">
      <c r="A7838" s="2" t="s">
        <v>16314</v>
      </c>
      <c r="B7838" s="2" t="s">
        <v>16315</v>
      </c>
      <c r="C7838" s="2" t="s">
        <v>34</v>
      </c>
      <c r="D7838" s="2" t="s">
        <v>97</v>
      </c>
      <c r="E7838" s="5">
        <v>-31511</v>
      </c>
      <c r="F7838" s="3" t="s">
        <v>3791</v>
      </c>
      <c r="G7838" s="3" t="s">
        <v>4648</v>
      </c>
      <c r="H7838" s="2" t="s">
        <v>20</v>
      </c>
      <c r="I7838" s="2" t="s">
        <v>16321</v>
      </c>
      <c r="J7838" s="3" t="str">
        <f>HYPERLINK("https://www.boe.es/gazeta/dias/1813/09/21/pdfs/GRE-1813-124E.pdf#page=2","Abrir facsímil")</f>
        <v>Abrir facsímil</v>
      </c>
      <c r="K7838" s="3" t="s">
        <v>22</v>
      </c>
    </row>
    <row r="7839" spans="1:11" ht="42" customHeight="1">
      <c r="A7839" s="2" t="s">
        <v>16322</v>
      </c>
      <c r="B7839" s="2" t="s">
        <v>16322</v>
      </c>
      <c r="C7839" s="2" t="s">
        <v>16</v>
      </c>
      <c r="D7839" s="2" t="s">
        <v>17</v>
      </c>
      <c r="E7839" s="5">
        <v>-31564</v>
      </c>
      <c r="F7839" s="3" t="s">
        <v>206</v>
      </c>
      <c r="G7839" s="3" t="s">
        <v>207</v>
      </c>
      <c r="H7839" s="2" t="s">
        <v>20</v>
      </c>
      <c r="I7839" s="2" t="s">
        <v>16323</v>
      </c>
      <c r="J7839" s="3" t="str">
        <f>HYPERLINK("https://www.boe.es/gazeta/dias/1813/07/30/pdfs/GMR-1813-22.pdf#page=10","Abrir facsímil")</f>
        <v>Abrir facsímil</v>
      </c>
      <c r="K7839" s="3" t="s">
        <v>22</v>
      </c>
    </row>
    <row r="7840" spans="1:11" ht="42" customHeight="1">
      <c r="A7840" s="2" t="s">
        <v>16324</v>
      </c>
      <c r="B7840" s="2" t="s">
        <v>16325</v>
      </c>
      <c r="C7840" s="2" t="s">
        <v>16</v>
      </c>
      <c r="D7840" s="2" t="s">
        <v>17</v>
      </c>
      <c r="E7840" s="5">
        <v>-31474</v>
      </c>
      <c r="F7840" s="3" t="s">
        <v>130</v>
      </c>
      <c r="G7840" s="3" t="s">
        <v>28</v>
      </c>
      <c r="H7840" s="2" t="s">
        <v>20</v>
      </c>
      <c r="I7840" s="2" t="s">
        <v>16326</v>
      </c>
      <c r="J7840" s="3" t="str">
        <f>HYPERLINK("https://www.boe.es/gazeta/dias/1813/10/28/pdfs/GRE-1813-141.pdf#page=8","Abrir facsímil")</f>
        <v>Abrir facsímil</v>
      </c>
      <c r="K7840" s="3" t="s">
        <v>22</v>
      </c>
    </row>
    <row r="7841" spans="1:11" ht="42" customHeight="1">
      <c r="A7841" s="2" t="s">
        <v>16327</v>
      </c>
      <c r="B7841" s="2" t="s">
        <v>16328</v>
      </c>
      <c r="C7841" s="2" t="s">
        <v>25</v>
      </c>
      <c r="D7841" s="2" t="s">
        <v>26</v>
      </c>
      <c r="E7841" s="5">
        <v>-31745</v>
      </c>
      <c r="F7841" s="3" t="s">
        <v>445</v>
      </c>
      <c r="G7841" s="3" t="s">
        <v>28</v>
      </c>
      <c r="H7841" s="2" t="s">
        <v>20</v>
      </c>
      <c r="I7841" s="2" t="s">
        <v>16329</v>
      </c>
      <c r="J7841" s="3" t="str">
        <f>HYPERLINK("https://www.boe.es/gazeta/dias/1813/01/30/pdfs/GRE-1813-13.pdf#page=8","Abrir facsímil")</f>
        <v>Abrir facsímil</v>
      </c>
      <c r="K7841" s="3" t="s">
        <v>22</v>
      </c>
    </row>
    <row r="7842" spans="1:11" ht="42" customHeight="1">
      <c r="A7842" s="2" t="s">
        <v>16330</v>
      </c>
      <c r="B7842" s="2" t="s">
        <v>16331</v>
      </c>
      <c r="C7842" s="2" t="s">
        <v>25</v>
      </c>
      <c r="D7842" s="2" t="s">
        <v>26</v>
      </c>
      <c r="E7842" s="5">
        <v>-31689</v>
      </c>
      <c r="F7842" s="3" t="s">
        <v>48</v>
      </c>
      <c r="G7842" s="3" t="s">
        <v>162</v>
      </c>
      <c r="H7842" s="2" t="s">
        <v>20</v>
      </c>
      <c r="I7842" s="2" t="s">
        <v>16332</v>
      </c>
      <c r="J7842" s="3" t="str">
        <f>HYPERLINK("https://www.boe.es/gazeta/dias/1813/03/27/pdfs/GRE-1813-38.pdf#page=8","Abrir facsímil")</f>
        <v>Abrir facsímil</v>
      </c>
      <c r="K7842" s="3" t="s">
        <v>22</v>
      </c>
    </row>
    <row r="7843" spans="1:11" ht="42" customHeight="1">
      <c r="A7843" s="2" t="s">
        <v>16333</v>
      </c>
      <c r="B7843" s="2" t="s">
        <v>16333</v>
      </c>
      <c r="C7843" s="2" t="s">
        <v>16</v>
      </c>
      <c r="D7843" s="2" t="s">
        <v>17</v>
      </c>
      <c r="E7843" s="5">
        <v>-31469</v>
      </c>
      <c r="F7843" s="3" t="s">
        <v>1452</v>
      </c>
      <c r="G7843" s="3" t="s">
        <v>95</v>
      </c>
      <c r="H7843" s="2" t="s">
        <v>20</v>
      </c>
      <c r="I7843" s="2" t="s">
        <v>16334</v>
      </c>
      <c r="J7843" s="3" t="str">
        <f>HYPERLINK("https://www.boe.es/gazeta/dias/1813/11/02/pdfs/GRE-1813-143.pdf#page=6","Abrir facsímil")</f>
        <v>Abrir facsímil</v>
      </c>
      <c r="K7843" s="3" t="s">
        <v>22</v>
      </c>
    </row>
    <row r="7844" spans="1:11" ht="42" customHeight="1">
      <c r="A7844" s="2" t="s">
        <v>16335</v>
      </c>
      <c r="B7844" s="2" t="s">
        <v>16335</v>
      </c>
      <c r="C7844" s="2" t="s">
        <v>16</v>
      </c>
      <c r="D7844" s="2" t="s">
        <v>17</v>
      </c>
      <c r="E7844" s="5">
        <v>-31537</v>
      </c>
      <c r="F7844" s="3" t="s">
        <v>138</v>
      </c>
      <c r="G7844" s="3" t="s">
        <v>258</v>
      </c>
      <c r="H7844" s="2" t="s">
        <v>20</v>
      </c>
      <c r="I7844" s="2" t="s">
        <v>16336</v>
      </c>
      <c r="J7844" s="3" t="str">
        <f>HYPERLINK("https://www.boe.es/gazeta/dias/1813/08/26/pdfs/GMR-1813-33.pdf#page=12","Abrir facsímil")</f>
        <v>Abrir facsímil</v>
      </c>
      <c r="K7844" s="3" t="s">
        <v>22</v>
      </c>
    </row>
    <row r="7845" spans="1:11" ht="42" customHeight="1">
      <c r="A7845" s="2" t="s">
        <v>16337</v>
      </c>
      <c r="B7845" s="2" t="s">
        <v>16337</v>
      </c>
      <c r="C7845" s="2" t="s">
        <v>16</v>
      </c>
      <c r="D7845" s="2" t="s">
        <v>17</v>
      </c>
      <c r="E7845" s="5">
        <v>-31772</v>
      </c>
      <c r="F7845" s="3" t="s">
        <v>709</v>
      </c>
      <c r="G7845" s="3" t="s">
        <v>28</v>
      </c>
      <c r="H7845" s="2" t="s">
        <v>20</v>
      </c>
      <c r="I7845" s="2" t="s">
        <v>16338</v>
      </c>
      <c r="J7845" s="3" t="str">
        <f>HYPERLINK("https://www.boe.es/gazeta/dias/1813/01/03/pdfs/GRE-1813-69.pdf#page=8","Abrir facsímil")</f>
        <v>Abrir facsímil</v>
      </c>
      <c r="K7845" s="3" t="s">
        <v>22</v>
      </c>
    </row>
    <row r="7846" spans="1:11" ht="42" customHeight="1">
      <c r="A7846" s="2" t="s">
        <v>16337</v>
      </c>
      <c r="B7846" s="2" t="s">
        <v>16337</v>
      </c>
      <c r="C7846" s="2" t="s">
        <v>16</v>
      </c>
      <c r="D7846" s="2" t="s">
        <v>17</v>
      </c>
      <c r="E7846" s="5">
        <v>-31621</v>
      </c>
      <c r="F7846" s="3" t="s">
        <v>709</v>
      </c>
      <c r="G7846" s="3" t="s">
        <v>28</v>
      </c>
      <c r="H7846" s="2" t="s">
        <v>20</v>
      </c>
      <c r="I7846" s="2" t="s">
        <v>16338</v>
      </c>
      <c r="J7846" s="3" t="str">
        <f>HYPERLINK("https://www.boe.es/gazeta/dias/1813/06/03/pdfs/GRE-1813-69.pdf#page=8","Abrir facsímil")</f>
        <v>Abrir facsímil</v>
      </c>
      <c r="K7846" s="3" t="s">
        <v>22</v>
      </c>
    </row>
    <row r="7847" spans="1:11" ht="42" customHeight="1">
      <c r="A7847" s="2" t="s">
        <v>16339</v>
      </c>
      <c r="B7847" s="2" t="s">
        <v>16340</v>
      </c>
      <c r="C7847" s="2" t="s">
        <v>25</v>
      </c>
      <c r="D7847" s="2" t="s">
        <v>26</v>
      </c>
      <c r="E7847" s="5">
        <v>-31649</v>
      </c>
      <c r="F7847" s="3" t="s">
        <v>1057</v>
      </c>
      <c r="G7847" s="3" t="s">
        <v>1058</v>
      </c>
      <c r="H7847" s="2" t="s">
        <v>20</v>
      </c>
      <c r="I7847" s="2" t="s">
        <v>16341</v>
      </c>
      <c r="J7847" s="3" t="str">
        <f>HYPERLINK("https://www.boe.es/gazeta/dias/1813/05/06/pdfs/GRE-1813-56.pdf#page=8","Abrir facsímil")</f>
        <v>Abrir facsímil</v>
      </c>
      <c r="K7847" s="3" t="s">
        <v>22</v>
      </c>
    </row>
    <row r="7848" spans="1:11" ht="42" customHeight="1">
      <c r="A7848" s="2" t="s">
        <v>16339</v>
      </c>
      <c r="B7848" s="2" t="s">
        <v>16340</v>
      </c>
      <c r="C7848" s="2" t="s">
        <v>25</v>
      </c>
      <c r="D7848" s="2" t="s">
        <v>26</v>
      </c>
      <c r="E7848" s="5">
        <v>-31618</v>
      </c>
      <c r="F7848" s="3" t="s">
        <v>1057</v>
      </c>
      <c r="G7848" s="3" t="s">
        <v>1058</v>
      </c>
      <c r="H7848" s="2" t="s">
        <v>20</v>
      </c>
      <c r="I7848" s="2" t="s">
        <v>16341</v>
      </c>
      <c r="J7848" s="3" t="str">
        <f>HYPERLINK("https://www.boe.es/gazeta/dias/1813/06/06/pdfs/GRE-1813-56.pdf#page=8","Abrir facsímil")</f>
        <v>Abrir facsímil</v>
      </c>
      <c r="K7848" s="3" t="s">
        <v>22</v>
      </c>
    </row>
    <row r="7849" spans="1:11" ht="42" customHeight="1">
      <c r="A7849" s="2" t="s">
        <v>16342</v>
      </c>
      <c r="B7849" s="2" t="s">
        <v>16343</v>
      </c>
      <c r="C7849" s="2" t="s">
        <v>16</v>
      </c>
      <c r="D7849" s="2" t="s">
        <v>17</v>
      </c>
      <c r="E7849" s="5">
        <v>-31756</v>
      </c>
      <c r="F7849" s="3" t="s">
        <v>951</v>
      </c>
      <c r="G7849" s="3" t="s">
        <v>19</v>
      </c>
      <c r="H7849" s="2" t="s">
        <v>20</v>
      </c>
      <c r="I7849" s="2" t="s">
        <v>16344</v>
      </c>
      <c r="J7849" s="3" t="str">
        <f>HYPERLINK("https://www.boe.es/gazeta/dias/1813/01/19/pdfs/GRE-1813-8.pdf#page=4","Abrir facsímil")</f>
        <v>Abrir facsímil</v>
      </c>
      <c r="K7849" s="3" t="s">
        <v>22</v>
      </c>
    </row>
    <row r="7850" spans="1:11" ht="42" customHeight="1">
      <c r="A7850" s="2" t="s">
        <v>16345</v>
      </c>
      <c r="B7850" s="2" t="s">
        <v>16345</v>
      </c>
      <c r="C7850" s="2" t="s">
        <v>25</v>
      </c>
      <c r="D7850" s="2" t="s">
        <v>26</v>
      </c>
      <c r="E7850" s="5">
        <v>-31472</v>
      </c>
      <c r="F7850" s="3" t="s">
        <v>143</v>
      </c>
      <c r="G7850" s="3" t="s">
        <v>998</v>
      </c>
      <c r="H7850" s="2" t="s">
        <v>20</v>
      </c>
      <c r="I7850" s="2" t="s">
        <v>16346</v>
      </c>
      <c r="J7850" s="3" t="str">
        <f>HYPERLINK("https://www.boe.es/gazeta/dias/1813/10/30/pdfs/GMR-1813-66.pdf#page=6","Abrir facsímil")</f>
        <v>Abrir facsímil</v>
      </c>
      <c r="K7850" s="3" t="s">
        <v>22</v>
      </c>
    </row>
    <row r="7851" spans="1:11" ht="42" customHeight="1">
      <c r="A7851" s="2" t="s">
        <v>16347</v>
      </c>
      <c r="B7851" s="2" t="s">
        <v>16347</v>
      </c>
      <c r="C7851" s="2" t="s">
        <v>16</v>
      </c>
      <c r="D7851" s="2" t="s">
        <v>17</v>
      </c>
      <c r="E7851" s="5">
        <v>-31465</v>
      </c>
      <c r="F7851" s="3" t="s">
        <v>407</v>
      </c>
      <c r="G7851" s="3" t="s">
        <v>54</v>
      </c>
      <c r="H7851" s="2" t="s">
        <v>20</v>
      </c>
      <c r="I7851" s="2" t="s">
        <v>16348</v>
      </c>
      <c r="J7851" s="3" t="str">
        <f>HYPERLINK("https://www.boe.es/gazeta/dias/1813/11/06/pdfs/GMR-1813-70.pdf#page=3","Abrir facsímil")</f>
        <v>Abrir facsímil</v>
      </c>
      <c r="K7851" s="3" t="s">
        <v>22</v>
      </c>
    </row>
    <row r="7852" spans="1:11" ht="42" customHeight="1">
      <c r="A7852" s="2" t="s">
        <v>16349</v>
      </c>
      <c r="B7852" s="2" t="s">
        <v>16349</v>
      </c>
      <c r="C7852" s="2" t="s">
        <v>16</v>
      </c>
      <c r="D7852" s="2" t="s">
        <v>97</v>
      </c>
      <c r="E7852" s="5">
        <v>-31548</v>
      </c>
      <c r="F7852" s="3" t="s">
        <v>1680</v>
      </c>
      <c r="G7852" s="3" t="s">
        <v>95</v>
      </c>
      <c r="H7852" s="2" t="s">
        <v>20</v>
      </c>
      <c r="I7852" s="2" t="s">
        <v>16350</v>
      </c>
      <c r="J7852" s="3" t="str">
        <f>HYPERLINK("https://www.boe.es/gazeta/dias/1813/08/15/pdfs/GRE-1813-104E.pdf#page=6","Abrir facsímil")</f>
        <v>Abrir facsímil</v>
      </c>
      <c r="K7852" s="3" t="s">
        <v>22</v>
      </c>
    </row>
    <row r="7853" spans="1:11" ht="42" customHeight="1">
      <c r="A7853" s="2" t="s">
        <v>16351</v>
      </c>
      <c r="B7853" s="2" t="s">
        <v>16351</v>
      </c>
      <c r="C7853" s="2" t="s">
        <v>25</v>
      </c>
      <c r="D7853" s="2" t="s">
        <v>26</v>
      </c>
      <c r="E7853" s="5">
        <v>-31689</v>
      </c>
      <c r="F7853" s="3" t="s">
        <v>48</v>
      </c>
      <c r="G7853" s="3" t="s">
        <v>49</v>
      </c>
      <c r="H7853" s="2" t="s">
        <v>20</v>
      </c>
      <c r="I7853" s="2" t="s">
        <v>16352</v>
      </c>
      <c r="J7853" s="3" t="str">
        <f>HYPERLINK("https://www.boe.es/gazeta/dias/1813/03/27/pdfs/GRE-1813-38.pdf#page=7","Abrir facsímil")</f>
        <v>Abrir facsímil</v>
      </c>
      <c r="K7853" s="3" t="s">
        <v>22</v>
      </c>
    </row>
    <row r="7854" spans="1:11" ht="42" customHeight="1">
      <c r="A7854" s="2" t="s">
        <v>16353</v>
      </c>
      <c r="B7854" s="2" t="s">
        <v>16354</v>
      </c>
      <c r="C7854" s="2" t="s">
        <v>34</v>
      </c>
      <c r="D7854" s="2" t="s">
        <v>35</v>
      </c>
      <c r="E7854" s="5">
        <v>-31599</v>
      </c>
      <c r="F7854" s="3" t="s">
        <v>2470</v>
      </c>
      <c r="G7854" s="3" t="s">
        <v>258</v>
      </c>
      <c r="H7854" s="2" t="s">
        <v>20</v>
      </c>
      <c r="I7854" s="2" t="s">
        <v>16355</v>
      </c>
      <c r="J7854" s="3" t="str">
        <f>HYPERLINK("https://www.boe.es/gazeta/dias/1813/06/25/pdfs/GMR-1813-11.pdf#page=12","Abrir facsímil")</f>
        <v>Abrir facsímil</v>
      </c>
      <c r="K7854" s="3" t="s">
        <v>22</v>
      </c>
    </row>
    <row r="7855" spans="1:11" ht="42" customHeight="1">
      <c r="A7855" s="2" t="s">
        <v>16356</v>
      </c>
      <c r="B7855" s="2" t="s">
        <v>16357</v>
      </c>
      <c r="C7855" s="2" t="s">
        <v>34</v>
      </c>
      <c r="D7855" s="2" t="s">
        <v>35</v>
      </c>
      <c r="E7855" s="5">
        <v>-31709</v>
      </c>
      <c r="F7855" s="3" t="s">
        <v>36</v>
      </c>
      <c r="G7855" s="3" t="s">
        <v>19</v>
      </c>
      <c r="H7855" s="2" t="s">
        <v>20</v>
      </c>
      <c r="I7855" s="2" t="s">
        <v>16358</v>
      </c>
      <c r="J7855" s="3" t="str">
        <f>HYPERLINK("https://www.boe.es/gazeta/dias/1813/03/07/pdfs/GMD-1813-66.pdf#page=4","Abrir facsímil")</f>
        <v>Abrir facsímil</v>
      </c>
      <c r="K7855" s="3" t="s">
        <v>22</v>
      </c>
    </row>
    <row r="7856" spans="1:11" ht="42" customHeight="1">
      <c r="A7856" s="2" t="s">
        <v>16359</v>
      </c>
      <c r="B7856" s="2" t="s">
        <v>16360</v>
      </c>
      <c r="C7856" s="2" t="s">
        <v>16</v>
      </c>
      <c r="D7856" s="2" t="s">
        <v>17</v>
      </c>
      <c r="E7856" s="5">
        <v>-31663</v>
      </c>
      <c r="F7856" s="3" t="s">
        <v>2638</v>
      </c>
      <c r="G7856" s="3" t="s">
        <v>14755</v>
      </c>
      <c r="H7856" s="2" t="s">
        <v>20</v>
      </c>
      <c r="I7856" s="2" t="s">
        <v>16361</v>
      </c>
      <c r="J7856" s="3" t="str">
        <f>HYPERLINK("https://www.boe.es/gazeta/dias/1813/04/22/pdfs/GRE-1813-50.pdf#page=6","Abrir facsímil")</f>
        <v>Abrir facsímil</v>
      </c>
      <c r="K7856" s="3" t="s">
        <v>22</v>
      </c>
    </row>
    <row r="7857" spans="1:11" ht="42" customHeight="1">
      <c r="A7857" s="2" t="s">
        <v>16359</v>
      </c>
      <c r="B7857" s="2" t="s">
        <v>16360</v>
      </c>
      <c r="C7857" s="2" t="s">
        <v>16</v>
      </c>
      <c r="D7857" s="2" t="s">
        <v>17</v>
      </c>
      <c r="E7857" s="5">
        <v>-31663</v>
      </c>
      <c r="F7857" s="3" t="s">
        <v>2638</v>
      </c>
      <c r="G7857" s="3" t="s">
        <v>7597</v>
      </c>
      <c r="H7857" s="2" t="s">
        <v>20</v>
      </c>
      <c r="I7857" s="2" t="s">
        <v>16362</v>
      </c>
      <c r="J7857" s="3" t="str">
        <f>HYPERLINK("https://www.boe.es/gazeta/dias/1813/04/22/pdfs/GRE-1813-50.pdf#page=8","Abrir facsímil")</f>
        <v>Abrir facsímil</v>
      </c>
      <c r="K7857" s="3" t="s">
        <v>22</v>
      </c>
    </row>
    <row r="7858" spans="1:11" ht="42" customHeight="1">
      <c r="A7858" s="2" t="s">
        <v>16359</v>
      </c>
      <c r="B7858" s="2" t="s">
        <v>16360</v>
      </c>
      <c r="C7858" s="2" t="s">
        <v>16</v>
      </c>
      <c r="D7858" s="2" t="s">
        <v>17</v>
      </c>
      <c r="E7858" s="5">
        <v>-31619</v>
      </c>
      <c r="F7858" s="3" t="s">
        <v>1350</v>
      </c>
      <c r="G7858" s="3" t="s">
        <v>54</v>
      </c>
      <c r="H7858" s="2" t="s">
        <v>20</v>
      </c>
      <c r="I7858" s="2" t="s">
        <v>16363</v>
      </c>
      <c r="J7858" s="3" t="str">
        <f>HYPERLINK("https://www.boe.es/gazeta/dias/1813/06/05/pdfs/GMR-1813-2.pdf#page=3","Abrir facsímil")</f>
        <v>Abrir facsímil</v>
      </c>
      <c r="K7858" s="3" t="s">
        <v>22</v>
      </c>
    </row>
    <row r="7859" spans="1:11" ht="42" customHeight="1">
      <c r="A7859" s="2" t="s">
        <v>16364</v>
      </c>
      <c r="B7859" s="2" t="s">
        <v>16364</v>
      </c>
      <c r="C7859" s="2" t="s">
        <v>16</v>
      </c>
      <c r="D7859" s="2" t="s">
        <v>17</v>
      </c>
      <c r="E7859" s="5">
        <v>-31599</v>
      </c>
      <c r="F7859" s="3" t="s">
        <v>2470</v>
      </c>
      <c r="G7859" s="3" t="s">
        <v>95</v>
      </c>
      <c r="H7859" s="2" t="s">
        <v>20</v>
      </c>
      <c r="I7859" s="2" t="s">
        <v>16365</v>
      </c>
      <c r="J7859" s="3" t="str">
        <f>HYPERLINK("https://www.boe.es/gazeta/dias/1813/06/25/pdfs/GMR-1813-11.pdf#page=6","Abrir facsímil")</f>
        <v>Abrir facsímil</v>
      </c>
      <c r="K7859" s="3" t="s">
        <v>22</v>
      </c>
    </row>
    <row r="7860" spans="1:11" ht="42" customHeight="1">
      <c r="A7860" s="2" t="s">
        <v>16366</v>
      </c>
      <c r="B7860" s="2" t="s">
        <v>16366</v>
      </c>
      <c r="C7860" s="2" t="s">
        <v>16</v>
      </c>
      <c r="D7860" s="2" t="s">
        <v>17</v>
      </c>
      <c r="E7860" s="5">
        <v>-31581</v>
      </c>
      <c r="F7860" s="3" t="s">
        <v>1321</v>
      </c>
      <c r="G7860" s="3" t="s">
        <v>313</v>
      </c>
      <c r="H7860" s="2" t="s">
        <v>20</v>
      </c>
      <c r="I7860" s="2" t="s">
        <v>16367</v>
      </c>
      <c r="J7860" s="3" t="str">
        <f>HYPERLINK("https://www.boe.es/gazeta/dias/1813/07/13/pdfs/GMR-1813-17.pdf#page=9","Abrir facsímil")</f>
        <v>Abrir facsímil</v>
      </c>
      <c r="K7860" s="3" t="s">
        <v>22</v>
      </c>
    </row>
    <row r="7861" spans="1:11" ht="42" customHeight="1">
      <c r="A7861" s="2" t="s">
        <v>16366</v>
      </c>
      <c r="B7861" s="2" t="s">
        <v>16366</v>
      </c>
      <c r="C7861" s="2" t="s">
        <v>16</v>
      </c>
      <c r="D7861" s="2" t="s">
        <v>17</v>
      </c>
      <c r="E7861" s="5">
        <v>-31578</v>
      </c>
      <c r="F7861" s="3" t="s">
        <v>974</v>
      </c>
      <c r="G7861" s="3" t="s">
        <v>313</v>
      </c>
      <c r="H7861" s="2" t="s">
        <v>20</v>
      </c>
      <c r="I7861" s="2" t="s">
        <v>16368</v>
      </c>
      <c r="J7861" s="3" t="str">
        <f>HYPERLINK("https://www.boe.es/gazeta/dias/1813/07/16/pdfs/GMR-1813-18.pdf#page=9","Abrir facsímil")</f>
        <v>Abrir facsímil</v>
      </c>
      <c r="K7861" s="3" t="s">
        <v>22</v>
      </c>
    </row>
    <row r="7862" spans="1:11" ht="42" customHeight="1">
      <c r="A7862" s="2" t="s">
        <v>16366</v>
      </c>
      <c r="B7862" s="2" t="s">
        <v>16366</v>
      </c>
      <c r="C7862" s="2" t="s">
        <v>16</v>
      </c>
      <c r="D7862" s="2" t="s">
        <v>17</v>
      </c>
      <c r="E7862" s="5">
        <v>-31577</v>
      </c>
      <c r="F7862" s="3" t="s">
        <v>586</v>
      </c>
      <c r="G7862" s="3" t="s">
        <v>5533</v>
      </c>
      <c r="H7862" s="2" t="s">
        <v>20</v>
      </c>
      <c r="I7862" s="2" t="s">
        <v>16369</v>
      </c>
      <c r="J7862" s="3" t="str">
        <f>HYPERLINK("https://www.boe.es/gazeta/dias/1813/07/17/pdfs/GRE-1813-90.pdf#page=7","Abrir facsímil")</f>
        <v>Abrir facsímil</v>
      </c>
      <c r="K7862" s="3" t="s">
        <v>22</v>
      </c>
    </row>
    <row r="7863" spans="1:11" ht="42" customHeight="1">
      <c r="A7863" s="2" t="s">
        <v>16366</v>
      </c>
      <c r="B7863" s="2" t="s">
        <v>16366</v>
      </c>
      <c r="C7863" s="2" t="s">
        <v>16</v>
      </c>
      <c r="D7863" s="2" t="s">
        <v>97</v>
      </c>
      <c r="E7863" s="5">
        <v>-31576</v>
      </c>
      <c r="F7863" s="3" t="s">
        <v>1981</v>
      </c>
      <c r="G7863" s="3" t="s">
        <v>2765</v>
      </c>
      <c r="H7863" s="2" t="s">
        <v>20</v>
      </c>
      <c r="I7863" s="2" t="s">
        <v>16370</v>
      </c>
      <c r="J7863" s="3" t="str">
        <f>HYPERLINK("https://www.boe.es/gazeta/dias/1813/07/18/pdfs/GRE-1813-91E.pdf#page=1","Abrir facsímil")</f>
        <v>Abrir facsímil</v>
      </c>
      <c r="K7863" s="3" t="s">
        <v>22</v>
      </c>
    </row>
    <row r="7864" spans="1:11" ht="42" customHeight="1">
      <c r="A7864" s="2" t="s">
        <v>16366</v>
      </c>
      <c r="B7864" s="2" t="s">
        <v>16366</v>
      </c>
      <c r="C7864" s="2" t="s">
        <v>16</v>
      </c>
      <c r="D7864" s="2" t="s">
        <v>17</v>
      </c>
      <c r="E7864" s="5">
        <v>-31556</v>
      </c>
      <c r="F7864" s="3" t="s">
        <v>118</v>
      </c>
      <c r="G7864" s="3" t="s">
        <v>5250</v>
      </c>
      <c r="H7864" s="2" t="s">
        <v>20</v>
      </c>
      <c r="I7864" s="2" t="s">
        <v>16371</v>
      </c>
      <c r="J7864" s="3" t="str">
        <f>HYPERLINK("https://www.boe.es/gazeta/dias/1813/08/07/pdfs/GMR-1813-25.pdf#page=4","Abrir facsímil")</f>
        <v>Abrir facsímil</v>
      </c>
      <c r="K7864" s="3" t="s">
        <v>22</v>
      </c>
    </row>
    <row r="7865" spans="1:11" ht="42" customHeight="1">
      <c r="A7865" s="2" t="s">
        <v>16366</v>
      </c>
      <c r="B7865" s="2" t="s">
        <v>16366</v>
      </c>
      <c r="C7865" s="2" t="s">
        <v>16</v>
      </c>
      <c r="D7865" s="2" t="s">
        <v>17</v>
      </c>
      <c r="E7865" s="5">
        <v>-31532</v>
      </c>
      <c r="F7865" s="3" t="s">
        <v>215</v>
      </c>
      <c r="G7865" s="3" t="s">
        <v>87</v>
      </c>
      <c r="H7865" s="2" t="s">
        <v>20</v>
      </c>
      <c r="I7865" s="2" t="s">
        <v>16372</v>
      </c>
      <c r="J7865" s="3" t="str">
        <f>HYPERLINK("https://www.boe.es/gazeta/dias/1813/08/31/pdfs/GRE-1813-111.pdf#page=7","Abrir facsímil")</f>
        <v>Abrir facsímil</v>
      </c>
      <c r="K7865" s="3" t="s">
        <v>22</v>
      </c>
    </row>
    <row r="7866" spans="1:11" ht="42" customHeight="1">
      <c r="A7866" s="2" t="s">
        <v>16366</v>
      </c>
      <c r="B7866" s="2" t="s">
        <v>16366</v>
      </c>
      <c r="C7866" s="2" t="s">
        <v>16</v>
      </c>
      <c r="D7866" s="2" t="s">
        <v>17</v>
      </c>
      <c r="E7866" s="5">
        <v>-31432</v>
      </c>
      <c r="F7866" s="3" t="s">
        <v>803</v>
      </c>
      <c r="G7866" s="3" t="s">
        <v>54</v>
      </c>
      <c r="H7866" s="2" t="s">
        <v>20</v>
      </c>
      <c r="I7866" s="2" t="s">
        <v>16373</v>
      </c>
      <c r="J7866" s="3" t="str">
        <f>HYPERLINK("https://www.boe.es/gazeta/dias/1813/12/09/pdfs/GRE-1813-162.pdf#page=3","Abrir facsímil")</f>
        <v>Abrir facsímil</v>
      </c>
      <c r="K7866" s="3" t="s">
        <v>22</v>
      </c>
    </row>
    <row r="7867" spans="1:11" ht="42" customHeight="1">
      <c r="A7867" s="2" t="s">
        <v>16374</v>
      </c>
      <c r="B7867" s="2" t="s">
        <v>16375</v>
      </c>
      <c r="C7867" s="2" t="s">
        <v>25</v>
      </c>
      <c r="D7867" s="2" t="s">
        <v>26</v>
      </c>
      <c r="E7867" s="5">
        <v>-31745</v>
      </c>
      <c r="F7867" s="3" t="s">
        <v>445</v>
      </c>
      <c r="G7867" s="3" t="s">
        <v>475</v>
      </c>
      <c r="H7867" s="2" t="s">
        <v>20</v>
      </c>
      <c r="I7867" s="2" t="s">
        <v>16376</v>
      </c>
      <c r="J7867" s="3" t="str">
        <f>HYPERLINK("https://www.boe.es/gazeta/dias/1813/01/30/pdfs/GRE-1813-13.pdf#page=7","Abrir facsímil")</f>
        <v>Abrir facsímil</v>
      </c>
      <c r="K7867" s="3" t="s">
        <v>22</v>
      </c>
    </row>
    <row r="7868" spans="1:11" ht="42" customHeight="1">
      <c r="A7868" s="2" t="s">
        <v>16377</v>
      </c>
      <c r="B7868" s="2" t="s">
        <v>16378</v>
      </c>
      <c r="C7868" s="2" t="s">
        <v>16</v>
      </c>
      <c r="D7868" s="2" t="s">
        <v>17</v>
      </c>
      <c r="E7868" s="5">
        <v>-31578</v>
      </c>
      <c r="F7868" s="3" t="s">
        <v>974</v>
      </c>
      <c r="G7868" s="3" t="s">
        <v>563</v>
      </c>
      <c r="H7868" s="2" t="s">
        <v>20</v>
      </c>
      <c r="I7868" s="2" t="s">
        <v>16379</v>
      </c>
      <c r="J7868" s="3" t="str">
        <f>HYPERLINK("https://www.boe.es/gazeta/dias/1813/07/16/pdfs/GMR-1813-18.pdf#page=8","Abrir facsímil")</f>
        <v>Abrir facsímil</v>
      </c>
      <c r="K7868" s="3" t="s">
        <v>22</v>
      </c>
    </row>
    <row r="7869" spans="1:11" ht="42" customHeight="1">
      <c r="A7869" s="2" t="s">
        <v>16377</v>
      </c>
      <c r="B7869" s="2" t="s">
        <v>16378</v>
      </c>
      <c r="C7869" s="2" t="s">
        <v>16</v>
      </c>
      <c r="D7869" s="2" t="s">
        <v>17</v>
      </c>
      <c r="E7869" s="5">
        <v>-31427</v>
      </c>
      <c r="F7869" s="3" t="s">
        <v>489</v>
      </c>
      <c r="G7869" s="3" t="s">
        <v>1742</v>
      </c>
      <c r="H7869" s="2" t="s">
        <v>20</v>
      </c>
      <c r="I7869" s="2" t="s">
        <v>16380</v>
      </c>
      <c r="J7869" s="3" t="str">
        <f>HYPERLINK("https://www.boe.es/gazeta/dias/1813/12/14/pdfs/GMR-1813-87.pdf#page=9","Abrir facsímil")</f>
        <v>Abrir facsímil</v>
      </c>
      <c r="K7869" s="3" t="s">
        <v>22</v>
      </c>
    </row>
    <row r="7870" spans="1:11" ht="42" customHeight="1">
      <c r="A7870" s="2" t="s">
        <v>16381</v>
      </c>
      <c r="B7870" s="2" t="s">
        <v>16381</v>
      </c>
      <c r="C7870" s="2" t="s">
        <v>16</v>
      </c>
      <c r="D7870" s="2" t="s">
        <v>17</v>
      </c>
      <c r="E7870" s="5">
        <v>-31633</v>
      </c>
      <c r="F7870" s="3" t="s">
        <v>875</v>
      </c>
      <c r="G7870" s="3" t="s">
        <v>16382</v>
      </c>
      <c r="H7870" s="2" t="s">
        <v>20</v>
      </c>
      <c r="I7870" s="2" t="s">
        <v>16383</v>
      </c>
      <c r="J7870" s="3" t="str">
        <f>HYPERLINK("https://www.boe.es/gazeta/dias/1813/05/22/pdfs/GRE-1813-63.pdf#page=4","Abrir facsímil")</f>
        <v>Abrir facsímil</v>
      </c>
      <c r="K7870" s="3" t="s">
        <v>22</v>
      </c>
    </row>
    <row r="7871" spans="1:11" ht="42" customHeight="1">
      <c r="A7871" s="2" t="s">
        <v>16384</v>
      </c>
      <c r="B7871" s="2" t="s">
        <v>16384</v>
      </c>
      <c r="C7871" s="2" t="s">
        <v>16</v>
      </c>
      <c r="D7871" s="2" t="s">
        <v>17</v>
      </c>
      <c r="E7871" s="5">
        <v>-31616</v>
      </c>
      <c r="F7871" s="3" t="s">
        <v>2201</v>
      </c>
      <c r="G7871" s="3" t="s">
        <v>54</v>
      </c>
      <c r="H7871" s="2" t="s">
        <v>20</v>
      </c>
      <c r="I7871" s="2" t="s">
        <v>16385</v>
      </c>
      <c r="J7871" s="3" t="str">
        <f>HYPERLINK("https://www.boe.es/gazeta/dias/1813/06/08/pdfs/GMR-1813-3.pdf#page=3","Abrir facsímil")</f>
        <v>Abrir facsímil</v>
      </c>
      <c r="K7871" s="3" t="s">
        <v>22</v>
      </c>
    </row>
    <row r="7872" spans="1:11" ht="42" customHeight="1">
      <c r="A7872" s="2" t="s">
        <v>16386</v>
      </c>
      <c r="B7872" s="2" t="s">
        <v>16387</v>
      </c>
      <c r="C7872" s="2" t="s">
        <v>16</v>
      </c>
      <c r="D7872" s="2" t="s">
        <v>17</v>
      </c>
      <c r="E7872" s="5">
        <v>-31465</v>
      </c>
      <c r="F7872" s="3" t="s">
        <v>407</v>
      </c>
      <c r="G7872" s="3" t="s">
        <v>54</v>
      </c>
      <c r="H7872" s="2" t="s">
        <v>20</v>
      </c>
      <c r="I7872" s="2" t="s">
        <v>16388</v>
      </c>
      <c r="J7872" s="3" t="str">
        <f>HYPERLINK("https://www.boe.es/gazeta/dias/1813/11/06/pdfs/GMR-1813-70.pdf#page=3","Abrir facsímil")</f>
        <v>Abrir facsímil</v>
      </c>
      <c r="K7872" s="3" t="s">
        <v>22</v>
      </c>
    </row>
    <row r="7873" spans="1:11" ht="42" customHeight="1">
      <c r="A7873" s="2" t="s">
        <v>16389</v>
      </c>
      <c r="B7873" s="2" t="s">
        <v>16389</v>
      </c>
      <c r="C7873" s="2" t="s">
        <v>16</v>
      </c>
      <c r="D7873" s="2" t="s">
        <v>17</v>
      </c>
      <c r="E7873" s="5">
        <v>-31686</v>
      </c>
      <c r="F7873" s="3" t="s">
        <v>372</v>
      </c>
      <c r="G7873" s="3" t="s">
        <v>3610</v>
      </c>
      <c r="H7873" s="2" t="s">
        <v>20</v>
      </c>
      <c r="I7873" s="2" t="s">
        <v>16390</v>
      </c>
      <c r="J7873" s="3" t="str">
        <f>HYPERLINK("https://www.boe.es/gazeta/dias/1813/03/30/pdfs/GRE-1813-39.pdf#page=7","Abrir facsímil")</f>
        <v>Abrir facsímil</v>
      </c>
      <c r="K7873" s="3" t="s">
        <v>22</v>
      </c>
    </row>
    <row r="7874" spans="1:11" ht="42" customHeight="1">
      <c r="A7874" s="2" t="s">
        <v>16391</v>
      </c>
      <c r="B7874" s="2" t="s">
        <v>16392</v>
      </c>
      <c r="C7874" s="2" t="s">
        <v>16</v>
      </c>
      <c r="D7874" s="2" t="s">
        <v>17</v>
      </c>
      <c r="E7874" s="5">
        <v>-31481</v>
      </c>
      <c r="F7874" s="3" t="s">
        <v>40</v>
      </c>
      <c r="G7874" s="3" t="s">
        <v>4276</v>
      </c>
      <c r="H7874" s="2" t="s">
        <v>20</v>
      </c>
      <c r="I7874" s="2" t="s">
        <v>16393</v>
      </c>
      <c r="J7874" s="3" t="str">
        <f>HYPERLINK("https://www.boe.es/gazeta/dias/1813/10/21/pdfs/GMR-1813-62.pdf#page=5","Abrir facsímil")</f>
        <v>Abrir facsímil</v>
      </c>
      <c r="K7874" s="3" t="s">
        <v>22</v>
      </c>
    </row>
    <row r="7875" spans="1:11" ht="42" customHeight="1">
      <c r="A7875" s="2" t="s">
        <v>16394</v>
      </c>
      <c r="B7875" s="2" t="s">
        <v>16395</v>
      </c>
      <c r="C7875" s="2" t="s">
        <v>25</v>
      </c>
      <c r="D7875" s="2" t="s">
        <v>26</v>
      </c>
      <c r="E7875" s="5">
        <v>-31483</v>
      </c>
      <c r="F7875" s="3" t="s">
        <v>308</v>
      </c>
      <c r="G7875" s="3" t="s">
        <v>12183</v>
      </c>
      <c r="H7875" s="2" t="s">
        <v>20</v>
      </c>
      <c r="I7875" s="2" t="s">
        <v>16396</v>
      </c>
      <c r="J7875" s="3" t="str">
        <f>HYPERLINK("https://www.boe.es/gazeta/dias/1813/10/19/pdfs/GRE-1813-136.pdf#page=8","Abrir facsímil")</f>
        <v>Abrir facsímil</v>
      </c>
      <c r="K7875" s="3" t="s">
        <v>22</v>
      </c>
    </row>
    <row r="7876" spans="1:11" ht="42" customHeight="1">
      <c r="A7876" s="2" t="s">
        <v>16397</v>
      </c>
      <c r="B7876" s="2" t="s">
        <v>16398</v>
      </c>
      <c r="C7876" s="2" t="s">
        <v>25</v>
      </c>
      <c r="D7876" s="2" t="s">
        <v>26</v>
      </c>
      <c r="E7876" s="5">
        <v>-31738</v>
      </c>
      <c r="F7876" s="3" t="s">
        <v>556</v>
      </c>
      <c r="G7876" s="3" t="s">
        <v>3260</v>
      </c>
      <c r="H7876" s="2" t="s">
        <v>20</v>
      </c>
      <c r="I7876" s="2" t="s">
        <v>16399</v>
      </c>
      <c r="J7876" s="3" t="str">
        <f>HYPERLINK("https://www.boe.es/gazeta/dias/1813/02/06/pdfs/GRE-1813-16.pdf#page=7","Abrir facsímil")</f>
        <v>Abrir facsímil</v>
      </c>
      <c r="K7876" s="3" t="s">
        <v>22</v>
      </c>
    </row>
    <row r="7877" spans="1:11" ht="42" customHeight="1">
      <c r="A7877" s="2" t="s">
        <v>16397</v>
      </c>
      <c r="B7877" s="2" t="s">
        <v>16398</v>
      </c>
      <c r="C7877" s="2" t="s">
        <v>25</v>
      </c>
      <c r="D7877" s="2" t="s">
        <v>97</v>
      </c>
      <c r="E7877" s="5">
        <v>-31519</v>
      </c>
      <c r="F7877" s="3" t="s">
        <v>312</v>
      </c>
      <c r="G7877" s="3" t="s">
        <v>313</v>
      </c>
      <c r="H7877" s="2" t="s">
        <v>20</v>
      </c>
      <c r="I7877" s="2" t="s">
        <v>16400</v>
      </c>
      <c r="J7877" s="3" t="str">
        <f>HYPERLINK("https://www.boe.es/gazeta/dias/1813/09/13/pdfs/GRE-1813-118E.pdf#page=9","Abrir facsímil")</f>
        <v>Abrir facsímil</v>
      </c>
      <c r="K7877" s="3" t="s">
        <v>22</v>
      </c>
    </row>
    <row r="7878" spans="1:11" ht="42" customHeight="1">
      <c r="A7878" s="2" t="s">
        <v>16401</v>
      </c>
      <c r="B7878" s="2" t="s">
        <v>16401</v>
      </c>
      <c r="C7878" s="2" t="s">
        <v>16</v>
      </c>
      <c r="D7878" s="2" t="s">
        <v>17</v>
      </c>
      <c r="E7878" s="5">
        <v>-31472</v>
      </c>
      <c r="F7878" s="3" t="s">
        <v>143</v>
      </c>
      <c r="G7878" s="3" t="s">
        <v>940</v>
      </c>
      <c r="H7878" s="2" t="s">
        <v>20</v>
      </c>
      <c r="I7878" s="2" t="s">
        <v>16402</v>
      </c>
      <c r="J7878" s="3" t="str">
        <f>HYPERLINK("https://www.boe.es/gazeta/dias/1813/10/30/pdfs/GMR-1813-66.pdf#page=8","Abrir facsímil")</f>
        <v>Abrir facsímil</v>
      </c>
      <c r="K7878" s="3" t="s">
        <v>22</v>
      </c>
    </row>
    <row r="7879" spans="1:11" ht="42" customHeight="1">
      <c r="A7879" s="2" t="s">
        <v>16403</v>
      </c>
      <c r="B7879" s="2" t="s">
        <v>16404</v>
      </c>
      <c r="C7879" s="2" t="s">
        <v>34</v>
      </c>
      <c r="D7879" s="2" t="s">
        <v>35</v>
      </c>
      <c r="E7879" s="5">
        <v>-31606</v>
      </c>
      <c r="F7879" s="3" t="s">
        <v>124</v>
      </c>
      <c r="G7879" s="3" t="s">
        <v>28</v>
      </c>
      <c r="H7879" s="2" t="s">
        <v>20</v>
      </c>
      <c r="I7879" s="2" t="s">
        <v>16405</v>
      </c>
      <c r="J7879" s="3" t="str">
        <f>HYPERLINK("https://www.boe.es/gazeta/dias/1813/06/18/pdfs/GMR-1813-7.pdf#page=8","Abrir facsímil")</f>
        <v>Abrir facsímil</v>
      </c>
      <c r="K7879" s="3" t="s">
        <v>22</v>
      </c>
    </row>
    <row r="7880" spans="1:11" ht="42" customHeight="1">
      <c r="A7880" s="2" t="s">
        <v>16406</v>
      </c>
      <c r="B7880" s="2" t="s">
        <v>16407</v>
      </c>
      <c r="C7880" s="2" t="s">
        <v>16</v>
      </c>
      <c r="D7880" s="2" t="s">
        <v>17</v>
      </c>
      <c r="E7880" s="5">
        <v>-31458</v>
      </c>
      <c r="F7880" s="3" t="s">
        <v>2315</v>
      </c>
      <c r="G7880" s="3" t="s">
        <v>2975</v>
      </c>
      <c r="H7880" s="2" t="s">
        <v>20</v>
      </c>
      <c r="I7880" s="2" t="s">
        <v>16408</v>
      </c>
      <c r="J7880" s="3" t="str">
        <f>HYPERLINK("https://www.boe.es/gazeta/dias/1813/11/13/pdfs/GMR-1813-73.pdf#page=6","Abrir facsímil")</f>
        <v>Abrir facsímil</v>
      </c>
      <c r="K7880" s="3" t="s">
        <v>22</v>
      </c>
    </row>
    <row r="7881" spans="1:11" ht="42" customHeight="1">
      <c r="A7881" s="2" t="s">
        <v>16409</v>
      </c>
      <c r="B7881" s="2" t="s">
        <v>16409</v>
      </c>
      <c r="C7881" s="2" t="s">
        <v>25</v>
      </c>
      <c r="D7881" s="2" t="s">
        <v>26</v>
      </c>
      <c r="E7881" s="5">
        <v>-31509</v>
      </c>
      <c r="F7881" s="3" t="s">
        <v>202</v>
      </c>
      <c r="G7881" s="3" t="s">
        <v>28</v>
      </c>
      <c r="H7881" s="2" t="s">
        <v>20</v>
      </c>
      <c r="I7881" s="2" t="s">
        <v>16410</v>
      </c>
      <c r="J7881" s="3" t="str">
        <f>HYPERLINK("https://www.boe.es/gazeta/dias/1813/09/23/pdfs/GMR-1813-47.pdf#page=8","Abrir facsímil")</f>
        <v>Abrir facsímil</v>
      </c>
      <c r="K7881" s="3" t="s">
        <v>22</v>
      </c>
    </row>
    <row r="7882" spans="1:11" ht="42" customHeight="1">
      <c r="A7882" s="2" t="s">
        <v>16411</v>
      </c>
      <c r="B7882" s="2" t="s">
        <v>16412</v>
      </c>
      <c r="C7882" s="2" t="s">
        <v>16</v>
      </c>
      <c r="D7882" s="2" t="s">
        <v>17</v>
      </c>
      <c r="E7882" s="5">
        <v>-31677</v>
      </c>
      <c r="F7882" s="3" t="s">
        <v>76</v>
      </c>
      <c r="G7882" s="3" t="s">
        <v>77</v>
      </c>
      <c r="H7882" s="2" t="s">
        <v>20</v>
      </c>
      <c r="I7882" s="2" t="s">
        <v>16413</v>
      </c>
      <c r="J7882" s="3" t="str">
        <f>HYPERLINK("https://www.boe.es/gazeta/dias/1813/04/08/pdfs/GRE-1813-43.pdf#page=7","Abrir facsímil")</f>
        <v>Abrir facsímil</v>
      </c>
      <c r="K7882" s="3" t="s">
        <v>22</v>
      </c>
    </row>
    <row r="7883" spans="1:11" ht="42" customHeight="1">
      <c r="A7883" s="2" t="s">
        <v>16414</v>
      </c>
      <c r="B7883" s="2" t="s">
        <v>16415</v>
      </c>
      <c r="C7883" s="2" t="s">
        <v>25</v>
      </c>
      <c r="D7883" s="2" t="s">
        <v>26</v>
      </c>
      <c r="E7883" s="5">
        <v>-31507</v>
      </c>
      <c r="F7883" s="3" t="s">
        <v>61</v>
      </c>
      <c r="G7883" s="3" t="s">
        <v>28</v>
      </c>
      <c r="H7883" s="2" t="s">
        <v>20</v>
      </c>
      <c r="I7883" s="2" t="s">
        <v>16416</v>
      </c>
      <c r="J7883" s="3" t="str">
        <f>HYPERLINK("https://www.boe.es/gazeta/dias/1813/09/25/pdfs/GMR-1813-48.pdf#page=8","Abrir facsímil")</f>
        <v>Abrir facsímil</v>
      </c>
      <c r="K7883" s="3" t="s">
        <v>22</v>
      </c>
    </row>
    <row r="7884" spans="1:11" ht="42" customHeight="1">
      <c r="A7884" s="2" t="s">
        <v>16417</v>
      </c>
      <c r="B7884" s="2" t="s">
        <v>16418</v>
      </c>
      <c r="C7884" s="2" t="s">
        <v>16</v>
      </c>
      <c r="D7884" s="2" t="s">
        <v>97</v>
      </c>
      <c r="E7884" s="5">
        <v>-31670</v>
      </c>
      <c r="F7884" s="3" t="s">
        <v>98</v>
      </c>
      <c r="G7884" s="3" t="s">
        <v>28</v>
      </c>
      <c r="H7884" s="2" t="s">
        <v>20</v>
      </c>
      <c r="I7884" s="2" t="s">
        <v>16419</v>
      </c>
      <c r="J7884" s="3" t="str">
        <f>HYPERLINK("https://www.boe.es/gazeta/dias/1813/04/15/pdfs/GRE-1813-47E.pdf#page=8","Abrir facsímil")</f>
        <v>Abrir facsímil</v>
      </c>
      <c r="K7884" s="3" t="s">
        <v>22</v>
      </c>
    </row>
    <row r="7885" spans="1:11" ht="42" customHeight="1">
      <c r="A7885" s="2" t="s">
        <v>16420</v>
      </c>
      <c r="B7885" s="2" t="s">
        <v>16421</v>
      </c>
      <c r="C7885" s="2" t="s">
        <v>25</v>
      </c>
      <c r="D7885" s="2" t="s">
        <v>26</v>
      </c>
      <c r="E7885" s="5">
        <v>-31677</v>
      </c>
      <c r="F7885" s="3" t="s">
        <v>76</v>
      </c>
      <c r="G7885" s="3" t="s">
        <v>28</v>
      </c>
      <c r="H7885" s="2" t="s">
        <v>20</v>
      </c>
      <c r="I7885" s="2" t="s">
        <v>16422</v>
      </c>
      <c r="J7885" s="3" t="str">
        <f>HYPERLINK("https://www.boe.es/gazeta/dias/1813/04/08/pdfs/GRE-1813-43.pdf#page=8","Abrir facsímil")</f>
        <v>Abrir facsímil</v>
      </c>
      <c r="K7885" s="3" t="s">
        <v>22</v>
      </c>
    </row>
    <row r="7886" spans="1:11" ht="42" customHeight="1">
      <c r="A7886" s="2" t="s">
        <v>16423</v>
      </c>
      <c r="B7886" s="2" t="s">
        <v>16423</v>
      </c>
      <c r="C7886" s="2" t="s">
        <v>16</v>
      </c>
      <c r="D7886" s="2" t="s">
        <v>17</v>
      </c>
      <c r="E7886" s="5">
        <v>-31537</v>
      </c>
      <c r="F7886" s="3" t="s">
        <v>138</v>
      </c>
      <c r="G7886" s="3" t="s">
        <v>87</v>
      </c>
      <c r="H7886" s="2" t="s">
        <v>20</v>
      </c>
      <c r="I7886" s="2" t="s">
        <v>16424</v>
      </c>
      <c r="J7886" s="3" t="str">
        <f>HYPERLINK("https://www.boe.es/gazeta/dias/1813/08/26/pdfs/GMR-1813-33.pdf#page=7","Abrir facsímil")</f>
        <v>Abrir facsímil</v>
      </c>
      <c r="K7886" s="3" t="s">
        <v>22</v>
      </c>
    </row>
    <row r="7887" spans="1:11" ht="42" customHeight="1">
      <c r="A7887" s="2" t="s">
        <v>16425</v>
      </c>
      <c r="B7887" s="2" t="s">
        <v>16425</v>
      </c>
      <c r="C7887" s="2" t="s">
        <v>16</v>
      </c>
      <c r="D7887" s="2" t="s">
        <v>17</v>
      </c>
      <c r="E7887" s="5">
        <v>-31609</v>
      </c>
      <c r="F7887" s="3" t="s">
        <v>711</v>
      </c>
      <c r="G7887" s="3" t="s">
        <v>87</v>
      </c>
      <c r="H7887" s="2" t="s">
        <v>20</v>
      </c>
      <c r="I7887" s="2" t="s">
        <v>16426</v>
      </c>
      <c r="J7887" s="3" t="str">
        <f>HYPERLINK("https://www.boe.es/gazeta/dias/1813/06/15/pdfs/GMR-1813-6.pdf#page=7","Abrir facsímil")</f>
        <v>Abrir facsímil</v>
      </c>
      <c r="K7887" s="3" t="s">
        <v>22</v>
      </c>
    </row>
    <row r="7888" spans="1:11" ht="42" customHeight="1">
      <c r="A7888" s="2" t="s">
        <v>16427</v>
      </c>
      <c r="B7888" s="2" t="s">
        <v>16428</v>
      </c>
      <c r="C7888" s="2" t="s">
        <v>277</v>
      </c>
      <c r="D7888" s="2" t="s">
        <v>26</v>
      </c>
      <c r="E7888" s="5">
        <v>-31720</v>
      </c>
      <c r="F7888" s="3" t="s">
        <v>672</v>
      </c>
      <c r="G7888" s="3" t="s">
        <v>54</v>
      </c>
      <c r="H7888" s="2" t="s">
        <v>20</v>
      </c>
      <c r="I7888" s="2" t="s">
        <v>16429</v>
      </c>
      <c r="J7888" s="3" t="str">
        <f>HYPERLINK("https://www.boe.es/gazeta/dias/1813/02/24/pdfs/GMD-1813-55.pdf#page=3","Abrir facsímil")</f>
        <v>Abrir facsímil</v>
      </c>
      <c r="K7888" s="3" t="s">
        <v>22</v>
      </c>
    </row>
    <row r="7889" spans="1:11" ht="42" customHeight="1">
      <c r="A7889" s="2" t="s">
        <v>16430</v>
      </c>
      <c r="B7889" s="2" t="s">
        <v>16431</v>
      </c>
      <c r="C7889" s="2" t="s">
        <v>16</v>
      </c>
      <c r="D7889" s="2" t="s">
        <v>97</v>
      </c>
      <c r="E7889" s="5">
        <v>-31519</v>
      </c>
      <c r="F7889" s="3" t="s">
        <v>312</v>
      </c>
      <c r="G7889" s="3" t="s">
        <v>28</v>
      </c>
      <c r="H7889" s="2" t="s">
        <v>20</v>
      </c>
      <c r="I7889" s="2" t="s">
        <v>16432</v>
      </c>
      <c r="J7889" s="3" t="str">
        <f>HYPERLINK("https://www.boe.es/gazeta/dias/1813/09/13/pdfs/GRE-1813-118E.pdf#page=8","Abrir facsímil")</f>
        <v>Abrir facsímil</v>
      </c>
      <c r="K7889" s="3" t="s">
        <v>22</v>
      </c>
    </row>
    <row r="7890" spans="1:11" ht="42" customHeight="1">
      <c r="A7890" s="2" t="s">
        <v>16430</v>
      </c>
      <c r="B7890" s="2" t="s">
        <v>16431</v>
      </c>
      <c r="C7890" s="2" t="s">
        <v>16</v>
      </c>
      <c r="D7890" s="2" t="s">
        <v>17</v>
      </c>
      <c r="E7890" s="5">
        <v>-31507</v>
      </c>
      <c r="F7890" s="3" t="s">
        <v>61</v>
      </c>
      <c r="G7890" s="3" t="s">
        <v>28</v>
      </c>
      <c r="H7890" s="2" t="s">
        <v>20</v>
      </c>
      <c r="I7890" s="2" t="s">
        <v>16433</v>
      </c>
      <c r="J7890" s="3" t="str">
        <f>HYPERLINK("https://www.boe.es/gazeta/dias/1813/09/25/pdfs/GMR-1813-48.pdf#page=8","Abrir facsímil")</f>
        <v>Abrir facsímil</v>
      </c>
      <c r="K7890" s="3" t="s">
        <v>22</v>
      </c>
    </row>
    <row r="7891" spans="1:11" ht="42" customHeight="1">
      <c r="A7891" s="2" t="s">
        <v>16434</v>
      </c>
      <c r="B7891" s="2" t="s">
        <v>16435</v>
      </c>
      <c r="C7891" s="2" t="s">
        <v>16</v>
      </c>
      <c r="D7891" s="2" t="s">
        <v>17</v>
      </c>
      <c r="E7891" s="5">
        <v>-31578</v>
      </c>
      <c r="F7891" s="3" t="s">
        <v>974</v>
      </c>
      <c r="G7891" s="3" t="s">
        <v>207</v>
      </c>
      <c r="H7891" s="2" t="s">
        <v>20</v>
      </c>
      <c r="I7891" s="2" t="s">
        <v>16436</v>
      </c>
      <c r="J7891" s="3" t="str">
        <f>HYPERLINK("https://www.boe.es/gazeta/dias/1813/07/16/pdfs/GMR-1813-18.pdf#page=10","Abrir facsímil")</f>
        <v>Abrir facsímil</v>
      </c>
      <c r="K7891" s="3" t="s">
        <v>22</v>
      </c>
    </row>
    <row r="7892" spans="1:11" ht="42" customHeight="1">
      <c r="A7892" s="2" t="s">
        <v>16437</v>
      </c>
      <c r="B7892" s="2" t="s">
        <v>16438</v>
      </c>
      <c r="C7892" s="2" t="s">
        <v>25</v>
      </c>
      <c r="D7892" s="2" t="s">
        <v>26</v>
      </c>
      <c r="E7892" s="5">
        <v>-31720</v>
      </c>
      <c r="F7892" s="3" t="s">
        <v>672</v>
      </c>
      <c r="G7892" s="3" t="s">
        <v>54</v>
      </c>
      <c r="H7892" s="2" t="s">
        <v>20</v>
      </c>
      <c r="I7892" s="2" t="s">
        <v>16439</v>
      </c>
      <c r="J7892" s="3" t="str">
        <f>HYPERLINK("https://www.boe.es/gazeta/dias/1813/02/24/pdfs/GMD-1813-55.pdf#page=3","Abrir facsímil")</f>
        <v>Abrir facsímil</v>
      </c>
      <c r="K7892" s="3" t="s">
        <v>22</v>
      </c>
    </row>
    <row r="7893" spans="1:11" ht="42" customHeight="1">
      <c r="A7893" s="2" t="s">
        <v>16440</v>
      </c>
      <c r="B7893" s="2" t="s">
        <v>16441</v>
      </c>
      <c r="C7893" s="2" t="s">
        <v>34</v>
      </c>
      <c r="D7893" s="2" t="s">
        <v>35</v>
      </c>
      <c r="E7893" s="5">
        <v>-31537</v>
      </c>
      <c r="F7893" s="3" t="s">
        <v>5241</v>
      </c>
      <c r="G7893" s="3" t="s">
        <v>28</v>
      </c>
      <c r="H7893" s="2" t="s">
        <v>20</v>
      </c>
      <c r="I7893" s="2" t="s">
        <v>16442</v>
      </c>
      <c r="J7893" s="3" t="str">
        <f>HYPERLINK("https://www.boe.es/gazeta/dias/1813/08/26/pdfs/GRE-1813-109.pdf#page=8","Abrir facsímil")</f>
        <v>Abrir facsímil</v>
      </c>
      <c r="K7893" s="3" t="s">
        <v>22</v>
      </c>
    </row>
    <row r="7894" spans="1:11" ht="42" customHeight="1">
      <c r="A7894" s="2" t="s">
        <v>16443</v>
      </c>
      <c r="B7894" s="2" t="s">
        <v>16444</v>
      </c>
      <c r="C7894" s="2" t="s">
        <v>25</v>
      </c>
      <c r="D7894" s="2" t="s">
        <v>26</v>
      </c>
      <c r="E7894" s="5">
        <v>-31549</v>
      </c>
      <c r="F7894" s="3" t="s">
        <v>332</v>
      </c>
      <c r="G7894" s="3" t="s">
        <v>19</v>
      </c>
      <c r="H7894" s="2" t="s">
        <v>20</v>
      </c>
      <c r="I7894" s="2" t="s">
        <v>16445</v>
      </c>
      <c r="J7894" s="3" t="str">
        <f>HYPERLINK("https://www.boe.es/gazeta/dias/1813/08/14/pdfs/GMR-1813-28.pdf#page=4","Abrir facsímil")</f>
        <v>Abrir facsímil</v>
      </c>
      <c r="K7894" s="3" t="s">
        <v>22</v>
      </c>
    </row>
    <row r="7895" spans="1:11" ht="42" customHeight="1">
      <c r="A7895" s="2" t="s">
        <v>16446</v>
      </c>
      <c r="B7895" s="2" t="s">
        <v>16447</v>
      </c>
      <c r="C7895" s="2" t="s">
        <v>16</v>
      </c>
      <c r="D7895" s="2" t="s">
        <v>17</v>
      </c>
      <c r="E7895" s="5">
        <v>-31455</v>
      </c>
      <c r="F7895" s="3" t="s">
        <v>693</v>
      </c>
      <c r="G7895" s="3" t="s">
        <v>87</v>
      </c>
      <c r="H7895" s="2" t="s">
        <v>20</v>
      </c>
      <c r="I7895" s="2" t="s">
        <v>16448</v>
      </c>
      <c r="J7895" s="3" t="str">
        <f>HYPERLINK("https://www.boe.es/gazeta/dias/1813/11/16/pdfs/GRE-1813-150.pdf#page=7","Abrir facsímil")</f>
        <v>Abrir facsímil</v>
      </c>
      <c r="K7895" s="3" t="s">
        <v>22</v>
      </c>
    </row>
    <row r="7896" spans="1:11" ht="42" customHeight="1">
      <c r="A7896" s="2" t="s">
        <v>16449</v>
      </c>
      <c r="B7896" s="2" t="s">
        <v>16450</v>
      </c>
      <c r="C7896" s="2" t="s">
        <v>16</v>
      </c>
      <c r="D7896" s="2" t="s">
        <v>97</v>
      </c>
      <c r="E7896" s="5">
        <v>-31519</v>
      </c>
      <c r="F7896" s="3" t="s">
        <v>312</v>
      </c>
      <c r="G7896" s="3" t="s">
        <v>87</v>
      </c>
      <c r="H7896" s="2" t="s">
        <v>20</v>
      </c>
      <c r="I7896" s="2" t="s">
        <v>16451</v>
      </c>
      <c r="J7896" s="3" t="str">
        <f>HYPERLINK("https://www.boe.es/gazeta/dias/1813/09/13/pdfs/GRE-1813-118E.pdf#page=7","Abrir facsímil")</f>
        <v>Abrir facsímil</v>
      </c>
      <c r="K7896" s="3" t="s">
        <v>22</v>
      </c>
    </row>
    <row r="7897" spans="1:11" ht="42" customHeight="1">
      <c r="A7897" s="2" t="s">
        <v>16452</v>
      </c>
      <c r="B7897" s="2" t="s">
        <v>16453</v>
      </c>
      <c r="C7897" s="2" t="s">
        <v>34</v>
      </c>
      <c r="D7897" s="2" t="s">
        <v>35</v>
      </c>
      <c r="E7897" s="5">
        <v>-31709</v>
      </c>
      <c r="F7897" s="3" t="s">
        <v>36</v>
      </c>
      <c r="G7897" s="3" t="s">
        <v>303</v>
      </c>
      <c r="H7897" s="2" t="s">
        <v>20</v>
      </c>
      <c r="I7897" s="2" t="s">
        <v>16454</v>
      </c>
      <c r="J7897" s="3" t="str">
        <f>HYPERLINK("https://www.boe.es/gazeta/dias/1813/03/07/pdfs/GMD-1813-66.pdf#page=3","Abrir facsímil")</f>
        <v>Abrir facsímil</v>
      </c>
      <c r="K7897" s="3" t="s">
        <v>22</v>
      </c>
    </row>
    <row r="7898" spans="1:11" ht="42" customHeight="1">
      <c r="A7898" s="2" t="s">
        <v>16455</v>
      </c>
      <c r="B7898" s="2" t="s">
        <v>16456</v>
      </c>
      <c r="C7898" s="2" t="s">
        <v>16</v>
      </c>
      <c r="D7898" s="2" t="s">
        <v>17</v>
      </c>
      <c r="E7898" s="5">
        <v>-31574</v>
      </c>
      <c r="F7898" s="3" t="s">
        <v>1343</v>
      </c>
      <c r="G7898" s="3" t="s">
        <v>178</v>
      </c>
      <c r="H7898" s="2" t="s">
        <v>20</v>
      </c>
      <c r="I7898" s="2" t="s">
        <v>16457</v>
      </c>
      <c r="J7898" s="3" t="str">
        <f>HYPERLINK("https://www.boe.es/gazeta/dias/1813/07/20/pdfs/GMR-1813-19.pdf#page=11","Abrir facsímil")</f>
        <v>Abrir facsímil</v>
      </c>
      <c r="K7898" s="3" t="s">
        <v>22</v>
      </c>
    </row>
    <row r="7899" spans="1:11" ht="42" customHeight="1">
      <c r="A7899" s="2" t="s">
        <v>16458</v>
      </c>
      <c r="B7899" s="2" t="s">
        <v>16458</v>
      </c>
      <c r="C7899" s="2" t="s">
        <v>16</v>
      </c>
      <c r="D7899" s="2" t="s">
        <v>17</v>
      </c>
      <c r="E7899" s="5">
        <v>-31507</v>
      </c>
      <c r="F7899" s="3" t="s">
        <v>2294</v>
      </c>
      <c r="G7899" s="3" t="s">
        <v>95</v>
      </c>
      <c r="H7899" s="2" t="s">
        <v>20</v>
      </c>
      <c r="I7899" s="2" t="s">
        <v>16459</v>
      </c>
      <c r="J7899" s="3" t="str">
        <f>HYPERLINK("https://www.boe.es/gazeta/dias/1813/09/25/pdfs/GRE-1813-126.pdf#page=6","Abrir facsímil")</f>
        <v>Abrir facsímil</v>
      </c>
      <c r="K7899" s="3" t="s">
        <v>22</v>
      </c>
    </row>
    <row r="7900" spans="1:11" ht="42" customHeight="1">
      <c r="A7900" s="2" t="s">
        <v>16460</v>
      </c>
      <c r="B7900" s="2" t="s">
        <v>16461</v>
      </c>
      <c r="C7900" s="2" t="s">
        <v>34</v>
      </c>
      <c r="D7900" s="2" t="s">
        <v>35</v>
      </c>
      <c r="E7900" s="5">
        <v>-31709</v>
      </c>
      <c r="F7900" s="3" t="s">
        <v>36</v>
      </c>
      <c r="G7900" s="3" t="s">
        <v>19</v>
      </c>
      <c r="H7900" s="2" t="s">
        <v>20</v>
      </c>
      <c r="I7900" s="2" t="s">
        <v>16462</v>
      </c>
      <c r="J7900" s="3" t="str">
        <f>HYPERLINK("https://www.boe.es/gazeta/dias/1813/03/07/pdfs/GMD-1813-66.pdf#page=4","Abrir facsímil")</f>
        <v>Abrir facsímil</v>
      </c>
      <c r="K7900" s="3" t="s">
        <v>22</v>
      </c>
    </row>
    <row r="7901" spans="1:11" ht="42" customHeight="1">
      <c r="A7901" s="2" t="s">
        <v>16463</v>
      </c>
      <c r="B7901" s="2" t="s">
        <v>16464</v>
      </c>
      <c r="C7901" s="2" t="s">
        <v>25</v>
      </c>
      <c r="D7901" s="2" t="s">
        <v>26</v>
      </c>
      <c r="E7901" s="5">
        <v>-31745</v>
      </c>
      <c r="F7901" s="3" t="s">
        <v>445</v>
      </c>
      <c r="G7901" s="3" t="s">
        <v>28</v>
      </c>
      <c r="H7901" s="2" t="s">
        <v>20</v>
      </c>
      <c r="I7901" s="2" t="s">
        <v>16465</v>
      </c>
      <c r="J7901" s="3" t="str">
        <f>HYPERLINK("https://www.boe.es/gazeta/dias/1813/01/30/pdfs/GRE-1813-13.pdf#page=8","Abrir facsímil")</f>
        <v>Abrir facsímil</v>
      </c>
      <c r="K7901" s="3" t="s">
        <v>22</v>
      </c>
    </row>
    <row r="7902" spans="1:11" ht="42" customHeight="1">
      <c r="A7902" s="2" t="s">
        <v>16466</v>
      </c>
      <c r="B7902" s="2" t="s">
        <v>16467</v>
      </c>
      <c r="C7902" s="2" t="s">
        <v>16</v>
      </c>
      <c r="D7902" s="2" t="s">
        <v>97</v>
      </c>
      <c r="E7902" s="5">
        <v>-31479</v>
      </c>
      <c r="F7902" s="3" t="s">
        <v>290</v>
      </c>
      <c r="G7902" s="3" t="s">
        <v>28</v>
      </c>
      <c r="H7902" s="2" t="s">
        <v>20</v>
      </c>
      <c r="I7902" s="2" t="s">
        <v>16468</v>
      </c>
      <c r="J7902" s="3" t="str">
        <f>HYPERLINK("https://www.boe.es/gazeta/dias/1813/10/23/pdfs/GRE-1813-139E.pdf#page=8","Abrir facsímil")</f>
        <v>Abrir facsímil</v>
      </c>
      <c r="K7902" s="3" t="s">
        <v>22</v>
      </c>
    </row>
    <row r="7903" spans="1:11" ht="42" customHeight="1">
      <c r="A7903" s="2" t="s">
        <v>16469</v>
      </c>
      <c r="B7903" s="2" t="s">
        <v>16470</v>
      </c>
      <c r="C7903" s="2" t="s">
        <v>16</v>
      </c>
      <c r="D7903" s="2" t="s">
        <v>97</v>
      </c>
      <c r="E7903" s="5">
        <v>-31479</v>
      </c>
      <c r="F7903" s="3" t="s">
        <v>290</v>
      </c>
      <c r="G7903" s="3" t="s">
        <v>19</v>
      </c>
      <c r="H7903" s="2" t="s">
        <v>20</v>
      </c>
      <c r="I7903" s="2" t="s">
        <v>16471</v>
      </c>
      <c r="J7903" s="3" t="str">
        <f>HYPERLINK("https://www.boe.es/gazeta/dias/1813/10/23/pdfs/GRE-1813-139E.pdf#page=4","Abrir facsímil")</f>
        <v>Abrir facsímil</v>
      </c>
      <c r="K7903" s="3" t="s">
        <v>22</v>
      </c>
    </row>
    <row r="7904" spans="1:11" ht="42" customHeight="1">
      <c r="A7904" s="2" t="s">
        <v>16469</v>
      </c>
      <c r="B7904" s="2" t="s">
        <v>16470</v>
      </c>
      <c r="C7904" s="2" t="s">
        <v>16</v>
      </c>
      <c r="D7904" s="2" t="s">
        <v>17</v>
      </c>
      <c r="E7904" s="5">
        <v>-31465</v>
      </c>
      <c r="F7904" s="3" t="s">
        <v>407</v>
      </c>
      <c r="G7904" s="3" t="s">
        <v>19</v>
      </c>
      <c r="H7904" s="2" t="s">
        <v>20</v>
      </c>
      <c r="I7904" s="2" t="s">
        <v>16472</v>
      </c>
      <c r="J7904" s="3" t="str">
        <f>HYPERLINK("https://www.boe.es/gazeta/dias/1813/11/06/pdfs/GMR-1813-70.pdf#page=4","Abrir facsímil")</f>
        <v>Abrir facsímil</v>
      </c>
      <c r="K7904" s="3" t="s">
        <v>22</v>
      </c>
    </row>
    <row r="7905" spans="1:11" ht="42" customHeight="1">
      <c r="A7905" s="2" t="s">
        <v>16473</v>
      </c>
      <c r="B7905" s="2" t="s">
        <v>16473</v>
      </c>
      <c r="C7905" s="2" t="s">
        <v>16</v>
      </c>
      <c r="D7905" s="2" t="s">
        <v>17</v>
      </c>
      <c r="E7905" s="5">
        <v>-31664</v>
      </c>
      <c r="F7905" s="3" t="s">
        <v>1144</v>
      </c>
      <c r="G7905" s="3" t="s">
        <v>65</v>
      </c>
      <c r="H7905" s="2" t="s">
        <v>20</v>
      </c>
      <c r="I7905" s="2" t="s">
        <v>16474</v>
      </c>
      <c r="J7905" s="3" t="str">
        <f>HYPERLINK("https://www.boe.es/gazeta/dias/1813/04/21/pdfs/GMD-1813-111.pdf#page=1","Abrir facsímil")</f>
        <v>Abrir facsímil</v>
      </c>
      <c r="K7905" s="3" t="s">
        <v>22</v>
      </c>
    </row>
    <row r="7906" spans="1:11" ht="42" customHeight="1">
      <c r="A7906" s="2" t="s">
        <v>16475</v>
      </c>
      <c r="B7906" s="2" t="s">
        <v>16476</v>
      </c>
      <c r="C7906" s="2" t="s">
        <v>34</v>
      </c>
      <c r="D7906" s="2" t="s">
        <v>35</v>
      </c>
      <c r="E7906" s="5">
        <v>-31637</v>
      </c>
      <c r="F7906" s="3" t="s">
        <v>855</v>
      </c>
      <c r="G7906" s="3" t="s">
        <v>19</v>
      </c>
      <c r="H7906" s="2" t="s">
        <v>20</v>
      </c>
      <c r="I7906" s="2" t="s">
        <v>16477</v>
      </c>
      <c r="J7906" s="3" t="str">
        <f>HYPERLINK("https://www.boe.es/gazeta/dias/1813/05/18/pdfs/GMD-1813-138.pdf#page=4","Abrir facsímil")</f>
        <v>Abrir facsímil</v>
      </c>
      <c r="K7906" s="3" t="s">
        <v>22</v>
      </c>
    </row>
    <row r="7907" spans="1:11" ht="42" customHeight="1">
      <c r="A7907" s="2" t="s">
        <v>16478</v>
      </c>
      <c r="B7907" s="2" t="s">
        <v>16478</v>
      </c>
      <c r="C7907" s="2" t="s">
        <v>16</v>
      </c>
      <c r="D7907" s="2" t="s">
        <v>17</v>
      </c>
      <c r="E7907" s="5">
        <v>-31588</v>
      </c>
      <c r="F7907" s="3" t="s">
        <v>2402</v>
      </c>
      <c r="G7907" s="3" t="s">
        <v>65</v>
      </c>
      <c r="H7907" s="2" t="s">
        <v>20</v>
      </c>
      <c r="I7907" s="2" t="s">
        <v>16479</v>
      </c>
      <c r="J7907" s="3" t="str">
        <f>HYPERLINK("https://www.boe.es/gazeta/dias/1813/07/06/pdfs/GRE-1813-84.pdf#page=1","Abrir facsímil")</f>
        <v>Abrir facsímil</v>
      </c>
      <c r="K7907" s="3" t="s">
        <v>22</v>
      </c>
    </row>
    <row r="7908" spans="1:11" ht="42" customHeight="1">
      <c r="A7908" s="2" t="s">
        <v>16480</v>
      </c>
      <c r="B7908" s="2" t="s">
        <v>16480</v>
      </c>
      <c r="C7908" s="2" t="s">
        <v>16</v>
      </c>
      <c r="D7908" s="2" t="s">
        <v>17</v>
      </c>
      <c r="E7908" s="5">
        <v>-31420</v>
      </c>
      <c r="F7908" s="3" t="s">
        <v>210</v>
      </c>
      <c r="G7908" s="3" t="s">
        <v>87</v>
      </c>
      <c r="H7908" s="2" t="s">
        <v>20</v>
      </c>
      <c r="I7908" s="2" t="s">
        <v>16481</v>
      </c>
      <c r="J7908" s="3" t="str">
        <f>HYPERLINK("https://www.boe.es/gazeta/dias/1813/12/21/pdfs/GRE-1813-167.pdf#page=7","Abrir facsímil")</f>
        <v>Abrir facsímil</v>
      </c>
      <c r="K7908" s="3" t="s">
        <v>22</v>
      </c>
    </row>
    <row r="7909" spans="1:11" ht="42" customHeight="1">
      <c r="A7909" s="2" t="s">
        <v>16482</v>
      </c>
      <c r="B7909" s="2" t="s">
        <v>16483</v>
      </c>
      <c r="C7909" s="2" t="s">
        <v>109</v>
      </c>
      <c r="D7909" s="2" t="s">
        <v>26</v>
      </c>
      <c r="E7909" s="5">
        <v>-31689</v>
      </c>
      <c r="F7909" s="3" t="s">
        <v>48</v>
      </c>
      <c r="G7909" s="3" t="s">
        <v>162</v>
      </c>
      <c r="H7909" s="2" t="s">
        <v>20</v>
      </c>
      <c r="I7909" s="2" t="s">
        <v>16484</v>
      </c>
      <c r="J7909" s="3" t="str">
        <f>HYPERLINK("https://www.boe.es/gazeta/dias/1813/03/27/pdfs/GRE-1813-38.pdf#page=8","Abrir facsímil")</f>
        <v>Abrir facsímil</v>
      </c>
      <c r="K7909" s="3" t="s">
        <v>22</v>
      </c>
    </row>
    <row r="7910" spans="1:11" ht="42" customHeight="1">
      <c r="A7910" s="2" t="s">
        <v>16485</v>
      </c>
      <c r="B7910" s="2" t="s">
        <v>16486</v>
      </c>
      <c r="C7910" s="2" t="s">
        <v>16</v>
      </c>
      <c r="D7910" s="2" t="s">
        <v>17</v>
      </c>
      <c r="E7910" s="5">
        <v>-31542</v>
      </c>
      <c r="F7910" s="3" t="s">
        <v>337</v>
      </c>
      <c r="G7910" s="3" t="s">
        <v>54</v>
      </c>
      <c r="H7910" s="2" t="s">
        <v>20</v>
      </c>
      <c r="I7910" s="2" t="s">
        <v>16487</v>
      </c>
      <c r="J7910" s="3" t="str">
        <f>HYPERLINK("https://www.boe.es/gazeta/dias/1813/08/21/pdfs/GRE-1813-107.pdf#page=3","Abrir facsímil")</f>
        <v>Abrir facsímil</v>
      </c>
      <c r="K7910" s="3" t="s">
        <v>22</v>
      </c>
    </row>
    <row r="7911" spans="1:11" ht="42" customHeight="1">
      <c r="A7911" s="2" t="s">
        <v>16488</v>
      </c>
      <c r="B7911" s="2" t="s">
        <v>16488</v>
      </c>
      <c r="C7911" s="2" t="s">
        <v>25</v>
      </c>
      <c r="D7911" s="2" t="s">
        <v>26</v>
      </c>
      <c r="E7911" s="5">
        <v>-31479</v>
      </c>
      <c r="F7911" s="3" t="s">
        <v>2383</v>
      </c>
      <c r="G7911" s="3" t="s">
        <v>28</v>
      </c>
      <c r="H7911" s="2" t="s">
        <v>20</v>
      </c>
      <c r="I7911" s="2" t="s">
        <v>16489</v>
      </c>
      <c r="J7911" s="3" t="str">
        <f>HYPERLINK("https://www.boe.es/gazeta/dias/1813/10/23/pdfs/GRE-1813-138.pdf#page=8","Abrir facsímil")</f>
        <v>Abrir facsímil</v>
      </c>
      <c r="K7911" s="3" t="s">
        <v>22</v>
      </c>
    </row>
    <row r="7912" spans="1:11" ht="42" customHeight="1">
      <c r="A7912" s="2" t="s">
        <v>16490</v>
      </c>
      <c r="B7912" s="2" t="s">
        <v>16491</v>
      </c>
      <c r="C7912" s="2" t="s">
        <v>34</v>
      </c>
      <c r="D7912" s="2" t="s">
        <v>35</v>
      </c>
      <c r="E7912" s="5">
        <v>-31709</v>
      </c>
      <c r="F7912" s="3" t="s">
        <v>36</v>
      </c>
      <c r="G7912" s="3" t="s">
        <v>303</v>
      </c>
      <c r="H7912" s="2" t="s">
        <v>20</v>
      </c>
      <c r="I7912" s="2" t="s">
        <v>16492</v>
      </c>
      <c r="J7912" s="3" t="str">
        <f>HYPERLINK("https://www.boe.es/gazeta/dias/1813/03/07/pdfs/GMD-1813-66.pdf#page=3","Abrir facsímil")</f>
        <v>Abrir facsímil</v>
      </c>
      <c r="K7912" s="3" t="s">
        <v>22</v>
      </c>
    </row>
    <row r="7913" spans="1:11" ht="42" customHeight="1">
      <c r="A7913" s="2" t="s">
        <v>16490</v>
      </c>
      <c r="B7913" s="2" t="s">
        <v>16491</v>
      </c>
      <c r="C7913" s="2" t="s">
        <v>16</v>
      </c>
      <c r="D7913" s="2" t="s">
        <v>17</v>
      </c>
      <c r="E7913" s="5">
        <v>-31525</v>
      </c>
      <c r="F7913" s="3" t="s">
        <v>1131</v>
      </c>
      <c r="G7913" s="3" t="s">
        <v>95</v>
      </c>
      <c r="H7913" s="2" t="s">
        <v>20</v>
      </c>
      <c r="I7913" s="2" t="s">
        <v>16493</v>
      </c>
      <c r="J7913" s="3" t="str">
        <f>HYPERLINK("https://www.boe.es/gazeta/dias/1813/09/07/pdfs/GRE-1813-114.pdf#page=6","Abrir facsímil")</f>
        <v>Abrir facsímil</v>
      </c>
      <c r="K7913" s="3" t="s">
        <v>22</v>
      </c>
    </row>
    <row r="7914" spans="1:11" ht="42" customHeight="1">
      <c r="A7914" s="2" t="s">
        <v>16490</v>
      </c>
      <c r="B7914" s="2" t="s">
        <v>16491</v>
      </c>
      <c r="C7914" s="2" t="s">
        <v>16</v>
      </c>
      <c r="D7914" s="2" t="s">
        <v>17</v>
      </c>
      <c r="E7914" s="5">
        <v>-31451</v>
      </c>
      <c r="F7914" s="3" t="s">
        <v>2325</v>
      </c>
      <c r="G7914" s="3" t="s">
        <v>3386</v>
      </c>
      <c r="H7914" s="2" t="s">
        <v>20</v>
      </c>
      <c r="I7914" s="2" t="s">
        <v>16494</v>
      </c>
      <c r="J7914" s="3" t="str">
        <f>HYPERLINK("https://www.boe.es/gazeta/dias/1813/11/20/pdfs/GMR-1813-77.pdf#page=3","Abrir facsímil")</f>
        <v>Abrir facsímil</v>
      </c>
      <c r="K7914" s="3" t="s">
        <v>22</v>
      </c>
    </row>
    <row r="7915" spans="1:11" ht="42" customHeight="1">
      <c r="A7915" s="2" t="s">
        <v>16495</v>
      </c>
      <c r="B7915" s="2" t="s">
        <v>16496</v>
      </c>
      <c r="C7915" s="2" t="s">
        <v>16</v>
      </c>
      <c r="D7915" s="2" t="s">
        <v>17</v>
      </c>
      <c r="E7915" s="5">
        <v>-31439</v>
      </c>
      <c r="F7915" s="3" t="s">
        <v>3821</v>
      </c>
      <c r="G7915" s="3" t="s">
        <v>19</v>
      </c>
      <c r="H7915" s="2" t="s">
        <v>20</v>
      </c>
      <c r="I7915" s="2" t="s">
        <v>16497</v>
      </c>
      <c r="J7915" s="3" t="str">
        <f>HYPERLINK("https://www.boe.es/gazeta/dias/1813/12/02/pdfs/GRE-1813-159.pdf#page=4","Abrir facsímil")</f>
        <v>Abrir facsímil</v>
      </c>
      <c r="K7915" s="3" t="s">
        <v>22</v>
      </c>
    </row>
    <row r="7916" spans="1:11" ht="42" customHeight="1">
      <c r="A7916" s="2" t="s">
        <v>16498</v>
      </c>
      <c r="B7916" s="2" t="s">
        <v>16499</v>
      </c>
      <c r="C7916" s="2" t="s">
        <v>16</v>
      </c>
      <c r="D7916" s="2" t="s">
        <v>17</v>
      </c>
      <c r="E7916" s="5">
        <v>-31630</v>
      </c>
      <c r="F7916" s="3" t="s">
        <v>1324</v>
      </c>
      <c r="G7916" s="3" t="s">
        <v>3155</v>
      </c>
      <c r="H7916" s="2" t="s">
        <v>20</v>
      </c>
      <c r="I7916" s="2" t="s">
        <v>16500</v>
      </c>
      <c r="J7916" s="3" t="str">
        <f>HYPERLINK("https://www.boe.es/gazeta/dias/1813/05/25/pdfs/GRE-1813-64.pdf#page=8","Abrir facsímil")</f>
        <v>Abrir facsímil</v>
      </c>
      <c r="K7916" s="3" t="s">
        <v>22</v>
      </c>
    </row>
    <row r="7917" spans="1:11" ht="42" customHeight="1">
      <c r="A7917" s="2" t="s">
        <v>16501</v>
      </c>
      <c r="B7917" s="2" t="s">
        <v>16502</v>
      </c>
      <c r="C7917" s="2" t="s">
        <v>16</v>
      </c>
      <c r="D7917" s="2" t="s">
        <v>17</v>
      </c>
      <c r="E7917" s="5">
        <v>-31635</v>
      </c>
      <c r="F7917" s="3" t="s">
        <v>2173</v>
      </c>
      <c r="G7917" s="3" t="s">
        <v>11132</v>
      </c>
      <c r="H7917" s="2" t="s">
        <v>20</v>
      </c>
      <c r="I7917" s="2" t="s">
        <v>16503</v>
      </c>
      <c r="J7917" s="3" t="str">
        <f>HYPERLINK("https://www.boe.es/gazeta/dias/1813/05/20/pdfs/GRE-1813-62.pdf#page=8","Abrir facsímil")</f>
        <v>Abrir facsímil</v>
      </c>
      <c r="K7917" s="3" t="s">
        <v>22</v>
      </c>
    </row>
    <row r="7918" spans="1:11" ht="42" customHeight="1">
      <c r="A7918" s="2" t="s">
        <v>16504</v>
      </c>
      <c r="B7918" s="2" t="s">
        <v>16504</v>
      </c>
      <c r="C7918" s="2" t="s">
        <v>16</v>
      </c>
      <c r="D7918" s="2" t="s">
        <v>17</v>
      </c>
      <c r="E7918" s="5">
        <v>-31759</v>
      </c>
      <c r="F7918" s="3" t="s">
        <v>419</v>
      </c>
      <c r="G7918" s="3" t="s">
        <v>54</v>
      </c>
      <c r="H7918" s="2" t="s">
        <v>20</v>
      </c>
      <c r="I7918" s="2" t="s">
        <v>16505</v>
      </c>
      <c r="J7918" s="3" t="str">
        <f>HYPERLINK("https://www.boe.es/gazeta/dias/1813/01/16/pdfs/GRE-1813-7.pdf#page=3","Abrir facsímil")</f>
        <v>Abrir facsímil</v>
      </c>
      <c r="K7918" s="3" t="s">
        <v>22</v>
      </c>
    </row>
    <row r="7919" spans="1:11" ht="42" customHeight="1">
      <c r="A7919" s="2" t="s">
        <v>16506</v>
      </c>
      <c r="B7919" s="2" t="s">
        <v>16506</v>
      </c>
      <c r="C7919" s="2" t="s">
        <v>16</v>
      </c>
      <c r="D7919" s="2" t="s">
        <v>17</v>
      </c>
      <c r="E7919" s="5">
        <v>-31763</v>
      </c>
      <c r="F7919" s="3" t="s">
        <v>668</v>
      </c>
      <c r="G7919" s="3" t="s">
        <v>82</v>
      </c>
      <c r="H7919" s="2" t="s">
        <v>20</v>
      </c>
      <c r="I7919" s="2" t="s">
        <v>16507</v>
      </c>
      <c r="J7919" s="3" t="str">
        <f>HYPERLINK("https://www.boe.es/gazeta/dias/1813/01/12/pdfs/GRE-1813-5.pdf#page=5","Abrir facsímil")</f>
        <v>Abrir facsímil</v>
      </c>
      <c r="K7919" s="3" t="s">
        <v>22</v>
      </c>
    </row>
    <row r="7920" spans="1:11" ht="42" customHeight="1">
      <c r="A7920" s="2" t="s">
        <v>16508</v>
      </c>
      <c r="B7920" s="2" t="s">
        <v>16508</v>
      </c>
      <c r="C7920" s="2" t="s">
        <v>187</v>
      </c>
      <c r="D7920" s="2" t="s">
        <v>26</v>
      </c>
      <c r="E7920" s="5">
        <v>-31715</v>
      </c>
      <c r="F7920" s="3" t="s">
        <v>3358</v>
      </c>
      <c r="G7920" s="3" t="s">
        <v>2055</v>
      </c>
      <c r="H7920" s="2" t="s">
        <v>20</v>
      </c>
      <c r="I7920" s="2" t="s">
        <v>16509</v>
      </c>
      <c r="J7920" s="3" t="str">
        <f>HYPERLINK("https://www.boe.es/gazeta/dias/1813/03/01/pdfs/GMD-1813-60.pdf#page=3","Abrir facsímil")</f>
        <v>Abrir facsímil</v>
      </c>
      <c r="K7920" s="3" t="s">
        <v>22</v>
      </c>
    </row>
    <row r="7921" spans="1:11" ht="42" customHeight="1">
      <c r="A7921" s="2" t="s">
        <v>16510</v>
      </c>
      <c r="B7921" s="2" t="s">
        <v>16510</v>
      </c>
      <c r="C7921" s="2" t="s">
        <v>16</v>
      </c>
      <c r="D7921" s="2" t="s">
        <v>17</v>
      </c>
      <c r="E7921" s="5">
        <v>-31567</v>
      </c>
      <c r="F7921" s="3" t="s">
        <v>820</v>
      </c>
      <c r="G7921" s="3" t="s">
        <v>19</v>
      </c>
      <c r="H7921" s="2" t="s">
        <v>20</v>
      </c>
      <c r="I7921" s="2" t="s">
        <v>16511</v>
      </c>
      <c r="J7921" s="3" t="str">
        <f>HYPERLINK("https://www.boe.es/gazeta/dias/1813/07/27/pdfs/GMR-1813-21.pdf#page=4","Abrir facsímil")</f>
        <v>Abrir facsímil</v>
      </c>
      <c r="K7921" s="3" t="s">
        <v>22</v>
      </c>
    </row>
    <row r="7922" spans="1:11" ht="42" customHeight="1">
      <c r="A7922" s="2" t="s">
        <v>16512</v>
      </c>
      <c r="B7922" s="2" t="s">
        <v>16512</v>
      </c>
      <c r="C7922" s="2" t="s">
        <v>16</v>
      </c>
      <c r="D7922" s="2" t="s">
        <v>17</v>
      </c>
      <c r="E7922" s="5">
        <v>-31567</v>
      </c>
      <c r="F7922" s="3" t="s">
        <v>820</v>
      </c>
      <c r="G7922" s="3" t="s">
        <v>19</v>
      </c>
      <c r="H7922" s="2" t="s">
        <v>20</v>
      </c>
      <c r="I7922" s="2" t="s">
        <v>16513</v>
      </c>
      <c r="J7922" s="3" t="str">
        <f>HYPERLINK("https://www.boe.es/gazeta/dias/1813/07/27/pdfs/GMR-1813-21.pdf#page=4","Abrir facsímil")</f>
        <v>Abrir facsímil</v>
      </c>
      <c r="K7922" s="3" t="s">
        <v>22</v>
      </c>
    </row>
    <row r="7923" spans="1:11" ht="42" customHeight="1">
      <c r="A7923" s="2" t="s">
        <v>16514</v>
      </c>
      <c r="B7923" s="2" t="s">
        <v>16514</v>
      </c>
      <c r="C7923" s="2" t="s">
        <v>16</v>
      </c>
      <c r="D7923" s="2" t="s">
        <v>17</v>
      </c>
      <c r="E7923" s="5">
        <v>-31567</v>
      </c>
      <c r="F7923" s="3" t="s">
        <v>820</v>
      </c>
      <c r="G7923" s="3" t="s">
        <v>19</v>
      </c>
      <c r="H7923" s="2" t="s">
        <v>20</v>
      </c>
      <c r="I7923" s="2" t="s">
        <v>16515</v>
      </c>
      <c r="J7923" s="3" t="str">
        <f>HYPERLINK("https://www.boe.es/gazeta/dias/1813/07/27/pdfs/GMR-1813-21.pdf#page=4","Abrir facsímil")</f>
        <v>Abrir facsímil</v>
      </c>
      <c r="K7923" s="3" t="s">
        <v>22</v>
      </c>
    </row>
    <row r="7924" spans="1:11" ht="42" customHeight="1">
      <c r="A7924" s="2" t="s">
        <v>16516</v>
      </c>
      <c r="B7924" s="2" t="s">
        <v>16516</v>
      </c>
      <c r="C7924" s="2" t="s">
        <v>25</v>
      </c>
      <c r="D7924" s="2" t="s">
        <v>26</v>
      </c>
      <c r="E7924" s="5">
        <v>-31544</v>
      </c>
      <c r="F7924" s="3" t="s">
        <v>44</v>
      </c>
      <c r="G7924" s="3" t="s">
        <v>19</v>
      </c>
      <c r="H7924" s="2" t="s">
        <v>20</v>
      </c>
      <c r="I7924" s="2" t="s">
        <v>16517</v>
      </c>
      <c r="J7924" s="3" t="str">
        <f>HYPERLINK("https://www.boe.es/gazeta/dias/1813/08/19/pdfs/GMR-1813-30.pdf#page=4","Abrir facsímil")</f>
        <v>Abrir facsímil</v>
      </c>
      <c r="K7924" s="3" t="s">
        <v>22</v>
      </c>
    </row>
    <row r="7925" spans="1:11" ht="42" customHeight="1">
      <c r="A7925" s="2" t="s">
        <v>16518</v>
      </c>
      <c r="B7925" s="2" t="s">
        <v>16518</v>
      </c>
      <c r="C7925" s="2" t="s">
        <v>16</v>
      </c>
      <c r="D7925" s="2" t="s">
        <v>17</v>
      </c>
      <c r="E7925" s="5">
        <v>-31679</v>
      </c>
      <c r="F7925" s="3" t="s">
        <v>571</v>
      </c>
      <c r="G7925" s="3" t="s">
        <v>95</v>
      </c>
      <c r="H7925" s="2" t="s">
        <v>20</v>
      </c>
      <c r="I7925" s="2" t="s">
        <v>16519</v>
      </c>
      <c r="J7925" s="3" t="str">
        <f>HYPERLINK("https://www.boe.es/gazeta/dias/1813/04/06/pdfs/GRE-1813-42.pdf#page=6","Abrir facsímil")</f>
        <v>Abrir facsímil</v>
      </c>
      <c r="K7925" s="3" t="s">
        <v>22</v>
      </c>
    </row>
    <row r="7926" spans="1:11" ht="42" customHeight="1">
      <c r="A7926" s="2" t="s">
        <v>16520</v>
      </c>
      <c r="B7926" s="2" t="s">
        <v>16520</v>
      </c>
      <c r="C7926" s="2" t="s">
        <v>16</v>
      </c>
      <c r="D7926" s="2" t="s">
        <v>17</v>
      </c>
      <c r="E7926" s="5">
        <v>-31772</v>
      </c>
      <c r="F7926" s="3" t="s">
        <v>2361</v>
      </c>
      <c r="G7926" s="3" t="s">
        <v>65</v>
      </c>
      <c r="H7926" s="2" t="s">
        <v>20</v>
      </c>
      <c r="I7926" s="2" t="s">
        <v>16521</v>
      </c>
      <c r="J7926" s="3" t="str">
        <f>HYPERLINK("https://www.boe.es/gazeta/dias/1813/01/03/pdfs/GMD-1813-3.pdf#page=1","Abrir facsímil")</f>
        <v>Abrir facsímil</v>
      </c>
      <c r="K7926" s="3" t="s">
        <v>22</v>
      </c>
    </row>
    <row r="7927" spans="1:11" ht="42" customHeight="1">
      <c r="A7927" s="2" t="s">
        <v>16522</v>
      </c>
      <c r="B7927" s="2" t="s">
        <v>16523</v>
      </c>
      <c r="C7927" s="2" t="s">
        <v>16</v>
      </c>
      <c r="D7927" s="2" t="s">
        <v>17</v>
      </c>
      <c r="E7927" s="5">
        <v>-31523</v>
      </c>
      <c r="F7927" s="3" t="s">
        <v>81</v>
      </c>
      <c r="G7927" s="3" t="s">
        <v>807</v>
      </c>
      <c r="H7927" s="2" t="s">
        <v>20</v>
      </c>
      <c r="I7927" s="2" t="s">
        <v>16524</v>
      </c>
      <c r="J7927" s="3" t="str">
        <f>HYPERLINK("https://www.boe.es/gazeta/dias/1813/09/09/pdfs/GRE-1813-115.pdf#page=2","Abrir facsímil")</f>
        <v>Abrir facsímil</v>
      </c>
      <c r="K7927" s="3" t="s">
        <v>22</v>
      </c>
    </row>
    <row r="7928" spans="1:11" ht="42" customHeight="1">
      <c r="A7928" s="2" t="s">
        <v>16525</v>
      </c>
      <c r="B7928" s="2" t="s">
        <v>16525</v>
      </c>
      <c r="C7928" s="2" t="s">
        <v>16</v>
      </c>
      <c r="D7928" s="2" t="s">
        <v>17</v>
      </c>
      <c r="E7928" s="5">
        <v>-31497</v>
      </c>
      <c r="F7928" s="3" t="s">
        <v>223</v>
      </c>
      <c r="G7928" s="3" t="s">
        <v>58</v>
      </c>
      <c r="H7928" s="2" t="s">
        <v>20</v>
      </c>
      <c r="I7928" s="2" t="s">
        <v>16526</v>
      </c>
      <c r="J7928" s="3" t="str">
        <f>HYPERLINK("https://www.boe.es/gazeta/dias/1813/10/05/pdfs/GRE-1813-130.pdf#page=2","Abrir facsímil")</f>
        <v>Abrir facsímil</v>
      </c>
      <c r="K7928" s="3" t="s">
        <v>22</v>
      </c>
    </row>
    <row r="7929" spans="1:11" ht="42" customHeight="1">
      <c r="A7929" s="2" t="s">
        <v>16527</v>
      </c>
      <c r="B7929" s="2" t="s">
        <v>16527</v>
      </c>
      <c r="C7929" s="2" t="s">
        <v>16</v>
      </c>
      <c r="D7929" s="2" t="s">
        <v>17</v>
      </c>
      <c r="E7929" s="5">
        <v>-31658</v>
      </c>
      <c r="F7929" s="3" t="s">
        <v>1654</v>
      </c>
      <c r="G7929" s="3" t="s">
        <v>54</v>
      </c>
      <c r="H7929" s="2" t="s">
        <v>20</v>
      </c>
      <c r="I7929" s="2" t="s">
        <v>16528</v>
      </c>
      <c r="J7929" s="3" t="str">
        <f>HYPERLINK("https://www.boe.es/gazeta/dias/1813/04/27/pdfs/GMD-1813-117.pdf#page=3","Abrir facsímil")</f>
        <v>Abrir facsímil</v>
      </c>
      <c r="K7929" s="3" t="s">
        <v>22</v>
      </c>
    </row>
    <row r="7930" spans="1:11" ht="42" customHeight="1">
      <c r="A7930" s="2" t="s">
        <v>16529</v>
      </c>
      <c r="B7930" s="2" t="s">
        <v>16530</v>
      </c>
      <c r="C7930" s="2" t="s">
        <v>187</v>
      </c>
      <c r="D7930" s="2" t="s">
        <v>26</v>
      </c>
      <c r="E7930" s="5">
        <v>-31677</v>
      </c>
      <c r="F7930" s="3" t="s">
        <v>76</v>
      </c>
      <c r="G7930" s="3" t="s">
        <v>28</v>
      </c>
      <c r="H7930" s="2" t="s">
        <v>20</v>
      </c>
      <c r="I7930" s="2" t="s">
        <v>16531</v>
      </c>
      <c r="J7930" s="3" t="str">
        <f>HYPERLINK("https://www.boe.es/gazeta/dias/1813/04/08/pdfs/GRE-1813-43.pdf#page=8","Abrir facsímil")</f>
        <v>Abrir facsímil</v>
      </c>
      <c r="K7930" s="3" t="s">
        <v>22</v>
      </c>
    </row>
    <row r="7931" spans="1:11" ht="42" customHeight="1">
      <c r="A7931" s="2" t="s">
        <v>16532</v>
      </c>
      <c r="B7931" s="2" t="s">
        <v>16532</v>
      </c>
      <c r="C7931" s="2" t="s">
        <v>16</v>
      </c>
      <c r="D7931" s="2" t="s">
        <v>17</v>
      </c>
      <c r="E7931" s="5">
        <v>-31616</v>
      </c>
      <c r="F7931" s="3" t="s">
        <v>2201</v>
      </c>
      <c r="G7931" s="3" t="s">
        <v>58</v>
      </c>
      <c r="H7931" s="2" t="s">
        <v>20</v>
      </c>
      <c r="I7931" s="2" t="s">
        <v>16533</v>
      </c>
      <c r="J7931" s="3" t="str">
        <f>HYPERLINK("https://www.boe.es/gazeta/dias/1813/06/08/pdfs/GMR-1813-3.pdf#page=2","Abrir facsímil")</f>
        <v>Abrir facsímil</v>
      </c>
      <c r="K7931" s="3" t="s">
        <v>22</v>
      </c>
    </row>
    <row r="7932" spans="1:11" ht="42" customHeight="1">
      <c r="A7932" s="2" t="s">
        <v>16534</v>
      </c>
      <c r="B7932" s="2" t="s">
        <v>16534</v>
      </c>
      <c r="C7932" s="2" t="s">
        <v>25</v>
      </c>
      <c r="D7932" s="2" t="s">
        <v>26</v>
      </c>
      <c r="E7932" s="5">
        <v>-31728</v>
      </c>
      <c r="F7932" s="3" t="s">
        <v>2887</v>
      </c>
      <c r="G7932" s="3" t="s">
        <v>54</v>
      </c>
      <c r="H7932" s="2" t="s">
        <v>20</v>
      </c>
      <c r="I7932" s="2" t="s">
        <v>16535</v>
      </c>
      <c r="J7932" s="3" t="str">
        <f>HYPERLINK("https://www.boe.es/gazeta/dias/1813/02/16/pdfs/GMD-1813-47.pdf#page=3","Abrir facsímil")</f>
        <v>Abrir facsímil</v>
      </c>
      <c r="K7932" s="3" t="s">
        <v>22</v>
      </c>
    </row>
    <row r="7933" spans="1:11" ht="42" customHeight="1">
      <c r="A7933" s="2" t="s">
        <v>16536</v>
      </c>
      <c r="B7933" s="2" t="s">
        <v>16536</v>
      </c>
      <c r="C7933" s="2" t="s">
        <v>16</v>
      </c>
      <c r="D7933" s="2" t="s">
        <v>17</v>
      </c>
      <c r="E7933" s="5">
        <v>-31420</v>
      </c>
      <c r="F7933" s="3" t="s">
        <v>145</v>
      </c>
      <c r="G7933" s="3" t="s">
        <v>58</v>
      </c>
      <c r="H7933" s="2" t="s">
        <v>20</v>
      </c>
      <c r="I7933" s="2" t="s">
        <v>16537</v>
      </c>
      <c r="J7933" s="3" t="str">
        <f>HYPERLINK("https://www.boe.es/gazeta/dias/1813/12/21/pdfs/GMR-1813-90.pdf#page=2","Abrir facsímil")</f>
        <v>Abrir facsímil</v>
      </c>
      <c r="K7933" s="3" t="s">
        <v>22</v>
      </c>
    </row>
    <row r="7934" spans="1:11" ht="42" customHeight="1">
      <c r="A7934" s="2" t="s">
        <v>16538</v>
      </c>
      <c r="B7934" s="2" t="s">
        <v>16538</v>
      </c>
      <c r="C7934" s="2" t="s">
        <v>16</v>
      </c>
      <c r="D7934" s="2" t="s">
        <v>17</v>
      </c>
      <c r="E7934" s="5">
        <v>-31462</v>
      </c>
      <c r="F7934" s="3" t="s">
        <v>1028</v>
      </c>
      <c r="G7934" s="3" t="s">
        <v>19</v>
      </c>
      <c r="H7934" s="2" t="s">
        <v>20</v>
      </c>
      <c r="I7934" s="2" t="s">
        <v>16539</v>
      </c>
      <c r="J7934" s="3" t="str">
        <f>HYPERLINK("https://www.boe.es/gazeta/dias/1813/11/09/pdfs/GMR-1813-71.pdf#page=4","Abrir facsímil")</f>
        <v>Abrir facsímil</v>
      </c>
      <c r="K7934" s="3" t="s">
        <v>22</v>
      </c>
    </row>
    <row r="7935" spans="1:11" ht="42" customHeight="1">
      <c r="A7935" s="2" t="s">
        <v>16540</v>
      </c>
      <c r="B7935" s="2" t="s">
        <v>16540</v>
      </c>
      <c r="C7935" s="2" t="s">
        <v>16</v>
      </c>
      <c r="D7935" s="2" t="s">
        <v>17</v>
      </c>
      <c r="E7935" s="5">
        <v>-31668</v>
      </c>
      <c r="F7935" s="3" t="s">
        <v>53</v>
      </c>
      <c r="G7935" s="3" t="s">
        <v>65</v>
      </c>
      <c r="H7935" s="2" t="s">
        <v>20</v>
      </c>
      <c r="I7935" s="2" t="s">
        <v>16541</v>
      </c>
      <c r="J7935" s="3" t="str">
        <f>HYPERLINK("https://www.boe.es/gazeta/dias/1813/04/17/pdfs/GMD-1813-107.pdf#page=1","Abrir facsímil")</f>
        <v>Abrir facsímil</v>
      </c>
      <c r="K7935" s="3" t="s">
        <v>22</v>
      </c>
    </row>
    <row r="7936" spans="1:11" ht="42" customHeight="1">
      <c r="A7936" s="2" t="s">
        <v>16542</v>
      </c>
      <c r="B7936" s="2" t="s">
        <v>16542</v>
      </c>
      <c r="C7936" s="2" t="s">
        <v>25</v>
      </c>
      <c r="D7936" s="2" t="s">
        <v>26</v>
      </c>
      <c r="E7936" s="5">
        <v>-31690</v>
      </c>
      <c r="F7936" s="3" t="s">
        <v>2575</v>
      </c>
      <c r="G7936" s="3" t="s">
        <v>54</v>
      </c>
      <c r="H7936" s="2" t="s">
        <v>20</v>
      </c>
      <c r="I7936" s="2" t="s">
        <v>16543</v>
      </c>
      <c r="J7936" s="3" t="str">
        <f>HYPERLINK("https://www.boe.es/gazeta/dias/1813/03/26/pdfs/GMD-1813-85.pdf#page=3","Abrir facsímil")</f>
        <v>Abrir facsímil</v>
      </c>
      <c r="K7936" s="3" t="s">
        <v>22</v>
      </c>
    </row>
    <row r="7937" spans="1:11" ht="42" customHeight="1">
      <c r="A7937" s="2" t="s">
        <v>16542</v>
      </c>
      <c r="B7937" s="2" t="s">
        <v>16542</v>
      </c>
      <c r="C7937" s="2" t="s">
        <v>16</v>
      </c>
      <c r="D7937" s="2" t="s">
        <v>17</v>
      </c>
      <c r="E7937" s="5">
        <v>-31659</v>
      </c>
      <c r="F7937" s="3" t="s">
        <v>3041</v>
      </c>
      <c r="G7937" s="3" t="s">
        <v>1058</v>
      </c>
      <c r="H7937" s="2" t="s">
        <v>20</v>
      </c>
      <c r="I7937" s="2" t="s">
        <v>16544</v>
      </c>
      <c r="J7937" s="3" t="str">
        <f>HYPERLINK("https://www.boe.es/gazeta/dias/1813/04/26/pdfs/GMD-1813-116.pdf#page=4","Abrir facsímil")</f>
        <v>Abrir facsímil</v>
      </c>
      <c r="K7937" s="3" t="s">
        <v>22</v>
      </c>
    </row>
    <row r="7938" spans="1:11" ht="42" customHeight="1">
      <c r="A7938" s="2" t="s">
        <v>16542</v>
      </c>
      <c r="B7938" s="2" t="s">
        <v>16542</v>
      </c>
      <c r="C7938" s="2" t="s">
        <v>16</v>
      </c>
      <c r="D7938" s="2" t="s">
        <v>17</v>
      </c>
      <c r="E7938" s="5">
        <v>-31518</v>
      </c>
      <c r="F7938" s="3" t="s">
        <v>155</v>
      </c>
      <c r="G7938" s="3" t="s">
        <v>58</v>
      </c>
      <c r="H7938" s="2" t="s">
        <v>20</v>
      </c>
      <c r="I7938" s="2" t="s">
        <v>16545</v>
      </c>
      <c r="J7938" s="3" t="str">
        <f>HYPERLINK("https://www.boe.es/gazeta/dias/1813/09/14/pdfs/GRE-1813-119.pdf#page=2","Abrir facsímil")</f>
        <v>Abrir facsímil</v>
      </c>
      <c r="K7938" s="3" t="s">
        <v>22</v>
      </c>
    </row>
    <row r="7939" spans="1:11" ht="42" customHeight="1">
      <c r="A7939" s="2" t="s">
        <v>16542</v>
      </c>
      <c r="B7939" s="2" t="s">
        <v>16542</v>
      </c>
      <c r="C7939" s="2" t="s">
        <v>16</v>
      </c>
      <c r="D7939" s="2" t="s">
        <v>17</v>
      </c>
      <c r="E7939" s="5">
        <v>-31516</v>
      </c>
      <c r="F7939" s="3" t="s">
        <v>246</v>
      </c>
      <c r="G7939" s="3" t="s">
        <v>82</v>
      </c>
      <c r="H7939" s="2" t="s">
        <v>20</v>
      </c>
      <c r="I7939" s="2" t="s">
        <v>16546</v>
      </c>
      <c r="J7939" s="3" t="str">
        <f>HYPERLINK("https://www.boe.es/gazeta/dias/1813/09/16/pdfs/GMR-1813-43.pdf#page=5","Abrir facsímil")</f>
        <v>Abrir facsímil</v>
      </c>
      <c r="K7939" s="3" t="s">
        <v>22</v>
      </c>
    </row>
    <row r="7940" spans="1:11" ht="42" customHeight="1">
      <c r="A7940" s="2" t="s">
        <v>16547</v>
      </c>
      <c r="B7940" s="2" t="s">
        <v>16547</v>
      </c>
      <c r="C7940" s="2" t="s">
        <v>16</v>
      </c>
      <c r="D7940" s="2" t="s">
        <v>17</v>
      </c>
      <c r="E7940" s="5">
        <v>-31462</v>
      </c>
      <c r="F7940" s="3" t="s">
        <v>1028</v>
      </c>
      <c r="G7940" s="3" t="s">
        <v>58</v>
      </c>
      <c r="H7940" s="2" t="s">
        <v>20</v>
      </c>
      <c r="I7940" s="2" t="s">
        <v>16548</v>
      </c>
      <c r="J7940" s="3" t="str">
        <f>HYPERLINK("https://www.boe.es/gazeta/dias/1813/11/09/pdfs/GMR-1813-71.pdf#page=2","Abrir facsímil")</f>
        <v>Abrir facsímil</v>
      </c>
      <c r="K7940" s="3" t="s">
        <v>22</v>
      </c>
    </row>
    <row r="7941" spans="1:11" ht="42" customHeight="1">
      <c r="A7941" s="2" t="s">
        <v>16549</v>
      </c>
      <c r="B7941" s="2" t="s">
        <v>16549</v>
      </c>
      <c r="C7941" s="2" t="s">
        <v>16</v>
      </c>
      <c r="D7941" s="2" t="s">
        <v>17</v>
      </c>
      <c r="E7941" s="5">
        <v>-31458</v>
      </c>
      <c r="F7941" s="3" t="s">
        <v>2315</v>
      </c>
      <c r="G7941" s="3" t="s">
        <v>87</v>
      </c>
      <c r="H7941" s="2" t="s">
        <v>20</v>
      </c>
      <c r="I7941" s="2" t="s">
        <v>16550</v>
      </c>
      <c r="J7941" s="3" t="str">
        <f>HYPERLINK("https://www.boe.es/gazeta/dias/1813/11/13/pdfs/GMR-1813-73.pdf#page=7","Abrir facsímil")</f>
        <v>Abrir facsímil</v>
      </c>
      <c r="K7941" s="3" t="s">
        <v>22</v>
      </c>
    </row>
    <row r="7942" spans="1:11" ht="42" customHeight="1">
      <c r="A7942" s="2" t="s">
        <v>16551</v>
      </c>
      <c r="B7942" s="2" t="s">
        <v>16551</v>
      </c>
      <c r="C7942" s="2" t="s">
        <v>16</v>
      </c>
      <c r="D7942" s="2" t="s">
        <v>17</v>
      </c>
      <c r="E7942" s="5">
        <v>-31530</v>
      </c>
      <c r="F7942" s="3" t="s">
        <v>133</v>
      </c>
      <c r="G7942" s="3" t="s">
        <v>19</v>
      </c>
      <c r="H7942" s="2" t="s">
        <v>20</v>
      </c>
      <c r="I7942" s="2" t="s">
        <v>16552</v>
      </c>
      <c r="J7942" s="3" t="str">
        <f>HYPERLINK("https://www.boe.es/gazeta/dias/1813/09/02/pdfs/GMR-1813-36.pdf#page=4","Abrir facsímil")</f>
        <v>Abrir facsímil</v>
      </c>
      <c r="K7942" s="3" t="s">
        <v>22</v>
      </c>
    </row>
    <row r="7943" spans="1:11" ht="42" customHeight="1">
      <c r="A7943" s="2" t="s">
        <v>16553</v>
      </c>
      <c r="B7943" s="2" t="s">
        <v>16553</v>
      </c>
      <c r="C7943" s="2" t="s">
        <v>34</v>
      </c>
      <c r="D7943" s="2" t="s">
        <v>35</v>
      </c>
      <c r="E7943" s="5">
        <v>-31658</v>
      </c>
      <c r="F7943" s="3" t="s">
        <v>1654</v>
      </c>
      <c r="G7943" s="3" t="s">
        <v>1655</v>
      </c>
      <c r="H7943" s="2" t="s">
        <v>20</v>
      </c>
      <c r="I7943" s="2" t="s">
        <v>16554</v>
      </c>
      <c r="J7943" s="3" t="str">
        <f>HYPERLINK("https://www.boe.es/gazeta/dias/1813/04/27/pdfs/GMD-1813-117.pdf#page=1","Abrir facsímil")</f>
        <v>Abrir facsímil</v>
      </c>
      <c r="K7943" s="3" t="s">
        <v>22</v>
      </c>
    </row>
    <row r="7944" spans="1:11" ht="42" customHeight="1">
      <c r="A7944" s="2" t="s">
        <v>16555</v>
      </c>
      <c r="B7944" s="2" t="s">
        <v>16555</v>
      </c>
      <c r="C7944" s="2" t="s">
        <v>34</v>
      </c>
      <c r="D7944" s="2" t="s">
        <v>35</v>
      </c>
      <c r="E7944" s="5">
        <v>-31736</v>
      </c>
      <c r="F7944" s="3" t="s">
        <v>1936</v>
      </c>
      <c r="G7944" s="3" t="s">
        <v>65</v>
      </c>
      <c r="H7944" s="2" t="s">
        <v>20</v>
      </c>
      <c r="I7944" s="2" t="s">
        <v>16556</v>
      </c>
      <c r="J7944" s="3" t="str">
        <f>HYPERLINK("https://www.boe.es/gazeta/dias/1813/02/08/pdfs/GMD-1813-39.pdf#page=1","Abrir facsímil")</f>
        <v>Abrir facsímil</v>
      </c>
      <c r="K7944" s="3" t="s">
        <v>22</v>
      </c>
    </row>
    <row r="7945" spans="1:11" ht="42" customHeight="1">
      <c r="A7945" s="2" t="s">
        <v>16557</v>
      </c>
      <c r="B7945" s="2" t="s">
        <v>16557</v>
      </c>
      <c r="C7945" s="2" t="s">
        <v>16</v>
      </c>
      <c r="D7945" s="2" t="s">
        <v>17</v>
      </c>
      <c r="E7945" s="5">
        <v>-31705</v>
      </c>
      <c r="F7945" s="3" t="s">
        <v>4455</v>
      </c>
      <c r="G7945" s="3" t="s">
        <v>65</v>
      </c>
      <c r="H7945" s="2" t="s">
        <v>20</v>
      </c>
      <c r="I7945" s="2" t="s">
        <v>16558</v>
      </c>
      <c r="J7945" s="3" t="str">
        <f>HYPERLINK("https://www.boe.es/gazeta/dias/1813/03/11/pdfs/GMD-1813-70.pdf#page=1","Abrir facsímil")</f>
        <v>Abrir facsímil</v>
      </c>
      <c r="K7945" s="3" t="s">
        <v>22</v>
      </c>
    </row>
    <row r="7946" spans="1:11" ht="42" customHeight="1">
      <c r="A7946" s="2" t="s">
        <v>16559</v>
      </c>
      <c r="B7946" s="2" t="s">
        <v>16559</v>
      </c>
      <c r="C7946" s="2" t="s">
        <v>16</v>
      </c>
      <c r="D7946" s="2" t="s">
        <v>17</v>
      </c>
      <c r="E7946" s="5">
        <v>-31772</v>
      </c>
      <c r="F7946" s="3" t="s">
        <v>2361</v>
      </c>
      <c r="G7946" s="3" t="s">
        <v>65</v>
      </c>
      <c r="H7946" s="2" t="s">
        <v>20</v>
      </c>
      <c r="I7946" s="2" t="s">
        <v>16560</v>
      </c>
      <c r="J7946" s="3" t="str">
        <f>HYPERLINK("https://www.boe.es/gazeta/dias/1813/01/03/pdfs/GMD-1813-3.pdf#page=1","Abrir facsímil")</f>
        <v>Abrir facsímil</v>
      </c>
      <c r="K7946" s="3" t="s">
        <v>22</v>
      </c>
    </row>
    <row r="7947" spans="1:11" ht="42" customHeight="1">
      <c r="A7947" s="2" t="s">
        <v>16561</v>
      </c>
      <c r="B7947" s="2" t="s">
        <v>16561</v>
      </c>
      <c r="C7947" s="2" t="s">
        <v>16</v>
      </c>
      <c r="D7947" s="2" t="s">
        <v>17</v>
      </c>
      <c r="E7947" s="5">
        <v>-31413</v>
      </c>
      <c r="F7947" s="3" t="s">
        <v>149</v>
      </c>
      <c r="G7947" s="3" t="s">
        <v>58</v>
      </c>
      <c r="H7947" s="2" t="s">
        <v>20</v>
      </c>
      <c r="I7947" s="2" t="s">
        <v>16562</v>
      </c>
      <c r="J7947" s="3" t="str">
        <f>HYPERLINK("https://www.boe.es/gazeta/dias/1813/12/28/pdfs/GMR-1813-93.pdf#page=2","Abrir facsímil")</f>
        <v>Abrir facsímil</v>
      </c>
      <c r="K7947" s="3" t="s">
        <v>22</v>
      </c>
    </row>
    <row r="7948" spans="1:11" ht="42" customHeight="1">
      <c r="A7948" s="2" t="s">
        <v>16563</v>
      </c>
      <c r="B7948" s="2" t="s">
        <v>16563</v>
      </c>
      <c r="C7948" s="2" t="s">
        <v>16</v>
      </c>
      <c r="D7948" s="2" t="s">
        <v>17</v>
      </c>
      <c r="E7948" s="5">
        <v>-31516</v>
      </c>
      <c r="F7948" s="3" t="s">
        <v>1685</v>
      </c>
      <c r="G7948" s="3" t="s">
        <v>1797</v>
      </c>
      <c r="H7948" s="2" t="s">
        <v>20</v>
      </c>
      <c r="I7948" s="2" t="s">
        <v>16564</v>
      </c>
      <c r="J7948" s="3" t="str">
        <f>HYPERLINK("https://www.boe.es/gazeta/dias/1813/09/16/pdfs/GRE-1813-120.pdf#page=5","Abrir facsímil")</f>
        <v>Abrir facsímil</v>
      </c>
      <c r="K7948" s="3" t="s">
        <v>22</v>
      </c>
    </row>
    <row r="7949" spans="1:11" ht="42" customHeight="1">
      <c r="A7949" s="2" t="s">
        <v>16565</v>
      </c>
      <c r="B7949" s="2" t="s">
        <v>16565</v>
      </c>
      <c r="C7949" s="2" t="s">
        <v>16</v>
      </c>
      <c r="D7949" s="2" t="s">
        <v>17</v>
      </c>
      <c r="E7949" s="5">
        <v>-31728</v>
      </c>
      <c r="F7949" s="3" t="s">
        <v>1434</v>
      </c>
      <c r="G7949" s="3" t="s">
        <v>58</v>
      </c>
      <c r="H7949" s="2" t="s">
        <v>20</v>
      </c>
      <c r="I7949" s="2" t="s">
        <v>16566</v>
      </c>
      <c r="J7949" s="3" t="str">
        <f>HYPERLINK("https://www.boe.es/gazeta/dias/1813/02/16/pdfs/GRE-1813-20.pdf#page=2","Abrir facsímil")</f>
        <v>Abrir facsímil</v>
      </c>
      <c r="K7949" s="3" t="s">
        <v>22</v>
      </c>
    </row>
    <row r="7950" spans="1:11" ht="42" customHeight="1">
      <c r="A7950" s="2" t="s">
        <v>16567</v>
      </c>
      <c r="B7950" s="2" t="s">
        <v>16568</v>
      </c>
      <c r="C7950" s="2" t="s">
        <v>16</v>
      </c>
      <c r="D7950" s="2" t="s">
        <v>97</v>
      </c>
      <c r="E7950" s="5">
        <v>-31670</v>
      </c>
      <c r="F7950" s="3" t="s">
        <v>98</v>
      </c>
      <c r="G7950" s="3" t="s">
        <v>772</v>
      </c>
      <c r="H7950" s="2" t="s">
        <v>20</v>
      </c>
      <c r="I7950" s="2" t="s">
        <v>16569</v>
      </c>
      <c r="J7950" s="3" t="str">
        <f>HYPERLINK("https://www.boe.es/gazeta/dias/1813/04/15/pdfs/GRE-1813-47E.pdf#page=3","Abrir facsímil")</f>
        <v>Abrir facsímil</v>
      </c>
      <c r="K7950" s="3" t="s">
        <v>22</v>
      </c>
    </row>
    <row r="7951" spans="1:11" ht="42" customHeight="1">
      <c r="A7951" s="2" t="s">
        <v>16570</v>
      </c>
      <c r="B7951" s="2" t="s">
        <v>16570</v>
      </c>
      <c r="C7951" s="2" t="s">
        <v>16</v>
      </c>
      <c r="D7951" s="2" t="s">
        <v>17</v>
      </c>
      <c r="E7951" s="5">
        <v>-31770</v>
      </c>
      <c r="F7951" s="3" t="s">
        <v>1738</v>
      </c>
      <c r="G7951" s="3" t="s">
        <v>58</v>
      </c>
      <c r="H7951" s="2" t="s">
        <v>20</v>
      </c>
      <c r="I7951" s="2" t="s">
        <v>16571</v>
      </c>
      <c r="J7951" s="3" t="str">
        <f>HYPERLINK("https://www.boe.es/gazeta/dias/1813/01/05/pdfs/GRE-1813-2.pdf#page=2","Abrir facsímil")</f>
        <v>Abrir facsímil</v>
      </c>
      <c r="K7951" s="3" t="s">
        <v>22</v>
      </c>
    </row>
    <row r="7952" spans="1:11" ht="42" customHeight="1">
      <c r="A7952" s="2" t="s">
        <v>16572</v>
      </c>
      <c r="B7952" s="2" t="s">
        <v>16572</v>
      </c>
      <c r="C7952" s="2" t="s">
        <v>16</v>
      </c>
      <c r="D7952" s="2" t="s">
        <v>17</v>
      </c>
      <c r="E7952" s="5">
        <v>-31770</v>
      </c>
      <c r="F7952" s="3" t="s">
        <v>1738</v>
      </c>
      <c r="G7952" s="3" t="s">
        <v>2709</v>
      </c>
      <c r="H7952" s="2" t="s">
        <v>20</v>
      </c>
      <c r="I7952" s="2" t="s">
        <v>16573</v>
      </c>
      <c r="J7952" s="3" t="str">
        <f>HYPERLINK("https://www.boe.es/gazeta/dias/1813/01/05/pdfs/GRE-1813-2.pdf#page=3","Abrir facsímil")</f>
        <v>Abrir facsímil</v>
      </c>
      <c r="K7952" s="3" t="s">
        <v>22</v>
      </c>
    </row>
    <row r="7953" spans="1:11" ht="42" customHeight="1">
      <c r="A7953" s="2" t="s">
        <v>16574</v>
      </c>
      <c r="B7953" s="2" t="s">
        <v>16574</v>
      </c>
      <c r="C7953" s="2" t="s">
        <v>16</v>
      </c>
      <c r="D7953" s="2" t="s">
        <v>17</v>
      </c>
      <c r="E7953" s="5">
        <v>-31578</v>
      </c>
      <c r="F7953" s="3" t="s">
        <v>974</v>
      </c>
      <c r="G7953" s="3" t="s">
        <v>6206</v>
      </c>
      <c r="H7953" s="2" t="s">
        <v>20</v>
      </c>
      <c r="I7953" s="2" t="s">
        <v>16575</v>
      </c>
      <c r="J7953" s="3" t="str">
        <f>HYPERLINK("https://www.boe.es/gazeta/dias/1813/07/16/pdfs/GMR-1813-18.pdf#page=2","Abrir facsímil")</f>
        <v>Abrir facsímil</v>
      </c>
      <c r="K7953" s="3" t="s">
        <v>22</v>
      </c>
    </row>
    <row r="7954" spans="1:11" ht="42" customHeight="1">
      <c r="A7954" s="2" t="s">
        <v>16576</v>
      </c>
      <c r="B7954" s="2" t="s">
        <v>16576</v>
      </c>
      <c r="C7954" s="2" t="s">
        <v>16</v>
      </c>
      <c r="D7954" s="2" t="s">
        <v>17</v>
      </c>
      <c r="E7954" s="5">
        <v>-31592</v>
      </c>
      <c r="F7954" s="3" t="s">
        <v>175</v>
      </c>
      <c r="G7954" s="3" t="s">
        <v>58</v>
      </c>
      <c r="H7954" s="2" t="s">
        <v>20</v>
      </c>
      <c r="I7954" s="2" t="s">
        <v>16577</v>
      </c>
      <c r="J7954" s="3" t="str">
        <f>HYPERLINK("https://www.boe.es/gazeta/dias/1813/07/02/pdfs/GRE-1813-82.pdf#page=2","Abrir facsímil")</f>
        <v>Abrir facsímil</v>
      </c>
      <c r="K7954" s="3" t="s">
        <v>22</v>
      </c>
    </row>
    <row r="7955" spans="1:11" ht="42" customHeight="1">
      <c r="A7955" s="2" t="s">
        <v>16578</v>
      </c>
      <c r="B7955" s="2" t="s">
        <v>16578</v>
      </c>
      <c r="C7955" s="2" t="s">
        <v>16</v>
      </c>
      <c r="D7955" s="2" t="s">
        <v>17</v>
      </c>
      <c r="E7955" s="5">
        <v>-31455</v>
      </c>
      <c r="F7955" s="3" t="s">
        <v>693</v>
      </c>
      <c r="G7955" s="3" t="s">
        <v>95</v>
      </c>
      <c r="H7955" s="2" t="s">
        <v>20</v>
      </c>
      <c r="I7955" s="2" t="s">
        <v>16579</v>
      </c>
      <c r="J7955" s="3" t="str">
        <f>HYPERLINK("https://www.boe.es/gazeta/dias/1813/11/16/pdfs/GRE-1813-150.pdf#page=6","Abrir facsímil")</f>
        <v>Abrir facsímil</v>
      </c>
      <c r="K7955" s="3" t="s">
        <v>22</v>
      </c>
    </row>
    <row r="7956" spans="1:11" ht="42" customHeight="1">
      <c r="A7956" s="2" t="s">
        <v>16578</v>
      </c>
      <c r="B7956" s="2" t="s">
        <v>16578</v>
      </c>
      <c r="C7956" s="2" t="s">
        <v>16</v>
      </c>
      <c r="D7956" s="2" t="s">
        <v>17</v>
      </c>
      <c r="E7956" s="5">
        <v>-31453</v>
      </c>
      <c r="F7956" s="3" t="s">
        <v>695</v>
      </c>
      <c r="G7956" s="3" t="s">
        <v>58</v>
      </c>
      <c r="H7956" s="2" t="s">
        <v>20</v>
      </c>
      <c r="I7956" s="2" t="s">
        <v>16580</v>
      </c>
      <c r="J7956" s="3" t="str">
        <f>HYPERLINK("https://www.boe.es/gazeta/dias/1813/11/18/pdfs/GRE-1813-151.pdf#page=2","Abrir facsímil")</f>
        <v>Abrir facsímil</v>
      </c>
      <c r="K7956" s="3" t="s">
        <v>22</v>
      </c>
    </row>
    <row r="7957" spans="1:11" ht="42" customHeight="1">
      <c r="A7957" s="2" t="s">
        <v>16581</v>
      </c>
      <c r="B7957" s="2" t="s">
        <v>16581</v>
      </c>
      <c r="C7957" s="2" t="s">
        <v>16</v>
      </c>
      <c r="D7957" s="2" t="s">
        <v>17</v>
      </c>
      <c r="E7957" s="5">
        <v>-31481</v>
      </c>
      <c r="F7957" s="3" t="s">
        <v>40</v>
      </c>
      <c r="G7957" s="3" t="s">
        <v>54</v>
      </c>
      <c r="H7957" s="2" t="s">
        <v>20</v>
      </c>
      <c r="I7957" s="2" t="s">
        <v>16582</v>
      </c>
      <c r="J7957" s="3" t="str">
        <f>HYPERLINK("https://www.boe.es/gazeta/dias/1813/10/21/pdfs/GMR-1813-62.pdf#page=3","Abrir facsímil")</f>
        <v>Abrir facsímil</v>
      </c>
      <c r="K7957" s="3" t="s">
        <v>22</v>
      </c>
    </row>
    <row r="7958" spans="1:11" ht="42" customHeight="1">
      <c r="A7958" s="2" t="s">
        <v>16583</v>
      </c>
      <c r="B7958" s="2" t="s">
        <v>16583</v>
      </c>
      <c r="C7958" s="2" t="s">
        <v>16</v>
      </c>
      <c r="D7958" s="2" t="s">
        <v>17</v>
      </c>
      <c r="E7958" s="5">
        <v>-31502</v>
      </c>
      <c r="F7958" s="3" t="s">
        <v>1363</v>
      </c>
      <c r="G7958" s="3" t="s">
        <v>19</v>
      </c>
      <c r="H7958" s="2" t="s">
        <v>20</v>
      </c>
      <c r="I7958" s="2" t="s">
        <v>16584</v>
      </c>
      <c r="J7958" s="3" t="str">
        <f>HYPERLINK("https://www.boe.es/gazeta/dias/1813/09/30/pdfs/GRE-1813-128.pdf#page=4","Abrir facsímil")</f>
        <v>Abrir facsímil</v>
      </c>
      <c r="K7958" s="3" t="s">
        <v>22</v>
      </c>
    </row>
    <row r="7959" spans="1:11" ht="42" customHeight="1">
      <c r="A7959" s="2" t="s">
        <v>16585</v>
      </c>
      <c r="B7959" s="2" t="s">
        <v>16585</v>
      </c>
      <c r="C7959" s="2" t="s">
        <v>16</v>
      </c>
      <c r="D7959" s="2" t="s">
        <v>17</v>
      </c>
      <c r="E7959" s="5">
        <v>-31455</v>
      </c>
      <c r="F7959" s="3" t="s">
        <v>693</v>
      </c>
      <c r="G7959" s="3" t="s">
        <v>95</v>
      </c>
      <c r="H7959" s="2" t="s">
        <v>20</v>
      </c>
      <c r="I7959" s="2" t="s">
        <v>16586</v>
      </c>
      <c r="J7959" s="3" t="str">
        <f>HYPERLINK("https://www.boe.es/gazeta/dias/1813/11/16/pdfs/GRE-1813-150.pdf#page=6","Abrir facsímil")</f>
        <v>Abrir facsímil</v>
      </c>
      <c r="K7959" s="3" t="s">
        <v>22</v>
      </c>
    </row>
    <row r="7960" spans="1:11" ht="42" customHeight="1">
      <c r="A7960" s="2" t="s">
        <v>16587</v>
      </c>
      <c r="B7960" s="2" t="s">
        <v>16587</v>
      </c>
      <c r="C7960" s="2" t="s">
        <v>16</v>
      </c>
      <c r="D7960" s="2" t="s">
        <v>17</v>
      </c>
      <c r="E7960" s="5">
        <v>-31544</v>
      </c>
      <c r="F7960" s="3" t="s">
        <v>200</v>
      </c>
      <c r="G7960" s="3" t="s">
        <v>54</v>
      </c>
      <c r="H7960" s="2" t="s">
        <v>20</v>
      </c>
      <c r="I7960" s="2" t="s">
        <v>16588</v>
      </c>
      <c r="J7960" s="3" t="str">
        <f>HYPERLINK("https://www.boe.es/gazeta/dias/1813/08/19/pdfs/GRE-1813-106.pdf#page=3","Abrir facsímil")</f>
        <v>Abrir facsímil</v>
      </c>
      <c r="K7960" s="3" t="s">
        <v>22</v>
      </c>
    </row>
    <row r="7961" spans="1:11" ht="42" customHeight="1">
      <c r="A7961" s="2" t="s">
        <v>16589</v>
      </c>
      <c r="B7961" s="2" t="s">
        <v>16589</v>
      </c>
      <c r="C7961" s="2" t="s">
        <v>16</v>
      </c>
      <c r="D7961" s="2" t="s">
        <v>17</v>
      </c>
      <c r="E7961" s="5">
        <v>-31668</v>
      </c>
      <c r="F7961" s="3" t="s">
        <v>574</v>
      </c>
      <c r="G7961" s="3" t="s">
        <v>28</v>
      </c>
      <c r="H7961" s="2" t="s">
        <v>20</v>
      </c>
      <c r="I7961" s="2" t="s">
        <v>16590</v>
      </c>
      <c r="J7961" s="3" t="str">
        <f>HYPERLINK("https://www.boe.es/gazeta/dias/1813/04/17/pdfs/GRE-1813-48.pdf#page=8","Abrir facsímil")</f>
        <v>Abrir facsímil</v>
      </c>
      <c r="K7961" s="3" t="s">
        <v>22</v>
      </c>
    </row>
    <row r="7962" spans="1:11" ht="42" customHeight="1">
      <c r="A7962" s="2" t="s">
        <v>16591</v>
      </c>
      <c r="B7962" s="2" t="s">
        <v>16592</v>
      </c>
      <c r="C7962" s="2" t="s">
        <v>109</v>
      </c>
      <c r="D7962" s="2" t="s">
        <v>26</v>
      </c>
      <c r="E7962" s="5">
        <v>-31700</v>
      </c>
      <c r="F7962" s="3" t="s">
        <v>778</v>
      </c>
      <c r="G7962" s="3" t="s">
        <v>65</v>
      </c>
      <c r="H7962" s="2" t="s">
        <v>20</v>
      </c>
      <c r="I7962" s="2" t="s">
        <v>16593</v>
      </c>
      <c r="J7962" s="3" t="str">
        <f>HYPERLINK("https://www.boe.es/gazeta/dias/1813/03/16/pdfs/GMD-1813-75.pdf#page=1","Abrir facsímil")</f>
        <v>Abrir facsímil</v>
      </c>
      <c r="K7962" s="3" t="s">
        <v>22</v>
      </c>
    </row>
    <row r="7963" spans="1:11" ht="42" customHeight="1">
      <c r="A7963" s="2" t="s">
        <v>16594</v>
      </c>
      <c r="B7963" s="2" t="s">
        <v>16594</v>
      </c>
      <c r="C7963" s="2" t="s">
        <v>16</v>
      </c>
      <c r="D7963" s="2" t="s">
        <v>17</v>
      </c>
      <c r="E7963" s="5">
        <v>-31732</v>
      </c>
      <c r="F7963" s="3" t="s">
        <v>1904</v>
      </c>
      <c r="G7963" s="3" t="s">
        <v>58</v>
      </c>
      <c r="H7963" s="2" t="s">
        <v>20</v>
      </c>
      <c r="I7963" s="2" t="s">
        <v>16595</v>
      </c>
      <c r="J7963" s="3" t="str">
        <f>HYPERLINK("https://www.boe.es/gazeta/dias/1813/02/12/pdfs/GMD-1813-43.pdf#page=2","Abrir facsímil")</f>
        <v>Abrir facsímil</v>
      </c>
      <c r="K7963" s="3" t="s">
        <v>22</v>
      </c>
    </row>
    <row r="7964" spans="1:11" ht="42" customHeight="1">
      <c r="A7964" s="2" t="s">
        <v>16594</v>
      </c>
      <c r="B7964" s="2" t="s">
        <v>16594</v>
      </c>
      <c r="C7964" s="2" t="s">
        <v>16</v>
      </c>
      <c r="D7964" s="2" t="s">
        <v>17</v>
      </c>
      <c r="E7964" s="5">
        <v>-31585</v>
      </c>
      <c r="F7964" s="3" t="s">
        <v>177</v>
      </c>
      <c r="G7964" s="3" t="s">
        <v>87</v>
      </c>
      <c r="H7964" s="2" t="s">
        <v>20</v>
      </c>
      <c r="I7964" s="2" t="s">
        <v>16596</v>
      </c>
      <c r="J7964" s="3" t="str">
        <f>HYPERLINK("https://www.boe.es/gazeta/dias/1813/07/09/pdfs/GMR-1813-16.pdf#page=7","Abrir facsímil")</f>
        <v>Abrir facsímil</v>
      </c>
      <c r="K7964" s="3" t="s">
        <v>22</v>
      </c>
    </row>
    <row r="7965" spans="1:11" ht="42" customHeight="1">
      <c r="A7965" s="2" t="s">
        <v>16594</v>
      </c>
      <c r="B7965" s="2" t="s">
        <v>16594</v>
      </c>
      <c r="C7965" s="2" t="s">
        <v>16</v>
      </c>
      <c r="D7965" s="2" t="s">
        <v>17</v>
      </c>
      <c r="E7965" s="5">
        <v>-31532</v>
      </c>
      <c r="F7965" s="3" t="s">
        <v>215</v>
      </c>
      <c r="G7965" s="3" t="s">
        <v>58</v>
      </c>
      <c r="H7965" s="2" t="s">
        <v>20</v>
      </c>
      <c r="I7965" s="2" t="s">
        <v>16597</v>
      </c>
      <c r="J7965" s="3" t="str">
        <f>HYPERLINK("https://www.boe.es/gazeta/dias/1813/08/31/pdfs/GRE-1813-111.pdf#page=2","Abrir facsímil")</f>
        <v>Abrir facsímil</v>
      </c>
      <c r="K7965" s="3" t="s">
        <v>22</v>
      </c>
    </row>
    <row r="7966" spans="1:11" ht="42" customHeight="1">
      <c r="A7966" s="2" t="s">
        <v>16594</v>
      </c>
      <c r="B7966" s="2" t="s">
        <v>16594</v>
      </c>
      <c r="C7966" s="2" t="s">
        <v>16</v>
      </c>
      <c r="D7966" s="2" t="s">
        <v>17</v>
      </c>
      <c r="E7966" s="5">
        <v>-31532</v>
      </c>
      <c r="F7966" s="3" t="s">
        <v>215</v>
      </c>
      <c r="G7966" s="3" t="s">
        <v>54</v>
      </c>
      <c r="H7966" s="2" t="s">
        <v>20</v>
      </c>
      <c r="I7966" s="2" t="s">
        <v>16598</v>
      </c>
      <c r="J7966" s="3" t="str">
        <f>HYPERLINK("https://www.boe.es/gazeta/dias/1813/08/31/pdfs/GRE-1813-111.pdf#page=3","Abrir facsímil")</f>
        <v>Abrir facsímil</v>
      </c>
      <c r="K7966" s="3" t="s">
        <v>22</v>
      </c>
    </row>
    <row r="7967" spans="1:11" ht="42" customHeight="1">
      <c r="A7967" s="2" t="s">
        <v>16599</v>
      </c>
      <c r="B7967" s="2" t="s">
        <v>16599</v>
      </c>
      <c r="C7967" s="2" t="s">
        <v>16</v>
      </c>
      <c r="D7967" s="2" t="s">
        <v>17</v>
      </c>
      <c r="E7967" s="5">
        <v>-31507</v>
      </c>
      <c r="F7967" s="3" t="s">
        <v>61</v>
      </c>
      <c r="G7967" s="3" t="s">
        <v>65</v>
      </c>
      <c r="H7967" s="2" t="s">
        <v>20</v>
      </c>
      <c r="I7967" s="2" t="s">
        <v>16600</v>
      </c>
      <c r="J7967" s="3" t="str">
        <f>HYPERLINK("https://www.boe.es/gazeta/dias/1813/09/25/pdfs/GMR-1813-48.pdf#page=1","Abrir facsímil")</f>
        <v>Abrir facsímil</v>
      </c>
      <c r="K7967" s="3" t="s">
        <v>22</v>
      </c>
    </row>
    <row r="7968" spans="1:11" ht="42" customHeight="1">
      <c r="A7968" s="2" t="s">
        <v>16601</v>
      </c>
      <c r="B7968" s="2" t="s">
        <v>16601</v>
      </c>
      <c r="C7968" s="2" t="s">
        <v>16</v>
      </c>
      <c r="D7968" s="2" t="s">
        <v>17</v>
      </c>
      <c r="E7968" s="5">
        <v>-31432</v>
      </c>
      <c r="F7968" s="3" t="s">
        <v>702</v>
      </c>
      <c r="G7968" s="3" t="s">
        <v>58</v>
      </c>
      <c r="H7968" s="2" t="s">
        <v>20</v>
      </c>
      <c r="I7968" s="2" t="s">
        <v>16602</v>
      </c>
      <c r="J7968" s="3" t="str">
        <f>HYPERLINK("https://www.boe.es/gazeta/dias/1813/12/09/pdfs/GMR-1813-85.pdf#page=2","Abrir facsímil")</f>
        <v>Abrir facsímil</v>
      </c>
      <c r="K7968" s="3" t="s">
        <v>22</v>
      </c>
    </row>
    <row r="7969" spans="1:11" ht="42" customHeight="1">
      <c r="A7969" s="2" t="s">
        <v>16603</v>
      </c>
      <c r="B7969" s="2" t="s">
        <v>16603</v>
      </c>
      <c r="C7969" s="2" t="s">
        <v>16</v>
      </c>
      <c r="D7969" s="2" t="s">
        <v>17</v>
      </c>
      <c r="E7969" s="5">
        <v>-31425</v>
      </c>
      <c r="F7969" s="3" t="s">
        <v>1955</v>
      </c>
      <c r="G7969" s="3" t="s">
        <v>19</v>
      </c>
      <c r="H7969" s="2" t="s">
        <v>20</v>
      </c>
      <c r="I7969" s="2" t="s">
        <v>16604</v>
      </c>
      <c r="J7969" s="3" t="str">
        <f>HYPERLINK("https://www.boe.es/gazeta/dias/1813/12/16/pdfs/GMR-1813-88.pdf#page=4","Abrir facsímil")</f>
        <v>Abrir facsímil</v>
      </c>
      <c r="K7969" s="3" t="s">
        <v>22</v>
      </c>
    </row>
    <row r="7970" spans="1:11" ht="42" customHeight="1">
      <c r="A7970" s="2" t="s">
        <v>16605</v>
      </c>
      <c r="B7970" s="2" t="s">
        <v>16605</v>
      </c>
      <c r="C7970" s="2" t="s">
        <v>16</v>
      </c>
      <c r="D7970" s="2" t="s">
        <v>17</v>
      </c>
      <c r="E7970" s="5">
        <v>-31567</v>
      </c>
      <c r="F7970" s="3" t="s">
        <v>820</v>
      </c>
      <c r="G7970" s="3" t="s">
        <v>3128</v>
      </c>
      <c r="H7970" s="2" t="s">
        <v>20</v>
      </c>
      <c r="I7970" s="2" t="s">
        <v>16606</v>
      </c>
      <c r="J7970" s="3" t="str">
        <f>HYPERLINK("https://www.boe.es/gazeta/dias/1813/07/27/pdfs/GMR-1813-21.pdf#page=6","Abrir facsímil")</f>
        <v>Abrir facsímil</v>
      </c>
      <c r="K7970" s="3" t="s">
        <v>22</v>
      </c>
    </row>
    <row r="7971" spans="1:11" ht="42" customHeight="1">
      <c r="A7971" s="2" t="s">
        <v>16605</v>
      </c>
      <c r="B7971" s="2" t="s">
        <v>16605</v>
      </c>
      <c r="C7971" s="2" t="s">
        <v>16</v>
      </c>
      <c r="D7971" s="2" t="s">
        <v>17</v>
      </c>
      <c r="E7971" s="5">
        <v>-31497</v>
      </c>
      <c r="F7971" s="3" t="s">
        <v>223</v>
      </c>
      <c r="G7971" s="3" t="s">
        <v>82</v>
      </c>
      <c r="H7971" s="2" t="s">
        <v>20</v>
      </c>
      <c r="I7971" s="2" t="s">
        <v>16607</v>
      </c>
      <c r="J7971" s="3" t="str">
        <f>HYPERLINK("https://www.boe.es/gazeta/dias/1813/10/05/pdfs/GRE-1813-130.pdf#page=5","Abrir facsímil")</f>
        <v>Abrir facsímil</v>
      </c>
      <c r="K7971" s="3" t="s">
        <v>22</v>
      </c>
    </row>
    <row r="7972" spans="1:11" ht="42" customHeight="1">
      <c r="A7972" s="2" t="s">
        <v>16605</v>
      </c>
      <c r="B7972" s="2" t="s">
        <v>16605</v>
      </c>
      <c r="C7972" s="2" t="s">
        <v>16</v>
      </c>
      <c r="D7972" s="2" t="s">
        <v>17</v>
      </c>
      <c r="E7972" s="5">
        <v>-31497</v>
      </c>
      <c r="F7972" s="3" t="s">
        <v>223</v>
      </c>
      <c r="G7972" s="3" t="s">
        <v>95</v>
      </c>
      <c r="H7972" s="2" t="s">
        <v>20</v>
      </c>
      <c r="I7972" s="2" t="s">
        <v>16608</v>
      </c>
      <c r="J7972" s="3" t="str">
        <f>HYPERLINK("https://www.boe.es/gazeta/dias/1813/10/05/pdfs/GRE-1813-130.pdf#page=6","Abrir facsímil")</f>
        <v>Abrir facsímil</v>
      </c>
      <c r="K7972" s="3" t="s">
        <v>22</v>
      </c>
    </row>
    <row r="7973" spans="1:11" ht="42" customHeight="1">
      <c r="A7973" s="2" t="s">
        <v>16605</v>
      </c>
      <c r="B7973" s="2" t="s">
        <v>16605</v>
      </c>
      <c r="C7973" s="2" t="s">
        <v>16</v>
      </c>
      <c r="D7973" s="2" t="s">
        <v>17</v>
      </c>
      <c r="E7973" s="5">
        <v>-31483</v>
      </c>
      <c r="F7973" s="3" t="s">
        <v>1292</v>
      </c>
      <c r="G7973" s="3" t="s">
        <v>87</v>
      </c>
      <c r="H7973" s="2" t="s">
        <v>20</v>
      </c>
      <c r="I7973" s="2" t="s">
        <v>16609</v>
      </c>
      <c r="J7973" s="3" t="str">
        <f>HYPERLINK("https://www.boe.es/gazeta/dias/1813/10/19/pdfs/GMR-1813-61.pdf#page=7","Abrir facsímil")</f>
        <v>Abrir facsímil</v>
      </c>
      <c r="K7973" s="3" t="s">
        <v>22</v>
      </c>
    </row>
    <row r="7974" spans="1:11" ht="42" customHeight="1">
      <c r="A7974" s="2" t="s">
        <v>16605</v>
      </c>
      <c r="B7974" s="2" t="s">
        <v>16605</v>
      </c>
      <c r="C7974" s="2" t="s">
        <v>16</v>
      </c>
      <c r="D7974" s="2" t="s">
        <v>17</v>
      </c>
      <c r="E7974" s="5">
        <v>-31481</v>
      </c>
      <c r="F7974" s="3" t="s">
        <v>380</v>
      </c>
      <c r="G7974" s="3" t="s">
        <v>794</v>
      </c>
      <c r="H7974" s="2" t="s">
        <v>20</v>
      </c>
      <c r="I7974" s="2" t="s">
        <v>16610</v>
      </c>
      <c r="J7974" s="3" t="str">
        <f>HYPERLINK("https://www.boe.es/gazeta/dias/1813/10/21/pdfs/GRE-1813-137.pdf#page=7","Abrir facsímil")</f>
        <v>Abrir facsímil</v>
      </c>
      <c r="K7974" s="3" t="s">
        <v>22</v>
      </c>
    </row>
    <row r="7975" spans="1:11" ht="42" customHeight="1">
      <c r="A7975" s="2" t="s">
        <v>16605</v>
      </c>
      <c r="B7975" s="2" t="s">
        <v>16605</v>
      </c>
      <c r="C7975" s="2" t="s">
        <v>16</v>
      </c>
      <c r="D7975" s="2" t="s">
        <v>17</v>
      </c>
      <c r="E7975" s="5">
        <v>-31474</v>
      </c>
      <c r="F7975" s="3" t="s">
        <v>130</v>
      </c>
      <c r="G7975" s="3" t="s">
        <v>19</v>
      </c>
      <c r="H7975" s="2" t="s">
        <v>20</v>
      </c>
      <c r="I7975" s="2" t="s">
        <v>16611</v>
      </c>
      <c r="J7975" s="3" t="str">
        <f>HYPERLINK("https://www.boe.es/gazeta/dias/1813/10/28/pdfs/GRE-1813-141.pdf#page=4","Abrir facsímil")</f>
        <v>Abrir facsímil</v>
      </c>
      <c r="K7975" s="3" t="s">
        <v>22</v>
      </c>
    </row>
    <row r="7976" spans="1:11" ht="42" customHeight="1">
      <c r="A7976" s="2" t="s">
        <v>16605</v>
      </c>
      <c r="B7976" s="2" t="s">
        <v>16605</v>
      </c>
      <c r="C7976" s="2" t="s">
        <v>16</v>
      </c>
      <c r="D7976" s="2" t="s">
        <v>17</v>
      </c>
      <c r="E7976" s="5">
        <v>-31474</v>
      </c>
      <c r="F7976" s="3" t="s">
        <v>130</v>
      </c>
      <c r="G7976" s="3" t="s">
        <v>82</v>
      </c>
      <c r="H7976" s="2" t="s">
        <v>20</v>
      </c>
      <c r="I7976" s="2" t="s">
        <v>16612</v>
      </c>
      <c r="J7976" s="3" t="str">
        <f>HYPERLINK("https://www.boe.es/gazeta/dias/1813/10/28/pdfs/GRE-1813-141.pdf#page=5","Abrir facsímil")</f>
        <v>Abrir facsímil</v>
      </c>
      <c r="K7976" s="3" t="s">
        <v>22</v>
      </c>
    </row>
    <row r="7977" spans="1:11" ht="42" customHeight="1">
      <c r="A7977" s="2" t="s">
        <v>16605</v>
      </c>
      <c r="B7977" s="2" t="s">
        <v>16605</v>
      </c>
      <c r="C7977" s="2" t="s">
        <v>16</v>
      </c>
      <c r="D7977" s="2" t="s">
        <v>17</v>
      </c>
      <c r="E7977" s="5">
        <v>-31472</v>
      </c>
      <c r="F7977" s="3" t="s">
        <v>1942</v>
      </c>
      <c r="G7977" s="3" t="s">
        <v>95</v>
      </c>
      <c r="H7977" s="2" t="s">
        <v>20</v>
      </c>
      <c r="I7977" s="2" t="s">
        <v>16613</v>
      </c>
      <c r="J7977" s="3" t="str">
        <f>HYPERLINK("https://www.boe.es/gazeta/dias/1813/10/30/pdfs/GRE-1813-142.pdf#page=6","Abrir facsímil")</f>
        <v>Abrir facsímil</v>
      </c>
      <c r="K7977" s="3" t="s">
        <v>22</v>
      </c>
    </row>
    <row r="7978" spans="1:11" ht="42" customHeight="1">
      <c r="A7978" s="2" t="s">
        <v>16605</v>
      </c>
      <c r="B7978" s="2" t="s">
        <v>16605</v>
      </c>
      <c r="C7978" s="2" t="s">
        <v>16</v>
      </c>
      <c r="D7978" s="2" t="s">
        <v>17</v>
      </c>
      <c r="E7978" s="5">
        <v>-31465</v>
      </c>
      <c r="F7978" s="3" t="s">
        <v>407</v>
      </c>
      <c r="G7978" s="3" t="s">
        <v>54</v>
      </c>
      <c r="H7978" s="2" t="s">
        <v>20</v>
      </c>
      <c r="I7978" s="2" t="s">
        <v>16614</v>
      </c>
      <c r="J7978" s="3" t="str">
        <f>HYPERLINK("https://www.boe.es/gazeta/dias/1813/11/06/pdfs/GMR-1813-70.pdf#page=3","Abrir facsímil")</f>
        <v>Abrir facsímil</v>
      </c>
      <c r="K7978" s="3" t="s">
        <v>22</v>
      </c>
    </row>
    <row r="7979" spans="1:11" ht="42" customHeight="1">
      <c r="A7979" s="2" t="s">
        <v>16605</v>
      </c>
      <c r="B7979" s="2" t="s">
        <v>16605</v>
      </c>
      <c r="C7979" s="2" t="s">
        <v>16</v>
      </c>
      <c r="D7979" s="2" t="s">
        <v>17</v>
      </c>
      <c r="E7979" s="5">
        <v>-31462</v>
      </c>
      <c r="F7979" s="3" t="s">
        <v>1028</v>
      </c>
      <c r="G7979" s="3" t="s">
        <v>65</v>
      </c>
      <c r="H7979" s="2" t="s">
        <v>20</v>
      </c>
      <c r="I7979" s="2" t="s">
        <v>16615</v>
      </c>
      <c r="J7979" s="3" t="str">
        <f>HYPERLINK("https://www.boe.es/gazeta/dias/1813/11/09/pdfs/GMR-1813-71.pdf#page=1","Abrir facsímil")</f>
        <v>Abrir facsímil</v>
      </c>
      <c r="K7979" s="3" t="s">
        <v>22</v>
      </c>
    </row>
    <row r="7980" spans="1:11" ht="42" customHeight="1">
      <c r="A7980" s="2" t="s">
        <v>16605</v>
      </c>
      <c r="B7980" s="2" t="s">
        <v>16605</v>
      </c>
      <c r="C7980" s="2" t="s">
        <v>16</v>
      </c>
      <c r="D7980" s="2" t="s">
        <v>17</v>
      </c>
      <c r="E7980" s="5">
        <v>-31460</v>
      </c>
      <c r="F7980" s="3" t="s">
        <v>599</v>
      </c>
      <c r="G7980" s="3" t="s">
        <v>58</v>
      </c>
      <c r="H7980" s="2" t="s">
        <v>20</v>
      </c>
      <c r="I7980" s="2" t="s">
        <v>16616</v>
      </c>
      <c r="J7980" s="3" t="str">
        <f>HYPERLINK("https://www.boe.es/gazeta/dias/1813/11/11/pdfs/GMR-1813-72.pdf#page=2","Abrir facsímil")</f>
        <v>Abrir facsímil</v>
      </c>
      <c r="K7980" s="3" t="s">
        <v>22</v>
      </c>
    </row>
    <row r="7981" spans="1:11" ht="42" customHeight="1">
      <c r="A7981" s="2" t="s">
        <v>16605</v>
      </c>
      <c r="B7981" s="2" t="s">
        <v>16605</v>
      </c>
      <c r="C7981" s="2" t="s">
        <v>16</v>
      </c>
      <c r="D7981" s="2" t="s">
        <v>17</v>
      </c>
      <c r="E7981" s="5">
        <v>-31458</v>
      </c>
      <c r="F7981" s="3" t="s">
        <v>2315</v>
      </c>
      <c r="G7981" s="3" t="s">
        <v>54</v>
      </c>
      <c r="H7981" s="2" t="s">
        <v>20</v>
      </c>
      <c r="I7981" s="2" t="s">
        <v>16617</v>
      </c>
      <c r="J7981" s="3" t="str">
        <f>HYPERLINK("https://www.boe.es/gazeta/dias/1813/11/13/pdfs/GMR-1813-73.pdf#page=3","Abrir facsímil")</f>
        <v>Abrir facsímil</v>
      </c>
      <c r="K7981" s="3" t="s">
        <v>22</v>
      </c>
    </row>
    <row r="7982" spans="1:11" ht="42" customHeight="1">
      <c r="A7982" s="2" t="s">
        <v>16605</v>
      </c>
      <c r="B7982" s="2" t="s">
        <v>16605</v>
      </c>
      <c r="C7982" s="2" t="s">
        <v>16</v>
      </c>
      <c r="D7982" s="2" t="s">
        <v>17</v>
      </c>
      <c r="E7982" s="5">
        <v>-31458</v>
      </c>
      <c r="F7982" s="3" t="s">
        <v>2315</v>
      </c>
      <c r="G7982" s="3" t="s">
        <v>19</v>
      </c>
      <c r="H7982" s="2" t="s">
        <v>20</v>
      </c>
      <c r="I7982" s="2" t="s">
        <v>16618</v>
      </c>
      <c r="J7982" s="3" t="str">
        <f>HYPERLINK("https://www.boe.es/gazeta/dias/1813/11/13/pdfs/GMR-1813-73.pdf#page=4","Abrir facsímil")</f>
        <v>Abrir facsímil</v>
      </c>
      <c r="K7982" s="3" t="s">
        <v>22</v>
      </c>
    </row>
    <row r="7983" spans="1:11" ht="42" customHeight="1">
      <c r="A7983" s="2" t="s">
        <v>16605</v>
      </c>
      <c r="B7983" s="2" t="s">
        <v>16605</v>
      </c>
      <c r="C7983" s="2" t="s">
        <v>16</v>
      </c>
      <c r="D7983" s="2" t="s">
        <v>17</v>
      </c>
      <c r="E7983" s="5">
        <v>-31425</v>
      </c>
      <c r="F7983" s="3" t="s">
        <v>1955</v>
      </c>
      <c r="G7983" s="3" t="s">
        <v>82</v>
      </c>
      <c r="H7983" s="2" t="s">
        <v>20</v>
      </c>
      <c r="I7983" s="2" t="s">
        <v>16619</v>
      </c>
      <c r="J7983" s="3" t="str">
        <f>HYPERLINK("https://www.boe.es/gazeta/dias/1813/12/16/pdfs/GMR-1813-88.pdf#page=5","Abrir facsímil")</f>
        <v>Abrir facsímil</v>
      </c>
      <c r="K7983" s="3" t="s">
        <v>22</v>
      </c>
    </row>
    <row r="7984" spans="1:11" ht="42" customHeight="1">
      <c r="A7984" s="2" t="s">
        <v>16605</v>
      </c>
      <c r="B7984" s="2" t="s">
        <v>16605</v>
      </c>
      <c r="C7984" s="2" t="s">
        <v>16</v>
      </c>
      <c r="D7984" s="2" t="s">
        <v>17</v>
      </c>
      <c r="E7984" s="5">
        <v>-31420</v>
      </c>
      <c r="F7984" s="3" t="s">
        <v>210</v>
      </c>
      <c r="G7984" s="3" t="s">
        <v>95</v>
      </c>
      <c r="H7984" s="2" t="s">
        <v>20</v>
      </c>
      <c r="I7984" s="2" t="s">
        <v>16620</v>
      </c>
      <c r="J7984" s="3" t="str">
        <f>HYPERLINK("https://www.boe.es/gazeta/dias/1813/12/21/pdfs/GRE-1813-167.pdf#page=6","Abrir facsímil")</f>
        <v>Abrir facsímil</v>
      </c>
      <c r="K7984" s="3" t="s">
        <v>22</v>
      </c>
    </row>
    <row r="7985" spans="1:11" ht="42" customHeight="1">
      <c r="A7985" s="2" t="s">
        <v>16621</v>
      </c>
      <c r="B7985" s="2" t="s">
        <v>16621</v>
      </c>
      <c r="C7985" s="2" t="s">
        <v>16</v>
      </c>
      <c r="D7985" s="2" t="s">
        <v>17</v>
      </c>
      <c r="E7985" s="5">
        <v>-31460</v>
      </c>
      <c r="F7985" s="3" t="s">
        <v>599</v>
      </c>
      <c r="G7985" s="3" t="s">
        <v>65</v>
      </c>
      <c r="H7985" s="2" t="s">
        <v>20</v>
      </c>
      <c r="I7985" s="2" t="s">
        <v>16622</v>
      </c>
      <c r="J7985" s="3" t="str">
        <f>HYPERLINK("https://www.boe.es/gazeta/dias/1813/11/11/pdfs/GMR-1813-72.pdf#page=1","Abrir facsímil")</f>
        <v>Abrir facsímil</v>
      </c>
      <c r="K7985" s="3" t="s">
        <v>22</v>
      </c>
    </row>
    <row r="7986" spans="1:11" ht="42" customHeight="1">
      <c r="A7986" s="2" t="s">
        <v>16623</v>
      </c>
      <c r="B7986" s="2" t="s">
        <v>16623</v>
      </c>
      <c r="C7986" s="2" t="s">
        <v>16</v>
      </c>
      <c r="D7986" s="2" t="s">
        <v>17</v>
      </c>
      <c r="E7986" s="5">
        <v>-31763</v>
      </c>
      <c r="F7986" s="3" t="s">
        <v>668</v>
      </c>
      <c r="G7986" s="3" t="s">
        <v>19</v>
      </c>
      <c r="H7986" s="2" t="s">
        <v>20</v>
      </c>
      <c r="I7986" s="2" t="s">
        <v>16624</v>
      </c>
      <c r="J7986" s="3" t="str">
        <f>HYPERLINK("https://www.boe.es/gazeta/dias/1813/01/12/pdfs/GRE-1813-5.pdf#page=4","Abrir facsímil")</f>
        <v>Abrir facsímil</v>
      </c>
      <c r="K7986" s="3" t="s">
        <v>22</v>
      </c>
    </row>
    <row r="7987" spans="1:11" ht="42" customHeight="1">
      <c r="A7987" s="2" t="s">
        <v>16623</v>
      </c>
      <c r="B7987" s="2" t="s">
        <v>16623</v>
      </c>
      <c r="C7987" s="2" t="s">
        <v>16</v>
      </c>
      <c r="D7987" s="2" t="s">
        <v>17</v>
      </c>
      <c r="E7987" s="5">
        <v>-31759</v>
      </c>
      <c r="F7987" s="3" t="s">
        <v>419</v>
      </c>
      <c r="G7987" s="3" t="s">
        <v>65</v>
      </c>
      <c r="H7987" s="2" t="s">
        <v>20</v>
      </c>
      <c r="I7987" s="2" t="s">
        <v>16625</v>
      </c>
      <c r="J7987" s="3" t="str">
        <f>HYPERLINK("https://www.boe.es/gazeta/dias/1813/01/16/pdfs/GRE-1813-7.pdf#page=1","Abrir facsímil")</f>
        <v>Abrir facsímil</v>
      </c>
      <c r="K7987" s="3" t="s">
        <v>22</v>
      </c>
    </row>
    <row r="7988" spans="1:11" ht="42" customHeight="1">
      <c r="A7988" s="2" t="s">
        <v>16623</v>
      </c>
      <c r="B7988" s="2" t="s">
        <v>16623</v>
      </c>
      <c r="C7988" s="2" t="s">
        <v>25</v>
      </c>
      <c r="D7988" s="2" t="s">
        <v>26</v>
      </c>
      <c r="E7988" s="5">
        <v>-31728</v>
      </c>
      <c r="F7988" s="3" t="s">
        <v>2887</v>
      </c>
      <c r="G7988" s="3" t="s">
        <v>54</v>
      </c>
      <c r="H7988" s="2" t="s">
        <v>20</v>
      </c>
      <c r="I7988" s="2" t="s">
        <v>16626</v>
      </c>
      <c r="J7988" s="3" t="str">
        <f>HYPERLINK("https://www.boe.es/gazeta/dias/1813/02/16/pdfs/GMD-1813-47.pdf#page=3","Abrir facsímil")</f>
        <v>Abrir facsímil</v>
      </c>
      <c r="K7988" s="3" t="s">
        <v>22</v>
      </c>
    </row>
    <row r="7989" spans="1:11" ht="42" customHeight="1">
      <c r="A7989" s="2" t="s">
        <v>16623</v>
      </c>
      <c r="B7989" s="2" t="s">
        <v>16623</v>
      </c>
      <c r="C7989" s="2" t="s">
        <v>16</v>
      </c>
      <c r="D7989" s="2" t="s">
        <v>17</v>
      </c>
      <c r="E7989" s="5">
        <v>-31535</v>
      </c>
      <c r="F7989" s="3" t="s">
        <v>894</v>
      </c>
      <c r="G7989" s="3" t="s">
        <v>895</v>
      </c>
      <c r="H7989" s="2" t="s">
        <v>20</v>
      </c>
      <c r="I7989" s="2" t="s">
        <v>16627</v>
      </c>
      <c r="J7989" s="3" t="str">
        <f>HYPERLINK("https://www.boe.es/gazeta/dias/1813/08/28/pdfs/GMR-1813-34.pdf#page=3","Abrir facsímil")</f>
        <v>Abrir facsímil</v>
      </c>
      <c r="K7989" s="3" t="s">
        <v>22</v>
      </c>
    </row>
    <row r="7990" spans="1:11" ht="42" customHeight="1">
      <c r="A7990" s="2" t="s">
        <v>16623</v>
      </c>
      <c r="B7990" s="2" t="s">
        <v>16623</v>
      </c>
      <c r="C7990" s="2" t="s">
        <v>16</v>
      </c>
      <c r="D7990" s="2" t="s">
        <v>17</v>
      </c>
      <c r="E7990" s="5">
        <v>-31495</v>
      </c>
      <c r="F7990" s="3" t="s">
        <v>194</v>
      </c>
      <c r="G7990" s="3" t="s">
        <v>65</v>
      </c>
      <c r="H7990" s="2" t="s">
        <v>20</v>
      </c>
      <c r="I7990" s="2" t="s">
        <v>16628</v>
      </c>
      <c r="J7990" s="3" t="str">
        <f>HYPERLINK("https://www.boe.es/gazeta/dias/1813/10/07/pdfs/GMR-1813-55.pdf#page=1","Abrir facsímil")</f>
        <v>Abrir facsímil</v>
      </c>
      <c r="K7990" s="3" t="s">
        <v>22</v>
      </c>
    </row>
    <row r="7991" spans="1:11" ht="42" customHeight="1">
      <c r="A7991" s="2" t="s">
        <v>16629</v>
      </c>
      <c r="B7991" s="2" t="s">
        <v>16629</v>
      </c>
      <c r="C7991" s="2" t="s">
        <v>16</v>
      </c>
      <c r="D7991" s="2" t="s">
        <v>17</v>
      </c>
      <c r="E7991" s="5">
        <v>-31413</v>
      </c>
      <c r="F7991" s="3" t="s">
        <v>149</v>
      </c>
      <c r="G7991" s="3" t="s">
        <v>87</v>
      </c>
      <c r="H7991" s="2" t="s">
        <v>20</v>
      </c>
      <c r="I7991" s="2" t="s">
        <v>16630</v>
      </c>
      <c r="J7991" s="3" t="str">
        <f>HYPERLINK("https://www.boe.es/gazeta/dias/1813/12/28/pdfs/GMR-1813-93.pdf#page=7","Abrir facsímil")</f>
        <v>Abrir facsímil</v>
      </c>
      <c r="K7991" s="3" t="s">
        <v>22</v>
      </c>
    </row>
    <row r="7992" spans="1:11" ht="42" customHeight="1">
      <c r="A7992" s="2" t="s">
        <v>16631</v>
      </c>
      <c r="B7992" s="2" t="s">
        <v>16631</v>
      </c>
      <c r="C7992" s="2" t="s">
        <v>435</v>
      </c>
      <c r="D7992" s="2" t="s">
        <v>26</v>
      </c>
      <c r="E7992" s="5">
        <v>-31738</v>
      </c>
      <c r="F7992" s="3" t="s">
        <v>556</v>
      </c>
      <c r="G7992" s="3" t="s">
        <v>19</v>
      </c>
      <c r="H7992" s="2" t="s">
        <v>20</v>
      </c>
      <c r="I7992" s="2" t="s">
        <v>16632</v>
      </c>
      <c r="J7992" s="3" t="str">
        <f>HYPERLINK("https://www.boe.es/gazeta/dias/1813/02/06/pdfs/GRE-1813-16.pdf#page=4","Abrir facsímil")</f>
        <v>Abrir facsímil</v>
      </c>
      <c r="K7992" s="3" t="s">
        <v>22</v>
      </c>
    </row>
    <row r="7993" spans="1:11" ht="42" customHeight="1">
      <c r="A7993" s="2" t="s">
        <v>16631</v>
      </c>
      <c r="B7993" s="2" t="s">
        <v>16631</v>
      </c>
      <c r="C7993" s="2" t="s">
        <v>16</v>
      </c>
      <c r="D7993" s="2" t="s">
        <v>17</v>
      </c>
      <c r="E7993" s="5">
        <v>-31581</v>
      </c>
      <c r="F7993" s="3" t="s">
        <v>3599</v>
      </c>
      <c r="G7993" s="3" t="s">
        <v>54</v>
      </c>
      <c r="H7993" s="2" t="s">
        <v>20</v>
      </c>
      <c r="I7993" s="2" t="s">
        <v>16633</v>
      </c>
      <c r="J7993" s="3" t="str">
        <f>HYPERLINK("https://www.boe.es/gazeta/dias/1813/07/13/pdfs/GRE-1813-88.pdf#page=3","Abrir facsímil")</f>
        <v>Abrir facsímil</v>
      </c>
      <c r="K7993" s="3" t="s">
        <v>22</v>
      </c>
    </row>
    <row r="7994" spans="1:11" ht="42" customHeight="1">
      <c r="A7994" s="2" t="s">
        <v>16631</v>
      </c>
      <c r="B7994" s="2" t="s">
        <v>16631</v>
      </c>
      <c r="C7994" s="2" t="s">
        <v>25</v>
      </c>
      <c r="D7994" s="2" t="s">
        <v>26</v>
      </c>
      <c r="E7994" s="5">
        <v>-31571</v>
      </c>
      <c r="F7994" s="3" t="s">
        <v>788</v>
      </c>
      <c r="G7994" s="3" t="s">
        <v>65</v>
      </c>
      <c r="H7994" s="2" t="s">
        <v>20</v>
      </c>
      <c r="I7994" s="2" t="s">
        <v>16634</v>
      </c>
      <c r="J7994" s="3" t="str">
        <f>HYPERLINK("https://www.boe.es/gazeta/dias/1813/07/23/pdfs/GMR-1813-20.pdf#page=1","Abrir facsímil")</f>
        <v>Abrir facsímil</v>
      </c>
      <c r="K7994" s="3" t="s">
        <v>22</v>
      </c>
    </row>
    <row r="7995" spans="1:11" ht="42" customHeight="1">
      <c r="A7995" s="2" t="s">
        <v>16631</v>
      </c>
      <c r="B7995" s="2" t="s">
        <v>16631</v>
      </c>
      <c r="C7995" s="2" t="s">
        <v>435</v>
      </c>
      <c r="D7995" s="2" t="s">
        <v>26</v>
      </c>
      <c r="E7995" s="5">
        <v>-31567</v>
      </c>
      <c r="F7995" s="3" t="s">
        <v>820</v>
      </c>
      <c r="G7995" s="3" t="s">
        <v>65</v>
      </c>
      <c r="H7995" s="2" t="s">
        <v>20</v>
      </c>
      <c r="I7995" s="2" t="s">
        <v>16635</v>
      </c>
      <c r="J7995" s="3" t="str">
        <f>HYPERLINK("https://www.boe.es/gazeta/dias/1813/07/27/pdfs/GMR-1813-21.pdf#page=1","Abrir facsímil")</f>
        <v>Abrir facsímil</v>
      </c>
      <c r="K7995" s="3" t="s">
        <v>22</v>
      </c>
    </row>
    <row r="7996" spans="1:11" ht="42" customHeight="1">
      <c r="A7996" s="2" t="s">
        <v>16631</v>
      </c>
      <c r="B7996" s="2" t="s">
        <v>16631</v>
      </c>
      <c r="C7996" s="2" t="s">
        <v>16</v>
      </c>
      <c r="D7996" s="2" t="s">
        <v>17</v>
      </c>
      <c r="E7996" s="5">
        <v>-31560</v>
      </c>
      <c r="F7996" s="3" t="s">
        <v>590</v>
      </c>
      <c r="G7996" s="3" t="s">
        <v>65</v>
      </c>
      <c r="H7996" s="2" t="s">
        <v>20</v>
      </c>
      <c r="I7996" s="2" t="s">
        <v>16636</v>
      </c>
      <c r="J7996" s="3" t="str">
        <f>HYPERLINK("https://www.boe.es/gazeta/dias/1813/08/03/pdfs/GRE-1813-98.pdf#page=1","Abrir facsímil")</f>
        <v>Abrir facsímil</v>
      </c>
      <c r="K7996" s="3" t="s">
        <v>22</v>
      </c>
    </row>
    <row r="7997" spans="1:11" ht="42" customHeight="1">
      <c r="A7997" s="2" t="s">
        <v>16631</v>
      </c>
      <c r="B7997" s="2" t="s">
        <v>16631</v>
      </c>
      <c r="C7997" s="2" t="s">
        <v>16</v>
      </c>
      <c r="D7997" s="2" t="s">
        <v>17</v>
      </c>
      <c r="E7997" s="5">
        <v>-31437</v>
      </c>
      <c r="F7997" s="3" t="s">
        <v>217</v>
      </c>
      <c r="G7997" s="3" t="s">
        <v>539</v>
      </c>
      <c r="H7997" s="2" t="s">
        <v>20</v>
      </c>
      <c r="I7997" s="2" t="s">
        <v>16637</v>
      </c>
      <c r="J7997" s="3" t="str">
        <f>HYPERLINK("https://www.boe.es/gazeta/dias/1813/12/04/pdfs/GRE-1813-160.pdf#page=4","Abrir facsímil")</f>
        <v>Abrir facsímil</v>
      </c>
      <c r="K7997" s="3" t="s">
        <v>22</v>
      </c>
    </row>
    <row r="7998" spans="1:11" ht="42" customHeight="1">
      <c r="A7998" s="2" t="s">
        <v>16638</v>
      </c>
      <c r="B7998" s="2" t="s">
        <v>16639</v>
      </c>
      <c r="C7998" s="2" t="s">
        <v>16</v>
      </c>
      <c r="D7998" s="2" t="s">
        <v>17</v>
      </c>
      <c r="E7998" s="5">
        <v>-31742</v>
      </c>
      <c r="F7998" s="3" t="s">
        <v>2667</v>
      </c>
      <c r="G7998" s="3" t="s">
        <v>2668</v>
      </c>
      <c r="H7998" s="2" t="s">
        <v>29</v>
      </c>
      <c r="I7998" s="2" t="s">
        <v>16640</v>
      </c>
      <c r="J7998" s="3" t="str">
        <f>HYPERLINK("https://www.boe.es/gazeta/dias/1813/02/02/pdfs/GRE-1813-14.pdf#page=4","Abrir facsímil")</f>
        <v>Abrir facsímil</v>
      </c>
      <c r="K7998" s="3" t="s">
        <v>31</v>
      </c>
    </row>
    <row r="7999" spans="1:11" ht="42" customHeight="1">
      <c r="A7999" s="2" t="s">
        <v>16641</v>
      </c>
      <c r="B7999" s="2" t="s">
        <v>16641</v>
      </c>
      <c r="C7999" s="2" t="s">
        <v>16</v>
      </c>
      <c r="D7999" s="2" t="s">
        <v>17</v>
      </c>
      <c r="E7999" s="5">
        <v>-31731</v>
      </c>
      <c r="F7999" s="3" t="s">
        <v>866</v>
      </c>
      <c r="G7999" s="3" t="s">
        <v>4688</v>
      </c>
      <c r="H7999" s="2" t="s">
        <v>20</v>
      </c>
      <c r="I7999" s="2" t="s">
        <v>16642</v>
      </c>
      <c r="J7999" s="3" t="str">
        <f>HYPERLINK("https://www.boe.es/gazeta/dias/1813/02/13/pdfs/GRE-1813-19.pdf#page=5","Abrir facsímil")</f>
        <v>Abrir facsímil</v>
      </c>
      <c r="K7999" s="3" t="s">
        <v>22</v>
      </c>
    </row>
    <row r="8000" spans="1:11" ht="42" customHeight="1">
      <c r="A8000" s="2" t="s">
        <v>16643</v>
      </c>
      <c r="B8000" s="2" t="s">
        <v>16643</v>
      </c>
      <c r="C8000" s="2" t="s">
        <v>16</v>
      </c>
      <c r="D8000" s="2" t="s">
        <v>17</v>
      </c>
      <c r="E8000" s="5">
        <v>-31696</v>
      </c>
      <c r="F8000" s="3" t="s">
        <v>520</v>
      </c>
      <c r="G8000" s="3" t="s">
        <v>14487</v>
      </c>
      <c r="H8000" s="2" t="s">
        <v>20</v>
      </c>
      <c r="I8000" s="2" t="s">
        <v>16644</v>
      </c>
      <c r="J8000" s="3" t="str">
        <f>HYPERLINK("https://www.boe.es/gazeta/dias/1813/03/20/pdfs/GRE-1813-35.pdf#page=5","Abrir facsímil")</f>
        <v>Abrir facsímil</v>
      </c>
      <c r="K8000" s="3" t="s">
        <v>22</v>
      </c>
    </row>
    <row r="8001" spans="1:11" ht="42" customHeight="1">
      <c r="A8001" s="2" t="s">
        <v>16645</v>
      </c>
      <c r="B8001" s="2" t="s">
        <v>16645</v>
      </c>
      <c r="C8001" s="2" t="s">
        <v>16</v>
      </c>
      <c r="D8001" s="2" t="s">
        <v>17</v>
      </c>
      <c r="E8001" s="5">
        <v>-31728</v>
      </c>
      <c r="F8001" s="3" t="s">
        <v>1434</v>
      </c>
      <c r="G8001" s="3" t="s">
        <v>58</v>
      </c>
      <c r="H8001" s="2" t="s">
        <v>20</v>
      </c>
      <c r="I8001" s="2" t="s">
        <v>16646</v>
      </c>
      <c r="J8001" s="3" t="str">
        <f>HYPERLINK("https://www.boe.es/gazeta/dias/1813/02/16/pdfs/GRE-1813-20.pdf#page=2","Abrir facsímil")</f>
        <v>Abrir facsímil</v>
      </c>
      <c r="K8001" s="3" t="s">
        <v>22</v>
      </c>
    </row>
    <row r="8002" spans="1:11" ht="42" customHeight="1">
      <c r="A8002" s="2" t="s">
        <v>16647</v>
      </c>
      <c r="B8002" s="2" t="s">
        <v>16647</v>
      </c>
      <c r="C8002" s="2" t="s">
        <v>16</v>
      </c>
      <c r="D8002" s="2" t="s">
        <v>17</v>
      </c>
      <c r="E8002" s="5">
        <v>-31698</v>
      </c>
      <c r="F8002" s="3" t="s">
        <v>470</v>
      </c>
      <c r="G8002" s="3" t="s">
        <v>4979</v>
      </c>
      <c r="H8002" s="2" t="s">
        <v>20</v>
      </c>
      <c r="I8002" s="2" t="s">
        <v>16648</v>
      </c>
      <c r="J8002" s="3" t="str">
        <f>HYPERLINK("https://www.boe.es/gazeta/dias/1813/03/18/pdfs/GRE-1813-34.pdf#page=6","Abrir facsímil")</f>
        <v>Abrir facsímil</v>
      </c>
      <c r="K8002" s="3" t="s">
        <v>22</v>
      </c>
    </row>
    <row r="8003" spans="1:11" ht="42" customHeight="1">
      <c r="A8003" s="2" t="s">
        <v>16647</v>
      </c>
      <c r="B8003" s="2" t="s">
        <v>16647</v>
      </c>
      <c r="C8003" s="2" t="s">
        <v>16</v>
      </c>
      <c r="D8003" s="2" t="s">
        <v>17</v>
      </c>
      <c r="E8003" s="5">
        <v>-31696</v>
      </c>
      <c r="F8003" s="3" t="s">
        <v>520</v>
      </c>
      <c r="G8003" s="3" t="s">
        <v>529</v>
      </c>
      <c r="H8003" s="2" t="s">
        <v>20</v>
      </c>
      <c r="I8003" s="2" t="s">
        <v>16649</v>
      </c>
      <c r="J8003" s="3" t="str">
        <f>HYPERLINK("https://www.boe.es/gazeta/dias/1813/03/20/pdfs/GRE-1813-35.pdf#page=6","Abrir facsímil")</f>
        <v>Abrir facsímil</v>
      </c>
      <c r="K8003" s="3" t="s">
        <v>22</v>
      </c>
    </row>
    <row r="8004" spans="1:11" ht="42" customHeight="1">
      <c r="A8004" s="2" t="s">
        <v>16650</v>
      </c>
      <c r="B8004" s="2" t="s">
        <v>16650</v>
      </c>
      <c r="C8004" s="2" t="s">
        <v>16</v>
      </c>
      <c r="D8004" s="2" t="s">
        <v>17</v>
      </c>
      <c r="E8004" s="5">
        <v>-31423</v>
      </c>
      <c r="F8004" s="3" t="s">
        <v>2465</v>
      </c>
      <c r="G8004" s="3" t="s">
        <v>65</v>
      </c>
      <c r="H8004" s="2" t="s">
        <v>20</v>
      </c>
      <c r="I8004" s="2" t="s">
        <v>16651</v>
      </c>
      <c r="J8004" s="3" t="str">
        <f>HYPERLINK("https://www.boe.es/gazeta/dias/1813/12/18/pdfs/GMR-1813-89.pdf#page=1","Abrir facsímil")</f>
        <v>Abrir facsímil</v>
      </c>
      <c r="K8004" s="3" t="s">
        <v>22</v>
      </c>
    </row>
    <row r="8005" spans="1:11" ht="42" customHeight="1">
      <c r="A8005" s="2" t="s">
        <v>16652</v>
      </c>
      <c r="B8005" s="2" t="s">
        <v>16652</v>
      </c>
      <c r="C8005" s="2" t="s">
        <v>16</v>
      </c>
      <c r="D8005" s="2" t="s">
        <v>17</v>
      </c>
      <c r="E8005" s="5">
        <v>-31411</v>
      </c>
      <c r="F8005" s="3" t="s">
        <v>3702</v>
      </c>
      <c r="G8005" s="3" t="s">
        <v>65</v>
      </c>
      <c r="H8005" s="2" t="s">
        <v>20</v>
      </c>
      <c r="I8005" s="2" t="s">
        <v>16653</v>
      </c>
      <c r="J8005" s="3" t="str">
        <f>HYPERLINK("https://www.boe.es/gazeta/dias/1813/12/30/pdfs/GRE-1813-171.pdf#page=1","Abrir facsímil")</f>
        <v>Abrir facsímil</v>
      </c>
      <c r="K8005" s="3" t="s">
        <v>22</v>
      </c>
    </row>
    <row r="8006" spans="1:11" ht="42" customHeight="1">
      <c r="A8006" s="2" t="s">
        <v>16654</v>
      </c>
      <c r="B8006" s="2" t="s">
        <v>16655</v>
      </c>
      <c r="C8006" s="2" t="s">
        <v>34</v>
      </c>
      <c r="D8006" s="2" t="s">
        <v>35</v>
      </c>
      <c r="E8006" s="5">
        <v>-31521</v>
      </c>
      <c r="F8006" s="3" t="s">
        <v>1282</v>
      </c>
      <c r="G8006" s="3" t="s">
        <v>28</v>
      </c>
      <c r="H8006" s="2" t="s">
        <v>29</v>
      </c>
      <c r="I8006" s="2" t="s">
        <v>16656</v>
      </c>
      <c r="J8006" s="3" t="str">
        <f>HYPERLINK("https://www.boe.es/gazeta/dias/1813/09/11/pdfs/GMR-1813-41.pdf#page=8","Abrir facsímil")</f>
        <v>Abrir facsímil</v>
      </c>
      <c r="K8006" s="3" t="s">
        <v>31</v>
      </c>
    </row>
    <row r="8007" spans="1:11" ht="42" customHeight="1">
      <c r="A8007" s="2" t="s">
        <v>16657</v>
      </c>
      <c r="B8007" s="2" t="s">
        <v>16657</v>
      </c>
      <c r="C8007" s="2" t="s">
        <v>16</v>
      </c>
      <c r="D8007" s="2" t="s">
        <v>17</v>
      </c>
      <c r="E8007" s="5">
        <v>-31742</v>
      </c>
      <c r="F8007" s="3" t="s">
        <v>2051</v>
      </c>
      <c r="G8007" s="3" t="s">
        <v>58</v>
      </c>
      <c r="H8007" s="2" t="s">
        <v>20</v>
      </c>
      <c r="I8007" s="2" t="s">
        <v>16658</v>
      </c>
      <c r="J8007" s="3" t="str">
        <f>HYPERLINK("https://www.boe.es/gazeta/dias/1813/02/02/pdfs/GMD-1813-33.pdf#page=2","Abrir facsímil")</f>
        <v>Abrir facsímil</v>
      </c>
      <c r="K8007" s="3" t="s">
        <v>22</v>
      </c>
    </row>
    <row r="8008" spans="1:11" ht="42" customHeight="1">
      <c r="A8008" s="2" t="s">
        <v>16659</v>
      </c>
      <c r="B8008" s="2" t="s">
        <v>16659</v>
      </c>
      <c r="C8008" s="2" t="s">
        <v>16</v>
      </c>
      <c r="D8008" s="2" t="s">
        <v>17</v>
      </c>
      <c r="E8008" s="5">
        <v>-31650</v>
      </c>
      <c r="F8008" s="3" t="s">
        <v>3403</v>
      </c>
      <c r="G8008" s="3" t="s">
        <v>19</v>
      </c>
      <c r="H8008" s="2" t="s">
        <v>20</v>
      </c>
      <c r="I8008" s="2" t="s">
        <v>16660</v>
      </c>
      <c r="J8008" s="3" t="str">
        <f>HYPERLINK("https://www.boe.es/gazeta/dias/1813/05/05/pdfs/GMD-1813-125.pdf#page=4","Abrir facsímil")</f>
        <v>Abrir facsímil</v>
      </c>
      <c r="K8008" s="3" t="s">
        <v>22</v>
      </c>
    </row>
    <row r="8009" spans="1:11" ht="42" customHeight="1">
      <c r="A8009" s="2" t="s">
        <v>16661</v>
      </c>
      <c r="B8009" s="2" t="s">
        <v>16661</v>
      </c>
      <c r="C8009" s="2" t="s">
        <v>16</v>
      </c>
      <c r="D8009" s="2" t="s">
        <v>17</v>
      </c>
      <c r="E8009" s="5">
        <v>-31474</v>
      </c>
      <c r="F8009" s="3" t="s">
        <v>1082</v>
      </c>
      <c r="G8009" s="3" t="s">
        <v>95</v>
      </c>
      <c r="H8009" s="2" t="s">
        <v>20</v>
      </c>
      <c r="I8009" s="2" t="s">
        <v>16662</v>
      </c>
      <c r="J8009" s="3" t="str">
        <f>HYPERLINK("https://www.boe.es/gazeta/dias/1813/10/28/pdfs/GMR-1813-65.pdf#page=6","Abrir facsímil")</f>
        <v>Abrir facsímil</v>
      </c>
      <c r="K8009" s="3" t="s">
        <v>22</v>
      </c>
    </row>
    <row r="8010" spans="1:11" ht="42" customHeight="1">
      <c r="A8010" s="2" t="s">
        <v>16663</v>
      </c>
      <c r="B8010" s="2" t="s">
        <v>16663</v>
      </c>
      <c r="C8010" s="2" t="s">
        <v>277</v>
      </c>
      <c r="D8010" s="2" t="s">
        <v>26</v>
      </c>
      <c r="E8010" s="5">
        <v>-31712</v>
      </c>
      <c r="F8010" s="3" t="s">
        <v>719</v>
      </c>
      <c r="G8010" s="3" t="s">
        <v>54</v>
      </c>
      <c r="H8010" s="2" t="s">
        <v>20</v>
      </c>
      <c r="I8010" s="2" t="s">
        <v>16664</v>
      </c>
      <c r="J8010" s="3" t="str">
        <f>HYPERLINK("https://www.boe.es/gazeta/dias/1813/03/04/pdfs/GMD-1813-63.pdf#page=3","Abrir facsímil")</f>
        <v>Abrir facsímil</v>
      </c>
      <c r="K8010" s="3" t="s">
        <v>22</v>
      </c>
    </row>
    <row r="8011" spans="1:11" ht="42" customHeight="1">
      <c r="A8011" s="2" t="s">
        <v>16665</v>
      </c>
      <c r="B8011" s="2" t="s">
        <v>16665</v>
      </c>
      <c r="C8011" s="2" t="s">
        <v>16</v>
      </c>
      <c r="D8011" s="2" t="s">
        <v>17</v>
      </c>
      <c r="E8011" s="5">
        <v>-31469</v>
      </c>
      <c r="F8011" s="3" t="s">
        <v>1452</v>
      </c>
      <c r="G8011" s="3" t="s">
        <v>82</v>
      </c>
      <c r="H8011" s="2" t="s">
        <v>20</v>
      </c>
      <c r="I8011" s="2" t="s">
        <v>16666</v>
      </c>
      <c r="J8011" s="3" t="str">
        <f>HYPERLINK("https://www.boe.es/gazeta/dias/1813/11/02/pdfs/GRE-1813-143.pdf#page=5","Abrir facsímil")</f>
        <v>Abrir facsímil</v>
      </c>
      <c r="K8011" s="3" t="s">
        <v>22</v>
      </c>
    </row>
    <row r="8012" spans="1:11" ht="42" customHeight="1">
      <c r="A8012" s="2" t="s">
        <v>16667</v>
      </c>
      <c r="B8012" s="2" t="s">
        <v>16667</v>
      </c>
      <c r="C8012" s="2" t="s">
        <v>16</v>
      </c>
      <c r="D8012" s="2" t="s">
        <v>17</v>
      </c>
      <c r="E8012" s="5">
        <v>-31766</v>
      </c>
      <c r="F8012" s="3" t="s">
        <v>6349</v>
      </c>
      <c r="G8012" s="3" t="s">
        <v>54</v>
      </c>
      <c r="H8012" s="2" t="s">
        <v>20</v>
      </c>
      <c r="I8012" s="2" t="s">
        <v>16668</v>
      </c>
      <c r="J8012" s="3" t="str">
        <f>HYPERLINK("https://www.boe.es/gazeta/dias/1813/01/09/pdfs/GMD-1813-9.pdf#page=3","Abrir facsímil")</f>
        <v>Abrir facsímil</v>
      </c>
      <c r="K8012" s="3" t="s">
        <v>22</v>
      </c>
    </row>
    <row r="8013" spans="1:11" ht="42" customHeight="1">
      <c r="A8013" s="2" t="s">
        <v>16667</v>
      </c>
      <c r="B8013" s="2" t="s">
        <v>16667</v>
      </c>
      <c r="C8013" s="2" t="s">
        <v>16</v>
      </c>
      <c r="D8013" s="2" t="s">
        <v>17</v>
      </c>
      <c r="E8013" s="5">
        <v>-31551</v>
      </c>
      <c r="F8013" s="3" t="s">
        <v>4349</v>
      </c>
      <c r="G8013" s="3" t="s">
        <v>65</v>
      </c>
      <c r="H8013" s="2" t="s">
        <v>20</v>
      </c>
      <c r="I8013" s="2" t="s">
        <v>16669</v>
      </c>
      <c r="J8013" s="3" t="str">
        <f>HYPERLINK("https://www.boe.es/gazeta/dias/1813/08/12/pdfs/GRE-1813-102.pdf#page=1","Abrir facsímil")</f>
        <v>Abrir facsímil</v>
      </c>
      <c r="K8013" s="3" t="s">
        <v>22</v>
      </c>
    </row>
    <row r="8014" spans="1:11" ht="42" customHeight="1">
      <c r="A8014" s="2" t="s">
        <v>16667</v>
      </c>
      <c r="B8014" s="2" t="s">
        <v>16667</v>
      </c>
      <c r="C8014" s="2" t="s">
        <v>25</v>
      </c>
      <c r="D8014" s="2" t="s">
        <v>26</v>
      </c>
      <c r="E8014" s="5">
        <v>-31544</v>
      </c>
      <c r="F8014" s="3" t="s">
        <v>200</v>
      </c>
      <c r="G8014" s="3" t="s">
        <v>82</v>
      </c>
      <c r="H8014" s="2" t="s">
        <v>20</v>
      </c>
      <c r="I8014" s="2" t="s">
        <v>16670</v>
      </c>
      <c r="J8014" s="3" t="str">
        <f>HYPERLINK("https://www.boe.es/gazeta/dias/1813/08/19/pdfs/GRE-1813-106.pdf#page=5","Abrir facsímil")</f>
        <v>Abrir facsímil</v>
      </c>
      <c r="K8014" s="3" t="s">
        <v>22</v>
      </c>
    </row>
    <row r="8015" spans="1:11" ht="42" customHeight="1">
      <c r="A8015" s="2" t="s">
        <v>16667</v>
      </c>
      <c r="B8015" s="2" t="s">
        <v>16667</v>
      </c>
      <c r="C8015" s="2" t="s">
        <v>16</v>
      </c>
      <c r="D8015" s="2" t="s">
        <v>17</v>
      </c>
      <c r="E8015" s="5">
        <v>-31427</v>
      </c>
      <c r="F8015" s="3" t="s">
        <v>489</v>
      </c>
      <c r="G8015" s="3" t="s">
        <v>95</v>
      </c>
      <c r="H8015" s="2" t="s">
        <v>20</v>
      </c>
      <c r="I8015" s="2" t="s">
        <v>16671</v>
      </c>
      <c r="J8015" s="3" t="str">
        <f>HYPERLINK("https://www.boe.es/gazeta/dias/1813/12/14/pdfs/GMR-1813-87.pdf#page=6","Abrir facsímil")</f>
        <v>Abrir facsímil</v>
      </c>
      <c r="K8015" s="3" t="s">
        <v>22</v>
      </c>
    </row>
    <row r="8016" spans="1:11" ht="42" customHeight="1">
      <c r="A8016" s="2" t="s">
        <v>16672</v>
      </c>
      <c r="B8016" s="2" t="s">
        <v>16672</v>
      </c>
      <c r="C8016" s="2" t="s">
        <v>16</v>
      </c>
      <c r="D8016" s="2" t="s">
        <v>17</v>
      </c>
      <c r="E8016" s="5">
        <v>-31588</v>
      </c>
      <c r="F8016" s="3" t="s">
        <v>1535</v>
      </c>
      <c r="G8016" s="3" t="s">
        <v>28</v>
      </c>
      <c r="H8016" s="2" t="s">
        <v>20</v>
      </c>
      <c r="I8016" s="2" t="s">
        <v>16673</v>
      </c>
      <c r="J8016" s="3" t="str">
        <f>HYPERLINK("https://www.boe.es/gazeta/dias/1813/07/06/pdfs/GMR-1813-15.pdf#page=8","Abrir facsímil")</f>
        <v>Abrir facsímil</v>
      </c>
      <c r="K8016" s="3" t="s">
        <v>22</v>
      </c>
    </row>
    <row r="8017" spans="1:11" ht="42" customHeight="1">
      <c r="A8017" s="2" t="s">
        <v>16674</v>
      </c>
      <c r="B8017" s="2" t="s">
        <v>16674</v>
      </c>
      <c r="C8017" s="2" t="s">
        <v>16</v>
      </c>
      <c r="D8017" s="2" t="s">
        <v>17</v>
      </c>
      <c r="E8017" s="5">
        <v>-31772</v>
      </c>
      <c r="F8017" s="3" t="s">
        <v>2361</v>
      </c>
      <c r="G8017" s="3" t="s">
        <v>65</v>
      </c>
      <c r="H8017" s="2" t="s">
        <v>20</v>
      </c>
      <c r="I8017" s="2" t="s">
        <v>16675</v>
      </c>
      <c r="J8017" s="3" t="str">
        <f>HYPERLINK("https://www.boe.es/gazeta/dias/1813/01/03/pdfs/GMD-1813-3.pdf#page=1","Abrir facsímil")</f>
        <v>Abrir facsímil</v>
      </c>
      <c r="K8017" s="3" t="s">
        <v>22</v>
      </c>
    </row>
    <row r="8018" spans="1:11" ht="42" customHeight="1">
      <c r="A8018" s="2" t="s">
        <v>16676</v>
      </c>
      <c r="B8018" s="2" t="s">
        <v>16677</v>
      </c>
      <c r="C8018" s="2" t="s">
        <v>277</v>
      </c>
      <c r="D8018" s="2" t="s">
        <v>26</v>
      </c>
      <c r="E8018" s="5">
        <v>-31653</v>
      </c>
      <c r="F8018" s="3" t="s">
        <v>3121</v>
      </c>
      <c r="G8018" s="3" t="s">
        <v>6674</v>
      </c>
      <c r="H8018" s="2" t="s">
        <v>20</v>
      </c>
      <c r="I8018" s="2" t="s">
        <v>16678</v>
      </c>
      <c r="J8018" s="3" t="str">
        <f>HYPERLINK("https://www.boe.es/gazeta/dias/1813/05/02/pdfs/GMD-1813-122.pdf#page=4","Abrir facsímil")</f>
        <v>Abrir facsímil</v>
      </c>
      <c r="K8018" s="3" t="s">
        <v>22</v>
      </c>
    </row>
    <row r="8019" spans="1:11" ht="42" customHeight="1">
      <c r="A8019" s="2" t="s">
        <v>16679</v>
      </c>
      <c r="B8019" s="2" t="s">
        <v>16679</v>
      </c>
      <c r="C8019" s="2" t="s">
        <v>16</v>
      </c>
      <c r="D8019" s="2" t="s">
        <v>17</v>
      </c>
      <c r="E8019" s="5">
        <v>-31549</v>
      </c>
      <c r="F8019" s="3" t="s">
        <v>294</v>
      </c>
      <c r="G8019" s="3" t="s">
        <v>58</v>
      </c>
      <c r="H8019" s="2" t="s">
        <v>20</v>
      </c>
      <c r="I8019" s="2" t="s">
        <v>16680</v>
      </c>
      <c r="J8019" s="3" t="str">
        <f>HYPERLINK("https://www.boe.es/gazeta/dias/1813/08/14/pdfs/GRE-1813-103.pdf#page=2","Abrir facsímil")</f>
        <v>Abrir facsímil</v>
      </c>
      <c r="K8019" s="3" t="s">
        <v>22</v>
      </c>
    </row>
    <row r="8020" spans="1:11" ht="42" customHeight="1">
      <c r="A8020" s="2" t="s">
        <v>16681</v>
      </c>
      <c r="B8020" s="2" t="s">
        <v>16681</v>
      </c>
      <c r="C8020" s="2" t="s">
        <v>16</v>
      </c>
      <c r="D8020" s="2" t="s">
        <v>17</v>
      </c>
      <c r="E8020" s="5">
        <v>-31483</v>
      </c>
      <c r="F8020" s="3" t="s">
        <v>308</v>
      </c>
      <c r="G8020" s="3" t="s">
        <v>87</v>
      </c>
      <c r="H8020" s="2" t="s">
        <v>20</v>
      </c>
      <c r="I8020" s="2" t="s">
        <v>16682</v>
      </c>
      <c r="J8020" s="3" t="str">
        <f>HYPERLINK("https://www.boe.es/gazeta/dias/1813/10/19/pdfs/GRE-1813-136.pdf#page=7","Abrir facsímil")</f>
        <v>Abrir facsímil</v>
      </c>
      <c r="K8020" s="3" t="s">
        <v>22</v>
      </c>
    </row>
    <row r="8021" spans="1:11" ht="42" customHeight="1">
      <c r="A8021" s="2" t="s">
        <v>16683</v>
      </c>
      <c r="B8021" s="2" t="s">
        <v>16683</v>
      </c>
      <c r="C8021" s="2" t="s">
        <v>25</v>
      </c>
      <c r="D8021" s="2" t="s">
        <v>26</v>
      </c>
      <c r="E8021" s="5">
        <v>-31668</v>
      </c>
      <c r="F8021" s="3" t="s">
        <v>574</v>
      </c>
      <c r="G8021" s="3" t="s">
        <v>3908</v>
      </c>
      <c r="H8021" s="2" t="s">
        <v>20</v>
      </c>
      <c r="I8021" s="2" t="s">
        <v>16684</v>
      </c>
      <c r="J8021" s="3" t="str">
        <f>HYPERLINK("https://www.boe.es/gazeta/dias/1813/04/17/pdfs/GRE-1813-48.pdf#page=3","Abrir facsímil")</f>
        <v>Abrir facsímil</v>
      </c>
      <c r="K8021" s="3" t="s">
        <v>22</v>
      </c>
    </row>
    <row r="8022" spans="1:11" ht="42" customHeight="1">
      <c r="A8022" s="2" t="s">
        <v>16685</v>
      </c>
      <c r="B8022" s="2" t="s">
        <v>16685</v>
      </c>
      <c r="C8022" s="2" t="s">
        <v>16</v>
      </c>
      <c r="D8022" s="2" t="s">
        <v>17</v>
      </c>
      <c r="E8022" s="5">
        <v>-31734</v>
      </c>
      <c r="F8022" s="3" t="s">
        <v>362</v>
      </c>
      <c r="G8022" s="3" t="s">
        <v>58</v>
      </c>
      <c r="H8022" s="2" t="s">
        <v>20</v>
      </c>
      <c r="I8022" s="2" t="s">
        <v>16686</v>
      </c>
      <c r="J8022" s="3" t="str">
        <f>HYPERLINK("https://www.boe.es/gazeta/dias/1813/02/10/pdfs/GMD-1813-41.pdf#page=2","Abrir facsímil")</f>
        <v>Abrir facsímil</v>
      </c>
      <c r="K8022" s="3" t="s">
        <v>22</v>
      </c>
    </row>
    <row r="8023" spans="1:11" ht="42" customHeight="1">
      <c r="A8023" s="2" t="s">
        <v>16685</v>
      </c>
      <c r="B8023" s="2" t="s">
        <v>16685</v>
      </c>
      <c r="C8023" s="2" t="s">
        <v>16</v>
      </c>
      <c r="D8023" s="2" t="s">
        <v>17</v>
      </c>
      <c r="E8023" s="5">
        <v>-31661</v>
      </c>
      <c r="F8023" s="3" t="s">
        <v>6643</v>
      </c>
      <c r="G8023" s="3" t="s">
        <v>54</v>
      </c>
      <c r="H8023" s="2" t="s">
        <v>20</v>
      </c>
      <c r="I8023" s="2" t="s">
        <v>16687</v>
      </c>
      <c r="J8023" s="3" t="str">
        <f>HYPERLINK("https://www.boe.es/gazeta/dias/1813/04/24/pdfs/GRE-1813-51.pdf#page=3","Abrir facsímil")</f>
        <v>Abrir facsímil</v>
      </c>
      <c r="K8023" s="3" t="s">
        <v>22</v>
      </c>
    </row>
    <row r="8024" spans="1:11" ht="42" customHeight="1">
      <c r="A8024" s="2" t="s">
        <v>16688</v>
      </c>
      <c r="B8024" s="2" t="s">
        <v>16688</v>
      </c>
      <c r="C8024" s="2" t="s">
        <v>16</v>
      </c>
      <c r="D8024" s="2" t="s">
        <v>17</v>
      </c>
      <c r="E8024" s="5">
        <v>-31544</v>
      </c>
      <c r="F8024" s="3" t="s">
        <v>200</v>
      </c>
      <c r="G8024" s="3" t="s">
        <v>82</v>
      </c>
      <c r="H8024" s="2" t="s">
        <v>20</v>
      </c>
      <c r="I8024" s="2" t="s">
        <v>16689</v>
      </c>
      <c r="J8024" s="3" t="str">
        <f>HYPERLINK("https://www.boe.es/gazeta/dias/1813/08/19/pdfs/GRE-1813-106.pdf#page=5","Abrir facsímil")</f>
        <v>Abrir facsímil</v>
      </c>
      <c r="K8024" s="3" t="s">
        <v>22</v>
      </c>
    </row>
    <row r="8025" spans="1:11" ht="42" customHeight="1">
      <c r="A8025" s="2" t="s">
        <v>16685</v>
      </c>
      <c r="B8025" s="2" t="s">
        <v>16685</v>
      </c>
      <c r="C8025" s="2" t="s">
        <v>16</v>
      </c>
      <c r="D8025" s="2" t="s">
        <v>17</v>
      </c>
      <c r="E8025" s="5">
        <v>-31516</v>
      </c>
      <c r="F8025" s="3" t="s">
        <v>246</v>
      </c>
      <c r="G8025" s="3" t="s">
        <v>247</v>
      </c>
      <c r="H8025" s="2" t="s">
        <v>20</v>
      </c>
      <c r="I8025" s="2" t="s">
        <v>16690</v>
      </c>
      <c r="J8025" s="3" t="str">
        <f>HYPERLINK("https://www.boe.es/gazeta/dias/1813/09/16/pdfs/GMR-1813-43.pdf#page=8","Abrir facsímil")</f>
        <v>Abrir facsímil</v>
      </c>
      <c r="K8025" s="3" t="s">
        <v>22</v>
      </c>
    </row>
    <row r="8026" spans="1:11" ht="42" customHeight="1">
      <c r="A8026" s="2" t="s">
        <v>16691</v>
      </c>
      <c r="B8026" s="2" t="s">
        <v>16691</v>
      </c>
      <c r="C8026" s="2" t="s">
        <v>16</v>
      </c>
      <c r="D8026" s="2" t="s">
        <v>17</v>
      </c>
      <c r="E8026" s="5">
        <v>-31504</v>
      </c>
      <c r="F8026" s="3" t="s">
        <v>1361</v>
      </c>
      <c r="G8026" s="3" t="s">
        <v>19</v>
      </c>
      <c r="H8026" s="2" t="s">
        <v>20</v>
      </c>
      <c r="I8026" s="2" t="s">
        <v>16692</v>
      </c>
      <c r="J8026" s="3" t="str">
        <f>HYPERLINK("https://www.boe.es/gazeta/dias/1813/09/28/pdfs/GMR-1813-50.pdf#page=4","Abrir facsímil")</f>
        <v>Abrir facsímil</v>
      </c>
      <c r="K8026" s="3" t="s">
        <v>22</v>
      </c>
    </row>
    <row r="8027" spans="1:11" ht="42" customHeight="1">
      <c r="A8027" s="2" t="s">
        <v>16691</v>
      </c>
      <c r="B8027" s="2" t="s">
        <v>16691</v>
      </c>
      <c r="C8027" s="2" t="s">
        <v>16</v>
      </c>
      <c r="D8027" s="2" t="s">
        <v>17</v>
      </c>
      <c r="E8027" s="5">
        <v>-31504</v>
      </c>
      <c r="F8027" s="3" t="s">
        <v>1361</v>
      </c>
      <c r="G8027" s="3" t="s">
        <v>82</v>
      </c>
      <c r="H8027" s="2" t="s">
        <v>20</v>
      </c>
      <c r="I8027" s="2" t="s">
        <v>16693</v>
      </c>
      <c r="J8027" s="3" t="str">
        <f>HYPERLINK("https://www.boe.es/gazeta/dias/1813/09/28/pdfs/GMR-1813-50.pdf#page=5","Abrir facsímil")</f>
        <v>Abrir facsímil</v>
      </c>
      <c r="K8027" s="3" t="s">
        <v>22</v>
      </c>
    </row>
    <row r="8028" spans="1:11" ht="42" customHeight="1">
      <c r="A8028" s="2" t="s">
        <v>16685</v>
      </c>
      <c r="B8028" s="2" t="s">
        <v>16685</v>
      </c>
      <c r="C8028" s="2" t="s">
        <v>16</v>
      </c>
      <c r="D8028" s="2" t="s">
        <v>17</v>
      </c>
      <c r="E8028" s="5">
        <v>-31504</v>
      </c>
      <c r="F8028" s="3" t="s">
        <v>192</v>
      </c>
      <c r="G8028" s="3" t="s">
        <v>87</v>
      </c>
      <c r="H8028" s="2" t="s">
        <v>20</v>
      </c>
      <c r="I8028" s="2" t="s">
        <v>16694</v>
      </c>
      <c r="J8028" s="3" t="str">
        <f>HYPERLINK("https://www.boe.es/gazeta/dias/1813/09/28/pdfs/GRE-1813-127.pdf#page=7","Abrir facsímil")</f>
        <v>Abrir facsímil</v>
      </c>
      <c r="K8028" s="3" t="s">
        <v>22</v>
      </c>
    </row>
    <row r="8029" spans="1:11" ht="42" customHeight="1">
      <c r="A8029" s="2" t="s">
        <v>16685</v>
      </c>
      <c r="B8029" s="2" t="s">
        <v>16685</v>
      </c>
      <c r="C8029" s="2" t="s">
        <v>16</v>
      </c>
      <c r="D8029" s="2" t="s">
        <v>17</v>
      </c>
      <c r="E8029" s="5">
        <v>-31416</v>
      </c>
      <c r="F8029" s="3" t="s">
        <v>110</v>
      </c>
      <c r="G8029" s="3" t="s">
        <v>95</v>
      </c>
      <c r="H8029" s="2" t="s">
        <v>20</v>
      </c>
      <c r="I8029" s="2" t="s">
        <v>16695</v>
      </c>
      <c r="J8029" s="3" t="str">
        <f>HYPERLINK("https://www.boe.es/gazeta/dias/1813/12/25/pdfs/GRE-1813-169.pdf#page=6","Abrir facsímil")</f>
        <v>Abrir facsímil</v>
      </c>
      <c r="K8029" s="3" t="s">
        <v>22</v>
      </c>
    </row>
    <row r="8030" spans="1:11" ht="42" customHeight="1">
      <c r="A8030" s="2" t="s">
        <v>16696</v>
      </c>
      <c r="B8030" s="2" t="s">
        <v>16696</v>
      </c>
      <c r="C8030" s="2" t="s">
        <v>16</v>
      </c>
      <c r="D8030" s="2" t="s">
        <v>17</v>
      </c>
      <c r="E8030" s="5">
        <v>-31661</v>
      </c>
      <c r="F8030" s="3" t="s">
        <v>6643</v>
      </c>
      <c r="G8030" s="3" t="s">
        <v>65</v>
      </c>
      <c r="H8030" s="2" t="s">
        <v>20</v>
      </c>
      <c r="I8030" s="2" t="s">
        <v>16697</v>
      </c>
      <c r="J8030" s="3" t="str">
        <f>HYPERLINK("https://www.boe.es/gazeta/dias/1813/04/24/pdfs/GRE-1813-51.pdf#page=1","Abrir facsímil")</f>
        <v>Abrir facsímil</v>
      </c>
      <c r="K8030" s="3" t="s">
        <v>22</v>
      </c>
    </row>
    <row r="8031" spans="1:11" ht="42" customHeight="1">
      <c r="A8031" s="2" t="s">
        <v>16698</v>
      </c>
      <c r="B8031" s="2" t="s">
        <v>16698</v>
      </c>
      <c r="C8031" s="2" t="s">
        <v>16</v>
      </c>
      <c r="D8031" s="2" t="s">
        <v>17</v>
      </c>
      <c r="E8031" s="5">
        <v>-31444</v>
      </c>
      <c r="F8031" s="3" t="s">
        <v>389</v>
      </c>
      <c r="G8031" s="3" t="s">
        <v>8486</v>
      </c>
      <c r="H8031" s="2" t="s">
        <v>20</v>
      </c>
      <c r="I8031" s="2" t="s">
        <v>16699</v>
      </c>
      <c r="J8031" s="3" t="str">
        <f>HYPERLINK("https://www.boe.es/gazeta/dias/1813/11/27/pdfs/GMR-1813-80.pdf#page=2","Abrir facsímil")</f>
        <v>Abrir facsímil</v>
      </c>
      <c r="K8031" s="3" t="s">
        <v>22</v>
      </c>
    </row>
    <row r="8032" spans="1:11" ht="42" customHeight="1">
      <c r="A8032" s="2" t="s">
        <v>16700</v>
      </c>
      <c r="B8032" s="2" t="s">
        <v>16701</v>
      </c>
      <c r="C8032" s="2" t="s">
        <v>16</v>
      </c>
      <c r="D8032" s="2" t="s">
        <v>17</v>
      </c>
      <c r="E8032" s="5">
        <v>-31483</v>
      </c>
      <c r="F8032" s="3" t="s">
        <v>1292</v>
      </c>
      <c r="G8032" s="3" t="s">
        <v>1293</v>
      </c>
      <c r="H8032" s="2" t="s">
        <v>20</v>
      </c>
      <c r="I8032" s="2" t="s">
        <v>16702</v>
      </c>
      <c r="J8032" s="3" t="str">
        <f>HYPERLINK("https://www.boe.es/gazeta/dias/1813/10/19/pdfs/GMR-1813-61.pdf#page=12","Abrir facsímil")</f>
        <v>Abrir facsímil</v>
      </c>
      <c r="K8032" s="3" t="s">
        <v>22</v>
      </c>
    </row>
    <row r="8033" spans="1:11" ht="42" customHeight="1">
      <c r="A8033" s="2" t="s">
        <v>16703</v>
      </c>
      <c r="B8033" s="2" t="s">
        <v>16703</v>
      </c>
      <c r="C8033" s="2" t="s">
        <v>16</v>
      </c>
      <c r="D8033" s="2" t="s">
        <v>17</v>
      </c>
      <c r="E8033" s="5">
        <v>-31546</v>
      </c>
      <c r="F8033" s="3" t="s">
        <v>2057</v>
      </c>
      <c r="G8033" s="3" t="s">
        <v>54</v>
      </c>
      <c r="H8033" s="2" t="s">
        <v>20</v>
      </c>
      <c r="I8033" s="2" t="s">
        <v>16704</v>
      </c>
      <c r="J8033" s="3" t="str">
        <f>HYPERLINK("https://www.boe.es/gazeta/dias/1813/08/17/pdfs/GRE-1813-105.pdf#page=3","Abrir facsímil")</f>
        <v>Abrir facsímil</v>
      </c>
      <c r="K8033" s="3" t="s">
        <v>22</v>
      </c>
    </row>
    <row r="8034" spans="1:11" ht="42" customHeight="1">
      <c r="A8034" s="2" t="s">
        <v>16705</v>
      </c>
      <c r="B8034" s="2" t="s">
        <v>16705</v>
      </c>
      <c r="C8034" s="2" t="s">
        <v>435</v>
      </c>
      <c r="D8034" s="2" t="s">
        <v>26</v>
      </c>
      <c r="E8034" s="5">
        <v>-31564</v>
      </c>
      <c r="F8034" s="3" t="s">
        <v>206</v>
      </c>
      <c r="G8034" s="3" t="s">
        <v>58</v>
      </c>
      <c r="H8034" s="2" t="s">
        <v>20</v>
      </c>
      <c r="I8034" s="2" t="s">
        <v>16706</v>
      </c>
      <c r="J8034" s="3" t="str">
        <f>HYPERLINK("https://www.boe.es/gazeta/dias/1813/07/30/pdfs/GMR-1813-22.pdf#page=2","Abrir facsímil")</f>
        <v>Abrir facsímil</v>
      </c>
      <c r="K8034" s="3" t="s">
        <v>22</v>
      </c>
    </row>
    <row r="8035" spans="1:11" ht="42" customHeight="1">
      <c r="A8035" s="2" t="s">
        <v>16707</v>
      </c>
      <c r="B8035" s="2" t="s">
        <v>16707</v>
      </c>
      <c r="C8035" s="2" t="s">
        <v>25</v>
      </c>
      <c r="D8035" s="2" t="s">
        <v>26</v>
      </c>
      <c r="E8035" s="5">
        <v>-31658</v>
      </c>
      <c r="F8035" s="3" t="s">
        <v>1113</v>
      </c>
      <c r="G8035" s="3" t="s">
        <v>54</v>
      </c>
      <c r="H8035" s="2" t="s">
        <v>20</v>
      </c>
      <c r="I8035" s="2" t="s">
        <v>16708</v>
      </c>
      <c r="J8035" s="3" t="str">
        <f>HYPERLINK("https://www.boe.es/gazeta/dias/1813/04/27/pdfs/GRE-1813-52.pdf#page=3","Abrir facsímil")</f>
        <v>Abrir facsímil</v>
      </c>
      <c r="K8035" s="3" t="s">
        <v>22</v>
      </c>
    </row>
    <row r="8036" spans="1:11" ht="42" customHeight="1">
      <c r="A8036" s="2" t="s">
        <v>16707</v>
      </c>
      <c r="B8036" s="2" t="s">
        <v>16707</v>
      </c>
      <c r="C8036" s="2" t="s">
        <v>16</v>
      </c>
      <c r="D8036" s="2" t="s">
        <v>17</v>
      </c>
      <c r="E8036" s="5">
        <v>-31556</v>
      </c>
      <c r="F8036" s="3" t="s">
        <v>118</v>
      </c>
      <c r="G8036" s="3" t="s">
        <v>16709</v>
      </c>
      <c r="H8036" s="2" t="s">
        <v>20</v>
      </c>
      <c r="I8036" s="2" t="s">
        <v>16710</v>
      </c>
      <c r="J8036" s="3" t="str">
        <f>HYPERLINK("https://www.boe.es/gazeta/dias/1813/08/07/pdfs/GMR-1813-25.pdf#page=6","Abrir facsímil")</f>
        <v>Abrir facsímil</v>
      </c>
      <c r="K8036" s="3" t="s">
        <v>22</v>
      </c>
    </row>
    <row r="8037" spans="1:11" ht="42" customHeight="1">
      <c r="A8037" s="2" t="s">
        <v>16707</v>
      </c>
      <c r="B8037" s="2" t="s">
        <v>16707</v>
      </c>
      <c r="C8037" s="2" t="s">
        <v>16</v>
      </c>
      <c r="D8037" s="2" t="s">
        <v>17</v>
      </c>
      <c r="E8037" s="5">
        <v>-31551</v>
      </c>
      <c r="F8037" s="3" t="s">
        <v>954</v>
      </c>
      <c r="G8037" s="3" t="s">
        <v>95</v>
      </c>
      <c r="H8037" s="2" t="s">
        <v>20</v>
      </c>
      <c r="I8037" s="2" t="s">
        <v>16711</v>
      </c>
      <c r="J8037" s="3" t="str">
        <f>HYPERLINK("https://www.boe.es/gazeta/dias/1813/08/12/pdfs/GMR-1813-27.pdf#page=6","Abrir facsímil")</f>
        <v>Abrir facsímil</v>
      </c>
      <c r="K8037" s="3" t="s">
        <v>22</v>
      </c>
    </row>
    <row r="8038" spans="1:11" ht="42" customHeight="1">
      <c r="A8038" s="2" t="s">
        <v>16707</v>
      </c>
      <c r="B8038" s="2" t="s">
        <v>16707</v>
      </c>
      <c r="C8038" s="2" t="s">
        <v>25</v>
      </c>
      <c r="D8038" s="2" t="s">
        <v>26</v>
      </c>
      <c r="E8038" s="5">
        <v>-31549</v>
      </c>
      <c r="F8038" s="3" t="s">
        <v>294</v>
      </c>
      <c r="G8038" s="3" t="s">
        <v>58</v>
      </c>
      <c r="H8038" s="2" t="s">
        <v>20</v>
      </c>
      <c r="I8038" s="2" t="s">
        <v>16712</v>
      </c>
      <c r="J8038" s="3" t="str">
        <f>HYPERLINK("https://www.boe.es/gazeta/dias/1813/08/14/pdfs/GRE-1813-103.pdf#page=2","Abrir facsímil")</f>
        <v>Abrir facsímil</v>
      </c>
      <c r="K8038" s="3" t="s">
        <v>22</v>
      </c>
    </row>
    <row r="8039" spans="1:11" ht="42" customHeight="1">
      <c r="A8039" s="2" t="s">
        <v>16713</v>
      </c>
      <c r="B8039" s="2" t="s">
        <v>16713</v>
      </c>
      <c r="C8039" s="2" t="s">
        <v>16</v>
      </c>
      <c r="D8039" s="2" t="s">
        <v>17</v>
      </c>
      <c r="E8039" s="5">
        <v>-31481</v>
      </c>
      <c r="F8039" s="3" t="s">
        <v>40</v>
      </c>
      <c r="G8039" s="3" t="s">
        <v>28</v>
      </c>
      <c r="H8039" s="2" t="s">
        <v>20</v>
      </c>
      <c r="I8039" s="2" t="s">
        <v>16714</v>
      </c>
      <c r="J8039" s="3" t="str">
        <f>HYPERLINK("https://www.boe.es/gazeta/dias/1813/10/21/pdfs/GMR-1813-62.pdf#page=8","Abrir facsímil")</f>
        <v>Abrir facsímil</v>
      </c>
      <c r="K8039" s="3" t="s">
        <v>22</v>
      </c>
    </row>
    <row r="8040" spans="1:11" ht="42" customHeight="1">
      <c r="A8040" s="2" t="s">
        <v>16707</v>
      </c>
      <c r="B8040" s="2" t="s">
        <v>16707</v>
      </c>
      <c r="C8040" s="2" t="s">
        <v>16</v>
      </c>
      <c r="D8040" s="2" t="s">
        <v>17</v>
      </c>
      <c r="E8040" s="5">
        <v>-31420</v>
      </c>
      <c r="F8040" s="3" t="s">
        <v>210</v>
      </c>
      <c r="G8040" s="3" t="s">
        <v>95</v>
      </c>
      <c r="H8040" s="2" t="s">
        <v>20</v>
      </c>
      <c r="I8040" s="2" t="s">
        <v>16715</v>
      </c>
      <c r="J8040" s="3" t="str">
        <f>HYPERLINK("https://www.boe.es/gazeta/dias/1813/12/21/pdfs/GRE-1813-167.pdf#page=6","Abrir facsímil")</f>
        <v>Abrir facsímil</v>
      </c>
      <c r="K8040" s="3" t="s">
        <v>22</v>
      </c>
    </row>
    <row r="8041" spans="1:11" ht="42" customHeight="1">
      <c r="A8041" s="2" t="s">
        <v>16716</v>
      </c>
      <c r="B8041" s="2" t="s">
        <v>16716</v>
      </c>
      <c r="C8041" s="2" t="s">
        <v>16</v>
      </c>
      <c r="D8041" s="2" t="s">
        <v>17</v>
      </c>
      <c r="E8041" s="5">
        <v>-31756</v>
      </c>
      <c r="F8041" s="3" t="s">
        <v>951</v>
      </c>
      <c r="G8041" s="3" t="s">
        <v>6421</v>
      </c>
      <c r="H8041" s="2" t="s">
        <v>20</v>
      </c>
      <c r="I8041" s="2" t="s">
        <v>16717</v>
      </c>
      <c r="J8041" s="3" t="str">
        <f>HYPERLINK("https://www.boe.es/gazeta/dias/1813/01/19/pdfs/GRE-1813-8.pdf#page=3","Abrir facsímil")</f>
        <v>Abrir facsímil</v>
      </c>
      <c r="K8041" s="3" t="s">
        <v>22</v>
      </c>
    </row>
    <row r="8042" spans="1:11" ht="42" customHeight="1">
      <c r="A8042" s="2" t="s">
        <v>16716</v>
      </c>
      <c r="B8042" s="2" t="s">
        <v>16716</v>
      </c>
      <c r="C8042" s="2" t="s">
        <v>16</v>
      </c>
      <c r="D8042" s="2" t="s">
        <v>17</v>
      </c>
      <c r="E8042" s="5">
        <v>-31756</v>
      </c>
      <c r="F8042" s="3" t="s">
        <v>951</v>
      </c>
      <c r="G8042" s="3" t="s">
        <v>19</v>
      </c>
      <c r="H8042" s="2" t="s">
        <v>20</v>
      </c>
      <c r="I8042" s="2" t="s">
        <v>16718</v>
      </c>
      <c r="J8042" s="3" t="str">
        <f>HYPERLINK("https://www.boe.es/gazeta/dias/1813/01/19/pdfs/GRE-1813-8.pdf#page=4","Abrir facsímil")</f>
        <v>Abrir facsímil</v>
      </c>
      <c r="K8042" s="3" t="s">
        <v>22</v>
      </c>
    </row>
    <row r="8043" spans="1:11" ht="42" customHeight="1">
      <c r="A8043" s="2" t="s">
        <v>16719</v>
      </c>
      <c r="B8043" s="2" t="s">
        <v>16719</v>
      </c>
      <c r="C8043" s="2" t="s">
        <v>16</v>
      </c>
      <c r="D8043" s="2" t="s">
        <v>17</v>
      </c>
      <c r="E8043" s="5">
        <v>-31511</v>
      </c>
      <c r="F8043" s="3" t="s">
        <v>2149</v>
      </c>
      <c r="G8043" s="3" t="s">
        <v>87</v>
      </c>
      <c r="H8043" s="2" t="s">
        <v>20</v>
      </c>
      <c r="I8043" s="2" t="s">
        <v>16720</v>
      </c>
      <c r="J8043" s="3" t="str">
        <f>HYPERLINK("https://www.boe.es/gazeta/dias/1813/09/21/pdfs/GRE-1813-122.pdf#page=7","Abrir facsímil")</f>
        <v>Abrir facsímil</v>
      </c>
      <c r="K8043" s="3" t="s">
        <v>22</v>
      </c>
    </row>
    <row r="8044" spans="1:11" ht="42" customHeight="1">
      <c r="A8044" s="2" t="s">
        <v>16721</v>
      </c>
      <c r="B8044" s="2" t="s">
        <v>16721</v>
      </c>
      <c r="C8044" s="2" t="s">
        <v>109</v>
      </c>
      <c r="D8044" s="2" t="s">
        <v>26</v>
      </c>
      <c r="E8044" s="5">
        <v>-31556</v>
      </c>
      <c r="F8044" s="3" t="s">
        <v>118</v>
      </c>
      <c r="G8044" s="3" t="s">
        <v>16722</v>
      </c>
      <c r="H8044" s="2" t="s">
        <v>20</v>
      </c>
      <c r="I8044" s="2" t="s">
        <v>16723</v>
      </c>
      <c r="J8044" s="3" t="str">
        <f>HYPERLINK("https://www.boe.es/gazeta/dias/1813/08/07/pdfs/GMR-1813-25.pdf#page=7","Abrir facsímil")</f>
        <v>Abrir facsímil</v>
      </c>
      <c r="K8044" s="3" t="s">
        <v>22</v>
      </c>
    </row>
    <row r="8045" spans="1:11" ht="42" customHeight="1">
      <c r="A8045" s="2" t="s">
        <v>16724</v>
      </c>
      <c r="B8045" s="2" t="s">
        <v>16724</v>
      </c>
      <c r="C8045" s="2" t="s">
        <v>16</v>
      </c>
      <c r="D8045" s="2" t="s">
        <v>17</v>
      </c>
      <c r="E8045" s="5">
        <v>-31665</v>
      </c>
      <c r="F8045" s="3" t="s">
        <v>396</v>
      </c>
      <c r="G8045" s="3" t="s">
        <v>16725</v>
      </c>
      <c r="H8045" s="2" t="s">
        <v>20</v>
      </c>
      <c r="I8045" s="2" t="s">
        <v>16726</v>
      </c>
      <c r="J8045" s="3" t="str">
        <f>HYPERLINK("https://www.boe.es/gazeta/dias/1813/04/20/pdfs/GRE-1813-49.pdf#page=5","Abrir facsímil")</f>
        <v>Abrir facsímil</v>
      </c>
      <c r="K8045" s="3" t="s">
        <v>22</v>
      </c>
    </row>
    <row r="8046" spans="1:11" ht="42" customHeight="1">
      <c r="A8046" s="2" t="s">
        <v>16724</v>
      </c>
      <c r="B8046" s="2" t="s">
        <v>16724</v>
      </c>
      <c r="C8046" s="2" t="s">
        <v>16</v>
      </c>
      <c r="D8046" s="2" t="s">
        <v>17</v>
      </c>
      <c r="E8046" s="5">
        <v>-31623</v>
      </c>
      <c r="F8046" s="3" t="s">
        <v>267</v>
      </c>
      <c r="G8046" s="3" t="s">
        <v>3502</v>
      </c>
      <c r="H8046" s="2" t="s">
        <v>20</v>
      </c>
      <c r="I8046" s="2" t="s">
        <v>16727</v>
      </c>
      <c r="J8046" s="3" t="str">
        <f>HYPERLINK("https://www.boe.es/gazeta/dias/1813/06/01/pdfs/GRE-1813-67.pdf#page=7","Abrir facsímil")</f>
        <v>Abrir facsímil</v>
      </c>
      <c r="K8046" s="3" t="s">
        <v>22</v>
      </c>
    </row>
    <row r="8047" spans="1:11" ht="42" customHeight="1">
      <c r="A8047" s="2" t="s">
        <v>16724</v>
      </c>
      <c r="B8047" s="2" t="s">
        <v>16724</v>
      </c>
      <c r="C8047" s="2" t="s">
        <v>16</v>
      </c>
      <c r="D8047" s="2" t="s">
        <v>17</v>
      </c>
      <c r="E8047" s="5">
        <v>-31602</v>
      </c>
      <c r="F8047" s="3" t="s">
        <v>2117</v>
      </c>
      <c r="G8047" s="3" t="s">
        <v>95</v>
      </c>
      <c r="H8047" s="2" t="s">
        <v>20</v>
      </c>
      <c r="I8047" s="2" t="s">
        <v>16728</v>
      </c>
      <c r="J8047" s="3" t="str">
        <f>HYPERLINK("https://www.boe.es/gazeta/dias/1813/06/22/pdfs/GMR-1813-9.pdf#page=6","Abrir facsímil")</f>
        <v>Abrir facsímil</v>
      </c>
      <c r="K8047" s="3" t="s">
        <v>22</v>
      </c>
    </row>
    <row r="8048" spans="1:11" ht="42" customHeight="1">
      <c r="A8048" s="2" t="s">
        <v>16729</v>
      </c>
      <c r="B8048" s="2" t="s">
        <v>16729</v>
      </c>
      <c r="C8048" s="2" t="s">
        <v>16</v>
      </c>
      <c r="D8048" s="2" t="s">
        <v>17</v>
      </c>
      <c r="E8048" s="5">
        <v>-31701</v>
      </c>
      <c r="F8048" s="3" t="s">
        <v>1561</v>
      </c>
      <c r="G8048" s="3" t="s">
        <v>1562</v>
      </c>
      <c r="H8048" s="2" t="s">
        <v>20</v>
      </c>
      <c r="I8048" s="2" t="s">
        <v>16730</v>
      </c>
      <c r="J8048" s="3" t="str">
        <f>HYPERLINK("https://www.boe.es/gazeta/dias/1813/03/15/pdfs/GMD-1813-74.pdf#page=2","Abrir facsímil")</f>
        <v>Abrir facsímil</v>
      </c>
      <c r="K8048" s="3" t="s">
        <v>22</v>
      </c>
    </row>
    <row r="8049" spans="1:11" ht="42" customHeight="1">
      <c r="A8049" s="2" t="s">
        <v>16729</v>
      </c>
      <c r="B8049" s="2" t="s">
        <v>16729</v>
      </c>
      <c r="C8049" s="2" t="s">
        <v>16</v>
      </c>
      <c r="D8049" s="2" t="s">
        <v>17</v>
      </c>
      <c r="E8049" s="5">
        <v>-31659</v>
      </c>
      <c r="F8049" s="3" t="s">
        <v>3041</v>
      </c>
      <c r="G8049" s="3" t="s">
        <v>1058</v>
      </c>
      <c r="H8049" s="2" t="s">
        <v>20</v>
      </c>
      <c r="I8049" s="2" t="s">
        <v>16731</v>
      </c>
      <c r="J8049" s="3" t="str">
        <f>HYPERLINK("https://www.boe.es/gazeta/dias/1813/04/26/pdfs/GMD-1813-116.pdf#page=4","Abrir facsímil")</f>
        <v>Abrir facsímil</v>
      </c>
      <c r="K8049" s="3" t="s">
        <v>22</v>
      </c>
    </row>
    <row r="8050" spans="1:11" ht="42" customHeight="1">
      <c r="A8050" s="2" t="s">
        <v>16732</v>
      </c>
      <c r="B8050" s="2" t="s">
        <v>16732</v>
      </c>
      <c r="C8050" s="2" t="s">
        <v>16</v>
      </c>
      <c r="D8050" s="2" t="s">
        <v>17</v>
      </c>
      <c r="E8050" s="5">
        <v>-31661</v>
      </c>
      <c r="F8050" s="3" t="s">
        <v>6643</v>
      </c>
      <c r="G8050" s="3" t="s">
        <v>58</v>
      </c>
      <c r="H8050" s="2" t="s">
        <v>20</v>
      </c>
      <c r="I8050" s="2" t="s">
        <v>16733</v>
      </c>
      <c r="J8050" s="3" t="str">
        <f>HYPERLINK("https://www.boe.es/gazeta/dias/1813/04/24/pdfs/GRE-1813-51.pdf#page=2","Abrir facsímil")</f>
        <v>Abrir facsímil</v>
      </c>
      <c r="K8050" s="3" t="s">
        <v>22</v>
      </c>
    </row>
    <row r="8051" spans="1:11" ht="42" customHeight="1">
      <c r="A8051" s="2" t="s">
        <v>16734</v>
      </c>
      <c r="B8051" s="2" t="s">
        <v>16734</v>
      </c>
      <c r="C8051" s="2" t="s">
        <v>16</v>
      </c>
      <c r="D8051" s="2" t="s">
        <v>17</v>
      </c>
      <c r="E8051" s="5">
        <v>-31661</v>
      </c>
      <c r="F8051" s="3" t="s">
        <v>6643</v>
      </c>
      <c r="G8051" s="3" t="s">
        <v>58</v>
      </c>
      <c r="H8051" s="2" t="s">
        <v>20</v>
      </c>
      <c r="I8051" s="2" t="s">
        <v>16735</v>
      </c>
      <c r="J8051" s="3" t="str">
        <f>HYPERLINK("https://www.boe.es/gazeta/dias/1813/04/24/pdfs/GRE-1813-51.pdf#page=2","Abrir facsímil")</f>
        <v>Abrir facsímil</v>
      </c>
      <c r="K8051" s="3" t="s">
        <v>22</v>
      </c>
    </row>
    <row r="8052" spans="1:11" ht="42" customHeight="1">
      <c r="A8052" s="2" t="s">
        <v>16734</v>
      </c>
      <c r="B8052" s="2" t="s">
        <v>16734</v>
      </c>
      <c r="C8052" s="2" t="s">
        <v>16</v>
      </c>
      <c r="D8052" s="2" t="s">
        <v>17</v>
      </c>
      <c r="E8052" s="5">
        <v>-31518</v>
      </c>
      <c r="F8052" s="3" t="s">
        <v>1090</v>
      </c>
      <c r="G8052" s="3" t="s">
        <v>87</v>
      </c>
      <c r="H8052" s="2" t="s">
        <v>20</v>
      </c>
      <c r="I8052" s="2" t="s">
        <v>16736</v>
      </c>
      <c r="J8052" s="3" t="str">
        <f>HYPERLINK("https://www.boe.es/gazeta/dias/1813/09/14/pdfs/GMR-1813-42.pdf#page=7","Abrir facsímil")</f>
        <v>Abrir facsímil</v>
      </c>
      <c r="K8052" s="3" t="s">
        <v>22</v>
      </c>
    </row>
    <row r="8053" spans="1:11" ht="42" customHeight="1">
      <c r="A8053" s="2" t="s">
        <v>16737</v>
      </c>
      <c r="B8053" s="2" t="s">
        <v>16737</v>
      </c>
      <c r="C8053" s="2" t="s">
        <v>16</v>
      </c>
      <c r="D8053" s="2" t="s">
        <v>17</v>
      </c>
      <c r="E8053" s="5">
        <v>-31439</v>
      </c>
      <c r="F8053" s="3" t="s">
        <v>3821</v>
      </c>
      <c r="G8053" s="3" t="s">
        <v>16738</v>
      </c>
      <c r="H8053" s="2" t="s">
        <v>20</v>
      </c>
      <c r="I8053" s="2" t="s">
        <v>16739</v>
      </c>
      <c r="J8053" s="3" t="str">
        <f>HYPERLINK("https://www.boe.es/gazeta/dias/1813/12/02/pdfs/GRE-1813-159.pdf#page=5","Abrir facsímil")</f>
        <v>Abrir facsímil</v>
      </c>
      <c r="K8053" s="3" t="s">
        <v>22</v>
      </c>
    </row>
    <row r="8054" spans="1:11" ht="42" customHeight="1">
      <c r="A8054" s="2" t="s">
        <v>16740</v>
      </c>
      <c r="B8054" s="2" t="s">
        <v>16740</v>
      </c>
      <c r="C8054" s="2" t="s">
        <v>16</v>
      </c>
      <c r="D8054" s="2" t="s">
        <v>17</v>
      </c>
      <c r="E8054" s="5">
        <v>-31766</v>
      </c>
      <c r="F8054" s="3" t="s">
        <v>6349</v>
      </c>
      <c r="G8054" s="3" t="s">
        <v>58</v>
      </c>
      <c r="H8054" s="2" t="s">
        <v>20</v>
      </c>
      <c r="I8054" s="2" t="s">
        <v>16741</v>
      </c>
      <c r="J8054" s="3" t="str">
        <f>HYPERLINK("https://www.boe.es/gazeta/dias/1813/01/09/pdfs/GMD-1813-9.pdf#page=2","Abrir facsímil")</f>
        <v>Abrir facsímil</v>
      </c>
      <c r="K8054" s="3" t="s">
        <v>22</v>
      </c>
    </row>
    <row r="8055" spans="1:11" ht="42" customHeight="1">
      <c r="A8055" s="2" t="s">
        <v>16740</v>
      </c>
      <c r="B8055" s="2" t="s">
        <v>16740</v>
      </c>
      <c r="C8055" s="2" t="s">
        <v>16</v>
      </c>
      <c r="D8055" s="2" t="s">
        <v>17</v>
      </c>
      <c r="E8055" s="5">
        <v>-31749</v>
      </c>
      <c r="F8055" s="3" t="s">
        <v>1515</v>
      </c>
      <c r="G8055" s="3" t="s">
        <v>5237</v>
      </c>
      <c r="H8055" s="2" t="s">
        <v>20</v>
      </c>
      <c r="I8055" s="2" t="s">
        <v>16742</v>
      </c>
      <c r="J8055" s="3" t="str">
        <f>HYPERLINK("https://www.boe.es/gazeta/dias/1813/01/26/pdfs/GRE-1813-11.pdf#page=4","Abrir facsímil")</f>
        <v>Abrir facsímil</v>
      </c>
      <c r="K8055" s="3" t="s">
        <v>22</v>
      </c>
    </row>
    <row r="8056" spans="1:11" ht="42" customHeight="1">
      <c r="A8056" s="2" t="s">
        <v>16740</v>
      </c>
      <c r="B8056" s="2" t="s">
        <v>16740</v>
      </c>
      <c r="C8056" s="2" t="s">
        <v>16</v>
      </c>
      <c r="D8056" s="2" t="s">
        <v>17</v>
      </c>
      <c r="E8056" s="5">
        <v>-31746</v>
      </c>
      <c r="F8056" s="3" t="s">
        <v>1566</v>
      </c>
      <c r="G8056" s="3" t="s">
        <v>58</v>
      </c>
      <c r="H8056" s="2" t="s">
        <v>20</v>
      </c>
      <c r="I8056" s="2" t="s">
        <v>16743</v>
      </c>
      <c r="J8056" s="3" t="str">
        <f>HYPERLINK("https://www.boe.es/gazeta/dias/1813/01/29/pdfs/GMD-1813-29.pdf#page=2","Abrir facsímil")</f>
        <v>Abrir facsímil</v>
      </c>
      <c r="K8056" s="3" t="s">
        <v>22</v>
      </c>
    </row>
    <row r="8057" spans="1:11" ht="42" customHeight="1">
      <c r="A8057" s="2" t="s">
        <v>16740</v>
      </c>
      <c r="B8057" s="2" t="s">
        <v>16740</v>
      </c>
      <c r="C8057" s="2" t="s">
        <v>34</v>
      </c>
      <c r="D8057" s="2" t="s">
        <v>35</v>
      </c>
      <c r="E8057" s="5">
        <v>-31743</v>
      </c>
      <c r="F8057" s="3" t="s">
        <v>2711</v>
      </c>
      <c r="G8057" s="3" t="s">
        <v>54</v>
      </c>
      <c r="H8057" s="2" t="s">
        <v>20</v>
      </c>
      <c r="I8057" s="2" t="s">
        <v>16744</v>
      </c>
      <c r="J8057" s="3" t="str">
        <f>HYPERLINK("https://www.boe.es/gazeta/dias/1813/02/01/pdfs/GMD-1813-32.pdf#page=3","Abrir facsímil")</f>
        <v>Abrir facsímil</v>
      </c>
      <c r="K8057" s="3" t="s">
        <v>22</v>
      </c>
    </row>
    <row r="8058" spans="1:11" ht="42" customHeight="1">
      <c r="A8058" s="2" t="s">
        <v>16740</v>
      </c>
      <c r="B8058" s="2" t="s">
        <v>16740</v>
      </c>
      <c r="C8058" s="2" t="s">
        <v>16</v>
      </c>
      <c r="D8058" s="2" t="s">
        <v>17</v>
      </c>
      <c r="E8058" s="5">
        <v>-31726</v>
      </c>
      <c r="F8058" s="3" t="s">
        <v>533</v>
      </c>
      <c r="G8058" s="3" t="s">
        <v>82</v>
      </c>
      <c r="H8058" s="2" t="s">
        <v>20</v>
      </c>
      <c r="I8058" s="2" t="s">
        <v>16745</v>
      </c>
      <c r="J8058" s="3" t="str">
        <f>HYPERLINK("https://www.boe.es/gazeta/dias/1813/02/18/pdfs/GRE-1813-21.pdf#page=5","Abrir facsímil")</f>
        <v>Abrir facsímil</v>
      </c>
      <c r="K8058" s="3" t="s">
        <v>22</v>
      </c>
    </row>
    <row r="8059" spans="1:11" ht="42" customHeight="1">
      <c r="A8059" s="2" t="s">
        <v>16740</v>
      </c>
      <c r="B8059" s="2" t="s">
        <v>16740</v>
      </c>
      <c r="C8059" s="2" t="s">
        <v>16</v>
      </c>
      <c r="D8059" s="2" t="s">
        <v>17</v>
      </c>
      <c r="E8059" s="5">
        <v>-31724</v>
      </c>
      <c r="F8059" s="3" t="s">
        <v>626</v>
      </c>
      <c r="G8059" s="3" t="s">
        <v>87</v>
      </c>
      <c r="H8059" s="2" t="s">
        <v>20</v>
      </c>
      <c r="I8059" s="2" t="s">
        <v>16746</v>
      </c>
      <c r="J8059" s="3" t="str">
        <f>HYPERLINK("https://www.boe.es/gazeta/dias/1813/02/20/pdfs/GRE-1813-22.pdf#page=7","Abrir facsímil")</f>
        <v>Abrir facsímil</v>
      </c>
      <c r="K8059" s="3" t="s">
        <v>22</v>
      </c>
    </row>
    <row r="8060" spans="1:11" ht="42" customHeight="1">
      <c r="A8060" s="2" t="s">
        <v>16740</v>
      </c>
      <c r="B8060" s="2" t="s">
        <v>16740</v>
      </c>
      <c r="C8060" s="2" t="s">
        <v>16</v>
      </c>
      <c r="D8060" s="2" t="s">
        <v>17</v>
      </c>
      <c r="E8060" s="5">
        <v>-31719</v>
      </c>
      <c r="F8060" s="3" t="s">
        <v>251</v>
      </c>
      <c r="G8060" s="3" t="s">
        <v>65</v>
      </c>
      <c r="H8060" s="2" t="s">
        <v>20</v>
      </c>
      <c r="I8060" s="2" t="s">
        <v>16747</v>
      </c>
      <c r="J8060" s="3" t="str">
        <f>HYPERLINK("https://www.boe.es/gazeta/dias/1813/02/25/pdfs/GMD-1813-56.pdf#page=1","Abrir facsímil")</f>
        <v>Abrir facsímil</v>
      </c>
      <c r="K8060" s="3" t="s">
        <v>22</v>
      </c>
    </row>
    <row r="8061" spans="1:11" ht="42" customHeight="1">
      <c r="A8061" s="2" t="s">
        <v>16740</v>
      </c>
      <c r="B8061" s="2" t="s">
        <v>16740</v>
      </c>
      <c r="C8061" s="2" t="s">
        <v>435</v>
      </c>
      <c r="D8061" s="2" t="s">
        <v>26</v>
      </c>
      <c r="E8061" s="5">
        <v>-31701</v>
      </c>
      <c r="F8061" s="3" t="s">
        <v>1561</v>
      </c>
      <c r="G8061" s="3" t="s">
        <v>1562</v>
      </c>
      <c r="H8061" s="2" t="s">
        <v>20</v>
      </c>
      <c r="I8061" s="2" t="s">
        <v>16748</v>
      </c>
      <c r="J8061" s="3" t="str">
        <f>HYPERLINK("https://www.boe.es/gazeta/dias/1813/03/15/pdfs/GMD-1813-74.pdf#page=2","Abrir facsímil")</f>
        <v>Abrir facsímil</v>
      </c>
      <c r="K8061" s="3" t="s">
        <v>22</v>
      </c>
    </row>
    <row r="8062" spans="1:11" ht="42" customHeight="1">
      <c r="A8062" s="2" t="s">
        <v>16740</v>
      </c>
      <c r="B8062" s="2" t="s">
        <v>16740</v>
      </c>
      <c r="C8062" s="2" t="s">
        <v>25</v>
      </c>
      <c r="D8062" s="2" t="s">
        <v>26</v>
      </c>
      <c r="E8062" s="5">
        <v>-31692</v>
      </c>
      <c r="F8062" s="3" t="s">
        <v>2171</v>
      </c>
      <c r="G8062" s="3" t="s">
        <v>58</v>
      </c>
      <c r="H8062" s="2" t="s">
        <v>20</v>
      </c>
      <c r="I8062" s="2" t="s">
        <v>16749</v>
      </c>
      <c r="J8062" s="3" t="str">
        <f>HYPERLINK("https://www.boe.es/gazeta/dias/1813/03/24/pdfs/GMD-1813-83.pdf#page=2","Abrir facsímil")</f>
        <v>Abrir facsímil</v>
      </c>
      <c r="K8062" s="3" t="s">
        <v>22</v>
      </c>
    </row>
    <row r="8063" spans="1:11" ht="42" customHeight="1">
      <c r="A8063" s="2" t="s">
        <v>16740</v>
      </c>
      <c r="B8063" s="2" t="s">
        <v>16740</v>
      </c>
      <c r="C8063" s="2" t="s">
        <v>16</v>
      </c>
      <c r="D8063" s="2" t="s">
        <v>17</v>
      </c>
      <c r="E8063" s="5">
        <v>-31668</v>
      </c>
      <c r="F8063" s="3" t="s">
        <v>574</v>
      </c>
      <c r="G8063" s="3" t="s">
        <v>3908</v>
      </c>
      <c r="H8063" s="2" t="s">
        <v>20</v>
      </c>
      <c r="I8063" s="2" t="s">
        <v>16750</v>
      </c>
      <c r="J8063" s="3" t="str">
        <f>HYPERLINK("https://www.boe.es/gazeta/dias/1813/04/17/pdfs/GRE-1813-48.pdf#page=3","Abrir facsímil")</f>
        <v>Abrir facsímil</v>
      </c>
      <c r="K8063" s="3" t="s">
        <v>22</v>
      </c>
    </row>
    <row r="8064" spans="1:11" ht="42" customHeight="1">
      <c r="A8064" s="2" t="s">
        <v>16740</v>
      </c>
      <c r="B8064" s="2" t="s">
        <v>16740</v>
      </c>
      <c r="C8064" s="2" t="s">
        <v>25</v>
      </c>
      <c r="D8064" s="2" t="s">
        <v>26</v>
      </c>
      <c r="E8064" s="5">
        <v>-31668</v>
      </c>
      <c r="F8064" s="3" t="s">
        <v>574</v>
      </c>
      <c r="G8064" s="3" t="s">
        <v>16751</v>
      </c>
      <c r="H8064" s="2" t="s">
        <v>20</v>
      </c>
      <c r="I8064" s="2" t="s">
        <v>16752</v>
      </c>
      <c r="J8064" s="3" t="str">
        <f>HYPERLINK("https://www.boe.es/gazeta/dias/1813/04/17/pdfs/GRE-1813-48.pdf#page=4","Abrir facsímil")</f>
        <v>Abrir facsímil</v>
      </c>
      <c r="K8064" s="3" t="s">
        <v>22</v>
      </c>
    </row>
    <row r="8065" spans="1:11" ht="42" customHeight="1">
      <c r="A8065" s="2" t="s">
        <v>16740</v>
      </c>
      <c r="B8065" s="2" t="s">
        <v>16740</v>
      </c>
      <c r="C8065" s="2" t="s">
        <v>16</v>
      </c>
      <c r="D8065" s="2" t="s">
        <v>17</v>
      </c>
      <c r="E8065" s="5">
        <v>-31667</v>
      </c>
      <c r="F8065" s="3" t="s">
        <v>3712</v>
      </c>
      <c r="G8065" s="3" t="s">
        <v>19</v>
      </c>
      <c r="H8065" s="2" t="s">
        <v>20</v>
      </c>
      <c r="I8065" s="2" t="s">
        <v>16753</v>
      </c>
      <c r="J8065" s="3" t="str">
        <f>HYPERLINK("https://www.boe.es/gazeta/dias/1813/04/18/pdfs/GMD-1813-108.pdf#page=4","Abrir facsímil")</f>
        <v>Abrir facsímil</v>
      </c>
      <c r="K8065" s="3" t="s">
        <v>22</v>
      </c>
    </row>
    <row r="8066" spans="1:11" ht="42" customHeight="1">
      <c r="A8066" s="2" t="s">
        <v>16740</v>
      </c>
      <c r="B8066" s="2" t="s">
        <v>16740</v>
      </c>
      <c r="C8066" s="2" t="s">
        <v>16</v>
      </c>
      <c r="D8066" s="2" t="s">
        <v>17</v>
      </c>
      <c r="E8066" s="5">
        <v>-31665</v>
      </c>
      <c r="F8066" s="3" t="s">
        <v>396</v>
      </c>
      <c r="G8066" s="3" t="s">
        <v>1058</v>
      </c>
      <c r="H8066" s="2" t="s">
        <v>20</v>
      </c>
      <c r="I8066" s="2" t="s">
        <v>16754</v>
      </c>
      <c r="J8066" s="3" t="str">
        <f>HYPERLINK("https://www.boe.es/gazeta/dias/1813/04/20/pdfs/GRE-1813-49.pdf#page=4","Abrir facsímil")</f>
        <v>Abrir facsímil</v>
      </c>
      <c r="K8066" s="3" t="s">
        <v>22</v>
      </c>
    </row>
    <row r="8067" spans="1:11" ht="42" customHeight="1">
      <c r="A8067" s="2" t="s">
        <v>16740</v>
      </c>
      <c r="B8067" s="2" t="s">
        <v>16740</v>
      </c>
      <c r="C8067" s="2" t="s">
        <v>34</v>
      </c>
      <c r="D8067" s="2" t="s">
        <v>35</v>
      </c>
      <c r="E8067" s="5">
        <v>-31658</v>
      </c>
      <c r="F8067" s="3" t="s">
        <v>1654</v>
      </c>
      <c r="G8067" s="3" t="s">
        <v>19</v>
      </c>
      <c r="H8067" s="2" t="s">
        <v>20</v>
      </c>
      <c r="I8067" s="2" t="s">
        <v>16755</v>
      </c>
      <c r="J8067" s="3" t="str">
        <f>HYPERLINK("https://www.boe.es/gazeta/dias/1813/04/27/pdfs/GMD-1813-117.pdf#page=4","Abrir facsímil")</f>
        <v>Abrir facsímil</v>
      </c>
      <c r="K8067" s="3" t="s">
        <v>22</v>
      </c>
    </row>
    <row r="8068" spans="1:11" ht="42" customHeight="1">
      <c r="A8068" s="2" t="s">
        <v>16740</v>
      </c>
      <c r="B8068" s="2" t="s">
        <v>16740</v>
      </c>
      <c r="C8068" s="2" t="s">
        <v>25</v>
      </c>
      <c r="D8068" s="2" t="s">
        <v>26</v>
      </c>
      <c r="E8068" s="5">
        <v>-31651</v>
      </c>
      <c r="F8068" s="3" t="s">
        <v>1553</v>
      </c>
      <c r="G8068" s="3" t="s">
        <v>54</v>
      </c>
      <c r="H8068" s="2" t="s">
        <v>20</v>
      </c>
      <c r="I8068" s="2" t="s">
        <v>16756</v>
      </c>
      <c r="J8068" s="3" t="str">
        <f>HYPERLINK("https://www.boe.es/gazeta/dias/1813/05/04/pdfs/GMD-1813-124.pdf#page=3","Abrir facsímil")</f>
        <v>Abrir facsímil</v>
      </c>
      <c r="K8068" s="3" t="s">
        <v>22</v>
      </c>
    </row>
    <row r="8069" spans="1:11" ht="42" customHeight="1">
      <c r="A8069" s="2" t="s">
        <v>16740</v>
      </c>
      <c r="B8069" s="2" t="s">
        <v>16740</v>
      </c>
      <c r="C8069" s="2" t="s">
        <v>435</v>
      </c>
      <c r="D8069" s="2" t="s">
        <v>26</v>
      </c>
      <c r="E8069" s="5">
        <v>-31641</v>
      </c>
      <c r="F8069" s="3" t="s">
        <v>6522</v>
      </c>
      <c r="G8069" s="3" t="s">
        <v>54</v>
      </c>
      <c r="H8069" s="2" t="s">
        <v>20</v>
      </c>
      <c r="I8069" s="2" t="s">
        <v>16757</v>
      </c>
      <c r="J8069" s="3" t="str">
        <f>HYPERLINK("https://www.boe.es/gazeta/dias/1813/05/14/pdfs/GMD-1813-134.pdf#page=3","Abrir facsímil")</f>
        <v>Abrir facsímil</v>
      </c>
      <c r="K8069" s="3" t="s">
        <v>22</v>
      </c>
    </row>
    <row r="8070" spans="1:11" ht="42" customHeight="1">
      <c r="A8070" s="2" t="s">
        <v>16740</v>
      </c>
      <c r="B8070" s="2" t="s">
        <v>16740</v>
      </c>
      <c r="C8070" s="2" t="s">
        <v>16</v>
      </c>
      <c r="D8070" s="2" t="s">
        <v>17</v>
      </c>
      <c r="E8070" s="5">
        <v>-31602</v>
      </c>
      <c r="F8070" s="3" t="s">
        <v>2117</v>
      </c>
      <c r="G8070" s="3" t="s">
        <v>258</v>
      </c>
      <c r="H8070" s="2" t="s">
        <v>20</v>
      </c>
      <c r="I8070" s="2" t="s">
        <v>16758</v>
      </c>
      <c r="J8070" s="3" t="str">
        <f>HYPERLINK("https://www.boe.es/gazeta/dias/1813/06/22/pdfs/GMR-1813-9.pdf#page=12","Abrir facsímil")</f>
        <v>Abrir facsímil</v>
      </c>
      <c r="K8070" s="3" t="s">
        <v>22</v>
      </c>
    </row>
    <row r="8071" spans="1:11" ht="42" customHeight="1">
      <c r="A8071" s="2" t="s">
        <v>16740</v>
      </c>
      <c r="B8071" s="2" t="s">
        <v>16740</v>
      </c>
      <c r="C8071" s="2" t="s">
        <v>25</v>
      </c>
      <c r="D8071" s="2" t="s">
        <v>26</v>
      </c>
      <c r="E8071" s="5">
        <v>-31602</v>
      </c>
      <c r="F8071" s="3" t="s">
        <v>2117</v>
      </c>
      <c r="G8071" s="3" t="s">
        <v>82</v>
      </c>
      <c r="H8071" s="2" t="s">
        <v>20</v>
      </c>
      <c r="I8071" s="2" t="s">
        <v>16759</v>
      </c>
      <c r="J8071" s="3" t="str">
        <f>HYPERLINK("https://www.boe.es/gazeta/dias/1813/06/22/pdfs/GMR-1813-9.pdf#page=5","Abrir facsímil")</f>
        <v>Abrir facsímil</v>
      </c>
      <c r="K8071" s="3" t="s">
        <v>22</v>
      </c>
    </row>
    <row r="8072" spans="1:11" ht="42" customHeight="1">
      <c r="A8072" s="2" t="s">
        <v>16740</v>
      </c>
      <c r="B8072" s="2" t="s">
        <v>16740</v>
      </c>
      <c r="C8072" s="2" t="s">
        <v>16</v>
      </c>
      <c r="D8072" s="2" t="s">
        <v>17</v>
      </c>
      <c r="E8072" s="5">
        <v>-31602</v>
      </c>
      <c r="F8072" s="3" t="s">
        <v>2117</v>
      </c>
      <c r="G8072" s="3" t="s">
        <v>95</v>
      </c>
      <c r="H8072" s="2" t="s">
        <v>20</v>
      </c>
      <c r="I8072" s="2" t="s">
        <v>16760</v>
      </c>
      <c r="J8072" s="3" t="str">
        <f>HYPERLINK("https://www.boe.es/gazeta/dias/1813/06/22/pdfs/GMR-1813-9.pdf#page=6","Abrir facsímil")</f>
        <v>Abrir facsímil</v>
      </c>
      <c r="K8072" s="3" t="s">
        <v>22</v>
      </c>
    </row>
    <row r="8073" spans="1:11" ht="42" customHeight="1">
      <c r="A8073" s="2" t="s">
        <v>16740</v>
      </c>
      <c r="B8073" s="2" t="s">
        <v>16740</v>
      </c>
      <c r="C8073" s="2" t="s">
        <v>16</v>
      </c>
      <c r="D8073" s="2" t="s">
        <v>17</v>
      </c>
      <c r="E8073" s="5">
        <v>-31599</v>
      </c>
      <c r="F8073" s="3" t="s">
        <v>2470</v>
      </c>
      <c r="G8073" s="3" t="s">
        <v>19</v>
      </c>
      <c r="H8073" s="2" t="s">
        <v>20</v>
      </c>
      <c r="I8073" s="2" t="s">
        <v>16761</v>
      </c>
      <c r="J8073" s="3" t="str">
        <f>HYPERLINK("https://www.boe.es/gazeta/dias/1813/06/25/pdfs/GMR-1813-11.pdf#page=4","Abrir facsímil")</f>
        <v>Abrir facsímil</v>
      </c>
      <c r="K8073" s="3" t="s">
        <v>22</v>
      </c>
    </row>
    <row r="8074" spans="1:11" ht="42" customHeight="1">
      <c r="A8074" s="2" t="s">
        <v>16740</v>
      </c>
      <c r="B8074" s="2" t="s">
        <v>16740</v>
      </c>
      <c r="C8074" s="2" t="s">
        <v>69</v>
      </c>
      <c r="D8074" s="2" t="s">
        <v>26</v>
      </c>
      <c r="E8074" s="5">
        <v>-31595</v>
      </c>
      <c r="F8074" s="3" t="s">
        <v>70</v>
      </c>
      <c r="G8074" s="3" t="s">
        <v>313</v>
      </c>
      <c r="H8074" s="2" t="s">
        <v>20</v>
      </c>
      <c r="I8074" s="2" t="s">
        <v>16762</v>
      </c>
      <c r="J8074" s="3" t="str">
        <f>HYPERLINK("https://www.boe.es/gazeta/dias/1813/06/29/pdfs/GMR-1813-13.pdf#page=9","Abrir facsímil")</f>
        <v>Abrir facsímil</v>
      </c>
      <c r="K8074" s="3" t="s">
        <v>22</v>
      </c>
    </row>
    <row r="8075" spans="1:11" ht="42" customHeight="1">
      <c r="A8075" s="2" t="s">
        <v>16740</v>
      </c>
      <c r="B8075" s="2" t="s">
        <v>16740</v>
      </c>
      <c r="C8075" s="2" t="s">
        <v>16</v>
      </c>
      <c r="D8075" s="2" t="s">
        <v>17</v>
      </c>
      <c r="E8075" s="5">
        <v>-31578</v>
      </c>
      <c r="F8075" s="3" t="s">
        <v>974</v>
      </c>
      <c r="G8075" s="3" t="s">
        <v>563</v>
      </c>
      <c r="H8075" s="2" t="s">
        <v>20</v>
      </c>
      <c r="I8075" s="2" t="s">
        <v>16763</v>
      </c>
      <c r="J8075" s="3" t="str">
        <f>HYPERLINK("https://www.boe.es/gazeta/dias/1813/07/16/pdfs/GMR-1813-18.pdf#page=8","Abrir facsímil")</f>
        <v>Abrir facsímil</v>
      </c>
      <c r="K8075" s="3" t="s">
        <v>22</v>
      </c>
    </row>
    <row r="8076" spans="1:11" ht="42" customHeight="1">
      <c r="A8076" s="2" t="s">
        <v>16740</v>
      </c>
      <c r="B8076" s="2" t="s">
        <v>16740</v>
      </c>
      <c r="C8076" s="2" t="s">
        <v>16</v>
      </c>
      <c r="D8076" s="2" t="s">
        <v>17</v>
      </c>
      <c r="E8076" s="5">
        <v>-31571</v>
      </c>
      <c r="F8076" s="3" t="s">
        <v>788</v>
      </c>
      <c r="G8076" s="3" t="s">
        <v>87</v>
      </c>
      <c r="H8076" s="2" t="s">
        <v>20</v>
      </c>
      <c r="I8076" s="2" t="s">
        <v>16764</v>
      </c>
      <c r="J8076" s="3" t="str">
        <f>HYPERLINK("https://www.boe.es/gazeta/dias/1813/07/23/pdfs/GMR-1813-20.pdf#page=7","Abrir facsímil")</f>
        <v>Abrir facsímil</v>
      </c>
      <c r="K8076" s="3" t="s">
        <v>22</v>
      </c>
    </row>
    <row r="8077" spans="1:11" ht="42" customHeight="1">
      <c r="A8077" s="2" t="s">
        <v>16740</v>
      </c>
      <c r="B8077" s="2" t="s">
        <v>16740</v>
      </c>
      <c r="C8077" s="2" t="s">
        <v>16</v>
      </c>
      <c r="D8077" s="2" t="s">
        <v>17</v>
      </c>
      <c r="E8077" s="5">
        <v>-31570</v>
      </c>
      <c r="F8077" s="3" t="s">
        <v>1803</v>
      </c>
      <c r="G8077" s="3" t="s">
        <v>58</v>
      </c>
      <c r="H8077" s="2" t="s">
        <v>20</v>
      </c>
      <c r="I8077" s="2" t="s">
        <v>16765</v>
      </c>
      <c r="J8077" s="3" t="str">
        <f>HYPERLINK("https://www.boe.es/gazeta/dias/1813/07/24/pdfs/GRE-1813-94.pdf#page=2","Abrir facsímil")</f>
        <v>Abrir facsímil</v>
      </c>
      <c r="K8077" s="3" t="s">
        <v>22</v>
      </c>
    </row>
    <row r="8078" spans="1:11" ht="42" customHeight="1">
      <c r="A8078" s="2" t="s">
        <v>16740</v>
      </c>
      <c r="B8078" s="2" t="s">
        <v>16740</v>
      </c>
      <c r="C8078" s="2" t="s">
        <v>435</v>
      </c>
      <c r="D8078" s="2" t="s">
        <v>26</v>
      </c>
      <c r="E8078" s="5">
        <v>-31567</v>
      </c>
      <c r="F8078" s="3" t="s">
        <v>1471</v>
      </c>
      <c r="G8078" s="3" t="s">
        <v>65</v>
      </c>
      <c r="H8078" s="2" t="s">
        <v>20</v>
      </c>
      <c r="I8078" s="2" t="s">
        <v>16766</v>
      </c>
      <c r="J8078" s="3" t="str">
        <f>HYPERLINK("https://www.boe.es/gazeta/dias/1813/07/27/pdfs/GRE-1813-95.pdf#page=1","Abrir facsímil")</f>
        <v>Abrir facsímil</v>
      </c>
      <c r="K8078" s="3" t="s">
        <v>22</v>
      </c>
    </row>
    <row r="8079" spans="1:11" ht="42" customHeight="1">
      <c r="A8079" s="2" t="s">
        <v>16740</v>
      </c>
      <c r="B8079" s="2" t="s">
        <v>16740</v>
      </c>
      <c r="C8079" s="2" t="s">
        <v>16</v>
      </c>
      <c r="D8079" s="2" t="s">
        <v>17</v>
      </c>
      <c r="E8079" s="5">
        <v>-31564</v>
      </c>
      <c r="F8079" s="3" t="s">
        <v>206</v>
      </c>
      <c r="G8079" s="3" t="s">
        <v>2055</v>
      </c>
      <c r="H8079" s="2" t="s">
        <v>20</v>
      </c>
      <c r="I8079" s="2" t="s">
        <v>16767</v>
      </c>
      <c r="J8079" s="3" t="str">
        <f>HYPERLINK("https://www.boe.es/gazeta/dias/1813/07/30/pdfs/GMR-1813-22.pdf#page=7","Abrir facsímil")</f>
        <v>Abrir facsímil</v>
      </c>
      <c r="K8079" s="3" t="s">
        <v>22</v>
      </c>
    </row>
    <row r="8080" spans="1:11" ht="42" customHeight="1">
      <c r="A8080" s="2" t="s">
        <v>16740</v>
      </c>
      <c r="B8080" s="2" t="s">
        <v>16740</v>
      </c>
      <c r="C8080" s="2" t="s">
        <v>16</v>
      </c>
      <c r="D8080" s="2" t="s">
        <v>17</v>
      </c>
      <c r="E8080" s="5">
        <v>-31546</v>
      </c>
      <c r="F8080" s="3" t="s">
        <v>461</v>
      </c>
      <c r="G8080" s="3" t="s">
        <v>54</v>
      </c>
      <c r="H8080" s="2" t="s">
        <v>20</v>
      </c>
      <c r="I8080" s="2" t="s">
        <v>16768</v>
      </c>
      <c r="J8080" s="3" t="str">
        <f>HYPERLINK("https://www.boe.es/gazeta/dias/1813/08/17/pdfs/GMR-1813-29.pdf#page=3","Abrir facsímil")</f>
        <v>Abrir facsímil</v>
      </c>
      <c r="K8080" s="3" t="s">
        <v>22</v>
      </c>
    </row>
    <row r="8081" spans="1:11" ht="42" customHeight="1">
      <c r="A8081" s="2" t="s">
        <v>16740</v>
      </c>
      <c r="B8081" s="2" t="s">
        <v>16740</v>
      </c>
      <c r="C8081" s="2" t="s">
        <v>25</v>
      </c>
      <c r="D8081" s="2" t="s">
        <v>26</v>
      </c>
      <c r="E8081" s="5">
        <v>-31546</v>
      </c>
      <c r="F8081" s="3" t="s">
        <v>461</v>
      </c>
      <c r="G8081" s="3" t="s">
        <v>19</v>
      </c>
      <c r="H8081" s="2" t="s">
        <v>20</v>
      </c>
      <c r="I8081" s="2" t="s">
        <v>16769</v>
      </c>
      <c r="J8081" s="3" t="str">
        <f>HYPERLINK("https://www.boe.es/gazeta/dias/1813/08/17/pdfs/GMR-1813-29.pdf#page=4","Abrir facsímil")</f>
        <v>Abrir facsímil</v>
      </c>
      <c r="K8081" s="3" t="s">
        <v>22</v>
      </c>
    </row>
    <row r="8082" spans="1:11" ht="42" customHeight="1">
      <c r="A8082" s="2" t="s">
        <v>16740</v>
      </c>
      <c r="B8082" s="2" t="s">
        <v>16740</v>
      </c>
      <c r="C8082" s="2" t="s">
        <v>16</v>
      </c>
      <c r="D8082" s="2" t="s">
        <v>17</v>
      </c>
      <c r="E8082" s="5">
        <v>-31546</v>
      </c>
      <c r="F8082" s="3" t="s">
        <v>2057</v>
      </c>
      <c r="G8082" s="3" t="s">
        <v>65</v>
      </c>
      <c r="H8082" s="2" t="s">
        <v>20</v>
      </c>
      <c r="I8082" s="2" t="s">
        <v>16770</v>
      </c>
      <c r="J8082" s="3" t="str">
        <f>HYPERLINK("https://www.boe.es/gazeta/dias/1813/08/17/pdfs/GRE-1813-105.pdf#page=1","Abrir facsímil")</f>
        <v>Abrir facsímil</v>
      </c>
      <c r="K8082" s="3" t="s">
        <v>22</v>
      </c>
    </row>
    <row r="8083" spans="1:11" ht="42" customHeight="1">
      <c r="A8083" s="2" t="s">
        <v>16740</v>
      </c>
      <c r="B8083" s="2" t="s">
        <v>16740</v>
      </c>
      <c r="C8083" s="2" t="s">
        <v>16</v>
      </c>
      <c r="D8083" s="2" t="s">
        <v>17</v>
      </c>
      <c r="E8083" s="5">
        <v>-31546</v>
      </c>
      <c r="F8083" s="3" t="s">
        <v>2057</v>
      </c>
      <c r="G8083" s="3" t="s">
        <v>58</v>
      </c>
      <c r="H8083" s="2" t="s">
        <v>20</v>
      </c>
      <c r="I8083" s="2" t="s">
        <v>16771</v>
      </c>
      <c r="J8083" s="3" t="str">
        <f>HYPERLINK("https://www.boe.es/gazeta/dias/1813/08/17/pdfs/GRE-1813-105.pdf#page=2","Abrir facsímil")</f>
        <v>Abrir facsímil</v>
      </c>
      <c r="K8083" s="3" t="s">
        <v>22</v>
      </c>
    </row>
    <row r="8084" spans="1:11" ht="42" customHeight="1">
      <c r="A8084" s="2" t="s">
        <v>16740</v>
      </c>
      <c r="B8084" s="2" t="s">
        <v>16740</v>
      </c>
      <c r="C8084" s="2" t="s">
        <v>16</v>
      </c>
      <c r="D8084" s="2" t="s">
        <v>17</v>
      </c>
      <c r="E8084" s="5">
        <v>-31546</v>
      </c>
      <c r="F8084" s="3" t="s">
        <v>2057</v>
      </c>
      <c r="G8084" s="3" t="s">
        <v>54</v>
      </c>
      <c r="H8084" s="2" t="s">
        <v>20</v>
      </c>
      <c r="I8084" s="2" t="s">
        <v>16772</v>
      </c>
      <c r="J8084" s="3" t="str">
        <f>HYPERLINK("https://www.boe.es/gazeta/dias/1813/08/17/pdfs/GRE-1813-105.pdf#page=3","Abrir facsímil")</f>
        <v>Abrir facsímil</v>
      </c>
      <c r="K8084" s="3" t="s">
        <v>22</v>
      </c>
    </row>
    <row r="8085" spans="1:11" ht="42" customHeight="1">
      <c r="A8085" s="2" t="s">
        <v>16740</v>
      </c>
      <c r="B8085" s="2" t="s">
        <v>16740</v>
      </c>
      <c r="C8085" s="2" t="s">
        <v>16</v>
      </c>
      <c r="D8085" s="2" t="s">
        <v>17</v>
      </c>
      <c r="E8085" s="5">
        <v>-31546</v>
      </c>
      <c r="F8085" s="3" t="s">
        <v>2057</v>
      </c>
      <c r="G8085" s="3" t="s">
        <v>19</v>
      </c>
      <c r="H8085" s="2" t="s">
        <v>20</v>
      </c>
      <c r="I8085" s="2" t="s">
        <v>16773</v>
      </c>
      <c r="J8085" s="3" t="str">
        <f>HYPERLINK("https://www.boe.es/gazeta/dias/1813/08/17/pdfs/GRE-1813-105.pdf#page=4","Abrir facsímil")</f>
        <v>Abrir facsímil</v>
      </c>
      <c r="K8085" s="3" t="s">
        <v>22</v>
      </c>
    </row>
    <row r="8086" spans="1:11" ht="42" customHeight="1">
      <c r="A8086" s="2" t="s">
        <v>16740</v>
      </c>
      <c r="B8086" s="2" t="s">
        <v>16740</v>
      </c>
      <c r="C8086" s="2" t="s">
        <v>16</v>
      </c>
      <c r="D8086" s="2" t="s">
        <v>17</v>
      </c>
      <c r="E8086" s="5">
        <v>-31537</v>
      </c>
      <c r="F8086" s="3" t="s">
        <v>138</v>
      </c>
      <c r="G8086" s="3" t="s">
        <v>54</v>
      </c>
      <c r="H8086" s="2" t="s">
        <v>20</v>
      </c>
      <c r="I8086" s="2" t="s">
        <v>16774</v>
      </c>
      <c r="J8086" s="3" t="str">
        <f>HYPERLINK("https://www.boe.es/gazeta/dias/1813/08/26/pdfs/GMR-1813-33.pdf#page=3","Abrir facsímil")</f>
        <v>Abrir facsímil</v>
      </c>
      <c r="K8086" s="3" t="s">
        <v>22</v>
      </c>
    </row>
    <row r="8087" spans="1:11" ht="42" customHeight="1">
      <c r="A8087" s="2" t="s">
        <v>16740</v>
      </c>
      <c r="B8087" s="2" t="s">
        <v>16740</v>
      </c>
      <c r="C8087" s="2" t="s">
        <v>25</v>
      </c>
      <c r="D8087" s="2" t="s">
        <v>26</v>
      </c>
      <c r="E8087" s="5">
        <v>-31535</v>
      </c>
      <c r="F8087" s="3" t="s">
        <v>894</v>
      </c>
      <c r="G8087" s="3" t="s">
        <v>65</v>
      </c>
      <c r="H8087" s="2" t="s">
        <v>20</v>
      </c>
      <c r="I8087" s="2" t="s">
        <v>16775</v>
      </c>
      <c r="J8087" s="3" t="str">
        <f>HYPERLINK("https://www.boe.es/gazeta/dias/1813/08/28/pdfs/GMR-1813-34.pdf#page=1","Abrir facsímil")</f>
        <v>Abrir facsímil</v>
      </c>
      <c r="K8087" s="3" t="s">
        <v>22</v>
      </c>
    </row>
    <row r="8088" spans="1:11" ht="42" customHeight="1">
      <c r="A8088" s="2" t="s">
        <v>16740</v>
      </c>
      <c r="B8088" s="2" t="s">
        <v>16740</v>
      </c>
      <c r="C8088" s="2" t="s">
        <v>16</v>
      </c>
      <c r="D8088" s="2" t="s">
        <v>17</v>
      </c>
      <c r="E8088" s="5">
        <v>-31532</v>
      </c>
      <c r="F8088" s="3" t="s">
        <v>1728</v>
      </c>
      <c r="G8088" s="3" t="s">
        <v>54</v>
      </c>
      <c r="H8088" s="2" t="s">
        <v>20</v>
      </c>
      <c r="I8088" s="2" t="s">
        <v>16776</v>
      </c>
      <c r="J8088" s="3" t="str">
        <f>HYPERLINK("https://www.boe.es/gazeta/dias/1813/08/31/pdfs/GMR-1813-35.pdf#page=3","Abrir facsímil")</f>
        <v>Abrir facsímil</v>
      </c>
      <c r="K8088" s="3" t="s">
        <v>22</v>
      </c>
    </row>
    <row r="8089" spans="1:11" ht="42" customHeight="1">
      <c r="A8089" s="2" t="s">
        <v>16740</v>
      </c>
      <c r="B8089" s="2" t="s">
        <v>16740</v>
      </c>
      <c r="C8089" s="2" t="s">
        <v>16</v>
      </c>
      <c r="D8089" s="2" t="s">
        <v>17</v>
      </c>
      <c r="E8089" s="5">
        <v>-31532</v>
      </c>
      <c r="F8089" s="3" t="s">
        <v>1728</v>
      </c>
      <c r="G8089" s="3" t="s">
        <v>19</v>
      </c>
      <c r="H8089" s="2" t="s">
        <v>20</v>
      </c>
      <c r="I8089" s="2" t="s">
        <v>16777</v>
      </c>
      <c r="J8089" s="3" t="str">
        <f>HYPERLINK("https://www.boe.es/gazeta/dias/1813/08/31/pdfs/GMR-1813-35.pdf#page=4","Abrir facsímil")</f>
        <v>Abrir facsímil</v>
      </c>
      <c r="K8089" s="3" t="s">
        <v>22</v>
      </c>
    </row>
    <row r="8090" spans="1:11" ht="42" customHeight="1">
      <c r="A8090" s="2" t="s">
        <v>16740</v>
      </c>
      <c r="B8090" s="2" t="s">
        <v>16740</v>
      </c>
      <c r="C8090" s="2" t="s">
        <v>69</v>
      </c>
      <c r="D8090" s="2" t="s">
        <v>26</v>
      </c>
      <c r="E8090" s="5">
        <v>-31532</v>
      </c>
      <c r="F8090" s="3" t="s">
        <v>215</v>
      </c>
      <c r="G8090" s="3" t="s">
        <v>65</v>
      </c>
      <c r="H8090" s="2" t="s">
        <v>20</v>
      </c>
      <c r="I8090" s="2" t="s">
        <v>16778</v>
      </c>
      <c r="J8090" s="3" t="str">
        <f>HYPERLINK("https://www.boe.es/gazeta/dias/1813/08/31/pdfs/GRE-1813-111.pdf#page=1","Abrir facsímil")</f>
        <v>Abrir facsímil</v>
      </c>
      <c r="K8090" s="3" t="s">
        <v>22</v>
      </c>
    </row>
    <row r="8091" spans="1:11" ht="42" customHeight="1">
      <c r="A8091" s="2" t="s">
        <v>16740</v>
      </c>
      <c r="B8091" s="2" t="s">
        <v>16740</v>
      </c>
      <c r="C8091" s="2" t="s">
        <v>16</v>
      </c>
      <c r="D8091" s="2" t="s">
        <v>17</v>
      </c>
      <c r="E8091" s="5">
        <v>-31532</v>
      </c>
      <c r="F8091" s="3" t="s">
        <v>215</v>
      </c>
      <c r="G8091" s="3" t="s">
        <v>58</v>
      </c>
      <c r="H8091" s="2" t="s">
        <v>20</v>
      </c>
      <c r="I8091" s="2" t="s">
        <v>16779</v>
      </c>
      <c r="J8091" s="3" t="str">
        <f>HYPERLINK("https://www.boe.es/gazeta/dias/1813/08/31/pdfs/GRE-1813-111.pdf#page=2","Abrir facsímil")</f>
        <v>Abrir facsímil</v>
      </c>
      <c r="K8091" s="3" t="s">
        <v>22</v>
      </c>
    </row>
    <row r="8092" spans="1:11" ht="42" customHeight="1">
      <c r="A8092" s="2" t="s">
        <v>16740</v>
      </c>
      <c r="B8092" s="2" t="s">
        <v>16740</v>
      </c>
      <c r="C8092" s="2" t="s">
        <v>16</v>
      </c>
      <c r="D8092" s="2" t="s">
        <v>17</v>
      </c>
      <c r="E8092" s="5">
        <v>-31532</v>
      </c>
      <c r="F8092" s="3" t="s">
        <v>215</v>
      </c>
      <c r="G8092" s="3" t="s">
        <v>82</v>
      </c>
      <c r="H8092" s="2" t="s">
        <v>20</v>
      </c>
      <c r="I8092" s="2" t="s">
        <v>16780</v>
      </c>
      <c r="J8092" s="3" t="str">
        <f>HYPERLINK("https://www.boe.es/gazeta/dias/1813/08/31/pdfs/GRE-1813-111.pdf#page=5","Abrir facsímil")</f>
        <v>Abrir facsímil</v>
      </c>
      <c r="K8092" s="3" t="s">
        <v>22</v>
      </c>
    </row>
    <row r="8093" spans="1:11" ht="42" customHeight="1">
      <c r="A8093" s="2" t="s">
        <v>16740</v>
      </c>
      <c r="B8093" s="2" t="s">
        <v>16740</v>
      </c>
      <c r="C8093" s="2" t="s">
        <v>25</v>
      </c>
      <c r="D8093" s="2" t="s">
        <v>26</v>
      </c>
      <c r="E8093" s="5">
        <v>-31525</v>
      </c>
      <c r="F8093" s="3" t="s">
        <v>135</v>
      </c>
      <c r="G8093" s="3" t="s">
        <v>95</v>
      </c>
      <c r="H8093" s="2" t="s">
        <v>20</v>
      </c>
      <c r="I8093" s="2" t="s">
        <v>16781</v>
      </c>
      <c r="J8093" s="3" t="str">
        <f>HYPERLINK("https://www.boe.es/gazeta/dias/1813/09/07/pdfs/GMR-1813-38.pdf#page=6","Abrir facsímil")</f>
        <v>Abrir facsímil</v>
      </c>
      <c r="K8093" s="3" t="s">
        <v>22</v>
      </c>
    </row>
    <row r="8094" spans="1:11" ht="42" customHeight="1">
      <c r="A8094" s="2" t="s">
        <v>16740</v>
      </c>
      <c r="B8094" s="2" t="s">
        <v>16740</v>
      </c>
      <c r="C8094" s="2" t="s">
        <v>16</v>
      </c>
      <c r="D8094" s="2" t="s">
        <v>17</v>
      </c>
      <c r="E8094" s="5">
        <v>-31521</v>
      </c>
      <c r="F8094" s="3" t="s">
        <v>1282</v>
      </c>
      <c r="G8094" s="3" t="s">
        <v>19</v>
      </c>
      <c r="H8094" s="2" t="s">
        <v>20</v>
      </c>
      <c r="I8094" s="2" t="s">
        <v>16782</v>
      </c>
      <c r="J8094" s="3" t="str">
        <f>HYPERLINK("https://www.boe.es/gazeta/dias/1813/09/11/pdfs/GMR-1813-41.pdf#page=4","Abrir facsímil")</f>
        <v>Abrir facsímil</v>
      </c>
      <c r="K8094" s="3" t="s">
        <v>22</v>
      </c>
    </row>
    <row r="8095" spans="1:11" ht="42" customHeight="1">
      <c r="A8095" s="2" t="s">
        <v>16740</v>
      </c>
      <c r="B8095" s="2" t="s">
        <v>16740</v>
      </c>
      <c r="C8095" s="2" t="s">
        <v>16</v>
      </c>
      <c r="D8095" s="2" t="s">
        <v>17</v>
      </c>
      <c r="E8095" s="5">
        <v>-31521</v>
      </c>
      <c r="F8095" s="3" t="s">
        <v>1282</v>
      </c>
      <c r="G8095" s="3" t="s">
        <v>82</v>
      </c>
      <c r="H8095" s="2" t="s">
        <v>20</v>
      </c>
      <c r="I8095" s="2" t="s">
        <v>16783</v>
      </c>
      <c r="J8095" s="3" t="str">
        <f>HYPERLINK("https://www.boe.es/gazeta/dias/1813/09/11/pdfs/GMR-1813-41.pdf#page=5","Abrir facsímil")</f>
        <v>Abrir facsímil</v>
      </c>
      <c r="K8095" s="3" t="s">
        <v>22</v>
      </c>
    </row>
    <row r="8096" spans="1:11" ht="42" customHeight="1">
      <c r="A8096" s="2" t="s">
        <v>16740</v>
      </c>
      <c r="B8096" s="2" t="s">
        <v>16740</v>
      </c>
      <c r="C8096" s="2" t="s">
        <v>25</v>
      </c>
      <c r="D8096" s="2" t="s">
        <v>26</v>
      </c>
      <c r="E8096" s="5">
        <v>-31516</v>
      </c>
      <c r="F8096" s="3" t="s">
        <v>1685</v>
      </c>
      <c r="G8096" s="3" t="s">
        <v>65</v>
      </c>
      <c r="H8096" s="2" t="s">
        <v>20</v>
      </c>
      <c r="I8096" s="2" t="s">
        <v>16784</v>
      </c>
      <c r="J8096" s="3" t="str">
        <f>HYPERLINK("https://www.boe.es/gazeta/dias/1813/09/16/pdfs/GRE-1813-120.pdf#page=1","Abrir facsímil")</f>
        <v>Abrir facsímil</v>
      </c>
      <c r="K8096" s="3" t="s">
        <v>22</v>
      </c>
    </row>
    <row r="8097" spans="1:11" ht="42" customHeight="1">
      <c r="A8097" s="2" t="s">
        <v>16740</v>
      </c>
      <c r="B8097" s="2" t="s">
        <v>16740</v>
      </c>
      <c r="C8097" s="2" t="s">
        <v>16</v>
      </c>
      <c r="D8097" s="2" t="s">
        <v>17</v>
      </c>
      <c r="E8097" s="5">
        <v>-31511</v>
      </c>
      <c r="F8097" s="3" t="s">
        <v>2149</v>
      </c>
      <c r="G8097" s="3" t="s">
        <v>87</v>
      </c>
      <c r="H8097" s="2" t="s">
        <v>20</v>
      </c>
      <c r="I8097" s="2" t="s">
        <v>16785</v>
      </c>
      <c r="J8097" s="3" t="str">
        <f>HYPERLINK("https://www.boe.es/gazeta/dias/1813/09/21/pdfs/GRE-1813-122.pdf#page=7","Abrir facsímil")</f>
        <v>Abrir facsímil</v>
      </c>
      <c r="K8097" s="3" t="s">
        <v>22</v>
      </c>
    </row>
    <row r="8098" spans="1:11" ht="42" customHeight="1">
      <c r="A8098" s="2" t="s">
        <v>16740</v>
      </c>
      <c r="B8098" s="2" t="s">
        <v>16740</v>
      </c>
      <c r="C8098" s="2" t="s">
        <v>16</v>
      </c>
      <c r="D8098" s="2" t="s">
        <v>17</v>
      </c>
      <c r="E8098" s="5">
        <v>-31509</v>
      </c>
      <c r="F8098" s="3" t="s">
        <v>202</v>
      </c>
      <c r="G8098" s="3" t="s">
        <v>87</v>
      </c>
      <c r="H8098" s="2" t="s">
        <v>20</v>
      </c>
      <c r="I8098" s="2" t="s">
        <v>16786</v>
      </c>
      <c r="J8098" s="3" t="str">
        <f>HYPERLINK("https://www.boe.es/gazeta/dias/1813/09/23/pdfs/GMR-1813-47.pdf#page=7","Abrir facsímil")</f>
        <v>Abrir facsímil</v>
      </c>
      <c r="K8098" s="3" t="s">
        <v>22</v>
      </c>
    </row>
    <row r="8099" spans="1:11" ht="42" customHeight="1">
      <c r="A8099" s="2" t="s">
        <v>16740</v>
      </c>
      <c r="B8099" s="2" t="s">
        <v>16740</v>
      </c>
      <c r="C8099" s="2" t="s">
        <v>435</v>
      </c>
      <c r="D8099" s="2" t="s">
        <v>26</v>
      </c>
      <c r="E8099" s="5">
        <v>-31509</v>
      </c>
      <c r="F8099" s="3" t="s">
        <v>2007</v>
      </c>
      <c r="G8099" s="3" t="s">
        <v>65</v>
      </c>
      <c r="H8099" s="2" t="s">
        <v>20</v>
      </c>
      <c r="I8099" s="2" t="s">
        <v>16787</v>
      </c>
      <c r="J8099" s="3" t="str">
        <f>HYPERLINK("https://www.boe.es/gazeta/dias/1813/09/23/pdfs/GRE-1813-125.pdf#page=1","Abrir facsímil")</f>
        <v>Abrir facsímil</v>
      </c>
      <c r="K8099" s="3" t="s">
        <v>22</v>
      </c>
    </row>
    <row r="8100" spans="1:11" ht="42" customHeight="1">
      <c r="A8100" s="2" t="s">
        <v>16740</v>
      </c>
      <c r="B8100" s="2" t="s">
        <v>16740</v>
      </c>
      <c r="C8100" s="2" t="s">
        <v>16</v>
      </c>
      <c r="D8100" s="2" t="s">
        <v>17</v>
      </c>
      <c r="E8100" s="5">
        <v>-31509</v>
      </c>
      <c r="F8100" s="3" t="s">
        <v>2007</v>
      </c>
      <c r="G8100" s="3" t="s">
        <v>58</v>
      </c>
      <c r="H8100" s="2" t="s">
        <v>20</v>
      </c>
      <c r="I8100" s="2" t="s">
        <v>16788</v>
      </c>
      <c r="J8100" s="3" t="str">
        <f>HYPERLINK("https://www.boe.es/gazeta/dias/1813/09/23/pdfs/GRE-1813-125.pdf#page=2","Abrir facsímil")</f>
        <v>Abrir facsímil</v>
      </c>
      <c r="K8100" s="3" t="s">
        <v>22</v>
      </c>
    </row>
    <row r="8101" spans="1:11" ht="42" customHeight="1">
      <c r="A8101" s="2" t="s">
        <v>16740</v>
      </c>
      <c r="B8101" s="2" t="s">
        <v>16740</v>
      </c>
      <c r="C8101" s="2" t="s">
        <v>16</v>
      </c>
      <c r="D8101" s="2" t="s">
        <v>17</v>
      </c>
      <c r="E8101" s="5">
        <v>-31509</v>
      </c>
      <c r="F8101" s="3" t="s">
        <v>2007</v>
      </c>
      <c r="G8101" s="3" t="s">
        <v>54</v>
      </c>
      <c r="H8101" s="2" t="s">
        <v>20</v>
      </c>
      <c r="I8101" s="2" t="s">
        <v>16789</v>
      </c>
      <c r="J8101" s="3" t="str">
        <f>HYPERLINK("https://www.boe.es/gazeta/dias/1813/09/23/pdfs/GRE-1813-125.pdf#page=3","Abrir facsímil")</f>
        <v>Abrir facsímil</v>
      </c>
      <c r="K8101" s="3" t="s">
        <v>22</v>
      </c>
    </row>
    <row r="8102" spans="1:11" ht="42" customHeight="1">
      <c r="A8102" s="2" t="s">
        <v>16740</v>
      </c>
      <c r="B8102" s="2" t="s">
        <v>16740</v>
      </c>
      <c r="C8102" s="2" t="s">
        <v>16</v>
      </c>
      <c r="D8102" s="2" t="s">
        <v>17</v>
      </c>
      <c r="E8102" s="5">
        <v>-31502</v>
      </c>
      <c r="F8102" s="3" t="s">
        <v>257</v>
      </c>
      <c r="G8102" s="3" t="s">
        <v>58</v>
      </c>
      <c r="H8102" s="2" t="s">
        <v>20</v>
      </c>
      <c r="I8102" s="2" t="s">
        <v>16790</v>
      </c>
      <c r="J8102" s="3" t="str">
        <f>HYPERLINK("https://www.boe.es/gazeta/dias/1813/09/30/pdfs/GMR-1813-51.pdf#page=2","Abrir facsímil")</f>
        <v>Abrir facsímil</v>
      </c>
      <c r="K8102" s="3" t="s">
        <v>22</v>
      </c>
    </row>
    <row r="8103" spans="1:11" ht="42" customHeight="1">
      <c r="A8103" s="2" t="s">
        <v>16740</v>
      </c>
      <c r="B8103" s="2" t="s">
        <v>16740</v>
      </c>
      <c r="C8103" s="2" t="s">
        <v>16</v>
      </c>
      <c r="D8103" s="2" t="s">
        <v>17</v>
      </c>
      <c r="E8103" s="5">
        <v>-31502</v>
      </c>
      <c r="F8103" s="3" t="s">
        <v>257</v>
      </c>
      <c r="G8103" s="3" t="s">
        <v>87</v>
      </c>
      <c r="H8103" s="2" t="s">
        <v>20</v>
      </c>
      <c r="I8103" s="2" t="s">
        <v>16791</v>
      </c>
      <c r="J8103" s="3" t="str">
        <f>HYPERLINK("https://www.boe.es/gazeta/dias/1813/09/30/pdfs/GMR-1813-51.pdf#page=7","Abrir facsímil")</f>
        <v>Abrir facsímil</v>
      </c>
      <c r="K8103" s="3" t="s">
        <v>22</v>
      </c>
    </row>
    <row r="8104" spans="1:11" ht="42" customHeight="1">
      <c r="A8104" s="2" t="s">
        <v>16740</v>
      </c>
      <c r="B8104" s="2" t="s">
        <v>16740</v>
      </c>
      <c r="C8104" s="2" t="s">
        <v>16</v>
      </c>
      <c r="D8104" s="2" t="s">
        <v>17</v>
      </c>
      <c r="E8104" s="5">
        <v>-31502</v>
      </c>
      <c r="F8104" s="3" t="s">
        <v>1363</v>
      </c>
      <c r="G8104" s="3" t="s">
        <v>19</v>
      </c>
      <c r="H8104" s="2" t="s">
        <v>20</v>
      </c>
      <c r="I8104" s="2" t="s">
        <v>16792</v>
      </c>
      <c r="J8104" s="3" t="str">
        <f>HYPERLINK("https://www.boe.es/gazeta/dias/1813/09/30/pdfs/GRE-1813-128.pdf#page=4","Abrir facsímil")</f>
        <v>Abrir facsímil</v>
      </c>
      <c r="K8104" s="3" t="s">
        <v>22</v>
      </c>
    </row>
    <row r="8105" spans="1:11" ht="42" customHeight="1">
      <c r="A8105" s="2" t="s">
        <v>16740</v>
      </c>
      <c r="B8105" s="2" t="s">
        <v>16740</v>
      </c>
      <c r="C8105" s="2" t="s">
        <v>16</v>
      </c>
      <c r="D8105" s="2" t="s">
        <v>17</v>
      </c>
      <c r="E8105" s="5">
        <v>-31495</v>
      </c>
      <c r="F8105" s="3" t="s">
        <v>194</v>
      </c>
      <c r="G8105" s="3" t="s">
        <v>65</v>
      </c>
      <c r="H8105" s="2" t="s">
        <v>20</v>
      </c>
      <c r="I8105" s="2" t="s">
        <v>16793</v>
      </c>
      <c r="J8105" s="3" t="str">
        <f>HYPERLINK("https://www.boe.es/gazeta/dias/1813/10/07/pdfs/GMR-1813-55.pdf#page=1","Abrir facsímil")</f>
        <v>Abrir facsímil</v>
      </c>
      <c r="K8105" s="3" t="s">
        <v>22</v>
      </c>
    </row>
    <row r="8106" spans="1:11" ht="42" customHeight="1">
      <c r="A8106" s="2" t="s">
        <v>16740</v>
      </c>
      <c r="B8106" s="2" t="s">
        <v>16740</v>
      </c>
      <c r="C8106" s="2" t="s">
        <v>16</v>
      </c>
      <c r="D8106" s="2" t="s">
        <v>17</v>
      </c>
      <c r="E8106" s="5">
        <v>-31495</v>
      </c>
      <c r="F8106" s="3" t="s">
        <v>484</v>
      </c>
      <c r="G8106" s="3" t="s">
        <v>87</v>
      </c>
      <c r="H8106" s="2" t="s">
        <v>20</v>
      </c>
      <c r="I8106" s="2" t="s">
        <v>16794</v>
      </c>
      <c r="J8106" s="3" t="str">
        <f>HYPERLINK("https://www.boe.es/gazeta/dias/1813/10/07/pdfs/GRE-1813-131.pdf#page=7","Abrir facsímil")</f>
        <v>Abrir facsímil</v>
      </c>
      <c r="K8106" s="3" t="s">
        <v>22</v>
      </c>
    </row>
    <row r="8107" spans="1:11" ht="42" customHeight="1">
      <c r="A8107" s="2" t="s">
        <v>16740</v>
      </c>
      <c r="B8107" s="2" t="s">
        <v>16740</v>
      </c>
      <c r="C8107" s="2" t="s">
        <v>187</v>
      </c>
      <c r="D8107" s="2" t="s">
        <v>26</v>
      </c>
      <c r="E8107" s="5">
        <v>-31493</v>
      </c>
      <c r="F8107" s="3" t="s">
        <v>1097</v>
      </c>
      <c r="G8107" s="3" t="s">
        <v>359</v>
      </c>
      <c r="H8107" s="2" t="s">
        <v>20</v>
      </c>
      <c r="I8107" s="2" t="s">
        <v>16795</v>
      </c>
      <c r="J8107" s="3" t="str">
        <f>HYPERLINK("https://www.boe.es/gazeta/dias/1813/10/09/pdfs/GMR-1813-56.pdf#page=8","Abrir facsímil")</f>
        <v>Abrir facsímil</v>
      </c>
      <c r="K8107" s="3" t="s">
        <v>22</v>
      </c>
    </row>
    <row r="8108" spans="1:11" ht="42" customHeight="1">
      <c r="A8108" s="2" t="s">
        <v>16740</v>
      </c>
      <c r="B8108" s="2" t="s">
        <v>16740</v>
      </c>
      <c r="C8108" s="2" t="s">
        <v>16</v>
      </c>
      <c r="D8108" s="2" t="s">
        <v>17</v>
      </c>
      <c r="E8108" s="5">
        <v>-31483</v>
      </c>
      <c r="F8108" s="3" t="s">
        <v>1292</v>
      </c>
      <c r="G8108" s="3" t="s">
        <v>2347</v>
      </c>
      <c r="H8108" s="2" t="s">
        <v>20</v>
      </c>
      <c r="I8108" s="2" t="s">
        <v>16796</v>
      </c>
      <c r="J8108" s="3" t="str">
        <f>HYPERLINK("https://www.boe.es/gazeta/dias/1813/10/19/pdfs/GMR-1813-61.pdf#page=10","Abrir facsímil")</f>
        <v>Abrir facsímil</v>
      </c>
      <c r="K8108" s="3" t="s">
        <v>22</v>
      </c>
    </row>
    <row r="8109" spans="1:11" ht="42" customHeight="1">
      <c r="A8109" s="2" t="s">
        <v>16740</v>
      </c>
      <c r="B8109" s="2" t="s">
        <v>16740</v>
      </c>
      <c r="C8109" s="2" t="s">
        <v>16</v>
      </c>
      <c r="D8109" s="2" t="s">
        <v>17</v>
      </c>
      <c r="E8109" s="5">
        <v>-31476</v>
      </c>
      <c r="F8109" s="3" t="s">
        <v>158</v>
      </c>
      <c r="G8109" s="3" t="s">
        <v>82</v>
      </c>
      <c r="H8109" s="2" t="s">
        <v>20</v>
      </c>
      <c r="I8109" s="2" t="s">
        <v>16797</v>
      </c>
      <c r="J8109" s="3" t="str">
        <f>HYPERLINK("https://www.boe.es/gazeta/dias/1813/10/26/pdfs/GMR-1813-64.pdf#page=5","Abrir facsímil")</f>
        <v>Abrir facsímil</v>
      </c>
      <c r="K8109" s="3" t="s">
        <v>22</v>
      </c>
    </row>
    <row r="8110" spans="1:11" ht="42" customHeight="1">
      <c r="A8110" s="2" t="s">
        <v>16740</v>
      </c>
      <c r="B8110" s="2" t="s">
        <v>16740</v>
      </c>
      <c r="C8110" s="2" t="s">
        <v>16</v>
      </c>
      <c r="D8110" s="2" t="s">
        <v>17</v>
      </c>
      <c r="E8110" s="5">
        <v>-31472</v>
      </c>
      <c r="F8110" s="3" t="s">
        <v>1942</v>
      </c>
      <c r="G8110" s="3" t="s">
        <v>82</v>
      </c>
      <c r="H8110" s="2" t="s">
        <v>20</v>
      </c>
      <c r="I8110" s="2" t="s">
        <v>16798</v>
      </c>
      <c r="J8110" s="3" t="str">
        <f>HYPERLINK("https://www.boe.es/gazeta/dias/1813/10/30/pdfs/GRE-1813-142.pdf#page=5","Abrir facsímil")</f>
        <v>Abrir facsímil</v>
      </c>
      <c r="K8110" s="3" t="s">
        <v>22</v>
      </c>
    </row>
    <row r="8111" spans="1:11" ht="42" customHeight="1">
      <c r="A8111" s="2" t="s">
        <v>16799</v>
      </c>
      <c r="B8111" s="2" t="s">
        <v>16799</v>
      </c>
      <c r="C8111" s="2" t="s">
        <v>16</v>
      </c>
      <c r="D8111" s="2" t="s">
        <v>17</v>
      </c>
      <c r="E8111" s="5">
        <v>-31469</v>
      </c>
      <c r="F8111" s="3" t="s">
        <v>1311</v>
      </c>
      <c r="G8111" s="3" t="s">
        <v>16800</v>
      </c>
      <c r="H8111" s="2" t="s">
        <v>20</v>
      </c>
      <c r="I8111" s="2" t="s">
        <v>16801</v>
      </c>
      <c r="J8111" s="3" t="str">
        <f>HYPERLINK("https://www.boe.es/gazeta/dias/1813/11/02/pdfs/GMR-1813-67.pdf#page=7","Abrir facsímil")</f>
        <v>Abrir facsímil</v>
      </c>
      <c r="K8111" s="3" t="s">
        <v>22</v>
      </c>
    </row>
    <row r="8112" spans="1:11" ht="42" customHeight="1">
      <c r="A8112" s="2" t="s">
        <v>16740</v>
      </c>
      <c r="B8112" s="2" t="s">
        <v>16740</v>
      </c>
      <c r="C8112" s="2" t="s">
        <v>16</v>
      </c>
      <c r="D8112" s="2" t="s">
        <v>17</v>
      </c>
      <c r="E8112" s="5">
        <v>-31448</v>
      </c>
      <c r="F8112" s="3" t="s">
        <v>57</v>
      </c>
      <c r="G8112" s="3" t="s">
        <v>95</v>
      </c>
      <c r="H8112" s="2" t="s">
        <v>20</v>
      </c>
      <c r="I8112" s="2" t="s">
        <v>16802</v>
      </c>
      <c r="J8112" s="3" t="str">
        <f>HYPERLINK("https://www.boe.es/gazeta/dias/1813/11/23/pdfs/GRE-1813-153.pdf#page=6","Abrir facsímil")</f>
        <v>Abrir facsímil</v>
      </c>
      <c r="K8112" s="3" t="s">
        <v>22</v>
      </c>
    </row>
    <row r="8113" spans="1:11" ht="42" customHeight="1">
      <c r="A8113" s="2" t="s">
        <v>16740</v>
      </c>
      <c r="B8113" s="2" t="s">
        <v>16740</v>
      </c>
      <c r="C8113" s="2" t="s">
        <v>16</v>
      </c>
      <c r="D8113" s="2" t="s">
        <v>17</v>
      </c>
      <c r="E8113" s="5">
        <v>-31444</v>
      </c>
      <c r="F8113" s="3" t="s">
        <v>389</v>
      </c>
      <c r="G8113" s="3" t="s">
        <v>8486</v>
      </c>
      <c r="H8113" s="2" t="s">
        <v>20</v>
      </c>
      <c r="I8113" s="2" t="s">
        <v>16803</v>
      </c>
      <c r="J8113" s="3" t="str">
        <f>HYPERLINK("https://www.boe.es/gazeta/dias/1813/11/27/pdfs/GMR-1813-80.pdf#page=2","Abrir facsímil")</f>
        <v>Abrir facsímil</v>
      </c>
      <c r="K8113" s="3" t="s">
        <v>22</v>
      </c>
    </row>
    <row r="8114" spans="1:11" ht="42" customHeight="1">
      <c r="A8114" s="2" t="s">
        <v>16740</v>
      </c>
      <c r="B8114" s="2" t="s">
        <v>16740</v>
      </c>
      <c r="C8114" s="2" t="s">
        <v>16</v>
      </c>
      <c r="D8114" s="2" t="s">
        <v>17</v>
      </c>
      <c r="E8114" s="5">
        <v>-31444</v>
      </c>
      <c r="F8114" s="3" t="s">
        <v>389</v>
      </c>
      <c r="G8114" s="3" t="s">
        <v>95</v>
      </c>
      <c r="H8114" s="2" t="s">
        <v>20</v>
      </c>
      <c r="I8114" s="2" t="s">
        <v>16804</v>
      </c>
      <c r="J8114" s="3" t="str">
        <f>HYPERLINK("https://www.boe.es/gazeta/dias/1813/11/27/pdfs/GMR-1813-80.pdf#page=6","Abrir facsímil")</f>
        <v>Abrir facsímil</v>
      </c>
      <c r="K8114" s="3" t="s">
        <v>22</v>
      </c>
    </row>
    <row r="8115" spans="1:11" ht="42" customHeight="1">
      <c r="A8115" s="2" t="s">
        <v>16740</v>
      </c>
      <c r="B8115" s="2" t="s">
        <v>16740</v>
      </c>
      <c r="C8115" s="2" t="s">
        <v>16</v>
      </c>
      <c r="D8115" s="2" t="s">
        <v>17</v>
      </c>
      <c r="E8115" s="5">
        <v>-31432</v>
      </c>
      <c r="F8115" s="3" t="s">
        <v>702</v>
      </c>
      <c r="G8115" s="3" t="s">
        <v>58</v>
      </c>
      <c r="H8115" s="2" t="s">
        <v>20</v>
      </c>
      <c r="I8115" s="2" t="s">
        <v>16805</v>
      </c>
      <c r="J8115" s="3" t="str">
        <f>HYPERLINK("https://www.boe.es/gazeta/dias/1813/12/09/pdfs/GMR-1813-85.pdf#page=2","Abrir facsímil")</f>
        <v>Abrir facsímil</v>
      </c>
      <c r="K8115" s="3" t="s">
        <v>22</v>
      </c>
    </row>
    <row r="8116" spans="1:11" ht="42" customHeight="1">
      <c r="A8116" s="2" t="s">
        <v>16740</v>
      </c>
      <c r="B8116" s="2" t="s">
        <v>16740</v>
      </c>
      <c r="C8116" s="2" t="s">
        <v>16</v>
      </c>
      <c r="D8116" s="2" t="s">
        <v>17</v>
      </c>
      <c r="E8116" s="5">
        <v>-31427</v>
      </c>
      <c r="F8116" s="3" t="s">
        <v>489</v>
      </c>
      <c r="G8116" s="3" t="s">
        <v>1742</v>
      </c>
      <c r="H8116" s="2" t="s">
        <v>20</v>
      </c>
      <c r="I8116" s="2" t="s">
        <v>16806</v>
      </c>
      <c r="J8116" s="3" t="str">
        <f>HYPERLINK("https://www.boe.es/gazeta/dias/1813/12/14/pdfs/GMR-1813-87.pdf#page=9","Abrir facsímil")</f>
        <v>Abrir facsímil</v>
      </c>
      <c r="K8116" s="3" t="s">
        <v>22</v>
      </c>
    </row>
    <row r="8117" spans="1:11" ht="42" customHeight="1">
      <c r="A8117" s="2" t="s">
        <v>16740</v>
      </c>
      <c r="B8117" s="2" t="s">
        <v>16740</v>
      </c>
      <c r="C8117" s="2" t="s">
        <v>16</v>
      </c>
      <c r="D8117" s="2" t="s">
        <v>17</v>
      </c>
      <c r="E8117" s="5">
        <v>-31425</v>
      </c>
      <c r="F8117" s="3" t="s">
        <v>1955</v>
      </c>
      <c r="G8117" s="3" t="s">
        <v>58</v>
      </c>
      <c r="H8117" s="2" t="s">
        <v>20</v>
      </c>
      <c r="I8117" s="2" t="s">
        <v>16807</v>
      </c>
      <c r="J8117" s="3" t="str">
        <f>HYPERLINK("https://www.boe.es/gazeta/dias/1813/12/16/pdfs/GMR-1813-88.pdf#page=2","Abrir facsímil")</f>
        <v>Abrir facsímil</v>
      </c>
      <c r="K8117" s="3" t="s">
        <v>22</v>
      </c>
    </row>
    <row r="8118" spans="1:11" ht="42" customHeight="1">
      <c r="A8118" s="2" t="s">
        <v>16808</v>
      </c>
      <c r="B8118" s="2" t="s">
        <v>16808</v>
      </c>
      <c r="C8118" s="2" t="s">
        <v>16</v>
      </c>
      <c r="D8118" s="2" t="s">
        <v>17</v>
      </c>
      <c r="E8118" s="5">
        <v>-31500</v>
      </c>
      <c r="F8118" s="3" t="s">
        <v>5349</v>
      </c>
      <c r="G8118" s="3" t="s">
        <v>54</v>
      </c>
      <c r="H8118" s="2" t="s">
        <v>20</v>
      </c>
      <c r="I8118" s="2" t="s">
        <v>16809</v>
      </c>
      <c r="J8118" s="3" t="str">
        <f>HYPERLINK("https://www.boe.es/gazeta/dias/1813/10/02/pdfs/GRE-1813-129.pdf#page=3","Abrir facsímil")</f>
        <v>Abrir facsímil</v>
      </c>
      <c r="K8118" s="3" t="s">
        <v>22</v>
      </c>
    </row>
    <row r="8119" spans="1:11" ht="42" customHeight="1">
      <c r="A8119" s="2" t="s">
        <v>16810</v>
      </c>
      <c r="B8119" s="2" t="s">
        <v>16810</v>
      </c>
      <c r="C8119" s="2" t="s">
        <v>16</v>
      </c>
      <c r="D8119" s="2" t="s">
        <v>17</v>
      </c>
      <c r="E8119" s="5">
        <v>-31766</v>
      </c>
      <c r="F8119" s="3" t="s">
        <v>6349</v>
      </c>
      <c r="G8119" s="3" t="s">
        <v>58</v>
      </c>
      <c r="H8119" s="2" t="s">
        <v>20</v>
      </c>
      <c r="I8119" s="2" t="s">
        <v>16811</v>
      </c>
      <c r="J8119" s="3" t="str">
        <f>HYPERLINK("https://www.boe.es/gazeta/dias/1813/01/09/pdfs/GMD-1813-9.pdf#page=2","Abrir facsímil")</f>
        <v>Abrir facsímil</v>
      </c>
      <c r="K8119" s="3" t="s">
        <v>22</v>
      </c>
    </row>
    <row r="8120" spans="1:11" ht="42" customHeight="1">
      <c r="A8120" s="2" t="s">
        <v>16812</v>
      </c>
      <c r="B8120" s="2" t="s">
        <v>16812</v>
      </c>
      <c r="C8120" s="2" t="s">
        <v>16</v>
      </c>
      <c r="D8120" s="2" t="s">
        <v>17</v>
      </c>
      <c r="E8120" s="5">
        <v>-31640</v>
      </c>
      <c r="F8120" s="3" t="s">
        <v>2392</v>
      </c>
      <c r="G8120" s="3" t="s">
        <v>58</v>
      </c>
      <c r="H8120" s="2" t="s">
        <v>20</v>
      </c>
      <c r="I8120" s="2" t="s">
        <v>16813</v>
      </c>
      <c r="J8120" s="3" t="str">
        <f>HYPERLINK("https://www.boe.es/gazeta/dias/1813/05/15/pdfs/GRE-1813-60.pdf#page=2","Abrir facsímil")</f>
        <v>Abrir facsímil</v>
      </c>
      <c r="K8120" s="3" t="s">
        <v>22</v>
      </c>
    </row>
    <row r="8121" spans="1:11" ht="42" customHeight="1">
      <c r="A8121" s="2" t="s">
        <v>16814</v>
      </c>
      <c r="B8121" s="2" t="s">
        <v>16814</v>
      </c>
      <c r="C8121" s="2" t="s">
        <v>25</v>
      </c>
      <c r="D8121" s="2" t="s">
        <v>26</v>
      </c>
      <c r="E8121" s="5">
        <v>-31549</v>
      </c>
      <c r="F8121" s="3" t="s">
        <v>294</v>
      </c>
      <c r="G8121" s="3" t="s">
        <v>87</v>
      </c>
      <c r="H8121" s="2" t="s">
        <v>20</v>
      </c>
      <c r="I8121" s="2" t="s">
        <v>16815</v>
      </c>
      <c r="J8121" s="3" t="str">
        <f>HYPERLINK("https://www.boe.es/gazeta/dias/1813/08/14/pdfs/GRE-1813-103.pdf#page=7","Abrir facsímil")</f>
        <v>Abrir facsímil</v>
      </c>
      <c r="K8121" s="3" t="s">
        <v>22</v>
      </c>
    </row>
    <row r="8122" spans="1:11" ht="42" customHeight="1">
      <c r="A8122" s="2" t="s">
        <v>16816</v>
      </c>
      <c r="B8122" s="2" t="s">
        <v>16816</v>
      </c>
      <c r="C8122" s="2" t="s">
        <v>16</v>
      </c>
      <c r="D8122" s="2" t="s">
        <v>17</v>
      </c>
      <c r="E8122" s="5">
        <v>-31448</v>
      </c>
      <c r="F8122" s="3" t="s">
        <v>325</v>
      </c>
      <c r="G8122" s="3" t="s">
        <v>207</v>
      </c>
      <c r="H8122" s="2" t="s">
        <v>20</v>
      </c>
      <c r="I8122" s="2" t="s">
        <v>16817</v>
      </c>
      <c r="J8122" s="3" t="str">
        <f>HYPERLINK("https://www.boe.es/gazeta/dias/1813/11/23/pdfs/GMR-1813-78.pdf#page=10","Abrir facsímil")</f>
        <v>Abrir facsímil</v>
      </c>
      <c r="K8122" s="3" t="s">
        <v>22</v>
      </c>
    </row>
    <row r="8123" spans="1:11" ht="42" customHeight="1">
      <c r="A8123" s="2" t="s">
        <v>16818</v>
      </c>
      <c r="B8123" s="2" t="s">
        <v>16818</v>
      </c>
      <c r="C8123" s="2" t="s">
        <v>16</v>
      </c>
      <c r="D8123" s="2" t="s">
        <v>17</v>
      </c>
      <c r="E8123" s="5">
        <v>-31592</v>
      </c>
      <c r="F8123" s="3" t="s">
        <v>1538</v>
      </c>
      <c r="G8123" s="3" t="s">
        <v>58</v>
      </c>
      <c r="H8123" s="2" t="s">
        <v>20</v>
      </c>
      <c r="I8123" s="2" t="s">
        <v>16819</v>
      </c>
      <c r="J8123" s="3" t="str">
        <f>HYPERLINK("https://www.boe.es/gazeta/dias/1813/07/02/pdfs/GMR-1813-14.pdf#page=2","Abrir facsímil")</f>
        <v>Abrir facsímil</v>
      </c>
      <c r="K8123" s="3" t="s">
        <v>22</v>
      </c>
    </row>
    <row r="8124" spans="1:11" ht="42" customHeight="1">
      <c r="A8124" s="2" t="s">
        <v>16820</v>
      </c>
      <c r="B8124" s="2" t="s">
        <v>16820</v>
      </c>
      <c r="C8124" s="2" t="s">
        <v>16</v>
      </c>
      <c r="D8124" s="2" t="s">
        <v>17</v>
      </c>
      <c r="E8124" s="5">
        <v>-31528</v>
      </c>
      <c r="F8124" s="3" t="s">
        <v>141</v>
      </c>
      <c r="G8124" s="3" t="s">
        <v>4841</v>
      </c>
      <c r="H8124" s="2" t="s">
        <v>20</v>
      </c>
      <c r="I8124" s="2" t="s">
        <v>16821</v>
      </c>
      <c r="J8124" s="3" t="str">
        <f>HYPERLINK("https://www.boe.es/gazeta/dias/1813/09/04/pdfs/GMR-1813-37.pdf#page=7","Abrir facsímil")</f>
        <v>Abrir facsímil</v>
      </c>
      <c r="K8124" s="3" t="s">
        <v>22</v>
      </c>
    </row>
    <row r="8125" spans="1:11" ht="42" customHeight="1">
      <c r="A8125" s="2" t="s">
        <v>16820</v>
      </c>
      <c r="B8125" s="2" t="s">
        <v>16820</v>
      </c>
      <c r="C8125" s="2" t="s">
        <v>16</v>
      </c>
      <c r="D8125" s="2" t="s">
        <v>17</v>
      </c>
      <c r="E8125" s="5">
        <v>-31521</v>
      </c>
      <c r="F8125" s="3" t="s">
        <v>1256</v>
      </c>
      <c r="G8125" s="3" t="s">
        <v>19</v>
      </c>
      <c r="H8125" s="2" t="s">
        <v>20</v>
      </c>
      <c r="I8125" s="2" t="s">
        <v>16822</v>
      </c>
      <c r="J8125" s="3" t="str">
        <f>HYPERLINK("https://www.boe.es/gazeta/dias/1813/09/11/pdfs/GRE-1813-116.pdf#page=4","Abrir facsímil")</f>
        <v>Abrir facsímil</v>
      </c>
      <c r="K8125" s="3" t="s">
        <v>22</v>
      </c>
    </row>
    <row r="8126" spans="1:11" ht="42" customHeight="1">
      <c r="A8126" s="2" t="s">
        <v>16820</v>
      </c>
      <c r="B8126" s="2" t="s">
        <v>16820</v>
      </c>
      <c r="C8126" s="2" t="s">
        <v>16</v>
      </c>
      <c r="D8126" s="2" t="s">
        <v>17</v>
      </c>
      <c r="E8126" s="5">
        <v>-31521</v>
      </c>
      <c r="F8126" s="3" t="s">
        <v>1256</v>
      </c>
      <c r="G8126" s="3" t="s">
        <v>28</v>
      </c>
      <c r="H8126" s="2" t="s">
        <v>20</v>
      </c>
      <c r="I8126" s="2" t="s">
        <v>16823</v>
      </c>
      <c r="J8126" s="3" t="str">
        <f>HYPERLINK("https://www.boe.es/gazeta/dias/1813/09/11/pdfs/GRE-1813-116.pdf#page=8","Abrir facsímil")</f>
        <v>Abrir facsímil</v>
      </c>
      <c r="K8126" s="3" t="s">
        <v>22</v>
      </c>
    </row>
    <row r="8127" spans="1:11" ht="42" customHeight="1">
      <c r="A8127" s="2" t="s">
        <v>16824</v>
      </c>
      <c r="B8127" s="2" t="s">
        <v>16824</v>
      </c>
      <c r="C8127" s="2" t="s">
        <v>16</v>
      </c>
      <c r="D8127" s="2" t="s">
        <v>17</v>
      </c>
      <c r="E8127" s="5">
        <v>-31668</v>
      </c>
      <c r="F8127" s="3" t="s">
        <v>53</v>
      </c>
      <c r="G8127" s="3" t="s">
        <v>15875</v>
      </c>
      <c r="H8127" s="2" t="s">
        <v>20</v>
      </c>
      <c r="I8127" s="2" t="s">
        <v>16825</v>
      </c>
      <c r="J8127" s="3" t="str">
        <f>HYPERLINK("https://www.boe.es/gazeta/dias/1813/04/17/pdfs/GMD-1813-107.pdf#page=2","Abrir facsímil")</f>
        <v>Abrir facsímil</v>
      </c>
      <c r="K8127" s="3" t="s">
        <v>22</v>
      </c>
    </row>
    <row r="8128" spans="1:11" ht="42" customHeight="1">
      <c r="A8128" s="2" t="s">
        <v>16826</v>
      </c>
      <c r="B8128" s="2" t="s">
        <v>16826</v>
      </c>
      <c r="C8128" s="2" t="s">
        <v>16</v>
      </c>
      <c r="D8128" s="2" t="s">
        <v>17</v>
      </c>
      <c r="E8128" s="5">
        <v>-31629</v>
      </c>
      <c r="F8128" s="3" t="s">
        <v>1146</v>
      </c>
      <c r="G8128" s="3" t="s">
        <v>65</v>
      </c>
      <c r="H8128" s="2" t="s">
        <v>20</v>
      </c>
      <c r="I8128" s="2" t="s">
        <v>16827</v>
      </c>
      <c r="J8128" s="3" t="str">
        <f>HYPERLINK("https://www.boe.es/gazeta/dias/1813/05/26/pdfs/GMD-1813-146.pdf#page=1","Abrir facsímil")</f>
        <v>Abrir facsímil</v>
      </c>
      <c r="K8128" s="3" t="s">
        <v>22</v>
      </c>
    </row>
    <row r="8129" spans="1:11" ht="42" customHeight="1">
      <c r="A8129" s="2" t="s">
        <v>16828</v>
      </c>
      <c r="B8129" s="2" t="s">
        <v>16828</v>
      </c>
      <c r="C8129" s="2" t="s">
        <v>16</v>
      </c>
      <c r="D8129" s="2" t="s">
        <v>17</v>
      </c>
      <c r="E8129" s="5">
        <v>-31726</v>
      </c>
      <c r="F8129" s="3" t="s">
        <v>533</v>
      </c>
      <c r="G8129" s="3" t="s">
        <v>1377</v>
      </c>
      <c r="H8129" s="2" t="s">
        <v>20</v>
      </c>
      <c r="I8129" s="2" t="s">
        <v>16829</v>
      </c>
      <c r="J8129" s="3" t="str">
        <f>HYPERLINK("https://www.boe.es/gazeta/dias/1813/02/18/pdfs/GRE-1813-21.pdf#page=3","Abrir facsímil")</f>
        <v>Abrir facsímil</v>
      </c>
      <c r="K8129" s="3" t="s">
        <v>22</v>
      </c>
    </row>
    <row r="8130" spans="1:11" ht="42" customHeight="1">
      <c r="A8130" s="2" t="s">
        <v>16830</v>
      </c>
      <c r="B8130" s="2" t="s">
        <v>16830</v>
      </c>
      <c r="C8130" s="2" t="s">
        <v>16</v>
      </c>
      <c r="D8130" s="2" t="s">
        <v>17</v>
      </c>
      <c r="E8130" s="5">
        <v>-31528</v>
      </c>
      <c r="F8130" s="3" t="s">
        <v>141</v>
      </c>
      <c r="G8130" s="3" t="s">
        <v>65</v>
      </c>
      <c r="H8130" s="2" t="s">
        <v>20</v>
      </c>
      <c r="I8130" s="2" t="s">
        <v>16831</v>
      </c>
      <c r="J8130" s="3" t="str">
        <f>HYPERLINK("https://www.boe.es/gazeta/dias/1813/09/04/pdfs/GMR-1813-37.pdf#page=1","Abrir facsímil")</f>
        <v>Abrir facsímil</v>
      </c>
      <c r="K8130" s="3" t="s">
        <v>22</v>
      </c>
    </row>
    <row r="8131" spans="1:11" ht="42" customHeight="1">
      <c r="A8131" s="2" t="s">
        <v>16832</v>
      </c>
      <c r="B8131" s="2" t="s">
        <v>16832</v>
      </c>
      <c r="C8131" s="2" t="s">
        <v>16</v>
      </c>
      <c r="D8131" s="2" t="s">
        <v>17</v>
      </c>
      <c r="E8131" s="5">
        <v>-31586</v>
      </c>
      <c r="F8131" s="3" t="s">
        <v>2807</v>
      </c>
      <c r="G8131" s="3" t="s">
        <v>58</v>
      </c>
      <c r="H8131" s="2" t="s">
        <v>20</v>
      </c>
      <c r="I8131" s="2" t="s">
        <v>16833</v>
      </c>
      <c r="J8131" s="3" t="str">
        <f>HYPERLINK("https://www.boe.es/gazeta/dias/1813/07/08/pdfs/GRE-1813-85.pdf#page=2","Abrir facsímil")</f>
        <v>Abrir facsímil</v>
      </c>
      <c r="K8131" s="3" t="s">
        <v>22</v>
      </c>
    </row>
    <row r="8132" spans="1:11" ht="42" customHeight="1">
      <c r="A8132" s="2" t="s">
        <v>16832</v>
      </c>
      <c r="B8132" s="2" t="s">
        <v>16832</v>
      </c>
      <c r="C8132" s="2" t="s">
        <v>16</v>
      </c>
      <c r="D8132" s="2" t="s">
        <v>17</v>
      </c>
      <c r="E8132" s="5">
        <v>-31532</v>
      </c>
      <c r="F8132" s="3" t="s">
        <v>215</v>
      </c>
      <c r="G8132" s="3" t="s">
        <v>65</v>
      </c>
      <c r="H8132" s="2" t="s">
        <v>20</v>
      </c>
      <c r="I8132" s="2" t="s">
        <v>16834</v>
      </c>
      <c r="J8132" s="3" t="str">
        <f>HYPERLINK("https://www.boe.es/gazeta/dias/1813/08/31/pdfs/GRE-1813-111.pdf#page=1","Abrir facsímil")</f>
        <v>Abrir facsímil</v>
      </c>
      <c r="K8132" s="3" t="s">
        <v>22</v>
      </c>
    </row>
    <row r="8133" spans="1:11" ht="42" customHeight="1">
      <c r="A8133" s="2" t="s">
        <v>16835</v>
      </c>
      <c r="B8133" s="2" t="s">
        <v>16835</v>
      </c>
      <c r="C8133" s="2" t="s">
        <v>16</v>
      </c>
      <c r="D8133" s="2" t="s">
        <v>17</v>
      </c>
      <c r="E8133" s="5">
        <v>-31439</v>
      </c>
      <c r="F8133" s="3" t="s">
        <v>3821</v>
      </c>
      <c r="G8133" s="3" t="s">
        <v>58</v>
      </c>
      <c r="H8133" s="2" t="s">
        <v>20</v>
      </c>
      <c r="I8133" s="2" t="s">
        <v>16836</v>
      </c>
      <c r="J8133" s="3" t="str">
        <f>HYPERLINK("https://www.boe.es/gazeta/dias/1813/12/02/pdfs/GRE-1813-159.pdf#page=2","Abrir facsímil")</f>
        <v>Abrir facsímil</v>
      </c>
      <c r="K8133" s="3" t="s">
        <v>22</v>
      </c>
    </row>
    <row r="8134" spans="1:11" ht="42" customHeight="1">
      <c r="A8134" s="2" t="s">
        <v>16837</v>
      </c>
      <c r="B8134" s="2" t="s">
        <v>16837</v>
      </c>
      <c r="C8134" s="2" t="s">
        <v>435</v>
      </c>
      <c r="D8134" s="2" t="s">
        <v>26</v>
      </c>
      <c r="E8134" s="5">
        <v>-31425</v>
      </c>
      <c r="F8134" s="3" t="s">
        <v>1669</v>
      </c>
      <c r="G8134" s="3" t="s">
        <v>19</v>
      </c>
      <c r="H8134" s="2" t="s">
        <v>20</v>
      </c>
      <c r="I8134" s="2" t="s">
        <v>16838</v>
      </c>
      <c r="J8134" s="3" t="str">
        <f>HYPERLINK("https://www.boe.es/gazeta/dias/1813/12/16/pdfs/GRE-1813-165.pdf#page=4","Abrir facsímil")</f>
        <v>Abrir facsímil</v>
      </c>
      <c r="K8134" s="3" t="s">
        <v>22</v>
      </c>
    </row>
    <row r="8135" spans="1:11" ht="42" customHeight="1">
      <c r="A8135" s="2" t="s">
        <v>16839</v>
      </c>
      <c r="B8135" s="2" t="s">
        <v>16839</v>
      </c>
      <c r="C8135" s="2" t="s">
        <v>34</v>
      </c>
      <c r="D8135" s="2" t="s">
        <v>35</v>
      </c>
      <c r="E8135" s="5">
        <v>-31544</v>
      </c>
      <c r="F8135" s="3" t="s">
        <v>200</v>
      </c>
      <c r="G8135" s="3" t="s">
        <v>65</v>
      </c>
      <c r="H8135" s="2" t="s">
        <v>20</v>
      </c>
      <c r="I8135" s="2" t="s">
        <v>16840</v>
      </c>
      <c r="J8135" s="3" t="str">
        <f>HYPERLINK("https://www.boe.es/gazeta/dias/1813/08/19/pdfs/GRE-1813-106.pdf#page=1","Abrir facsímil")</f>
        <v>Abrir facsímil</v>
      </c>
      <c r="K8135" s="3" t="s">
        <v>22</v>
      </c>
    </row>
    <row r="8136" spans="1:11" ht="42" customHeight="1">
      <c r="A8136" s="2" t="s">
        <v>16841</v>
      </c>
      <c r="B8136" s="2" t="s">
        <v>16841</v>
      </c>
      <c r="C8136" s="2" t="s">
        <v>16</v>
      </c>
      <c r="D8136" s="2" t="s">
        <v>17</v>
      </c>
      <c r="E8136" s="5">
        <v>-31668</v>
      </c>
      <c r="F8136" s="3" t="s">
        <v>574</v>
      </c>
      <c r="G8136" s="3" t="s">
        <v>6144</v>
      </c>
      <c r="H8136" s="2" t="s">
        <v>20</v>
      </c>
      <c r="I8136" s="2" t="s">
        <v>16842</v>
      </c>
      <c r="J8136" s="3" t="str">
        <f>HYPERLINK("https://www.boe.es/gazeta/dias/1813/04/17/pdfs/GRE-1813-48.pdf#page=7","Abrir facsímil")</f>
        <v>Abrir facsímil</v>
      </c>
      <c r="K8136" s="3" t="s">
        <v>22</v>
      </c>
    </row>
    <row r="8137" spans="1:11" ht="42" customHeight="1">
      <c r="A8137" s="2" t="s">
        <v>16841</v>
      </c>
      <c r="B8137" s="2" t="s">
        <v>16841</v>
      </c>
      <c r="C8137" s="2" t="s">
        <v>16</v>
      </c>
      <c r="D8137" s="2" t="s">
        <v>17</v>
      </c>
      <c r="E8137" s="5">
        <v>-31668</v>
      </c>
      <c r="F8137" s="3" t="s">
        <v>574</v>
      </c>
      <c r="G8137" s="3" t="s">
        <v>28</v>
      </c>
      <c r="H8137" s="2" t="s">
        <v>20</v>
      </c>
      <c r="I8137" s="2" t="s">
        <v>16843</v>
      </c>
      <c r="J8137" s="3" t="str">
        <f>HYPERLINK("https://www.boe.es/gazeta/dias/1813/04/17/pdfs/GRE-1813-48.pdf#page=8","Abrir facsímil")</f>
        <v>Abrir facsímil</v>
      </c>
      <c r="K8137" s="3" t="s">
        <v>22</v>
      </c>
    </row>
    <row r="8138" spans="1:11" ht="42" customHeight="1">
      <c r="A8138" s="2" t="s">
        <v>16844</v>
      </c>
      <c r="B8138" s="2" t="s">
        <v>16844</v>
      </c>
      <c r="C8138" s="2" t="s">
        <v>16</v>
      </c>
      <c r="D8138" s="2" t="s">
        <v>17</v>
      </c>
      <c r="E8138" s="5">
        <v>-31668</v>
      </c>
      <c r="F8138" s="3" t="s">
        <v>574</v>
      </c>
      <c r="G8138" s="3" t="s">
        <v>6144</v>
      </c>
      <c r="H8138" s="2" t="s">
        <v>20</v>
      </c>
      <c r="I8138" s="2" t="s">
        <v>16845</v>
      </c>
      <c r="J8138" s="3" t="str">
        <f>HYPERLINK("https://www.boe.es/gazeta/dias/1813/04/17/pdfs/GRE-1813-48.pdf#page=7","Abrir facsímil")</f>
        <v>Abrir facsímil</v>
      </c>
      <c r="K8138" s="3" t="s">
        <v>22</v>
      </c>
    </row>
    <row r="8139" spans="1:11" ht="42" customHeight="1">
      <c r="A8139" s="2" t="s">
        <v>16846</v>
      </c>
      <c r="B8139" s="2" t="s">
        <v>16846</v>
      </c>
      <c r="C8139" s="2" t="s">
        <v>16</v>
      </c>
      <c r="D8139" s="2" t="s">
        <v>17</v>
      </c>
      <c r="E8139" s="5">
        <v>-31742</v>
      </c>
      <c r="F8139" s="3" t="s">
        <v>2667</v>
      </c>
      <c r="G8139" s="3" t="s">
        <v>58</v>
      </c>
      <c r="H8139" s="2" t="s">
        <v>20</v>
      </c>
      <c r="I8139" s="2" t="s">
        <v>16847</v>
      </c>
      <c r="J8139" s="3" t="str">
        <f>HYPERLINK("https://www.boe.es/gazeta/dias/1813/02/02/pdfs/GRE-1813-14.pdf#page=2","Abrir facsímil")</f>
        <v>Abrir facsímil</v>
      </c>
      <c r="K8139" s="3" t="s">
        <v>22</v>
      </c>
    </row>
    <row r="8140" spans="1:11" ht="42" customHeight="1">
      <c r="A8140" s="2" t="s">
        <v>16848</v>
      </c>
      <c r="B8140" s="2" t="s">
        <v>16848</v>
      </c>
      <c r="C8140" s="2" t="s">
        <v>16</v>
      </c>
      <c r="D8140" s="2" t="s">
        <v>17</v>
      </c>
      <c r="E8140" s="5">
        <v>-31516</v>
      </c>
      <c r="F8140" s="3" t="s">
        <v>1685</v>
      </c>
      <c r="G8140" s="3" t="s">
        <v>1797</v>
      </c>
      <c r="H8140" s="2" t="s">
        <v>20</v>
      </c>
      <c r="I8140" s="2" t="s">
        <v>16849</v>
      </c>
      <c r="J8140" s="3" t="str">
        <f>HYPERLINK("https://www.boe.es/gazeta/dias/1813/09/16/pdfs/GRE-1813-120.pdf#page=5","Abrir facsímil")</f>
        <v>Abrir facsímil</v>
      </c>
      <c r="K8140" s="3" t="s">
        <v>22</v>
      </c>
    </row>
    <row r="8141" spans="1:11" ht="42" customHeight="1">
      <c r="A8141" s="2" t="s">
        <v>16850</v>
      </c>
      <c r="B8141" s="2" t="s">
        <v>16850</v>
      </c>
      <c r="C8141" s="2" t="s">
        <v>16</v>
      </c>
      <c r="D8141" s="2" t="s">
        <v>17</v>
      </c>
      <c r="E8141" s="5">
        <v>-31411</v>
      </c>
      <c r="F8141" s="3" t="s">
        <v>3702</v>
      </c>
      <c r="G8141" s="3" t="s">
        <v>54</v>
      </c>
      <c r="H8141" s="2" t="s">
        <v>20</v>
      </c>
      <c r="I8141" s="2" t="s">
        <v>16851</v>
      </c>
      <c r="J8141" s="3" t="str">
        <f>HYPERLINK("https://www.boe.es/gazeta/dias/1813/12/30/pdfs/GRE-1813-171.pdf#page=3","Abrir facsímil")</f>
        <v>Abrir facsímil</v>
      </c>
      <c r="K8141" s="3" t="s">
        <v>22</v>
      </c>
    </row>
    <row r="8142" spans="1:11" ht="42" customHeight="1">
      <c r="A8142" s="2" t="s">
        <v>16852</v>
      </c>
      <c r="B8142" s="2" t="s">
        <v>16852</v>
      </c>
      <c r="C8142" s="2" t="s">
        <v>16</v>
      </c>
      <c r="D8142" s="2" t="s">
        <v>17</v>
      </c>
      <c r="E8142" s="5">
        <v>-31434</v>
      </c>
      <c r="F8142" s="3" t="s">
        <v>18</v>
      </c>
      <c r="G8142" s="3" t="s">
        <v>95</v>
      </c>
      <c r="H8142" s="2" t="s">
        <v>20</v>
      </c>
      <c r="I8142" s="2" t="s">
        <v>16853</v>
      </c>
      <c r="J8142" s="3" t="str">
        <f>HYPERLINK("https://www.boe.es/gazeta/dias/1813/12/07/pdfs/GRE-1813-161.pdf#page=6","Abrir facsímil")</f>
        <v>Abrir facsímil</v>
      </c>
      <c r="K8142" s="3" t="s">
        <v>22</v>
      </c>
    </row>
    <row r="8143" spans="1:11" ht="42" customHeight="1">
      <c r="A8143" s="2" t="s">
        <v>16854</v>
      </c>
      <c r="B8143" s="2" t="s">
        <v>16854</v>
      </c>
      <c r="C8143" s="2" t="s">
        <v>16</v>
      </c>
      <c r="D8143" s="2" t="s">
        <v>17</v>
      </c>
      <c r="E8143" s="5">
        <v>-31733</v>
      </c>
      <c r="F8143" s="3" t="s">
        <v>3364</v>
      </c>
      <c r="G8143" s="3" t="s">
        <v>65</v>
      </c>
      <c r="H8143" s="2" t="s">
        <v>20</v>
      </c>
      <c r="I8143" s="2" t="s">
        <v>16855</v>
      </c>
      <c r="J8143" s="3" t="str">
        <f>HYPERLINK("https://www.boe.es/gazeta/dias/1813/02/11/pdfs/GMD-1813-42.pdf#page=1","Abrir facsímil")</f>
        <v>Abrir facsímil</v>
      </c>
      <c r="K8143" s="3" t="s">
        <v>22</v>
      </c>
    </row>
    <row r="8144" spans="1:11" ht="42" customHeight="1">
      <c r="A8144" s="2" t="s">
        <v>16856</v>
      </c>
      <c r="B8144" s="2" t="s">
        <v>16856</v>
      </c>
      <c r="C8144" s="2" t="s">
        <v>16</v>
      </c>
      <c r="D8144" s="2" t="s">
        <v>17</v>
      </c>
      <c r="E8144" s="5">
        <v>-31756</v>
      </c>
      <c r="F8144" s="3" t="s">
        <v>951</v>
      </c>
      <c r="G8144" s="3" t="s">
        <v>6421</v>
      </c>
      <c r="H8144" s="2" t="s">
        <v>20</v>
      </c>
      <c r="I8144" s="2" t="s">
        <v>16857</v>
      </c>
      <c r="J8144" s="3" t="str">
        <f>HYPERLINK("https://www.boe.es/gazeta/dias/1813/01/19/pdfs/GRE-1813-8.pdf#page=3","Abrir facsímil")</f>
        <v>Abrir facsímil</v>
      </c>
      <c r="K8144" s="3" t="s">
        <v>22</v>
      </c>
    </row>
    <row r="8145" spans="1:11" ht="42" customHeight="1">
      <c r="A8145" s="2" t="s">
        <v>16858</v>
      </c>
      <c r="B8145" s="2" t="s">
        <v>16859</v>
      </c>
      <c r="C8145" s="2" t="s">
        <v>16</v>
      </c>
      <c r="D8145" s="2" t="s">
        <v>17</v>
      </c>
      <c r="E8145" s="5">
        <v>-31679</v>
      </c>
      <c r="F8145" s="3" t="s">
        <v>571</v>
      </c>
      <c r="G8145" s="3" t="s">
        <v>2884</v>
      </c>
      <c r="H8145" s="2" t="s">
        <v>20</v>
      </c>
      <c r="I8145" s="2" t="s">
        <v>16860</v>
      </c>
      <c r="J8145" s="3" t="str">
        <f>HYPERLINK("https://www.boe.es/gazeta/dias/1813/04/06/pdfs/GRE-1813-42.pdf#page=7","Abrir facsímil")</f>
        <v>Abrir facsímil</v>
      </c>
      <c r="K8145" s="3" t="s">
        <v>22</v>
      </c>
    </row>
    <row r="8146" spans="1:11" ht="42" customHeight="1">
      <c r="A8146" s="2" t="s">
        <v>16861</v>
      </c>
      <c r="B8146" s="2" t="s">
        <v>16862</v>
      </c>
      <c r="C8146" s="2" t="s">
        <v>16</v>
      </c>
      <c r="D8146" s="2" t="s">
        <v>17</v>
      </c>
      <c r="E8146" s="5">
        <v>-31432</v>
      </c>
      <c r="F8146" s="3" t="s">
        <v>702</v>
      </c>
      <c r="G8146" s="3" t="s">
        <v>87</v>
      </c>
      <c r="H8146" s="2" t="s">
        <v>20</v>
      </c>
      <c r="I8146" s="2" t="s">
        <v>16863</v>
      </c>
      <c r="J8146" s="3" t="str">
        <f>HYPERLINK("https://www.boe.es/gazeta/dias/1813/12/09/pdfs/GMR-1813-85.pdf#page=7","Abrir facsímil")</f>
        <v>Abrir facsímil</v>
      </c>
      <c r="K8146" s="3" t="s">
        <v>22</v>
      </c>
    </row>
    <row r="8147" spans="1:11" ht="42" customHeight="1">
      <c r="A8147" s="2" t="s">
        <v>16864</v>
      </c>
      <c r="B8147" s="2" t="s">
        <v>16864</v>
      </c>
      <c r="C8147" s="2" t="s">
        <v>16</v>
      </c>
      <c r="D8147" s="2" t="s">
        <v>17</v>
      </c>
      <c r="E8147" s="5">
        <v>-31455</v>
      </c>
      <c r="F8147" s="3" t="s">
        <v>693</v>
      </c>
      <c r="G8147" s="3" t="s">
        <v>87</v>
      </c>
      <c r="H8147" s="2" t="s">
        <v>20</v>
      </c>
      <c r="I8147" s="2" t="s">
        <v>16865</v>
      </c>
      <c r="J8147" s="3" t="str">
        <f>HYPERLINK("https://www.boe.es/gazeta/dias/1813/11/16/pdfs/GRE-1813-150.pdf#page=7","Abrir facsímil")</f>
        <v>Abrir facsímil</v>
      </c>
      <c r="K8147" s="3" t="s">
        <v>22</v>
      </c>
    </row>
    <row r="8148" spans="1:11" ht="42" customHeight="1">
      <c r="A8148" s="2" t="s">
        <v>16866</v>
      </c>
      <c r="B8148" s="2" t="s">
        <v>16866</v>
      </c>
      <c r="C8148" s="2" t="s">
        <v>16</v>
      </c>
      <c r="D8148" s="2" t="s">
        <v>17</v>
      </c>
      <c r="E8148" s="5">
        <v>-31693</v>
      </c>
      <c r="F8148" s="3" t="s">
        <v>3950</v>
      </c>
      <c r="G8148" s="3" t="s">
        <v>65</v>
      </c>
      <c r="H8148" s="2" t="s">
        <v>20</v>
      </c>
      <c r="I8148" s="2" t="s">
        <v>16867</v>
      </c>
      <c r="J8148" s="3" t="str">
        <f>HYPERLINK("https://www.boe.es/gazeta/dias/1813/03/23/pdfs/GRE-1813-36.pdf#page=1","Abrir facsímil")</f>
        <v>Abrir facsímil</v>
      </c>
      <c r="K8148" s="3" t="s">
        <v>22</v>
      </c>
    </row>
    <row r="8149" spans="1:11" ht="42" customHeight="1">
      <c r="A8149" s="2" t="s">
        <v>16868</v>
      </c>
      <c r="B8149" s="2" t="s">
        <v>16868</v>
      </c>
      <c r="C8149" s="2" t="s">
        <v>16</v>
      </c>
      <c r="D8149" s="2" t="s">
        <v>17</v>
      </c>
      <c r="E8149" s="5">
        <v>-31774</v>
      </c>
      <c r="F8149" s="3" t="s">
        <v>3665</v>
      </c>
      <c r="G8149" s="3" t="s">
        <v>19</v>
      </c>
      <c r="H8149" s="2" t="s">
        <v>20</v>
      </c>
      <c r="I8149" s="2" t="s">
        <v>16869</v>
      </c>
      <c r="J8149" s="3" t="str">
        <f>HYPERLINK("https://www.boe.es/gazeta/dias/1813/01/01/pdfs/GMD-1813-1.pdf#page=4","Abrir facsímil")</f>
        <v>Abrir facsímil</v>
      </c>
      <c r="K8149" s="3" t="s">
        <v>22</v>
      </c>
    </row>
    <row r="8150" spans="1:11" ht="42" customHeight="1">
      <c r="A8150" s="2" t="s">
        <v>16870</v>
      </c>
      <c r="B8150" s="2" t="s">
        <v>16870</v>
      </c>
      <c r="C8150" s="2" t="s">
        <v>16</v>
      </c>
      <c r="D8150" s="2" t="s">
        <v>17</v>
      </c>
      <c r="E8150" s="5">
        <v>-31521</v>
      </c>
      <c r="F8150" s="3" t="s">
        <v>1256</v>
      </c>
      <c r="G8150" s="3" t="s">
        <v>58</v>
      </c>
      <c r="H8150" s="2" t="s">
        <v>20</v>
      </c>
      <c r="I8150" s="2" t="s">
        <v>16871</v>
      </c>
      <c r="J8150" s="3" t="str">
        <f>HYPERLINK("https://www.boe.es/gazeta/dias/1813/09/11/pdfs/GRE-1813-116.pdf#page=2","Abrir facsímil")</f>
        <v>Abrir facsímil</v>
      </c>
      <c r="K8150" s="3" t="s">
        <v>22</v>
      </c>
    </row>
    <row r="8151" spans="1:11" ht="42" customHeight="1">
      <c r="A8151" s="2" t="s">
        <v>16870</v>
      </c>
      <c r="B8151" s="2" t="s">
        <v>16870</v>
      </c>
      <c r="C8151" s="2" t="s">
        <v>16</v>
      </c>
      <c r="D8151" s="2" t="s">
        <v>17</v>
      </c>
      <c r="E8151" s="5">
        <v>-31521</v>
      </c>
      <c r="F8151" s="3" t="s">
        <v>1256</v>
      </c>
      <c r="G8151" s="3" t="s">
        <v>54</v>
      </c>
      <c r="H8151" s="2" t="s">
        <v>20</v>
      </c>
      <c r="I8151" s="2" t="s">
        <v>16872</v>
      </c>
      <c r="J8151" s="3" t="str">
        <f>HYPERLINK("https://www.boe.es/gazeta/dias/1813/09/11/pdfs/GRE-1813-116.pdf#page=3","Abrir facsímil")</f>
        <v>Abrir facsímil</v>
      </c>
      <c r="K8151" s="3" t="s">
        <v>22</v>
      </c>
    </row>
    <row r="8152" spans="1:11" ht="42" customHeight="1">
      <c r="A8152" s="2" t="s">
        <v>16873</v>
      </c>
      <c r="B8152" s="2" t="s">
        <v>16873</v>
      </c>
      <c r="C8152" s="2" t="s">
        <v>16</v>
      </c>
      <c r="D8152" s="2" t="s">
        <v>17</v>
      </c>
      <c r="E8152" s="5">
        <v>-31582</v>
      </c>
      <c r="F8152" s="3" t="s">
        <v>907</v>
      </c>
      <c r="G8152" s="3" t="s">
        <v>19</v>
      </c>
      <c r="H8152" s="2" t="s">
        <v>20</v>
      </c>
      <c r="I8152" s="2" t="s">
        <v>16874</v>
      </c>
      <c r="J8152" s="3" t="str">
        <f>HYPERLINK("https://www.boe.es/gazeta/dias/1813/07/12/pdfs/GRE-1813-87.pdf#page=4","Abrir facsímil")</f>
        <v>Abrir facsímil</v>
      </c>
      <c r="K8152" s="3" t="s">
        <v>22</v>
      </c>
    </row>
    <row r="8153" spans="1:11" ht="42" customHeight="1">
      <c r="A8153" s="2" t="s">
        <v>16873</v>
      </c>
      <c r="B8153" s="2" t="s">
        <v>16873</v>
      </c>
      <c r="C8153" s="2" t="s">
        <v>16</v>
      </c>
      <c r="D8153" s="2" t="s">
        <v>17</v>
      </c>
      <c r="E8153" s="5">
        <v>-31571</v>
      </c>
      <c r="F8153" s="3" t="s">
        <v>788</v>
      </c>
      <c r="G8153" s="3" t="s">
        <v>2657</v>
      </c>
      <c r="H8153" s="2" t="s">
        <v>20</v>
      </c>
      <c r="I8153" s="2" t="s">
        <v>16875</v>
      </c>
      <c r="J8153" s="3" t="str">
        <f>HYPERLINK("https://www.boe.es/gazeta/dias/1813/07/23/pdfs/GMR-1813-20.pdf#page=11","Abrir facsímil")</f>
        <v>Abrir facsímil</v>
      </c>
      <c r="K8153" s="3" t="s">
        <v>22</v>
      </c>
    </row>
    <row r="8154" spans="1:11" ht="42" customHeight="1">
      <c r="A8154" s="2" t="s">
        <v>16876</v>
      </c>
      <c r="B8154" s="2" t="s">
        <v>16876</v>
      </c>
      <c r="C8154" s="2" t="s">
        <v>16</v>
      </c>
      <c r="D8154" s="2" t="s">
        <v>97</v>
      </c>
      <c r="E8154" s="5">
        <v>-31479</v>
      </c>
      <c r="F8154" s="3" t="s">
        <v>290</v>
      </c>
      <c r="G8154" s="3" t="s">
        <v>65</v>
      </c>
      <c r="H8154" s="2" t="s">
        <v>20</v>
      </c>
      <c r="I8154" s="2" t="s">
        <v>16877</v>
      </c>
      <c r="J8154" s="3" t="str">
        <f>HYPERLINK("https://www.boe.es/gazeta/dias/1813/10/23/pdfs/GRE-1813-139E.pdf#page=1","Abrir facsímil")</f>
        <v>Abrir facsímil</v>
      </c>
      <c r="K8154" s="3" t="s">
        <v>22</v>
      </c>
    </row>
    <row r="8155" spans="1:11" ht="42" customHeight="1">
      <c r="A8155" s="2" t="s">
        <v>16876</v>
      </c>
      <c r="B8155" s="2" t="s">
        <v>16876</v>
      </c>
      <c r="C8155" s="2" t="s">
        <v>16</v>
      </c>
      <c r="D8155" s="2" t="s">
        <v>17</v>
      </c>
      <c r="E8155" s="5">
        <v>-31427</v>
      </c>
      <c r="F8155" s="3" t="s">
        <v>1822</v>
      </c>
      <c r="G8155" s="3" t="s">
        <v>28</v>
      </c>
      <c r="H8155" s="2" t="s">
        <v>20</v>
      </c>
      <c r="I8155" s="2" t="s">
        <v>16878</v>
      </c>
      <c r="J8155" s="3" t="str">
        <f>HYPERLINK("https://www.boe.es/gazeta/dias/1813/12/14/pdfs/GRE-1813-164.pdf#page=8","Abrir facsímil")</f>
        <v>Abrir facsímil</v>
      </c>
      <c r="K8155" s="3" t="s">
        <v>22</v>
      </c>
    </row>
    <row r="8156" spans="1:11" ht="42" customHeight="1">
      <c r="A8156" s="2" t="s">
        <v>16879</v>
      </c>
      <c r="B8156" s="2" t="s">
        <v>16879</v>
      </c>
      <c r="C8156" s="2" t="s">
        <v>16</v>
      </c>
      <c r="D8156" s="2" t="s">
        <v>17</v>
      </c>
      <c r="E8156" s="5">
        <v>-31467</v>
      </c>
      <c r="F8156" s="3" t="s">
        <v>120</v>
      </c>
      <c r="G8156" s="3" t="s">
        <v>19</v>
      </c>
      <c r="H8156" s="2" t="s">
        <v>20</v>
      </c>
      <c r="I8156" s="2" t="s">
        <v>16880</v>
      </c>
      <c r="J8156" s="3" t="str">
        <f>HYPERLINK("https://www.boe.es/gazeta/dias/1813/11/04/pdfs/GMR-1813-68.pdf#page=4","Abrir facsímil")</f>
        <v>Abrir facsímil</v>
      </c>
      <c r="K8156" s="3" t="s">
        <v>22</v>
      </c>
    </row>
    <row r="8157" spans="1:11" ht="42" customHeight="1">
      <c r="A8157" s="2" t="s">
        <v>16881</v>
      </c>
      <c r="B8157" s="2" t="s">
        <v>16881</v>
      </c>
      <c r="C8157" s="2" t="s">
        <v>16</v>
      </c>
      <c r="D8157" s="2" t="s">
        <v>17</v>
      </c>
      <c r="E8157" s="5">
        <v>-31745</v>
      </c>
      <c r="F8157" s="3" t="s">
        <v>445</v>
      </c>
      <c r="G8157" s="3" t="s">
        <v>58</v>
      </c>
      <c r="H8157" s="2" t="s">
        <v>20</v>
      </c>
      <c r="I8157" s="2" t="s">
        <v>16882</v>
      </c>
      <c r="J8157" s="3" t="str">
        <f>HYPERLINK("https://www.boe.es/gazeta/dias/1813/01/30/pdfs/GRE-1813-13.pdf#page=2","Abrir facsímil")</f>
        <v>Abrir facsímil</v>
      </c>
      <c r="K8157" s="3" t="s">
        <v>22</v>
      </c>
    </row>
    <row r="8158" spans="1:11" ht="42" customHeight="1">
      <c r="A8158" s="2" t="s">
        <v>16881</v>
      </c>
      <c r="B8158" s="2" t="s">
        <v>16881</v>
      </c>
      <c r="C8158" s="2" t="s">
        <v>16</v>
      </c>
      <c r="D8158" s="2" t="s">
        <v>17</v>
      </c>
      <c r="E8158" s="5">
        <v>-31458</v>
      </c>
      <c r="F8158" s="3" t="s">
        <v>1171</v>
      </c>
      <c r="G8158" s="3" t="s">
        <v>58</v>
      </c>
      <c r="H8158" s="2" t="s">
        <v>20</v>
      </c>
      <c r="I8158" s="2" t="s">
        <v>16883</v>
      </c>
      <c r="J8158" s="3" t="str">
        <f>HYPERLINK("https://www.boe.es/gazeta/dias/1813/11/13/pdfs/GRE-1813-149.pdf#page=2","Abrir facsímil")</f>
        <v>Abrir facsímil</v>
      </c>
      <c r="K8158" s="3" t="s">
        <v>22</v>
      </c>
    </row>
    <row r="8159" spans="1:11" ht="42" customHeight="1">
      <c r="A8159" s="2" t="s">
        <v>16884</v>
      </c>
      <c r="B8159" s="2" t="s">
        <v>16885</v>
      </c>
      <c r="C8159" s="2" t="s">
        <v>16</v>
      </c>
      <c r="D8159" s="2" t="s">
        <v>17</v>
      </c>
      <c r="E8159" s="5">
        <v>-31523</v>
      </c>
      <c r="F8159" s="3" t="s">
        <v>81</v>
      </c>
      <c r="G8159" s="3" t="s">
        <v>7774</v>
      </c>
      <c r="H8159" s="2" t="s">
        <v>20</v>
      </c>
      <c r="I8159" s="2" t="s">
        <v>16886</v>
      </c>
      <c r="J8159" s="3" t="str">
        <f>HYPERLINK("https://www.boe.es/gazeta/dias/1813/09/09/pdfs/GRE-1813-115.pdf#page=7","Abrir facsímil")</f>
        <v>Abrir facsímil</v>
      </c>
      <c r="K8159" s="3" t="s">
        <v>22</v>
      </c>
    </row>
    <row r="8160" spans="1:11" ht="42" customHeight="1">
      <c r="A8160" s="2" t="s">
        <v>16887</v>
      </c>
      <c r="B8160" s="2" t="s">
        <v>16888</v>
      </c>
      <c r="C8160" s="2" t="s">
        <v>16</v>
      </c>
      <c r="D8160" s="2" t="s">
        <v>17</v>
      </c>
      <c r="E8160" s="5">
        <v>-31574</v>
      </c>
      <c r="F8160" s="3" t="s">
        <v>1343</v>
      </c>
      <c r="G8160" s="3" t="s">
        <v>1344</v>
      </c>
      <c r="H8160" s="2" t="s">
        <v>20</v>
      </c>
      <c r="I8160" s="2" t="s">
        <v>16889</v>
      </c>
      <c r="J8160" s="3" t="str">
        <f>HYPERLINK("https://www.boe.es/gazeta/dias/1813/07/20/pdfs/GMR-1813-19.pdf#page=12","Abrir facsímil")</f>
        <v>Abrir facsímil</v>
      </c>
      <c r="K8160" s="3" t="s">
        <v>22</v>
      </c>
    </row>
    <row r="8161" spans="1:11" ht="42" customHeight="1">
      <c r="A8161" s="2" t="s">
        <v>16890</v>
      </c>
      <c r="B8161" s="2" t="s">
        <v>16891</v>
      </c>
      <c r="C8161" s="2" t="s">
        <v>16</v>
      </c>
      <c r="D8161" s="2" t="s">
        <v>17</v>
      </c>
      <c r="E8161" s="5">
        <v>-31549</v>
      </c>
      <c r="F8161" s="3" t="s">
        <v>294</v>
      </c>
      <c r="G8161" s="3" t="s">
        <v>19</v>
      </c>
      <c r="H8161" s="2" t="s">
        <v>20</v>
      </c>
      <c r="I8161" s="2" t="s">
        <v>16892</v>
      </c>
      <c r="J8161" s="3" t="str">
        <f>HYPERLINK("https://www.boe.es/gazeta/dias/1813/08/14/pdfs/GRE-1813-103.pdf#page=4","Abrir facsímil")</f>
        <v>Abrir facsímil</v>
      </c>
      <c r="K8161" s="3" t="s">
        <v>22</v>
      </c>
    </row>
    <row r="8162" spans="1:11" ht="42" customHeight="1">
      <c r="A8162" s="2" t="s">
        <v>16893</v>
      </c>
      <c r="B8162" s="2" t="s">
        <v>16894</v>
      </c>
      <c r="C8162" s="2" t="s">
        <v>16</v>
      </c>
      <c r="D8162" s="2" t="s">
        <v>17</v>
      </c>
      <c r="E8162" s="5">
        <v>-31582</v>
      </c>
      <c r="F8162" s="3" t="s">
        <v>907</v>
      </c>
      <c r="G8162" s="3" t="s">
        <v>87</v>
      </c>
      <c r="H8162" s="2" t="s">
        <v>20</v>
      </c>
      <c r="I8162" s="2" t="s">
        <v>16895</v>
      </c>
      <c r="J8162" s="3" t="str">
        <f>HYPERLINK("https://www.boe.es/gazeta/dias/1813/07/12/pdfs/GRE-1813-87.pdf#page=7","Abrir facsímil")</f>
        <v>Abrir facsímil</v>
      </c>
      <c r="K8162" s="3" t="s">
        <v>22</v>
      </c>
    </row>
    <row r="8163" spans="1:11" ht="42" customHeight="1">
      <c r="A8163" s="2" t="s">
        <v>16896</v>
      </c>
      <c r="B8163" s="2" t="s">
        <v>16897</v>
      </c>
      <c r="C8163" s="2" t="s">
        <v>16</v>
      </c>
      <c r="D8163" s="2" t="s">
        <v>17</v>
      </c>
      <c r="E8163" s="5">
        <v>-31592</v>
      </c>
      <c r="F8163" s="3" t="s">
        <v>175</v>
      </c>
      <c r="G8163" s="3" t="s">
        <v>82</v>
      </c>
      <c r="H8163" s="2" t="s">
        <v>20</v>
      </c>
      <c r="I8163" s="2" t="s">
        <v>16898</v>
      </c>
      <c r="J8163" s="3" t="str">
        <f>HYPERLINK("https://www.boe.es/gazeta/dias/1813/07/02/pdfs/GRE-1813-82.pdf#page=5","Abrir facsímil")</f>
        <v>Abrir facsímil</v>
      </c>
      <c r="K8163" s="3" t="s">
        <v>22</v>
      </c>
    </row>
    <row r="8164" spans="1:11" ht="42" customHeight="1">
      <c r="A8164" s="2" t="s">
        <v>16896</v>
      </c>
      <c r="B8164" s="2" t="s">
        <v>16897</v>
      </c>
      <c r="C8164" s="2" t="s">
        <v>187</v>
      </c>
      <c r="D8164" s="2" t="s">
        <v>97</v>
      </c>
      <c r="E8164" s="5">
        <v>-31445</v>
      </c>
      <c r="F8164" s="3" t="s">
        <v>299</v>
      </c>
      <c r="G8164" s="3" t="s">
        <v>87</v>
      </c>
      <c r="H8164" s="2" t="s">
        <v>20</v>
      </c>
      <c r="I8164" s="2" t="s">
        <v>16899</v>
      </c>
      <c r="J8164" s="3" t="str">
        <f>HYPERLINK("https://www.boe.es/gazeta/dias/1813/11/26/pdfs/GRE-1813-156E.pdf#page=7","Abrir facsímil")</f>
        <v>Abrir facsímil</v>
      </c>
      <c r="K8164" s="3" t="s">
        <v>22</v>
      </c>
    </row>
    <row r="8165" spans="1:11" ht="42" customHeight="1">
      <c r="A8165" s="2" t="s">
        <v>16900</v>
      </c>
      <c r="B8165" s="2" t="s">
        <v>16900</v>
      </c>
      <c r="C8165" s="2" t="s">
        <v>16</v>
      </c>
      <c r="D8165" s="2" t="s">
        <v>17</v>
      </c>
      <c r="E8165" s="5">
        <v>-31626</v>
      </c>
      <c r="F8165" s="3" t="s">
        <v>64</v>
      </c>
      <c r="G8165" s="3" t="s">
        <v>65</v>
      </c>
      <c r="H8165" s="2" t="s">
        <v>20</v>
      </c>
      <c r="I8165" s="2" t="s">
        <v>16901</v>
      </c>
      <c r="J8165" s="3" t="str">
        <f>HYPERLINK("https://www.boe.es/gazeta/dias/1813/05/29/pdfs/GRE-1813-66.pdf#page=1","Abrir facsímil")</f>
        <v>Abrir facsímil</v>
      </c>
      <c r="K8165" s="3" t="s">
        <v>22</v>
      </c>
    </row>
    <row r="8166" spans="1:11" ht="42" customHeight="1">
      <c r="A8166" s="2" t="s">
        <v>16902</v>
      </c>
      <c r="B8166" s="2" t="s">
        <v>16902</v>
      </c>
      <c r="C8166" s="2" t="s">
        <v>16</v>
      </c>
      <c r="D8166" s="2" t="s">
        <v>17</v>
      </c>
      <c r="E8166" s="5">
        <v>-31659</v>
      </c>
      <c r="F8166" s="3" t="s">
        <v>3041</v>
      </c>
      <c r="G8166" s="3" t="s">
        <v>65</v>
      </c>
      <c r="H8166" s="2" t="s">
        <v>20</v>
      </c>
      <c r="I8166" s="2" t="s">
        <v>16903</v>
      </c>
      <c r="J8166" s="3" t="str">
        <f>HYPERLINK("https://www.boe.es/gazeta/dias/1813/04/26/pdfs/GMD-1813-116.pdf#page=1","Abrir facsímil")</f>
        <v>Abrir facsímil</v>
      </c>
      <c r="K8166" s="3" t="s">
        <v>22</v>
      </c>
    </row>
    <row r="8167" spans="1:11" ht="42" customHeight="1">
      <c r="A8167" s="2" t="s">
        <v>16902</v>
      </c>
      <c r="B8167" s="2" t="s">
        <v>16902</v>
      </c>
      <c r="C8167" s="2" t="s">
        <v>16</v>
      </c>
      <c r="D8167" s="2" t="s">
        <v>17</v>
      </c>
      <c r="E8167" s="5">
        <v>-31654</v>
      </c>
      <c r="F8167" s="3" t="s">
        <v>852</v>
      </c>
      <c r="G8167" s="3" t="s">
        <v>65</v>
      </c>
      <c r="H8167" s="2" t="s">
        <v>20</v>
      </c>
      <c r="I8167" s="2" t="s">
        <v>16904</v>
      </c>
      <c r="J8167" s="3" t="str">
        <f>HYPERLINK("https://www.boe.es/gazeta/dias/1813/05/01/pdfs/GMD-1813-121.pdf#page=1","Abrir facsímil")</f>
        <v>Abrir facsímil</v>
      </c>
      <c r="K8167" s="3" t="s">
        <v>22</v>
      </c>
    </row>
    <row r="8168" spans="1:11" ht="42" customHeight="1">
      <c r="A8168" s="2" t="s">
        <v>16905</v>
      </c>
      <c r="B8168" s="2" t="s">
        <v>16905</v>
      </c>
      <c r="C8168" s="2" t="s">
        <v>16</v>
      </c>
      <c r="D8168" s="2" t="s">
        <v>17</v>
      </c>
      <c r="E8168" s="5">
        <v>-31654</v>
      </c>
      <c r="F8168" s="3" t="s">
        <v>852</v>
      </c>
      <c r="G8168" s="3" t="s">
        <v>58</v>
      </c>
      <c r="H8168" s="2" t="s">
        <v>20</v>
      </c>
      <c r="I8168" s="2" t="s">
        <v>16906</v>
      </c>
      <c r="J8168" s="3" t="str">
        <f>HYPERLINK("https://www.boe.es/gazeta/dias/1813/05/01/pdfs/GMD-1813-121.pdf#page=2","Abrir facsímil")</f>
        <v>Abrir facsímil</v>
      </c>
      <c r="K8168" s="3" t="s">
        <v>22</v>
      </c>
    </row>
    <row r="8169" spans="1:11" ht="42" customHeight="1">
      <c r="A8169" s="2" t="s">
        <v>16907</v>
      </c>
      <c r="B8169" s="2" t="s">
        <v>16907</v>
      </c>
      <c r="C8169" s="2" t="s">
        <v>16</v>
      </c>
      <c r="D8169" s="2" t="s">
        <v>17</v>
      </c>
      <c r="E8169" s="5">
        <v>-31551</v>
      </c>
      <c r="F8169" s="3" t="s">
        <v>954</v>
      </c>
      <c r="G8169" s="3" t="s">
        <v>65</v>
      </c>
      <c r="H8169" s="2" t="s">
        <v>20</v>
      </c>
      <c r="I8169" s="2" t="s">
        <v>16908</v>
      </c>
      <c r="J8169" s="3" t="str">
        <f>HYPERLINK("https://www.boe.es/gazeta/dias/1813/08/12/pdfs/GMR-1813-27.pdf#page=1","Abrir facsímil")</f>
        <v>Abrir facsímil</v>
      </c>
      <c r="K8169" s="3" t="s">
        <v>22</v>
      </c>
    </row>
    <row r="8170" spans="1:11" ht="42" customHeight="1">
      <c r="A8170" s="2" t="s">
        <v>16909</v>
      </c>
      <c r="B8170" s="2" t="s">
        <v>16909</v>
      </c>
      <c r="C8170" s="2" t="s">
        <v>16</v>
      </c>
      <c r="D8170" s="2" t="s">
        <v>17</v>
      </c>
      <c r="E8170" s="5">
        <v>-31544</v>
      </c>
      <c r="F8170" s="3" t="s">
        <v>200</v>
      </c>
      <c r="G8170" s="3" t="s">
        <v>3017</v>
      </c>
      <c r="H8170" s="2" t="s">
        <v>20</v>
      </c>
      <c r="I8170" s="2" t="s">
        <v>16910</v>
      </c>
      <c r="J8170" s="3" t="str">
        <f>HYPERLINK("https://www.boe.es/gazeta/dias/1813/08/19/pdfs/GRE-1813-106.pdf#page=4","Abrir facsímil")</f>
        <v>Abrir facsímil</v>
      </c>
      <c r="K8170" s="3" t="s">
        <v>22</v>
      </c>
    </row>
    <row r="8171" spans="1:11" ht="42" customHeight="1">
      <c r="A8171" s="2" t="s">
        <v>16911</v>
      </c>
      <c r="B8171" s="2" t="s">
        <v>16912</v>
      </c>
      <c r="C8171" s="2" t="s">
        <v>16</v>
      </c>
      <c r="D8171" s="2" t="s">
        <v>17</v>
      </c>
      <c r="E8171" s="5">
        <v>-31544</v>
      </c>
      <c r="F8171" s="3" t="s">
        <v>44</v>
      </c>
      <c r="G8171" s="3" t="s">
        <v>95</v>
      </c>
      <c r="H8171" s="2" t="s">
        <v>20</v>
      </c>
      <c r="I8171" s="2" t="s">
        <v>16913</v>
      </c>
      <c r="J8171" s="3" t="str">
        <f>HYPERLINK("https://www.boe.es/gazeta/dias/1813/08/19/pdfs/GMR-1813-30.pdf#page=6","Abrir facsímil")</f>
        <v>Abrir facsímil</v>
      </c>
      <c r="K8171" s="3" t="s">
        <v>22</v>
      </c>
    </row>
    <row r="8172" spans="1:11" ht="42" customHeight="1">
      <c r="A8172" s="2" t="s">
        <v>16914</v>
      </c>
      <c r="B8172" s="2" t="s">
        <v>16914</v>
      </c>
      <c r="C8172" s="2" t="s">
        <v>16</v>
      </c>
      <c r="D8172" s="2" t="s">
        <v>17</v>
      </c>
      <c r="E8172" s="5">
        <v>-31537</v>
      </c>
      <c r="F8172" s="3" t="s">
        <v>138</v>
      </c>
      <c r="G8172" s="3" t="s">
        <v>178</v>
      </c>
      <c r="H8172" s="2" t="s">
        <v>20</v>
      </c>
      <c r="I8172" s="2" t="s">
        <v>16915</v>
      </c>
      <c r="J8172" s="3" t="str">
        <f>HYPERLINK("https://www.boe.es/gazeta/dias/1813/08/26/pdfs/GMR-1813-33.pdf#page=11","Abrir facsímil")</f>
        <v>Abrir facsímil</v>
      </c>
      <c r="K8172" s="3" t="s">
        <v>22</v>
      </c>
    </row>
    <row r="8173" spans="1:11" ht="42" customHeight="1">
      <c r="A8173" s="2" t="s">
        <v>16914</v>
      </c>
      <c r="B8173" s="2" t="s">
        <v>16914</v>
      </c>
      <c r="C8173" s="2" t="s">
        <v>16</v>
      </c>
      <c r="D8173" s="2" t="s">
        <v>17</v>
      </c>
      <c r="E8173" s="5">
        <v>-31537</v>
      </c>
      <c r="F8173" s="3" t="s">
        <v>138</v>
      </c>
      <c r="G8173" s="3" t="s">
        <v>258</v>
      </c>
      <c r="H8173" s="2" t="s">
        <v>20</v>
      </c>
      <c r="I8173" s="2" t="s">
        <v>16916</v>
      </c>
      <c r="J8173" s="3" t="str">
        <f>HYPERLINK("https://www.boe.es/gazeta/dias/1813/08/26/pdfs/GMR-1813-33.pdf#page=12","Abrir facsímil")</f>
        <v>Abrir facsímil</v>
      </c>
      <c r="K8173" s="3" t="s">
        <v>22</v>
      </c>
    </row>
    <row r="8174" spans="1:11" ht="42" customHeight="1">
      <c r="A8174" s="2" t="s">
        <v>16914</v>
      </c>
      <c r="B8174" s="2" t="s">
        <v>16914</v>
      </c>
      <c r="C8174" s="2" t="s">
        <v>16</v>
      </c>
      <c r="D8174" s="2" t="s">
        <v>17</v>
      </c>
      <c r="E8174" s="5">
        <v>-31537</v>
      </c>
      <c r="F8174" s="3" t="s">
        <v>138</v>
      </c>
      <c r="G8174" s="3" t="s">
        <v>87</v>
      </c>
      <c r="H8174" s="2" t="s">
        <v>20</v>
      </c>
      <c r="I8174" s="2" t="s">
        <v>16917</v>
      </c>
      <c r="J8174" s="3" t="str">
        <f>HYPERLINK("https://www.boe.es/gazeta/dias/1813/08/26/pdfs/GMR-1813-33.pdf#page=7","Abrir facsímil")</f>
        <v>Abrir facsímil</v>
      </c>
      <c r="K8174" s="3" t="s">
        <v>22</v>
      </c>
    </row>
    <row r="8175" spans="1:11" ht="42" customHeight="1">
      <c r="A8175" s="2" t="s">
        <v>16914</v>
      </c>
      <c r="B8175" s="2" t="s">
        <v>16914</v>
      </c>
      <c r="C8175" s="2" t="s">
        <v>16</v>
      </c>
      <c r="D8175" s="2" t="s">
        <v>17</v>
      </c>
      <c r="E8175" s="5">
        <v>-31537</v>
      </c>
      <c r="F8175" s="3" t="s">
        <v>138</v>
      </c>
      <c r="G8175" s="3" t="s">
        <v>28</v>
      </c>
      <c r="H8175" s="2" t="s">
        <v>20</v>
      </c>
      <c r="I8175" s="2" t="s">
        <v>16918</v>
      </c>
      <c r="J8175" s="3" t="str">
        <f>HYPERLINK("https://www.boe.es/gazeta/dias/1813/08/26/pdfs/GMR-1813-33.pdf#page=8","Abrir facsímil")</f>
        <v>Abrir facsímil</v>
      </c>
      <c r="K8175" s="3" t="s">
        <v>22</v>
      </c>
    </row>
    <row r="8176" spans="1:11" ht="42" customHeight="1">
      <c r="A8176" s="2" t="s">
        <v>16919</v>
      </c>
      <c r="B8176" s="2" t="s">
        <v>16920</v>
      </c>
      <c r="C8176" s="2" t="s">
        <v>16</v>
      </c>
      <c r="D8176" s="2" t="s">
        <v>17</v>
      </c>
      <c r="E8176" s="5">
        <v>-31525</v>
      </c>
      <c r="F8176" s="3" t="s">
        <v>1131</v>
      </c>
      <c r="G8176" s="3" t="s">
        <v>1406</v>
      </c>
      <c r="H8176" s="2" t="s">
        <v>20</v>
      </c>
      <c r="I8176" s="2" t="s">
        <v>16921</v>
      </c>
      <c r="J8176" s="3" t="str">
        <f>HYPERLINK("https://www.boe.es/gazeta/dias/1813/09/07/pdfs/GRE-1813-114.pdf#page=5","Abrir facsímil")</f>
        <v>Abrir facsímil</v>
      </c>
      <c r="K8176" s="3" t="s">
        <v>22</v>
      </c>
    </row>
    <row r="8177" spans="1:11" ht="42" customHeight="1">
      <c r="A8177" s="2" t="s">
        <v>16922</v>
      </c>
      <c r="B8177" s="2" t="s">
        <v>16922</v>
      </c>
      <c r="C8177" s="2" t="s">
        <v>16</v>
      </c>
      <c r="D8177" s="2" t="s">
        <v>17</v>
      </c>
      <c r="E8177" s="5">
        <v>-31595</v>
      </c>
      <c r="F8177" s="3" t="s">
        <v>70</v>
      </c>
      <c r="G8177" s="3" t="s">
        <v>19</v>
      </c>
      <c r="H8177" s="2" t="s">
        <v>20</v>
      </c>
      <c r="I8177" s="2" t="s">
        <v>16923</v>
      </c>
      <c r="J8177" s="3" t="str">
        <f>HYPERLINK("https://www.boe.es/gazeta/dias/1813/06/29/pdfs/GMR-1813-13.pdf#page=4","Abrir facsímil")</f>
        <v>Abrir facsímil</v>
      </c>
      <c r="K8177" s="3" t="s">
        <v>22</v>
      </c>
    </row>
    <row r="8178" spans="1:11" ht="42" customHeight="1">
      <c r="A8178" s="2" t="s">
        <v>16924</v>
      </c>
      <c r="B8178" s="2" t="s">
        <v>16924</v>
      </c>
      <c r="C8178" s="2" t="s">
        <v>16</v>
      </c>
      <c r="D8178" s="2" t="s">
        <v>97</v>
      </c>
      <c r="E8178" s="5">
        <v>-31446</v>
      </c>
      <c r="F8178" s="3" t="s">
        <v>1877</v>
      </c>
      <c r="G8178" s="3" t="s">
        <v>1948</v>
      </c>
      <c r="H8178" s="2" t="s">
        <v>20</v>
      </c>
      <c r="I8178" s="2" t="s">
        <v>16925</v>
      </c>
      <c r="J8178" s="3" t="str">
        <f>HYPERLINK("https://www.boe.es/gazeta/dias/1813/11/25/pdfs/GRE-1813-155E.pdf#page=7","Abrir facsímil")</f>
        <v>Abrir facsímil</v>
      </c>
      <c r="K8178" s="3" t="s">
        <v>22</v>
      </c>
    </row>
    <row r="8179" spans="1:11" ht="42" customHeight="1">
      <c r="A8179" s="2" t="s">
        <v>16926</v>
      </c>
      <c r="B8179" s="2" t="s">
        <v>16926</v>
      </c>
      <c r="C8179" s="2" t="s">
        <v>16</v>
      </c>
      <c r="D8179" s="2" t="s">
        <v>17</v>
      </c>
      <c r="E8179" s="5">
        <v>-31677</v>
      </c>
      <c r="F8179" s="3" t="s">
        <v>76</v>
      </c>
      <c r="G8179" s="3" t="s">
        <v>8102</v>
      </c>
      <c r="H8179" s="2" t="s">
        <v>20</v>
      </c>
      <c r="I8179" s="2" t="s">
        <v>16927</v>
      </c>
      <c r="J8179" s="3" t="str">
        <f>HYPERLINK("https://www.boe.es/gazeta/dias/1813/04/08/pdfs/GRE-1813-43.pdf#page=2","Abrir facsímil")</f>
        <v>Abrir facsímil</v>
      </c>
      <c r="K8179" s="3" t="s">
        <v>22</v>
      </c>
    </row>
    <row r="8180" spans="1:11" ht="42" customHeight="1">
      <c r="A8180" s="2" t="s">
        <v>16928</v>
      </c>
      <c r="B8180" s="2" t="s">
        <v>16928</v>
      </c>
      <c r="C8180" s="2" t="s">
        <v>16</v>
      </c>
      <c r="D8180" s="2" t="s">
        <v>17</v>
      </c>
      <c r="E8180" s="5">
        <v>-31773</v>
      </c>
      <c r="F8180" s="3" t="s">
        <v>3667</v>
      </c>
      <c r="G8180" s="3" t="s">
        <v>3375</v>
      </c>
      <c r="H8180" s="2" t="s">
        <v>20</v>
      </c>
      <c r="I8180" s="2" t="s">
        <v>16929</v>
      </c>
      <c r="J8180" s="3" t="str">
        <f>HYPERLINK("https://www.boe.es/gazeta/dias/1813/01/02/pdfs/GRE-1813-1.pdf#page=3","Abrir facsímil")</f>
        <v>Abrir facsímil</v>
      </c>
      <c r="K8180" s="3" t="s">
        <v>22</v>
      </c>
    </row>
    <row r="8181" spans="1:11" ht="42" customHeight="1">
      <c r="A8181" s="2" t="s">
        <v>16930</v>
      </c>
      <c r="B8181" s="2" t="s">
        <v>16930</v>
      </c>
      <c r="C8181" s="2" t="s">
        <v>16</v>
      </c>
      <c r="D8181" s="2" t="s">
        <v>17</v>
      </c>
      <c r="E8181" s="5">
        <v>-31766</v>
      </c>
      <c r="F8181" s="3" t="s">
        <v>1356</v>
      </c>
      <c r="G8181" s="3" t="s">
        <v>4701</v>
      </c>
      <c r="H8181" s="2" t="s">
        <v>20</v>
      </c>
      <c r="I8181" s="2" t="s">
        <v>16931</v>
      </c>
      <c r="J8181" s="3" t="str">
        <f>HYPERLINK("https://www.boe.es/gazeta/dias/1813/01/09/pdfs/GRE-1813-4.pdf#page=4","Abrir facsímil")</f>
        <v>Abrir facsímil</v>
      </c>
      <c r="K8181" s="3" t="s">
        <v>22</v>
      </c>
    </row>
    <row r="8182" spans="1:11" ht="42" customHeight="1">
      <c r="A8182" s="2" t="s">
        <v>16932</v>
      </c>
      <c r="B8182" s="2" t="s">
        <v>16932</v>
      </c>
      <c r="C8182" s="2" t="s">
        <v>16</v>
      </c>
      <c r="D8182" s="2" t="s">
        <v>17</v>
      </c>
      <c r="E8182" s="5">
        <v>-31698</v>
      </c>
      <c r="F8182" s="3" t="s">
        <v>470</v>
      </c>
      <c r="G8182" s="3" t="s">
        <v>19</v>
      </c>
      <c r="H8182" s="2" t="s">
        <v>20</v>
      </c>
      <c r="I8182" s="2" t="s">
        <v>16933</v>
      </c>
      <c r="J8182" s="3" t="str">
        <f>HYPERLINK("https://www.boe.es/gazeta/dias/1813/03/18/pdfs/GRE-1813-34.pdf#page=4","Abrir facsímil")</f>
        <v>Abrir facsímil</v>
      </c>
      <c r="K8182" s="3" t="s">
        <v>22</v>
      </c>
    </row>
    <row r="8183" spans="1:11" ht="42" customHeight="1">
      <c r="A8183" s="2" t="s">
        <v>16928</v>
      </c>
      <c r="B8183" s="2" t="s">
        <v>16928</v>
      </c>
      <c r="C8183" s="2" t="s">
        <v>16</v>
      </c>
      <c r="D8183" s="2" t="s">
        <v>17</v>
      </c>
      <c r="E8183" s="5">
        <v>-31679</v>
      </c>
      <c r="F8183" s="3" t="s">
        <v>571</v>
      </c>
      <c r="G8183" s="3" t="s">
        <v>54</v>
      </c>
      <c r="H8183" s="2" t="s">
        <v>20</v>
      </c>
      <c r="I8183" s="2" t="s">
        <v>16934</v>
      </c>
      <c r="J8183" s="3" t="str">
        <f>HYPERLINK("https://www.boe.es/gazeta/dias/1813/04/06/pdfs/GRE-1813-42.pdf#page=3","Abrir facsímil")</f>
        <v>Abrir facsímil</v>
      </c>
      <c r="K8183" s="3" t="s">
        <v>22</v>
      </c>
    </row>
    <row r="8184" spans="1:11" ht="42" customHeight="1">
      <c r="A8184" s="2" t="s">
        <v>16928</v>
      </c>
      <c r="B8184" s="2" t="s">
        <v>16928</v>
      </c>
      <c r="C8184" s="2" t="s">
        <v>16</v>
      </c>
      <c r="D8184" s="2" t="s">
        <v>17</v>
      </c>
      <c r="E8184" s="5">
        <v>-31679</v>
      </c>
      <c r="F8184" s="3" t="s">
        <v>571</v>
      </c>
      <c r="G8184" s="3" t="s">
        <v>95</v>
      </c>
      <c r="H8184" s="2" t="s">
        <v>20</v>
      </c>
      <c r="I8184" s="2" t="s">
        <v>16935</v>
      </c>
      <c r="J8184" s="3" t="str">
        <f>HYPERLINK("https://www.boe.es/gazeta/dias/1813/04/06/pdfs/GRE-1813-42.pdf#page=6","Abrir facsímil")</f>
        <v>Abrir facsímil</v>
      </c>
      <c r="K8184" s="3" t="s">
        <v>22</v>
      </c>
    </row>
    <row r="8185" spans="1:11" ht="42" customHeight="1">
      <c r="A8185" s="2" t="s">
        <v>16928</v>
      </c>
      <c r="B8185" s="2" t="s">
        <v>16928</v>
      </c>
      <c r="C8185" s="2" t="s">
        <v>16</v>
      </c>
      <c r="D8185" s="2" t="s">
        <v>17</v>
      </c>
      <c r="E8185" s="5">
        <v>-31654</v>
      </c>
      <c r="F8185" s="3" t="s">
        <v>1519</v>
      </c>
      <c r="G8185" s="3" t="s">
        <v>54</v>
      </c>
      <c r="H8185" s="2" t="s">
        <v>20</v>
      </c>
      <c r="I8185" s="2" t="s">
        <v>16936</v>
      </c>
      <c r="J8185" s="3" t="str">
        <f>HYPERLINK("https://www.boe.es/gazeta/dias/1813/05/01/pdfs/GRE-1813-54.pdf#page=3","Abrir facsímil")</f>
        <v>Abrir facsímil</v>
      </c>
      <c r="K8185" s="3" t="s">
        <v>22</v>
      </c>
    </row>
    <row r="8186" spans="1:11" ht="42" customHeight="1">
      <c r="A8186" s="2" t="s">
        <v>16928</v>
      </c>
      <c r="B8186" s="2" t="s">
        <v>16928</v>
      </c>
      <c r="C8186" s="2" t="s">
        <v>16</v>
      </c>
      <c r="D8186" s="2" t="s">
        <v>17</v>
      </c>
      <c r="E8186" s="5">
        <v>-31613</v>
      </c>
      <c r="F8186" s="3" t="s">
        <v>1629</v>
      </c>
      <c r="G8186" s="3" t="s">
        <v>54</v>
      </c>
      <c r="H8186" s="2" t="s">
        <v>20</v>
      </c>
      <c r="I8186" s="2" t="s">
        <v>16937</v>
      </c>
      <c r="J8186" s="3" t="str">
        <f>HYPERLINK("https://www.boe.es/gazeta/dias/1813/06/11/pdfs/GMR-1813-4.pdf#page=3","Abrir facsímil")</f>
        <v>Abrir facsímil</v>
      </c>
      <c r="K8186" s="3" t="s">
        <v>22</v>
      </c>
    </row>
    <row r="8187" spans="1:11" ht="42" customHeight="1">
      <c r="A8187" s="2" t="s">
        <v>16928</v>
      </c>
      <c r="B8187" s="2" t="s">
        <v>16928</v>
      </c>
      <c r="C8187" s="2" t="s">
        <v>16</v>
      </c>
      <c r="D8187" s="2" t="s">
        <v>17</v>
      </c>
      <c r="E8187" s="5">
        <v>-31595</v>
      </c>
      <c r="F8187" s="3" t="s">
        <v>70</v>
      </c>
      <c r="G8187" s="3" t="s">
        <v>82</v>
      </c>
      <c r="H8187" s="2" t="s">
        <v>20</v>
      </c>
      <c r="I8187" s="2" t="s">
        <v>16938</v>
      </c>
      <c r="J8187" s="3" t="str">
        <f>HYPERLINK("https://www.boe.es/gazeta/dias/1813/06/29/pdfs/GMR-1813-13.pdf#page=5","Abrir facsímil")</f>
        <v>Abrir facsímil</v>
      </c>
      <c r="K8187" s="3" t="s">
        <v>22</v>
      </c>
    </row>
    <row r="8188" spans="1:11" ht="42" customHeight="1">
      <c r="A8188" s="2" t="s">
        <v>16928</v>
      </c>
      <c r="B8188" s="2" t="s">
        <v>16928</v>
      </c>
      <c r="C8188" s="2" t="s">
        <v>16</v>
      </c>
      <c r="D8188" s="2" t="s">
        <v>17</v>
      </c>
      <c r="E8188" s="5">
        <v>-31509</v>
      </c>
      <c r="F8188" s="3" t="s">
        <v>2007</v>
      </c>
      <c r="G8188" s="3" t="s">
        <v>2008</v>
      </c>
      <c r="H8188" s="2" t="s">
        <v>20</v>
      </c>
      <c r="I8188" s="2" t="s">
        <v>16939</v>
      </c>
      <c r="J8188" s="3" t="str">
        <f>HYPERLINK("https://www.boe.es/gazeta/dias/1813/09/23/pdfs/GRE-1813-125.pdf#page=6","Abrir facsímil")</f>
        <v>Abrir facsímil</v>
      </c>
      <c r="K8188" s="3" t="s">
        <v>22</v>
      </c>
    </row>
    <row r="8189" spans="1:11" ht="42" customHeight="1">
      <c r="A8189" s="2" t="s">
        <v>16928</v>
      </c>
      <c r="B8189" s="2" t="s">
        <v>16928</v>
      </c>
      <c r="C8189" s="2" t="s">
        <v>16</v>
      </c>
      <c r="D8189" s="2" t="s">
        <v>17</v>
      </c>
      <c r="E8189" s="5">
        <v>-31507</v>
      </c>
      <c r="F8189" s="3" t="s">
        <v>61</v>
      </c>
      <c r="G8189" s="3" t="s">
        <v>65</v>
      </c>
      <c r="H8189" s="2" t="s">
        <v>20</v>
      </c>
      <c r="I8189" s="2" t="s">
        <v>16940</v>
      </c>
      <c r="J8189" s="3" t="str">
        <f>HYPERLINK("https://www.boe.es/gazeta/dias/1813/09/25/pdfs/GMR-1813-48.pdf#page=1","Abrir facsímil")</f>
        <v>Abrir facsímil</v>
      </c>
      <c r="K8189" s="3" t="s">
        <v>22</v>
      </c>
    </row>
    <row r="8190" spans="1:11" ht="42" customHeight="1">
      <c r="A8190" s="2" t="s">
        <v>16928</v>
      </c>
      <c r="B8190" s="2" t="s">
        <v>16928</v>
      </c>
      <c r="C8190" s="2" t="s">
        <v>16</v>
      </c>
      <c r="D8190" s="2" t="s">
        <v>97</v>
      </c>
      <c r="E8190" s="5">
        <v>-31499</v>
      </c>
      <c r="F8190" s="3" t="s">
        <v>220</v>
      </c>
      <c r="G8190" s="3" t="s">
        <v>58</v>
      </c>
      <c r="H8190" s="2" t="s">
        <v>20</v>
      </c>
      <c r="I8190" s="2" t="s">
        <v>16941</v>
      </c>
      <c r="J8190" s="3" t="str">
        <f>HYPERLINK("https://www.boe.es/gazeta/dias/1813/10/03/pdfs/GMR-1813-53E.pdf#page=2","Abrir facsímil")</f>
        <v>Abrir facsímil</v>
      </c>
      <c r="K8190" s="3" t="s">
        <v>22</v>
      </c>
    </row>
    <row r="8191" spans="1:11" ht="42" customHeight="1">
      <c r="A8191" s="2" t="s">
        <v>16928</v>
      </c>
      <c r="B8191" s="2" t="s">
        <v>16928</v>
      </c>
      <c r="C8191" s="2" t="s">
        <v>16</v>
      </c>
      <c r="D8191" s="2" t="s">
        <v>17</v>
      </c>
      <c r="E8191" s="5">
        <v>-31446</v>
      </c>
      <c r="F8191" s="3" t="s">
        <v>1078</v>
      </c>
      <c r="G8191" s="3" t="s">
        <v>19</v>
      </c>
      <c r="H8191" s="2" t="s">
        <v>20</v>
      </c>
      <c r="I8191" s="2" t="s">
        <v>16942</v>
      </c>
      <c r="J8191" s="3" t="str">
        <f>HYPERLINK("https://www.boe.es/gazeta/dias/1813/11/25/pdfs/GRE-1813-154.pdf#page=4","Abrir facsímil")</f>
        <v>Abrir facsímil</v>
      </c>
      <c r="K8191" s="3" t="s">
        <v>22</v>
      </c>
    </row>
    <row r="8192" spans="1:11" ht="42" customHeight="1">
      <c r="A8192" s="2" t="s">
        <v>16932</v>
      </c>
      <c r="B8192" s="2" t="s">
        <v>16932</v>
      </c>
      <c r="C8192" s="2" t="s">
        <v>16</v>
      </c>
      <c r="D8192" s="2" t="s">
        <v>17</v>
      </c>
      <c r="E8192" s="5">
        <v>-31446</v>
      </c>
      <c r="F8192" s="3" t="s">
        <v>1078</v>
      </c>
      <c r="G8192" s="3" t="s">
        <v>82</v>
      </c>
      <c r="H8192" s="2" t="s">
        <v>20</v>
      </c>
      <c r="I8192" s="2" t="s">
        <v>16943</v>
      </c>
      <c r="J8192" s="3" t="str">
        <f>HYPERLINK("https://www.boe.es/gazeta/dias/1813/11/25/pdfs/GRE-1813-154.pdf#page=5","Abrir facsímil")</f>
        <v>Abrir facsímil</v>
      </c>
      <c r="K8192" s="3" t="s">
        <v>22</v>
      </c>
    </row>
    <row r="8193" spans="1:11" ht="42" customHeight="1">
      <c r="A8193" s="2" t="s">
        <v>16928</v>
      </c>
      <c r="B8193" s="2" t="s">
        <v>16928</v>
      </c>
      <c r="C8193" s="2" t="s">
        <v>16</v>
      </c>
      <c r="D8193" s="2" t="s">
        <v>97</v>
      </c>
      <c r="E8193" s="5">
        <v>-31446</v>
      </c>
      <c r="F8193" s="3" t="s">
        <v>1877</v>
      </c>
      <c r="G8193" s="3" t="s">
        <v>19</v>
      </c>
      <c r="H8193" s="2" t="s">
        <v>20</v>
      </c>
      <c r="I8193" s="2" t="s">
        <v>16944</v>
      </c>
      <c r="J8193" s="3" t="str">
        <f>HYPERLINK("https://www.boe.es/gazeta/dias/1813/11/25/pdfs/GRE-1813-155E.pdf#page=4","Abrir facsímil")</f>
        <v>Abrir facsímil</v>
      </c>
      <c r="K8193" s="3" t="s">
        <v>22</v>
      </c>
    </row>
    <row r="8194" spans="1:11" ht="42" customHeight="1">
      <c r="A8194" s="2" t="s">
        <v>16928</v>
      </c>
      <c r="B8194" s="2" t="s">
        <v>16928</v>
      </c>
      <c r="C8194" s="2" t="s">
        <v>16</v>
      </c>
      <c r="D8194" s="2" t="s">
        <v>17</v>
      </c>
      <c r="E8194" s="5">
        <v>-31441</v>
      </c>
      <c r="F8194" s="3" t="s">
        <v>1933</v>
      </c>
      <c r="G8194" s="3" t="s">
        <v>54</v>
      </c>
      <c r="H8194" s="2" t="s">
        <v>20</v>
      </c>
      <c r="I8194" s="2" t="s">
        <v>16945</v>
      </c>
      <c r="J8194" s="3" t="str">
        <f>HYPERLINK("https://www.boe.es/gazeta/dias/1813/11/30/pdfs/GMR-1813-81.pdf#page=3","Abrir facsímil")</f>
        <v>Abrir facsímil</v>
      </c>
      <c r="K8194" s="3" t="s">
        <v>22</v>
      </c>
    </row>
    <row r="8195" spans="1:11" ht="42" customHeight="1">
      <c r="A8195" s="2" t="s">
        <v>16928</v>
      </c>
      <c r="B8195" s="2" t="s">
        <v>16928</v>
      </c>
      <c r="C8195" s="2" t="s">
        <v>16</v>
      </c>
      <c r="D8195" s="2" t="s">
        <v>17</v>
      </c>
      <c r="E8195" s="5">
        <v>-31427</v>
      </c>
      <c r="F8195" s="3" t="s">
        <v>489</v>
      </c>
      <c r="G8195" s="3" t="s">
        <v>54</v>
      </c>
      <c r="H8195" s="2" t="s">
        <v>20</v>
      </c>
      <c r="I8195" s="2" t="s">
        <v>16946</v>
      </c>
      <c r="J8195" s="3" t="str">
        <f>HYPERLINK("https://www.boe.es/gazeta/dias/1813/12/14/pdfs/GMR-1813-87.pdf#page=3","Abrir facsímil")</f>
        <v>Abrir facsímil</v>
      </c>
      <c r="K8195" s="3" t="s">
        <v>22</v>
      </c>
    </row>
    <row r="8196" spans="1:11" ht="42" customHeight="1">
      <c r="A8196" s="2" t="s">
        <v>16928</v>
      </c>
      <c r="B8196" s="2" t="s">
        <v>16928</v>
      </c>
      <c r="C8196" s="2" t="s">
        <v>16</v>
      </c>
      <c r="D8196" s="2" t="s">
        <v>17</v>
      </c>
      <c r="E8196" s="5">
        <v>-31425</v>
      </c>
      <c r="F8196" s="3" t="s">
        <v>1955</v>
      </c>
      <c r="G8196" s="3" t="s">
        <v>82</v>
      </c>
      <c r="H8196" s="2" t="s">
        <v>20</v>
      </c>
      <c r="I8196" s="2" t="s">
        <v>16947</v>
      </c>
      <c r="J8196" s="3" t="str">
        <f>HYPERLINK("https://www.boe.es/gazeta/dias/1813/12/16/pdfs/GMR-1813-88.pdf#page=5","Abrir facsímil")</f>
        <v>Abrir facsímil</v>
      </c>
      <c r="K8196" s="3" t="s">
        <v>22</v>
      </c>
    </row>
    <row r="8197" spans="1:11" ht="42" customHeight="1">
      <c r="A8197" s="2" t="s">
        <v>16928</v>
      </c>
      <c r="B8197" s="2" t="s">
        <v>16928</v>
      </c>
      <c r="C8197" s="2" t="s">
        <v>16</v>
      </c>
      <c r="D8197" s="2" t="s">
        <v>17</v>
      </c>
      <c r="E8197" s="5">
        <v>-31420</v>
      </c>
      <c r="F8197" s="3" t="s">
        <v>145</v>
      </c>
      <c r="G8197" s="3" t="s">
        <v>65</v>
      </c>
      <c r="H8197" s="2" t="s">
        <v>20</v>
      </c>
      <c r="I8197" s="2" t="s">
        <v>16948</v>
      </c>
      <c r="J8197" s="3" t="str">
        <f>HYPERLINK("https://www.boe.es/gazeta/dias/1813/12/21/pdfs/GMR-1813-90.pdf#page=1","Abrir facsímil")</f>
        <v>Abrir facsímil</v>
      </c>
      <c r="K8197" s="3" t="s">
        <v>22</v>
      </c>
    </row>
    <row r="8198" spans="1:11" ht="42" customHeight="1">
      <c r="A8198" s="2" t="s">
        <v>16928</v>
      </c>
      <c r="B8198" s="2" t="s">
        <v>16928</v>
      </c>
      <c r="C8198" s="2" t="s">
        <v>16</v>
      </c>
      <c r="D8198" s="2" t="s">
        <v>17</v>
      </c>
      <c r="E8198" s="5">
        <v>-31420</v>
      </c>
      <c r="F8198" s="3" t="s">
        <v>145</v>
      </c>
      <c r="G8198" s="3" t="s">
        <v>58</v>
      </c>
      <c r="H8198" s="2" t="s">
        <v>20</v>
      </c>
      <c r="I8198" s="2" t="s">
        <v>16949</v>
      </c>
      <c r="J8198" s="3" t="str">
        <f>HYPERLINK("https://www.boe.es/gazeta/dias/1813/12/21/pdfs/GMR-1813-90.pdf#page=2","Abrir facsímil")</f>
        <v>Abrir facsímil</v>
      </c>
      <c r="K8198" s="3" t="s">
        <v>22</v>
      </c>
    </row>
    <row r="8199" spans="1:11" ht="42" customHeight="1">
      <c r="A8199" s="2" t="s">
        <v>16928</v>
      </c>
      <c r="B8199" s="2" t="s">
        <v>16928</v>
      </c>
      <c r="C8199" s="2" t="s">
        <v>16</v>
      </c>
      <c r="D8199" s="2" t="s">
        <v>17</v>
      </c>
      <c r="E8199" s="5">
        <v>-31420</v>
      </c>
      <c r="F8199" s="3" t="s">
        <v>145</v>
      </c>
      <c r="G8199" s="3" t="s">
        <v>19</v>
      </c>
      <c r="H8199" s="2" t="s">
        <v>20</v>
      </c>
      <c r="I8199" s="2" t="s">
        <v>16950</v>
      </c>
      <c r="J8199" s="3" t="str">
        <f>HYPERLINK("https://www.boe.es/gazeta/dias/1813/12/21/pdfs/GMR-1813-90.pdf#page=4","Abrir facsímil")</f>
        <v>Abrir facsímil</v>
      </c>
      <c r="K8199" s="3" t="s">
        <v>22</v>
      </c>
    </row>
    <row r="8200" spans="1:11" ht="42" customHeight="1">
      <c r="A8200" s="2" t="s">
        <v>16928</v>
      </c>
      <c r="B8200" s="2" t="s">
        <v>16928</v>
      </c>
      <c r="C8200" s="2" t="s">
        <v>16</v>
      </c>
      <c r="D8200" s="2" t="s">
        <v>17</v>
      </c>
      <c r="E8200" s="5">
        <v>-31418</v>
      </c>
      <c r="F8200" s="3" t="s">
        <v>147</v>
      </c>
      <c r="G8200" s="3" t="s">
        <v>65</v>
      </c>
      <c r="H8200" s="2" t="s">
        <v>20</v>
      </c>
      <c r="I8200" s="2" t="s">
        <v>16951</v>
      </c>
      <c r="J8200" s="3" t="str">
        <f>HYPERLINK("https://www.boe.es/gazeta/dias/1813/12/23/pdfs/GRE-1813-168.pdf#page=1","Abrir facsímil")</f>
        <v>Abrir facsímil</v>
      </c>
      <c r="K8200" s="3" t="s">
        <v>22</v>
      </c>
    </row>
    <row r="8201" spans="1:11" ht="42" customHeight="1">
      <c r="A8201" s="2" t="s">
        <v>16952</v>
      </c>
      <c r="B8201" s="2" t="s">
        <v>16952</v>
      </c>
      <c r="C8201" s="2" t="s">
        <v>16</v>
      </c>
      <c r="D8201" s="2" t="s">
        <v>17</v>
      </c>
      <c r="E8201" s="5">
        <v>-31481</v>
      </c>
      <c r="F8201" s="3" t="s">
        <v>40</v>
      </c>
      <c r="G8201" s="3" t="s">
        <v>1894</v>
      </c>
      <c r="H8201" s="2" t="s">
        <v>20</v>
      </c>
      <c r="I8201" s="2" t="s">
        <v>16953</v>
      </c>
      <c r="J8201" s="3" t="str">
        <f>HYPERLINK("https://www.boe.es/gazeta/dias/1813/10/21/pdfs/GMR-1813-62.pdf#page=4","Abrir facsímil")</f>
        <v>Abrir facsímil</v>
      </c>
      <c r="K8201" s="3" t="s">
        <v>22</v>
      </c>
    </row>
    <row r="8202" spans="1:11" ht="42" customHeight="1">
      <c r="A8202" s="2" t="s">
        <v>16954</v>
      </c>
      <c r="B8202" s="2" t="s">
        <v>16954</v>
      </c>
      <c r="C8202" s="2" t="s">
        <v>16</v>
      </c>
      <c r="D8202" s="2" t="s">
        <v>17</v>
      </c>
      <c r="E8202" s="5">
        <v>-31474</v>
      </c>
      <c r="F8202" s="3" t="s">
        <v>130</v>
      </c>
      <c r="G8202" s="3" t="s">
        <v>87</v>
      </c>
      <c r="H8202" s="2" t="s">
        <v>20</v>
      </c>
      <c r="I8202" s="2" t="s">
        <v>16955</v>
      </c>
      <c r="J8202" s="3" t="str">
        <f>HYPERLINK("https://www.boe.es/gazeta/dias/1813/10/28/pdfs/GRE-1813-141.pdf#page=7","Abrir facsímil")</f>
        <v>Abrir facsímil</v>
      </c>
      <c r="K8202" s="3" t="s">
        <v>22</v>
      </c>
    </row>
    <row r="8203" spans="1:11" ht="42" customHeight="1">
      <c r="A8203" s="2" t="s">
        <v>16956</v>
      </c>
      <c r="B8203" s="2" t="s">
        <v>16956</v>
      </c>
      <c r="C8203" s="2" t="s">
        <v>16</v>
      </c>
      <c r="D8203" s="2" t="s">
        <v>17</v>
      </c>
      <c r="E8203" s="5">
        <v>-31469</v>
      </c>
      <c r="F8203" s="3" t="s">
        <v>1452</v>
      </c>
      <c r="G8203" s="3" t="s">
        <v>19</v>
      </c>
      <c r="H8203" s="2" t="s">
        <v>20</v>
      </c>
      <c r="I8203" s="2" t="s">
        <v>16957</v>
      </c>
      <c r="J8203" s="3" t="str">
        <f>HYPERLINK("https://www.boe.es/gazeta/dias/1813/11/02/pdfs/GRE-1813-143.pdf#page=4","Abrir facsímil")</f>
        <v>Abrir facsímil</v>
      </c>
      <c r="K8203" s="3" t="s">
        <v>22</v>
      </c>
    </row>
    <row r="8204" spans="1:11" ht="42" customHeight="1">
      <c r="A8204" s="2" t="s">
        <v>16958</v>
      </c>
      <c r="B8204" s="2" t="s">
        <v>16958</v>
      </c>
      <c r="C8204" s="2" t="s">
        <v>16</v>
      </c>
      <c r="D8204" s="2" t="s">
        <v>17</v>
      </c>
      <c r="E8204" s="5">
        <v>-31451</v>
      </c>
      <c r="F8204" s="3" t="s">
        <v>2325</v>
      </c>
      <c r="G8204" s="3" t="s">
        <v>58</v>
      </c>
      <c r="H8204" s="2" t="s">
        <v>20</v>
      </c>
      <c r="I8204" s="2" t="s">
        <v>16959</v>
      </c>
      <c r="J8204" s="3" t="str">
        <f>HYPERLINK("https://www.boe.es/gazeta/dias/1813/11/20/pdfs/GMR-1813-77.pdf#page=2","Abrir facsímil")</f>
        <v>Abrir facsímil</v>
      </c>
      <c r="K8204" s="3" t="s">
        <v>22</v>
      </c>
    </row>
    <row r="8205" spans="1:11" ht="42" customHeight="1">
      <c r="A8205" s="2" t="s">
        <v>16960</v>
      </c>
      <c r="B8205" s="2" t="s">
        <v>16961</v>
      </c>
      <c r="C8205" s="2" t="s">
        <v>16</v>
      </c>
      <c r="D8205" s="2" t="s">
        <v>17</v>
      </c>
      <c r="E8205" s="5">
        <v>-31558</v>
      </c>
      <c r="F8205" s="3" t="s">
        <v>1288</v>
      </c>
      <c r="G8205" s="3" t="s">
        <v>95</v>
      </c>
      <c r="H8205" s="2" t="s">
        <v>20</v>
      </c>
      <c r="I8205" s="2" t="s">
        <v>16962</v>
      </c>
      <c r="J8205" s="3" t="str">
        <f>HYPERLINK("https://www.boe.es/gazeta/dias/1813/08/05/pdfs/GMR-1813-24.pdf#page=6","Abrir facsímil")</f>
        <v>Abrir facsímil</v>
      </c>
      <c r="K8205" s="3" t="s">
        <v>22</v>
      </c>
    </row>
    <row r="8206" spans="1:11" ht="42" customHeight="1">
      <c r="A8206" s="2" t="s">
        <v>16963</v>
      </c>
      <c r="B8206" s="2" t="s">
        <v>16963</v>
      </c>
      <c r="C8206" s="2" t="s">
        <v>16</v>
      </c>
      <c r="D8206" s="2" t="s">
        <v>17</v>
      </c>
      <c r="E8206" s="5">
        <v>-31595</v>
      </c>
      <c r="F8206" s="3" t="s">
        <v>1319</v>
      </c>
      <c r="G8206" s="3" t="s">
        <v>58</v>
      </c>
      <c r="H8206" s="2" t="s">
        <v>20</v>
      </c>
      <c r="I8206" s="2" t="s">
        <v>16964</v>
      </c>
      <c r="J8206" s="3" t="str">
        <f>HYPERLINK("https://www.boe.es/gazeta/dias/1813/06/29/pdfs/GRE-1813-80.pdf#page=2","Abrir facsímil")</f>
        <v>Abrir facsímil</v>
      </c>
      <c r="K8206" s="3" t="s">
        <v>22</v>
      </c>
    </row>
    <row r="8207" spans="1:11" ht="42" customHeight="1">
      <c r="A8207" s="2" t="s">
        <v>16965</v>
      </c>
      <c r="B8207" s="2" t="s">
        <v>16965</v>
      </c>
      <c r="C8207" s="2" t="s">
        <v>16</v>
      </c>
      <c r="D8207" s="2" t="s">
        <v>17</v>
      </c>
      <c r="E8207" s="5">
        <v>-31599</v>
      </c>
      <c r="F8207" s="3" t="s">
        <v>2470</v>
      </c>
      <c r="G8207" s="3" t="s">
        <v>82</v>
      </c>
      <c r="H8207" s="2" t="s">
        <v>20</v>
      </c>
      <c r="I8207" s="2" t="s">
        <v>16966</v>
      </c>
      <c r="J8207" s="3" t="str">
        <f>HYPERLINK("https://www.boe.es/gazeta/dias/1813/06/25/pdfs/GMR-1813-11.pdf#page=5","Abrir facsímil")</f>
        <v>Abrir facsímil</v>
      </c>
      <c r="K8207" s="3" t="s">
        <v>22</v>
      </c>
    </row>
    <row r="8208" spans="1:11" ht="42" customHeight="1">
      <c r="A8208" s="2" t="s">
        <v>16967</v>
      </c>
      <c r="B8208" s="2" t="s">
        <v>16967</v>
      </c>
      <c r="C8208" s="2" t="s">
        <v>16</v>
      </c>
      <c r="D8208" s="2" t="s">
        <v>17</v>
      </c>
      <c r="E8208" s="5">
        <v>-31656</v>
      </c>
      <c r="F8208" s="3" t="s">
        <v>576</v>
      </c>
      <c r="G8208" s="3" t="s">
        <v>631</v>
      </c>
      <c r="H8208" s="2" t="s">
        <v>20</v>
      </c>
      <c r="I8208" s="2" t="s">
        <v>16968</v>
      </c>
      <c r="J8208" s="3" t="str">
        <f>HYPERLINK("https://www.boe.es/gazeta/dias/1813/04/29/pdfs/GRE-1813-53.pdf#page=5","Abrir facsímil")</f>
        <v>Abrir facsímil</v>
      </c>
      <c r="K8208" s="3" t="s">
        <v>22</v>
      </c>
    </row>
    <row r="8209" spans="1:11" ht="42" customHeight="1">
      <c r="A8209" s="2" t="s">
        <v>16969</v>
      </c>
      <c r="B8209" s="2" t="s">
        <v>16969</v>
      </c>
      <c r="C8209" s="2" t="s">
        <v>16</v>
      </c>
      <c r="D8209" s="2" t="s">
        <v>17</v>
      </c>
      <c r="E8209" s="5">
        <v>-31588</v>
      </c>
      <c r="F8209" s="3" t="s">
        <v>2402</v>
      </c>
      <c r="G8209" s="3" t="s">
        <v>65</v>
      </c>
      <c r="H8209" s="2" t="s">
        <v>20</v>
      </c>
      <c r="I8209" s="2" t="s">
        <v>16970</v>
      </c>
      <c r="J8209" s="3" t="str">
        <f>HYPERLINK("https://www.boe.es/gazeta/dias/1813/07/06/pdfs/GRE-1813-84.pdf#page=1","Abrir facsímil")</f>
        <v>Abrir facsímil</v>
      </c>
      <c r="K8209" s="3" t="s">
        <v>22</v>
      </c>
    </row>
    <row r="8210" spans="1:11" ht="42" customHeight="1">
      <c r="A8210" s="2" t="s">
        <v>16971</v>
      </c>
      <c r="B8210" s="2" t="s">
        <v>16971</v>
      </c>
      <c r="C8210" s="2" t="s">
        <v>16</v>
      </c>
      <c r="D8210" s="2" t="s">
        <v>17</v>
      </c>
      <c r="E8210" s="5">
        <v>-31458</v>
      </c>
      <c r="F8210" s="3" t="s">
        <v>1171</v>
      </c>
      <c r="G8210" s="3" t="s">
        <v>54</v>
      </c>
      <c r="H8210" s="2" t="s">
        <v>20</v>
      </c>
      <c r="I8210" s="2" t="s">
        <v>16972</v>
      </c>
      <c r="J8210" s="3" t="str">
        <f>HYPERLINK("https://www.boe.es/gazeta/dias/1813/11/13/pdfs/GRE-1813-149.pdf#page=3","Abrir facsímil")</f>
        <v>Abrir facsímil</v>
      </c>
      <c r="K8210" s="3" t="s">
        <v>22</v>
      </c>
    </row>
    <row r="8211" spans="1:11" ht="42" customHeight="1">
      <c r="A8211" s="2" t="s">
        <v>16973</v>
      </c>
      <c r="B8211" s="2" t="s">
        <v>16973</v>
      </c>
      <c r="C8211" s="2" t="s">
        <v>16</v>
      </c>
      <c r="D8211" s="2" t="s">
        <v>17</v>
      </c>
      <c r="E8211" s="5">
        <v>-31654</v>
      </c>
      <c r="F8211" s="3" t="s">
        <v>1519</v>
      </c>
      <c r="G8211" s="3" t="s">
        <v>54</v>
      </c>
      <c r="H8211" s="2" t="s">
        <v>20</v>
      </c>
      <c r="I8211" s="2" t="s">
        <v>16974</v>
      </c>
      <c r="J8211" s="3" t="str">
        <f>HYPERLINK("https://www.boe.es/gazeta/dias/1813/05/01/pdfs/GRE-1813-54.pdf#page=3","Abrir facsímil")</f>
        <v>Abrir facsímil</v>
      </c>
      <c r="K8211" s="3" t="s">
        <v>22</v>
      </c>
    </row>
    <row r="8212" spans="1:11" ht="42" customHeight="1">
      <c r="A8212" s="2" t="s">
        <v>16973</v>
      </c>
      <c r="B8212" s="2" t="s">
        <v>16973</v>
      </c>
      <c r="C8212" s="2" t="s">
        <v>16</v>
      </c>
      <c r="D8212" s="2" t="s">
        <v>17</v>
      </c>
      <c r="E8212" s="5">
        <v>-31588</v>
      </c>
      <c r="F8212" s="3" t="s">
        <v>2402</v>
      </c>
      <c r="G8212" s="3" t="s">
        <v>65</v>
      </c>
      <c r="H8212" s="2" t="s">
        <v>20</v>
      </c>
      <c r="I8212" s="2" t="s">
        <v>16975</v>
      </c>
      <c r="J8212" s="3" t="str">
        <f>HYPERLINK("https://www.boe.es/gazeta/dias/1813/07/06/pdfs/GRE-1813-84.pdf#page=1","Abrir facsímil")</f>
        <v>Abrir facsímil</v>
      </c>
      <c r="K8212" s="3" t="s">
        <v>22</v>
      </c>
    </row>
    <row r="8213" spans="1:11" ht="42" customHeight="1">
      <c r="A8213" s="2" t="s">
        <v>16976</v>
      </c>
      <c r="B8213" s="2" t="s">
        <v>16976</v>
      </c>
      <c r="C8213" s="2" t="s">
        <v>16</v>
      </c>
      <c r="D8213" s="2" t="s">
        <v>17</v>
      </c>
      <c r="E8213" s="5">
        <v>-31623</v>
      </c>
      <c r="F8213" s="3" t="s">
        <v>267</v>
      </c>
      <c r="G8213" s="3" t="s">
        <v>65</v>
      </c>
      <c r="H8213" s="2" t="s">
        <v>20</v>
      </c>
      <c r="I8213" s="2" t="s">
        <v>16977</v>
      </c>
      <c r="J8213" s="3" t="str">
        <f>HYPERLINK("https://www.boe.es/gazeta/dias/1813/06/01/pdfs/GRE-1813-67.pdf#page=1","Abrir facsímil")</f>
        <v>Abrir facsímil</v>
      </c>
      <c r="K8213" s="3" t="s">
        <v>22</v>
      </c>
    </row>
    <row r="8214" spans="1:11" ht="42" customHeight="1">
      <c r="A8214" s="2" t="s">
        <v>16978</v>
      </c>
      <c r="B8214" s="2" t="s">
        <v>16978</v>
      </c>
      <c r="C8214" s="2" t="s">
        <v>16</v>
      </c>
      <c r="D8214" s="2" t="s">
        <v>17</v>
      </c>
      <c r="E8214" s="5">
        <v>-31766</v>
      </c>
      <c r="F8214" s="3" t="s">
        <v>1356</v>
      </c>
      <c r="G8214" s="3" t="s">
        <v>4701</v>
      </c>
      <c r="H8214" s="2" t="s">
        <v>20</v>
      </c>
      <c r="I8214" s="2" t="s">
        <v>16979</v>
      </c>
      <c r="J8214" s="3" t="str">
        <f>HYPERLINK("https://www.boe.es/gazeta/dias/1813/01/09/pdfs/GRE-1813-4.pdf#page=4","Abrir facsímil")</f>
        <v>Abrir facsímil</v>
      </c>
      <c r="K8214" s="3" t="s">
        <v>22</v>
      </c>
    </row>
    <row r="8215" spans="1:11" ht="42" customHeight="1">
      <c r="A8215" s="2" t="s">
        <v>16980</v>
      </c>
      <c r="B8215" s="2" t="s">
        <v>16980</v>
      </c>
      <c r="C8215" s="2" t="s">
        <v>16</v>
      </c>
      <c r="D8215" s="2" t="s">
        <v>17</v>
      </c>
      <c r="E8215" s="5">
        <v>-31752</v>
      </c>
      <c r="F8215" s="3" t="s">
        <v>182</v>
      </c>
      <c r="G8215" s="3" t="s">
        <v>54</v>
      </c>
      <c r="H8215" s="2" t="s">
        <v>20</v>
      </c>
      <c r="I8215" s="2" t="s">
        <v>16981</v>
      </c>
      <c r="J8215" s="3" t="str">
        <f>HYPERLINK("https://www.boe.es/gazeta/dias/1813/01/23/pdfs/GRE-1813-10.pdf#page=3","Abrir facsímil")</f>
        <v>Abrir facsímil</v>
      </c>
      <c r="K8215" s="3" t="s">
        <v>22</v>
      </c>
    </row>
    <row r="8216" spans="1:11" ht="42" customHeight="1">
      <c r="A8216" s="2" t="s">
        <v>16982</v>
      </c>
      <c r="B8216" s="2" t="s">
        <v>16982</v>
      </c>
      <c r="C8216" s="2" t="s">
        <v>16</v>
      </c>
      <c r="D8216" s="2" t="s">
        <v>17</v>
      </c>
      <c r="E8216" s="5">
        <v>-31728</v>
      </c>
      <c r="F8216" s="3" t="s">
        <v>1434</v>
      </c>
      <c r="G8216" s="3" t="s">
        <v>12966</v>
      </c>
      <c r="H8216" s="2" t="s">
        <v>20</v>
      </c>
      <c r="I8216" s="2" t="s">
        <v>16983</v>
      </c>
      <c r="J8216" s="3" t="str">
        <f>HYPERLINK("https://www.boe.es/gazeta/dias/1813/02/16/pdfs/GRE-1813-20.pdf#page=4","Abrir facsímil")</f>
        <v>Abrir facsímil</v>
      </c>
      <c r="K8216" s="3" t="s">
        <v>22</v>
      </c>
    </row>
    <row r="8217" spans="1:11" ht="42" customHeight="1">
      <c r="A8217" s="2" t="s">
        <v>16982</v>
      </c>
      <c r="B8217" s="2" t="s">
        <v>16982</v>
      </c>
      <c r="C8217" s="2" t="s">
        <v>16</v>
      </c>
      <c r="D8217" s="2" t="s">
        <v>17</v>
      </c>
      <c r="E8217" s="5">
        <v>-31479</v>
      </c>
      <c r="F8217" s="3" t="s">
        <v>2383</v>
      </c>
      <c r="G8217" s="3" t="s">
        <v>2420</v>
      </c>
      <c r="H8217" s="2" t="s">
        <v>20</v>
      </c>
      <c r="I8217" s="2" t="s">
        <v>16984</v>
      </c>
      <c r="J8217" s="3" t="str">
        <f>HYPERLINK("https://www.boe.es/gazeta/dias/1813/10/23/pdfs/GRE-1813-138.pdf#page=2","Abrir facsímil")</f>
        <v>Abrir facsímil</v>
      </c>
      <c r="K8217" s="3" t="s">
        <v>22</v>
      </c>
    </row>
    <row r="8218" spans="1:11" ht="42" customHeight="1">
      <c r="A8218" s="2" t="s">
        <v>16982</v>
      </c>
      <c r="B8218" s="2" t="s">
        <v>16982</v>
      </c>
      <c r="C8218" s="2" t="s">
        <v>16</v>
      </c>
      <c r="D8218" s="2" t="s">
        <v>17</v>
      </c>
      <c r="E8218" s="5">
        <v>-31458</v>
      </c>
      <c r="F8218" s="3" t="s">
        <v>1171</v>
      </c>
      <c r="G8218" s="3" t="s">
        <v>58</v>
      </c>
      <c r="H8218" s="2" t="s">
        <v>20</v>
      </c>
      <c r="I8218" s="2" t="s">
        <v>16985</v>
      </c>
      <c r="J8218" s="3" t="str">
        <f>HYPERLINK("https://www.boe.es/gazeta/dias/1813/11/13/pdfs/GRE-1813-149.pdf#page=2","Abrir facsímil")</f>
        <v>Abrir facsímil</v>
      </c>
      <c r="K8218" s="3" t="s">
        <v>22</v>
      </c>
    </row>
    <row r="8219" spans="1:11" ht="42" customHeight="1">
      <c r="A8219" s="2" t="s">
        <v>16986</v>
      </c>
      <c r="B8219" s="2" t="s">
        <v>16986</v>
      </c>
      <c r="C8219" s="2" t="s">
        <v>16</v>
      </c>
      <c r="D8219" s="2" t="s">
        <v>17</v>
      </c>
      <c r="E8219" s="5">
        <v>-31649</v>
      </c>
      <c r="F8219" s="3" t="s">
        <v>1057</v>
      </c>
      <c r="G8219" s="3" t="s">
        <v>65</v>
      </c>
      <c r="H8219" s="2" t="s">
        <v>20</v>
      </c>
      <c r="I8219" s="2" t="s">
        <v>16987</v>
      </c>
      <c r="J8219" s="3" t="str">
        <f>HYPERLINK("https://www.boe.es/gazeta/dias/1813/05/06/pdfs/GRE-1813-56.pdf#page=1","Abrir facsímil")</f>
        <v>Abrir facsímil</v>
      </c>
      <c r="K8219" s="3" t="s">
        <v>22</v>
      </c>
    </row>
    <row r="8220" spans="1:11" ht="42" customHeight="1">
      <c r="A8220" s="2" t="s">
        <v>16986</v>
      </c>
      <c r="B8220" s="2" t="s">
        <v>16986</v>
      </c>
      <c r="C8220" s="2" t="s">
        <v>16</v>
      </c>
      <c r="D8220" s="2" t="s">
        <v>17</v>
      </c>
      <c r="E8220" s="5">
        <v>-31618</v>
      </c>
      <c r="F8220" s="3" t="s">
        <v>1057</v>
      </c>
      <c r="G8220" s="3" t="s">
        <v>65</v>
      </c>
      <c r="H8220" s="2" t="s">
        <v>20</v>
      </c>
      <c r="I8220" s="2" t="s">
        <v>16987</v>
      </c>
      <c r="J8220" s="3" t="str">
        <f>HYPERLINK("https://www.boe.es/gazeta/dias/1813/06/06/pdfs/GRE-1813-56.pdf#page=1","Abrir facsímil")</f>
        <v>Abrir facsímil</v>
      </c>
      <c r="K8220" s="3" t="s">
        <v>22</v>
      </c>
    </row>
    <row r="8221" spans="1:11" ht="42" customHeight="1">
      <c r="A8221" s="2" t="s">
        <v>16988</v>
      </c>
      <c r="B8221" s="2" t="s">
        <v>16988</v>
      </c>
      <c r="C8221" s="2" t="s">
        <v>16</v>
      </c>
      <c r="D8221" s="2" t="s">
        <v>17</v>
      </c>
      <c r="E8221" s="5">
        <v>-31630</v>
      </c>
      <c r="F8221" s="3" t="s">
        <v>1324</v>
      </c>
      <c r="G8221" s="3" t="s">
        <v>58</v>
      </c>
      <c r="H8221" s="2" t="s">
        <v>20</v>
      </c>
      <c r="I8221" s="2" t="s">
        <v>16989</v>
      </c>
      <c r="J8221" s="3" t="str">
        <f>HYPERLINK("https://www.boe.es/gazeta/dias/1813/05/25/pdfs/GRE-1813-64.pdf#page=2","Abrir facsímil")</f>
        <v>Abrir facsímil</v>
      </c>
      <c r="K8221" s="3" t="s">
        <v>22</v>
      </c>
    </row>
    <row r="8222" spans="1:11" ht="42" customHeight="1">
      <c r="A8222" s="2" t="s">
        <v>16990</v>
      </c>
      <c r="B8222" s="2" t="s">
        <v>16990</v>
      </c>
      <c r="C8222" s="2" t="s">
        <v>16</v>
      </c>
      <c r="D8222" s="2" t="s">
        <v>17</v>
      </c>
      <c r="E8222" s="5">
        <v>-31731</v>
      </c>
      <c r="F8222" s="3" t="s">
        <v>866</v>
      </c>
      <c r="G8222" s="3" t="s">
        <v>54</v>
      </c>
      <c r="H8222" s="2" t="s">
        <v>20</v>
      </c>
      <c r="I8222" s="2" t="s">
        <v>16991</v>
      </c>
      <c r="J8222" s="3" t="str">
        <f>HYPERLINK("https://www.boe.es/gazeta/dias/1813/02/13/pdfs/GRE-1813-19.pdf#page=3","Abrir facsímil")</f>
        <v>Abrir facsímil</v>
      </c>
      <c r="K8222" s="3" t="s">
        <v>22</v>
      </c>
    </row>
    <row r="8223" spans="1:11" ht="42" customHeight="1">
      <c r="A8223" s="2" t="s">
        <v>16992</v>
      </c>
      <c r="B8223" s="2" t="s">
        <v>16992</v>
      </c>
      <c r="C8223" s="2" t="s">
        <v>16</v>
      </c>
      <c r="D8223" s="2" t="s">
        <v>17</v>
      </c>
      <c r="E8223" s="5">
        <v>-31735</v>
      </c>
      <c r="F8223" s="3" t="s">
        <v>558</v>
      </c>
      <c r="G8223" s="3" t="s">
        <v>559</v>
      </c>
      <c r="H8223" s="2" t="s">
        <v>20</v>
      </c>
      <c r="I8223" s="2" t="s">
        <v>16993</v>
      </c>
      <c r="J8223" s="3" t="str">
        <f>HYPERLINK("https://www.boe.es/gazeta/dias/1813/02/09/pdfs/GRE-1813-17.pdf#page=5","Abrir facsímil")</f>
        <v>Abrir facsímil</v>
      </c>
      <c r="K8223" s="3" t="s">
        <v>22</v>
      </c>
    </row>
    <row r="8224" spans="1:11" ht="42" customHeight="1">
      <c r="A8224" s="2" t="s">
        <v>16994</v>
      </c>
      <c r="B8224" s="2" t="s">
        <v>16994</v>
      </c>
      <c r="C8224" s="2" t="s">
        <v>16</v>
      </c>
      <c r="D8224" s="2" t="s">
        <v>17</v>
      </c>
      <c r="E8224" s="5">
        <v>-31462</v>
      </c>
      <c r="F8224" s="3" t="s">
        <v>542</v>
      </c>
      <c r="G8224" s="3" t="s">
        <v>65</v>
      </c>
      <c r="H8224" s="2" t="s">
        <v>20</v>
      </c>
      <c r="I8224" s="2" t="s">
        <v>16995</v>
      </c>
      <c r="J8224" s="3" t="str">
        <f>HYPERLINK("https://www.boe.es/gazeta/dias/1813/11/09/pdfs/GRE-1813-146.pdf#page=1","Abrir facsímil")</f>
        <v>Abrir facsímil</v>
      </c>
      <c r="K8224" s="3" t="s">
        <v>22</v>
      </c>
    </row>
    <row r="8225" spans="1:11" ht="42" customHeight="1">
      <c r="A8225" s="2" t="s">
        <v>16996</v>
      </c>
      <c r="B8225" s="2" t="s">
        <v>16996</v>
      </c>
      <c r="C8225" s="2" t="s">
        <v>16</v>
      </c>
      <c r="D8225" s="2" t="s">
        <v>17</v>
      </c>
      <c r="E8225" s="5">
        <v>-31686</v>
      </c>
      <c r="F8225" s="3" t="s">
        <v>372</v>
      </c>
      <c r="G8225" s="3" t="s">
        <v>54</v>
      </c>
      <c r="H8225" s="2" t="s">
        <v>20</v>
      </c>
      <c r="I8225" s="2" t="s">
        <v>16997</v>
      </c>
      <c r="J8225" s="3" t="str">
        <f>HYPERLINK("https://www.boe.es/gazeta/dias/1813/03/30/pdfs/GRE-1813-39.pdf#page=3","Abrir facsímil")</f>
        <v>Abrir facsímil</v>
      </c>
      <c r="K8225" s="3" t="s">
        <v>22</v>
      </c>
    </row>
    <row r="8226" spans="1:11" ht="42" customHeight="1">
      <c r="A8226" s="2" t="s">
        <v>16998</v>
      </c>
      <c r="B8226" s="2" t="s">
        <v>16998</v>
      </c>
      <c r="C8226" s="2" t="s">
        <v>16</v>
      </c>
      <c r="D8226" s="2" t="s">
        <v>17</v>
      </c>
      <c r="E8226" s="5">
        <v>-31773</v>
      </c>
      <c r="F8226" s="3" t="s">
        <v>3667</v>
      </c>
      <c r="G8226" s="3" t="s">
        <v>2765</v>
      </c>
      <c r="H8226" s="2" t="s">
        <v>20</v>
      </c>
      <c r="I8226" s="2" t="s">
        <v>16999</v>
      </c>
      <c r="J8226" s="3" t="str">
        <f>HYPERLINK("https://www.boe.es/gazeta/dias/1813/01/02/pdfs/GRE-1813-1.pdf#page=4","Abrir facsímil")</f>
        <v>Abrir facsímil</v>
      </c>
      <c r="K8226" s="3" t="s">
        <v>22</v>
      </c>
    </row>
    <row r="8227" spans="1:11" ht="42" customHeight="1">
      <c r="A8227" s="2" t="s">
        <v>16998</v>
      </c>
      <c r="B8227" s="2" t="s">
        <v>16998</v>
      </c>
      <c r="C8227" s="2" t="s">
        <v>25</v>
      </c>
      <c r="D8227" s="2" t="s">
        <v>26</v>
      </c>
      <c r="E8227" s="5">
        <v>-31773</v>
      </c>
      <c r="F8227" s="3" t="s">
        <v>3667</v>
      </c>
      <c r="G8227" s="3" t="s">
        <v>5107</v>
      </c>
      <c r="H8227" s="2" t="s">
        <v>20</v>
      </c>
      <c r="I8227" s="2" t="s">
        <v>17000</v>
      </c>
      <c r="J8227" s="3" t="str">
        <f>HYPERLINK("https://www.boe.es/gazeta/dias/1813/01/02/pdfs/GRE-1813-1.pdf#page=5","Abrir facsímil")</f>
        <v>Abrir facsímil</v>
      </c>
      <c r="K8227" s="3" t="s">
        <v>22</v>
      </c>
    </row>
    <row r="8228" spans="1:11" ht="42" customHeight="1">
      <c r="A8228" s="2" t="s">
        <v>16998</v>
      </c>
      <c r="B8228" s="2" t="s">
        <v>16998</v>
      </c>
      <c r="C8228" s="2" t="s">
        <v>16</v>
      </c>
      <c r="D8228" s="2" t="s">
        <v>17</v>
      </c>
      <c r="E8228" s="5">
        <v>-31770</v>
      </c>
      <c r="F8228" s="3" t="s">
        <v>1738</v>
      </c>
      <c r="G8228" s="3" t="s">
        <v>2984</v>
      </c>
      <c r="H8228" s="2" t="s">
        <v>20</v>
      </c>
      <c r="I8228" s="2" t="s">
        <v>17001</v>
      </c>
      <c r="J8228" s="3" t="str">
        <f>HYPERLINK("https://www.boe.es/gazeta/dias/1813/01/05/pdfs/GRE-1813-2.pdf#page=4","Abrir facsímil")</f>
        <v>Abrir facsímil</v>
      </c>
      <c r="K8228" s="3" t="s">
        <v>22</v>
      </c>
    </row>
    <row r="8229" spans="1:11" ht="42" customHeight="1">
      <c r="A8229" s="2" t="s">
        <v>16998</v>
      </c>
      <c r="B8229" s="2" t="s">
        <v>16998</v>
      </c>
      <c r="C8229" s="2" t="s">
        <v>16</v>
      </c>
      <c r="D8229" s="2" t="s">
        <v>17</v>
      </c>
      <c r="E8229" s="5">
        <v>-31763</v>
      </c>
      <c r="F8229" s="3" t="s">
        <v>668</v>
      </c>
      <c r="G8229" s="3" t="s">
        <v>54</v>
      </c>
      <c r="H8229" s="2" t="s">
        <v>20</v>
      </c>
      <c r="I8229" s="2" t="s">
        <v>17002</v>
      </c>
      <c r="J8229" s="3" t="str">
        <f>HYPERLINK("https://www.boe.es/gazeta/dias/1813/01/12/pdfs/GRE-1813-5.pdf#page=3","Abrir facsímil")</f>
        <v>Abrir facsímil</v>
      </c>
      <c r="K8229" s="3" t="s">
        <v>22</v>
      </c>
    </row>
    <row r="8230" spans="1:11" ht="42" customHeight="1">
      <c r="A8230" s="2" t="s">
        <v>16998</v>
      </c>
      <c r="B8230" s="2" t="s">
        <v>16998</v>
      </c>
      <c r="C8230" s="2" t="s">
        <v>16</v>
      </c>
      <c r="D8230" s="2" t="s">
        <v>17</v>
      </c>
      <c r="E8230" s="5">
        <v>-31761</v>
      </c>
      <c r="F8230" s="3" t="s">
        <v>376</v>
      </c>
      <c r="G8230" s="3" t="s">
        <v>7015</v>
      </c>
      <c r="H8230" s="2" t="s">
        <v>20</v>
      </c>
      <c r="I8230" s="2" t="s">
        <v>17003</v>
      </c>
      <c r="J8230" s="3" t="str">
        <f>HYPERLINK("https://www.boe.es/gazeta/dias/1813/01/14/pdfs/GRE-1813-6.pdf#page=2","Abrir facsímil")</f>
        <v>Abrir facsímil</v>
      </c>
      <c r="K8230" s="3" t="s">
        <v>22</v>
      </c>
    </row>
    <row r="8231" spans="1:11" ht="42" customHeight="1">
      <c r="A8231" s="2" t="s">
        <v>16998</v>
      </c>
      <c r="B8231" s="2" t="s">
        <v>16998</v>
      </c>
      <c r="C8231" s="2" t="s">
        <v>16</v>
      </c>
      <c r="D8231" s="2" t="s">
        <v>17</v>
      </c>
      <c r="E8231" s="5">
        <v>-31754</v>
      </c>
      <c r="F8231" s="3" t="s">
        <v>899</v>
      </c>
      <c r="G8231" s="3" t="s">
        <v>3774</v>
      </c>
      <c r="H8231" s="2" t="s">
        <v>20</v>
      </c>
      <c r="I8231" s="2" t="s">
        <v>17004</v>
      </c>
      <c r="J8231" s="3" t="str">
        <f>HYPERLINK("https://www.boe.es/gazeta/dias/1813/01/21/pdfs/GRE-1813-9.pdf#page=6","Abrir facsímil")</f>
        <v>Abrir facsímil</v>
      </c>
      <c r="K8231" s="3" t="s">
        <v>22</v>
      </c>
    </row>
    <row r="8232" spans="1:11" ht="42" customHeight="1">
      <c r="A8232" s="2" t="s">
        <v>16998</v>
      </c>
      <c r="B8232" s="2" t="s">
        <v>16998</v>
      </c>
      <c r="C8232" s="2" t="s">
        <v>25</v>
      </c>
      <c r="D8232" s="2" t="s">
        <v>26</v>
      </c>
      <c r="E8232" s="5">
        <v>-31754</v>
      </c>
      <c r="F8232" s="3" t="s">
        <v>899</v>
      </c>
      <c r="G8232" s="3" t="s">
        <v>82</v>
      </c>
      <c r="H8232" s="2" t="s">
        <v>20</v>
      </c>
      <c r="I8232" s="2" t="s">
        <v>17005</v>
      </c>
      <c r="J8232" s="3" t="str">
        <f>HYPERLINK("https://www.boe.es/gazeta/dias/1813/01/21/pdfs/GRE-1813-9.pdf#page=5","Abrir facsímil")</f>
        <v>Abrir facsímil</v>
      </c>
      <c r="K8232" s="3" t="s">
        <v>22</v>
      </c>
    </row>
    <row r="8233" spans="1:11" ht="42" customHeight="1">
      <c r="A8233" s="2" t="s">
        <v>16998</v>
      </c>
      <c r="B8233" s="2" t="s">
        <v>16998</v>
      </c>
      <c r="C8233" s="2" t="s">
        <v>16</v>
      </c>
      <c r="D8233" s="2" t="s">
        <v>17</v>
      </c>
      <c r="E8233" s="5">
        <v>-31752</v>
      </c>
      <c r="F8233" s="3" t="s">
        <v>182</v>
      </c>
      <c r="G8233" s="3" t="s">
        <v>58</v>
      </c>
      <c r="H8233" s="2" t="s">
        <v>20</v>
      </c>
      <c r="I8233" s="2" t="s">
        <v>17006</v>
      </c>
      <c r="J8233" s="3" t="str">
        <f>HYPERLINK("https://www.boe.es/gazeta/dias/1813/01/23/pdfs/GRE-1813-10.pdf#page=2","Abrir facsímil")</f>
        <v>Abrir facsímil</v>
      </c>
      <c r="K8233" s="3" t="s">
        <v>22</v>
      </c>
    </row>
    <row r="8234" spans="1:11" ht="42" customHeight="1">
      <c r="A8234" s="2" t="s">
        <v>16998</v>
      </c>
      <c r="B8234" s="2" t="s">
        <v>16998</v>
      </c>
      <c r="C8234" s="2" t="s">
        <v>16</v>
      </c>
      <c r="D8234" s="2" t="s">
        <v>17</v>
      </c>
      <c r="E8234" s="5">
        <v>-31752</v>
      </c>
      <c r="F8234" s="3" t="s">
        <v>182</v>
      </c>
      <c r="G8234" s="3" t="s">
        <v>54</v>
      </c>
      <c r="H8234" s="2" t="s">
        <v>20</v>
      </c>
      <c r="I8234" s="2" t="s">
        <v>17007</v>
      </c>
      <c r="J8234" s="3" t="str">
        <f>HYPERLINK("https://www.boe.es/gazeta/dias/1813/01/23/pdfs/GRE-1813-10.pdf#page=3","Abrir facsímil")</f>
        <v>Abrir facsímil</v>
      </c>
      <c r="K8234" s="3" t="s">
        <v>22</v>
      </c>
    </row>
    <row r="8235" spans="1:11" ht="42" customHeight="1">
      <c r="A8235" s="2" t="s">
        <v>16998</v>
      </c>
      <c r="B8235" s="2" t="s">
        <v>16998</v>
      </c>
      <c r="C8235" s="2" t="s">
        <v>16</v>
      </c>
      <c r="D8235" s="2" t="s">
        <v>17</v>
      </c>
      <c r="E8235" s="5">
        <v>-31749</v>
      </c>
      <c r="F8235" s="3" t="s">
        <v>1515</v>
      </c>
      <c r="G8235" s="3" t="s">
        <v>3722</v>
      </c>
      <c r="H8235" s="2" t="s">
        <v>20</v>
      </c>
      <c r="I8235" s="2" t="s">
        <v>17008</v>
      </c>
      <c r="J8235" s="3" t="str">
        <f>HYPERLINK("https://www.boe.es/gazeta/dias/1813/01/26/pdfs/GRE-1813-11.pdf#page=2","Abrir facsímil")</f>
        <v>Abrir facsímil</v>
      </c>
      <c r="K8235" s="3" t="s">
        <v>22</v>
      </c>
    </row>
    <row r="8236" spans="1:11" ht="42" customHeight="1">
      <c r="A8236" s="2" t="s">
        <v>16998</v>
      </c>
      <c r="B8236" s="2" t="s">
        <v>16998</v>
      </c>
      <c r="C8236" s="2" t="s">
        <v>16</v>
      </c>
      <c r="D8236" s="2" t="s">
        <v>17</v>
      </c>
      <c r="E8236" s="5">
        <v>-31735</v>
      </c>
      <c r="F8236" s="3" t="s">
        <v>5472</v>
      </c>
      <c r="G8236" s="3" t="s">
        <v>65</v>
      </c>
      <c r="H8236" s="2" t="s">
        <v>20</v>
      </c>
      <c r="I8236" s="2" t="s">
        <v>17009</v>
      </c>
      <c r="J8236" s="3" t="str">
        <f>HYPERLINK("https://www.boe.es/gazeta/dias/1813/02/09/pdfs/GMD-1813-40.pdf#page=1","Abrir facsímil")</f>
        <v>Abrir facsímil</v>
      </c>
      <c r="K8236" s="3" t="s">
        <v>22</v>
      </c>
    </row>
    <row r="8237" spans="1:11" ht="42" customHeight="1">
      <c r="A8237" s="2" t="s">
        <v>16998</v>
      </c>
      <c r="B8237" s="2" t="s">
        <v>16998</v>
      </c>
      <c r="C8237" s="2" t="s">
        <v>16</v>
      </c>
      <c r="D8237" s="2" t="s">
        <v>17</v>
      </c>
      <c r="E8237" s="5">
        <v>-31733</v>
      </c>
      <c r="F8237" s="3" t="s">
        <v>3036</v>
      </c>
      <c r="G8237" s="3" t="s">
        <v>58</v>
      </c>
      <c r="H8237" s="2" t="s">
        <v>20</v>
      </c>
      <c r="I8237" s="2" t="s">
        <v>17010</v>
      </c>
      <c r="J8237" s="3" t="str">
        <f>HYPERLINK("https://www.boe.es/gazeta/dias/1813/02/11/pdfs/GRE-1813-18.pdf#page=2","Abrir facsímil")</f>
        <v>Abrir facsímil</v>
      </c>
      <c r="K8237" s="3" t="s">
        <v>22</v>
      </c>
    </row>
    <row r="8238" spans="1:11" ht="42" customHeight="1">
      <c r="A8238" s="2" t="s">
        <v>16998</v>
      </c>
      <c r="B8238" s="2" t="s">
        <v>16998</v>
      </c>
      <c r="C8238" s="2" t="s">
        <v>16</v>
      </c>
      <c r="D8238" s="2" t="s">
        <v>17</v>
      </c>
      <c r="E8238" s="5">
        <v>-31733</v>
      </c>
      <c r="F8238" s="3" t="s">
        <v>3036</v>
      </c>
      <c r="G8238" s="3" t="s">
        <v>54</v>
      </c>
      <c r="H8238" s="2" t="s">
        <v>20</v>
      </c>
      <c r="I8238" s="2" t="s">
        <v>17011</v>
      </c>
      <c r="J8238" s="3" t="str">
        <f>HYPERLINK("https://www.boe.es/gazeta/dias/1813/02/11/pdfs/GRE-1813-18.pdf#page=3","Abrir facsímil")</f>
        <v>Abrir facsímil</v>
      </c>
      <c r="K8238" s="3" t="s">
        <v>22</v>
      </c>
    </row>
    <row r="8239" spans="1:11" ht="42" customHeight="1">
      <c r="A8239" s="2" t="s">
        <v>16998</v>
      </c>
      <c r="B8239" s="2" t="s">
        <v>16998</v>
      </c>
      <c r="C8239" s="2" t="s">
        <v>16</v>
      </c>
      <c r="D8239" s="2" t="s">
        <v>17</v>
      </c>
      <c r="E8239" s="5">
        <v>-31728</v>
      </c>
      <c r="F8239" s="3" t="s">
        <v>1434</v>
      </c>
      <c r="G8239" s="3" t="s">
        <v>54</v>
      </c>
      <c r="H8239" s="2" t="s">
        <v>20</v>
      </c>
      <c r="I8239" s="2" t="s">
        <v>17012</v>
      </c>
      <c r="J8239" s="3" t="str">
        <f>HYPERLINK("https://www.boe.es/gazeta/dias/1813/02/16/pdfs/GRE-1813-20.pdf#page=3","Abrir facsímil")</f>
        <v>Abrir facsímil</v>
      </c>
      <c r="K8239" s="3" t="s">
        <v>22</v>
      </c>
    </row>
    <row r="8240" spans="1:11" ht="42" customHeight="1">
      <c r="A8240" s="2" t="s">
        <v>16998</v>
      </c>
      <c r="B8240" s="2" t="s">
        <v>16998</v>
      </c>
      <c r="C8240" s="2" t="s">
        <v>16</v>
      </c>
      <c r="D8240" s="2" t="s">
        <v>17</v>
      </c>
      <c r="E8240" s="5">
        <v>-31724</v>
      </c>
      <c r="F8240" s="3" t="s">
        <v>684</v>
      </c>
      <c r="G8240" s="3" t="s">
        <v>5893</v>
      </c>
      <c r="H8240" s="2" t="s">
        <v>20</v>
      </c>
      <c r="I8240" s="2" t="s">
        <v>17013</v>
      </c>
      <c r="J8240" s="3" t="str">
        <f>HYPERLINK("https://www.boe.es/gazeta/dias/1813/02/20/pdfs/GMD-1813-51.pdf#page=2","Abrir facsímil")</f>
        <v>Abrir facsímil</v>
      </c>
      <c r="K8240" s="3" t="s">
        <v>22</v>
      </c>
    </row>
    <row r="8241" spans="1:11" ht="42" customHeight="1">
      <c r="A8241" s="2" t="s">
        <v>16998</v>
      </c>
      <c r="B8241" s="2" t="s">
        <v>16998</v>
      </c>
      <c r="C8241" s="2" t="s">
        <v>16</v>
      </c>
      <c r="D8241" s="2" t="s">
        <v>17</v>
      </c>
      <c r="E8241" s="5">
        <v>-31724</v>
      </c>
      <c r="F8241" s="3" t="s">
        <v>626</v>
      </c>
      <c r="G8241" s="3" t="s">
        <v>54</v>
      </c>
      <c r="H8241" s="2" t="s">
        <v>20</v>
      </c>
      <c r="I8241" s="2" t="s">
        <v>17014</v>
      </c>
      <c r="J8241" s="3" t="str">
        <f>HYPERLINK("https://www.boe.es/gazeta/dias/1813/02/20/pdfs/GRE-1813-22.pdf#page=3","Abrir facsímil")</f>
        <v>Abrir facsímil</v>
      </c>
      <c r="K8241" s="3" t="s">
        <v>22</v>
      </c>
    </row>
    <row r="8242" spans="1:11" ht="42" customHeight="1">
      <c r="A8242" s="2" t="s">
        <v>16998</v>
      </c>
      <c r="B8242" s="2" t="s">
        <v>16998</v>
      </c>
      <c r="C8242" s="2" t="s">
        <v>16</v>
      </c>
      <c r="D8242" s="2" t="s">
        <v>17</v>
      </c>
      <c r="E8242" s="5">
        <v>-31710</v>
      </c>
      <c r="F8242" s="3" t="s">
        <v>2689</v>
      </c>
      <c r="G8242" s="3" t="s">
        <v>65</v>
      </c>
      <c r="H8242" s="2" t="s">
        <v>20</v>
      </c>
      <c r="I8242" s="2" t="s">
        <v>17015</v>
      </c>
      <c r="J8242" s="3" t="str">
        <f>HYPERLINK("https://www.boe.es/gazeta/dias/1813/03/06/pdfs/GRE-1813-29.pdf#page=1","Abrir facsímil")</f>
        <v>Abrir facsímil</v>
      </c>
      <c r="K8242" s="3" t="s">
        <v>22</v>
      </c>
    </row>
    <row r="8243" spans="1:11" ht="42" customHeight="1">
      <c r="A8243" s="2" t="s">
        <v>16998</v>
      </c>
      <c r="B8243" s="2" t="s">
        <v>16998</v>
      </c>
      <c r="C8243" s="2" t="s">
        <v>16</v>
      </c>
      <c r="D8243" s="2" t="s">
        <v>17</v>
      </c>
      <c r="E8243" s="5">
        <v>-31703</v>
      </c>
      <c r="F8243" s="3" t="s">
        <v>4331</v>
      </c>
      <c r="G8243" s="3" t="s">
        <v>4332</v>
      </c>
      <c r="H8243" s="2" t="s">
        <v>20</v>
      </c>
      <c r="I8243" s="2" t="s">
        <v>17016</v>
      </c>
      <c r="J8243" s="3" t="str">
        <f>HYPERLINK("https://www.boe.es/gazeta/dias/1813/03/13/pdfs/GRE-1813-32.pdf#page=4","Abrir facsímil")</f>
        <v>Abrir facsímil</v>
      </c>
      <c r="K8243" s="3" t="s">
        <v>22</v>
      </c>
    </row>
    <row r="8244" spans="1:11" ht="42" customHeight="1">
      <c r="A8244" s="2" t="s">
        <v>16998</v>
      </c>
      <c r="B8244" s="2" t="s">
        <v>16998</v>
      </c>
      <c r="C8244" s="2" t="s">
        <v>16</v>
      </c>
      <c r="D8244" s="2" t="s">
        <v>17</v>
      </c>
      <c r="E8244" s="5">
        <v>-31698</v>
      </c>
      <c r="F8244" s="3" t="s">
        <v>470</v>
      </c>
      <c r="G8244" s="3" t="s">
        <v>54</v>
      </c>
      <c r="H8244" s="2" t="s">
        <v>20</v>
      </c>
      <c r="I8244" s="2" t="s">
        <v>17017</v>
      </c>
      <c r="J8244" s="3" t="str">
        <f>HYPERLINK("https://www.boe.es/gazeta/dias/1813/03/18/pdfs/GRE-1813-34.pdf#page=3","Abrir facsímil")</f>
        <v>Abrir facsímil</v>
      </c>
      <c r="K8244" s="3" t="s">
        <v>22</v>
      </c>
    </row>
    <row r="8245" spans="1:11" ht="42" customHeight="1">
      <c r="A8245" s="2" t="s">
        <v>16998</v>
      </c>
      <c r="B8245" s="2" t="s">
        <v>16998</v>
      </c>
      <c r="C8245" s="2" t="s">
        <v>16</v>
      </c>
      <c r="D8245" s="2" t="s">
        <v>17</v>
      </c>
      <c r="E8245" s="5">
        <v>-31696</v>
      </c>
      <c r="F8245" s="3" t="s">
        <v>520</v>
      </c>
      <c r="G8245" s="3" t="s">
        <v>14487</v>
      </c>
      <c r="H8245" s="2" t="s">
        <v>20</v>
      </c>
      <c r="I8245" s="2" t="s">
        <v>17018</v>
      </c>
      <c r="J8245" s="3" t="str">
        <f>HYPERLINK("https://www.boe.es/gazeta/dias/1813/03/20/pdfs/GRE-1813-35.pdf#page=5","Abrir facsímil")</f>
        <v>Abrir facsímil</v>
      </c>
      <c r="K8245" s="3" t="s">
        <v>22</v>
      </c>
    </row>
    <row r="8246" spans="1:11" ht="42" customHeight="1">
      <c r="A8246" s="2" t="s">
        <v>16998</v>
      </c>
      <c r="B8246" s="2" t="s">
        <v>16998</v>
      </c>
      <c r="C8246" s="2" t="s">
        <v>16</v>
      </c>
      <c r="D8246" s="2" t="s">
        <v>17</v>
      </c>
      <c r="E8246" s="5">
        <v>-31679</v>
      </c>
      <c r="F8246" s="3" t="s">
        <v>571</v>
      </c>
      <c r="G8246" s="3" t="s">
        <v>1558</v>
      </c>
      <c r="H8246" s="2" t="s">
        <v>20</v>
      </c>
      <c r="I8246" s="2" t="s">
        <v>17019</v>
      </c>
      <c r="J8246" s="3" t="str">
        <f>HYPERLINK("https://www.boe.es/gazeta/dias/1813/04/06/pdfs/GRE-1813-42.pdf#page=4","Abrir facsímil")</f>
        <v>Abrir facsímil</v>
      </c>
      <c r="K8246" s="3" t="s">
        <v>22</v>
      </c>
    </row>
    <row r="8247" spans="1:11" ht="42" customHeight="1">
      <c r="A8247" s="2" t="s">
        <v>17020</v>
      </c>
      <c r="B8247" s="2" t="s">
        <v>17020</v>
      </c>
      <c r="C8247" s="2" t="s">
        <v>16</v>
      </c>
      <c r="D8247" s="2" t="s">
        <v>17</v>
      </c>
      <c r="E8247" s="5">
        <v>-31654</v>
      </c>
      <c r="F8247" s="3" t="s">
        <v>1519</v>
      </c>
      <c r="G8247" s="3" t="s">
        <v>3682</v>
      </c>
      <c r="H8247" s="2" t="s">
        <v>20</v>
      </c>
      <c r="I8247" s="2" t="s">
        <v>17021</v>
      </c>
      <c r="J8247" s="3" t="str">
        <f>HYPERLINK("https://www.boe.es/gazeta/dias/1813/05/01/pdfs/GRE-1813-54.pdf#page=2","Abrir facsímil")</f>
        <v>Abrir facsímil</v>
      </c>
      <c r="K8247" s="3" t="s">
        <v>22</v>
      </c>
    </row>
    <row r="8248" spans="1:11" ht="42" customHeight="1">
      <c r="A8248" s="2" t="s">
        <v>16998</v>
      </c>
      <c r="B8248" s="2" t="s">
        <v>16998</v>
      </c>
      <c r="C8248" s="2" t="s">
        <v>16</v>
      </c>
      <c r="D8248" s="2" t="s">
        <v>17</v>
      </c>
      <c r="E8248" s="5">
        <v>-31654</v>
      </c>
      <c r="F8248" s="3" t="s">
        <v>1519</v>
      </c>
      <c r="G8248" s="3" t="s">
        <v>54</v>
      </c>
      <c r="H8248" s="2" t="s">
        <v>20</v>
      </c>
      <c r="I8248" s="2" t="s">
        <v>17022</v>
      </c>
      <c r="J8248" s="3" t="str">
        <f>HYPERLINK("https://www.boe.es/gazeta/dias/1813/05/01/pdfs/GRE-1813-54.pdf#page=3","Abrir facsímil")</f>
        <v>Abrir facsímil</v>
      </c>
      <c r="K8248" s="3" t="s">
        <v>22</v>
      </c>
    </row>
    <row r="8249" spans="1:11" ht="42" customHeight="1">
      <c r="A8249" s="2" t="s">
        <v>16998</v>
      </c>
      <c r="B8249" s="2" t="s">
        <v>16998</v>
      </c>
      <c r="C8249" s="2" t="s">
        <v>16</v>
      </c>
      <c r="D8249" s="2" t="s">
        <v>17</v>
      </c>
      <c r="E8249" s="5">
        <v>-31651</v>
      </c>
      <c r="F8249" s="3" t="s">
        <v>579</v>
      </c>
      <c r="G8249" s="3" t="s">
        <v>1599</v>
      </c>
      <c r="H8249" s="2" t="s">
        <v>20</v>
      </c>
      <c r="I8249" s="2" t="s">
        <v>17023</v>
      </c>
      <c r="J8249" s="3" t="str">
        <f>HYPERLINK("https://www.boe.es/gazeta/dias/1813/05/04/pdfs/GRE-1813-55.pdf#page=2","Abrir facsímil")</f>
        <v>Abrir facsímil</v>
      </c>
      <c r="K8249" s="3" t="s">
        <v>22</v>
      </c>
    </row>
    <row r="8250" spans="1:11" ht="42" customHeight="1">
      <c r="A8250" s="2" t="s">
        <v>16998</v>
      </c>
      <c r="B8250" s="2" t="s">
        <v>16998</v>
      </c>
      <c r="C8250" s="2" t="s">
        <v>16</v>
      </c>
      <c r="D8250" s="2" t="s">
        <v>17</v>
      </c>
      <c r="E8250" s="5">
        <v>-31628</v>
      </c>
      <c r="F8250" s="3" t="s">
        <v>358</v>
      </c>
      <c r="G8250" s="3" t="s">
        <v>58</v>
      </c>
      <c r="H8250" s="2" t="s">
        <v>20</v>
      </c>
      <c r="I8250" s="2" t="s">
        <v>17024</v>
      </c>
      <c r="J8250" s="3" t="str">
        <f>HYPERLINK("https://www.boe.es/gazeta/dias/1813/05/27/pdfs/GRE-1813-65.pdf#page=2","Abrir facsímil")</f>
        <v>Abrir facsímil</v>
      </c>
      <c r="K8250" s="3" t="s">
        <v>22</v>
      </c>
    </row>
    <row r="8251" spans="1:11" ht="42" customHeight="1">
      <c r="A8251" s="2" t="s">
        <v>16998</v>
      </c>
      <c r="B8251" s="2" t="s">
        <v>16998</v>
      </c>
      <c r="C8251" s="2" t="s">
        <v>16</v>
      </c>
      <c r="D8251" s="2" t="s">
        <v>17</v>
      </c>
      <c r="E8251" s="5">
        <v>-31614</v>
      </c>
      <c r="F8251" s="3" t="s">
        <v>498</v>
      </c>
      <c r="G8251" s="3" t="s">
        <v>82</v>
      </c>
      <c r="H8251" s="2" t="s">
        <v>20</v>
      </c>
      <c r="I8251" s="2" t="s">
        <v>17025</v>
      </c>
      <c r="J8251" s="3" t="str">
        <f>HYPERLINK("https://www.boe.es/gazeta/dias/1813/06/10/pdfs/GRE-1813-72.pdf#page=5","Abrir facsímil")</f>
        <v>Abrir facsímil</v>
      </c>
      <c r="K8251" s="3" t="s">
        <v>22</v>
      </c>
    </row>
    <row r="8252" spans="1:11" ht="42" customHeight="1">
      <c r="A8252" s="2" t="s">
        <v>16998</v>
      </c>
      <c r="B8252" s="2" t="s">
        <v>16998</v>
      </c>
      <c r="C8252" s="2" t="s">
        <v>16</v>
      </c>
      <c r="D8252" s="2" t="s">
        <v>17</v>
      </c>
      <c r="E8252" s="5">
        <v>-31613</v>
      </c>
      <c r="F8252" s="3" t="s">
        <v>1629</v>
      </c>
      <c r="G8252" s="3" t="s">
        <v>15496</v>
      </c>
      <c r="H8252" s="2" t="s">
        <v>20</v>
      </c>
      <c r="I8252" s="2" t="s">
        <v>17026</v>
      </c>
      <c r="J8252" s="3" t="str">
        <f>HYPERLINK("https://www.boe.es/gazeta/dias/1813/06/11/pdfs/GMR-1813-4.pdf#page=2","Abrir facsímil")</f>
        <v>Abrir facsímil</v>
      </c>
      <c r="K8252" s="3" t="s">
        <v>22</v>
      </c>
    </row>
    <row r="8253" spans="1:11" ht="42" customHeight="1">
      <c r="A8253" s="2" t="s">
        <v>16998</v>
      </c>
      <c r="B8253" s="2" t="s">
        <v>16998</v>
      </c>
      <c r="C8253" s="2" t="s">
        <v>16</v>
      </c>
      <c r="D8253" s="2" t="s">
        <v>17</v>
      </c>
      <c r="E8253" s="5">
        <v>-31613</v>
      </c>
      <c r="F8253" s="3" t="s">
        <v>1629</v>
      </c>
      <c r="G8253" s="3" t="s">
        <v>65</v>
      </c>
      <c r="H8253" s="2" t="s">
        <v>20</v>
      </c>
      <c r="I8253" s="2" t="s">
        <v>17027</v>
      </c>
      <c r="J8253" s="3" t="str">
        <f>HYPERLINK("https://www.boe.es/gazeta/dias/1813/06/11/pdfs/GMR-1813-4.pdf#page=1","Abrir facsímil")</f>
        <v>Abrir facsímil</v>
      </c>
      <c r="K8253" s="3" t="s">
        <v>22</v>
      </c>
    </row>
    <row r="8254" spans="1:11" ht="42" customHeight="1">
      <c r="A8254" s="2" t="s">
        <v>16998</v>
      </c>
      <c r="B8254" s="2" t="s">
        <v>16998</v>
      </c>
      <c r="C8254" s="2" t="s">
        <v>16</v>
      </c>
      <c r="D8254" s="2" t="s">
        <v>17</v>
      </c>
      <c r="E8254" s="5">
        <v>-31606</v>
      </c>
      <c r="F8254" s="3" t="s">
        <v>124</v>
      </c>
      <c r="G8254" s="3" t="s">
        <v>19</v>
      </c>
      <c r="H8254" s="2" t="s">
        <v>20</v>
      </c>
      <c r="I8254" s="2" t="s">
        <v>17028</v>
      </c>
      <c r="J8254" s="3" t="str">
        <f>HYPERLINK("https://www.boe.es/gazeta/dias/1813/06/18/pdfs/GMR-1813-7.pdf#page=4","Abrir facsímil")</f>
        <v>Abrir facsímil</v>
      </c>
      <c r="K8254" s="3" t="s">
        <v>22</v>
      </c>
    </row>
    <row r="8255" spans="1:11" ht="42" customHeight="1">
      <c r="A8255" s="2" t="s">
        <v>16998</v>
      </c>
      <c r="B8255" s="2" t="s">
        <v>16998</v>
      </c>
      <c r="C8255" s="2" t="s">
        <v>16</v>
      </c>
      <c r="D8255" s="2" t="s">
        <v>17</v>
      </c>
      <c r="E8255" s="5">
        <v>-31605</v>
      </c>
      <c r="F8255" s="3" t="s">
        <v>884</v>
      </c>
      <c r="G8255" s="3" t="s">
        <v>19</v>
      </c>
      <c r="H8255" s="2" t="s">
        <v>20</v>
      </c>
      <c r="I8255" s="2" t="s">
        <v>17029</v>
      </c>
      <c r="J8255" s="3" t="str">
        <f>HYPERLINK("https://www.boe.es/gazeta/dias/1813/06/19/pdfs/GRE-1813-76.pdf#page=4","Abrir facsímil")</f>
        <v>Abrir facsímil</v>
      </c>
      <c r="K8255" s="3" t="s">
        <v>22</v>
      </c>
    </row>
    <row r="8256" spans="1:11" ht="42" customHeight="1">
      <c r="A8256" s="2" t="s">
        <v>16998</v>
      </c>
      <c r="B8256" s="2" t="s">
        <v>16998</v>
      </c>
      <c r="C8256" s="2" t="s">
        <v>16</v>
      </c>
      <c r="D8256" s="2" t="s">
        <v>17</v>
      </c>
      <c r="E8256" s="5">
        <v>-31605</v>
      </c>
      <c r="F8256" s="3" t="s">
        <v>884</v>
      </c>
      <c r="G8256" s="3" t="s">
        <v>95</v>
      </c>
      <c r="H8256" s="2" t="s">
        <v>20</v>
      </c>
      <c r="I8256" s="2" t="s">
        <v>17030</v>
      </c>
      <c r="J8256" s="3" t="str">
        <f>HYPERLINK("https://www.boe.es/gazeta/dias/1813/06/19/pdfs/GRE-1813-76.pdf#page=6","Abrir facsímil")</f>
        <v>Abrir facsímil</v>
      </c>
      <c r="K8256" s="3" t="s">
        <v>22</v>
      </c>
    </row>
    <row r="8257" spans="1:11" ht="42" customHeight="1">
      <c r="A8257" s="2" t="s">
        <v>16998</v>
      </c>
      <c r="B8257" s="2" t="s">
        <v>16998</v>
      </c>
      <c r="C8257" s="2" t="s">
        <v>16</v>
      </c>
      <c r="D8257" s="2" t="s">
        <v>17</v>
      </c>
      <c r="E8257" s="5">
        <v>-31602</v>
      </c>
      <c r="F8257" s="3" t="s">
        <v>2117</v>
      </c>
      <c r="G8257" s="3" t="s">
        <v>58</v>
      </c>
      <c r="H8257" s="2" t="s">
        <v>20</v>
      </c>
      <c r="I8257" s="2" t="s">
        <v>17031</v>
      </c>
      <c r="J8257" s="3" t="str">
        <f>HYPERLINK("https://www.boe.es/gazeta/dias/1813/06/22/pdfs/GMR-1813-9.pdf#page=2","Abrir facsímil")</f>
        <v>Abrir facsímil</v>
      </c>
      <c r="K8257" s="3" t="s">
        <v>22</v>
      </c>
    </row>
    <row r="8258" spans="1:11" ht="42" customHeight="1">
      <c r="A8258" s="2" t="s">
        <v>16998</v>
      </c>
      <c r="B8258" s="2" t="s">
        <v>16998</v>
      </c>
      <c r="C8258" s="2" t="s">
        <v>16</v>
      </c>
      <c r="D8258" s="2" t="s">
        <v>17</v>
      </c>
      <c r="E8258" s="5">
        <v>-31602</v>
      </c>
      <c r="F8258" s="3" t="s">
        <v>2117</v>
      </c>
      <c r="G8258" s="3" t="s">
        <v>54</v>
      </c>
      <c r="H8258" s="2" t="s">
        <v>20</v>
      </c>
      <c r="I8258" s="2" t="s">
        <v>17032</v>
      </c>
      <c r="J8258" s="3" t="str">
        <f>HYPERLINK("https://www.boe.es/gazeta/dias/1813/06/22/pdfs/GMR-1813-9.pdf#page=3","Abrir facsímil")</f>
        <v>Abrir facsímil</v>
      </c>
      <c r="K8258" s="3" t="s">
        <v>22</v>
      </c>
    </row>
    <row r="8259" spans="1:11" ht="42" customHeight="1">
      <c r="A8259" s="2" t="s">
        <v>16998</v>
      </c>
      <c r="B8259" s="2" t="s">
        <v>16998</v>
      </c>
      <c r="C8259" s="2" t="s">
        <v>16</v>
      </c>
      <c r="D8259" s="2" t="s">
        <v>17</v>
      </c>
      <c r="E8259" s="5">
        <v>-31602</v>
      </c>
      <c r="F8259" s="3" t="s">
        <v>2117</v>
      </c>
      <c r="G8259" s="3" t="s">
        <v>19</v>
      </c>
      <c r="H8259" s="2" t="s">
        <v>20</v>
      </c>
      <c r="I8259" s="2" t="s">
        <v>17033</v>
      </c>
      <c r="J8259" s="3" t="str">
        <f>HYPERLINK("https://www.boe.es/gazeta/dias/1813/06/22/pdfs/GMR-1813-9.pdf#page=4","Abrir facsímil")</f>
        <v>Abrir facsímil</v>
      </c>
      <c r="K8259" s="3" t="s">
        <v>22</v>
      </c>
    </row>
    <row r="8260" spans="1:11" ht="42" customHeight="1">
      <c r="A8260" s="2" t="s">
        <v>16998</v>
      </c>
      <c r="B8260" s="2" t="s">
        <v>16998</v>
      </c>
      <c r="C8260" s="2" t="s">
        <v>16</v>
      </c>
      <c r="D8260" s="2" t="s">
        <v>17</v>
      </c>
      <c r="E8260" s="5">
        <v>-31595</v>
      </c>
      <c r="F8260" s="3" t="s">
        <v>1319</v>
      </c>
      <c r="G8260" s="3" t="s">
        <v>19</v>
      </c>
      <c r="H8260" s="2" t="s">
        <v>20</v>
      </c>
      <c r="I8260" s="2" t="s">
        <v>17034</v>
      </c>
      <c r="J8260" s="3" t="str">
        <f>HYPERLINK("https://www.boe.es/gazeta/dias/1813/06/29/pdfs/GRE-1813-80.pdf#page=4","Abrir facsímil")</f>
        <v>Abrir facsímil</v>
      </c>
      <c r="K8260" s="3" t="s">
        <v>22</v>
      </c>
    </row>
    <row r="8261" spans="1:11" ht="42" customHeight="1">
      <c r="A8261" s="2" t="s">
        <v>16998</v>
      </c>
      <c r="B8261" s="2" t="s">
        <v>16998</v>
      </c>
      <c r="C8261" s="2" t="s">
        <v>16</v>
      </c>
      <c r="D8261" s="2" t="s">
        <v>17</v>
      </c>
      <c r="E8261" s="5">
        <v>-31581</v>
      </c>
      <c r="F8261" s="3" t="s">
        <v>1321</v>
      </c>
      <c r="G8261" s="3" t="s">
        <v>65</v>
      </c>
      <c r="H8261" s="2" t="s">
        <v>20</v>
      </c>
      <c r="I8261" s="2" t="s">
        <v>17035</v>
      </c>
      <c r="J8261" s="3" t="str">
        <f>HYPERLINK("https://www.boe.es/gazeta/dias/1813/07/13/pdfs/GMR-1813-17.pdf#page=1","Abrir facsímil")</f>
        <v>Abrir facsímil</v>
      </c>
      <c r="K8261" s="3" t="s">
        <v>22</v>
      </c>
    </row>
    <row r="8262" spans="1:11" ht="42" customHeight="1">
      <c r="A8262" s="2" t="s">
        <v>16998</v>
      </c>
      <c r="B8262" s="2" t="s">
        <v>16998</v>
      </c>
      <c r="C8262" s="2" t="s">
        <v>16</v>
      </c>
      <c r="D8262" s="2" t="s">
        <v>17</v>
      </c>
      <c r="E8262" s="5">
        <v>-31578</v>
      </c>
      <c r="F8262" s="3" t="s">
        <v>974</v>
      </c>
      <c r="G8262" s="3" t="s">
        <v>2367</v>
      </c>
      <c r="H8262" s="2" t="s">
        <v>20</v>
      </c>
      <c r="I8262" s="2" t="s">
        <v>17036</v>
      </c>
      <c r="J8262" s="3" t="str">
        <f>HYPERLINK("https://www.boe.es/gazeta/dias/1813/07/16/pdfs/GMR-1813-18.pdf#page=6","Abrir facsímil")</f>
        <v>Abrir facsímil</v>
      </c>
      <c r="K8262" s="3" t="s">
        <v>22</v>
      </c>
    </row>
    <row r="8263" spans="1:11" ht="42" customHeight="1">
      <c r="A8263" s="2" t="s">
        <v>16998</v>
      </c>
      <c r="B8263" s="2" t="s">
        <v>16998</v>
      </c>
      <c r="C8263" s="2" t="s">
        <v>16</v>
      </c>
      <c r="D8263" s="2" t="s">
        <v>17</v>
      </c>
      <c r="E8263" s="5">
        <v>-31570</v>
      </c>
      <c r="F8263" s="3" t="s">
        <v>1803</v>
      </c>
      <c r="G8263" s="3" t="s">
        <v>65</v>
      </c>
      <c r="H8263" s="2" t="s">
        <v>20</v>
      </c>
      <c r="I8263" s="2" t="s">
        <v>17037</v>
      </c>
      <c r="J8263" s="3" t="str">
        <f>HYPERLINK("https://www.boe.es/gazeta/dias/1813/07/24/pdfs/GRE-1813-94.pdf#page=1","Abrir facsímil")</f>
        <v>Abrir facsímil</v>
      </c>
      <c r="K8263" s="3" t="s">
        <v>22</v>
      </c>
    </row>
    <row r="8264" spans="1:11" ht="42" customHeight="1">
      <c r="A8264" s="2" t="s">
        <v>16998</v>
      </c>
      <c r="B8264" s="2" t="s">
        <v>16998</v>
      </c>
      <c r="C8264" s="2" t="s">
        <v>16</v>
      </c>
      <c r="D8264" s="2" t="s">
        <v>17</v>
      </c>
      <c r="E8264" s="5">
        <v>-31509</v>
      </c>
      <c r="F8264" s="3" t="s">
        <v>202</v>
      </c>
      <c r="G8264" s="3" t="s">
        <v>95</v>
      </c>
      <c r="H8264" s="2" t="s">
        <v>20</v>
      </c>
      <c r="I8264" s="2" t="s">
        <v>17038</v>
      </c>
      <c r="J8264" s="3" t="str">
        <f>HYPERLINK("https://www.boe.es/gazeta/dias/1813/09/23/pdfs/GMR-1813-47.pdf#page=6","Abrir facsímil")</f>
        <v>Abrir facsímil</v>
      </c>
      <c r="K8264" s="3" t="s">
        <v>22</v>
      </c>
    </row>
    <row r="8265" spans="1:11" ht="42" customHeight="1">
      <c r="A8265" s="2" t="s">
        <v>16998</v>
      </c>
      <c r="B8265" s="2" t="s">
        <v>16998</v>
      </c>
      <c r="C8265" s="2" t="s">
        <v>16</v>
      </c>
      <c r="D8265" s="2" t="s">
        <v>17</v>
      </c>
      <c r="E8265" s="5">
        <v>-31504</v>
      </c>
      <c r="F8265" s="3" t="s">
        <v>192</v>
      </c>
      <c r="G8265" s="3" t="s">
        <v>65</v>
      </c>
      <c r="H8265" s="2" t="s">
        <v>20</v>
      </c>
      <c r="I8265" s="2" t="s">
        <v>17039</v>
      </c>
      <c r="J8265" s="3" t="str">
        <f>HYPERLINK("https://www.boe.es/gazeta/dias/1813/09/28/pdfs/GRE-1813-127.pdf#page=1","Abrir facsímil")</f>
        <v>Abrir facsímil</v>
      </c>
      <c r="K8265" s="3" t="s">
        <v>22</v>
      </c>
    </row>
    <row r="8266" spans="1:11" ht="42" customHeight="1">
      <c r="A8266" s="2" t="s">
        <v>16998</v>
      </c>
      <c r="B8266" s="2" t="s">
        <v>16998</v>
      </c>
      <c r="C8266" s="2" t="s">
        <v>16</v>
      </c>
      <c r="D8266" s="2" t="s">
        <v>17</v>
      </c>
      <c r="E8266" s="5">
        <v>-31481</v>
      </c>
      <c r="F8266" s="3" t="s">
        <v>380</v>
      </c>
      <c r="G8266" s="3" t="s">
        <v>95</v>
      </c>
      <c r="H8266" s="2" t="s">
        <v>20</v>
      </c>
      <c r="I8266" s="2" t="s">
        <v>17040</v>
      </c>
      <c r="J8266" s="3" t="str">
        <f>HYPERLINK("https://www.boe.es/gazeta/dias/1813/10/21/pdfs/GRE-1813-137.pdf#page=6","Abrir facsímil")</f>
        <v>Abrir facsímil</v>
      </c>
      <c r="K8266" s="3" t="s">
        <v>22</v>
      </c>
    </row>
    <row r="8267" spans="1:11" ht="42" customHeight="1">
      <c r="A8267" s="2" t="s">
        <v>16998</v>
      </c>
      <c r="B8267" s="2" t="s">
        <v>16998</v>
      </c>
      <c r="C8267" s="2" t="s">
        <v>16</v>
      </c>
      <c r="D8267" s="2" t="s">
        <v>17</v>
      </c>
      <c r="E8267" s="5">
        <v>-31479</v>
      </c>
      <c r="F8267" s="3" t="s">
        <v>2383</v>
      </c>
      <c r="G8267" s="3" t="s">
        <v>2420</v>
      </c>
      <c r="H8267" s="2" t="s">
        <v>20</v>
      </c>
      <c r="I8267" s="2" t="s">
        <v>17041</v>
      </c>
      <c r="J8267" s="3" t="str">
        <f>HYPERLINK("https://www.boe.es/gazeta/dias/1813/10/23/pdfs/GRE-1813-138.pdf#page=2","Abrir facsímil")</f>
        <v>Abrir facsímil</v>
      </c>
      <c r="K8267" s="3" t="s">
        <v>22</v>
      </c>
    </row>
    <row r="8268" spans="1:11" ht="42" customHeight="1">
      <c r="A8268" s="2" t="s">
        <v>16998</v>
      </c>
      <c r="B8268" s="2" t="s">
        <v>16998</v>
      </c>
      <c r="C8268" s="2" t="s">
        <v>16</v>
      </c>
      <c r="D8268" s="2" t="s">
        <v>17</v>
      </c>
      <c r="E8268" s="5">
        <v>-31476</v>
      </c>
      <c r="F8268" s="3" t="s">
        <v>229</v>
      </c>
      <c r="G8268" s="3" t="s">
        <v>65</v>
      </c>
      <c r="H8268" s="2" t="s">
        <v>20</v>
      </c>
      <c r="I8268" s="2" t="s">
        <v>17042</v>
      </c>
      <c r="J8268" s="3" t="str">
        <f>HYPERLINK("https://www.boe.es/gazeta/dias/1813/10/26/pdfs/GRE-1813-140.pdf#page=1","Abrir facsímil")</f>
        <v>Abrir facsímil</v>
      </c>
      <c r="K8268" s="3" t="s">
        <v>22</v>
      </c>
    </row>
    <row r="8269" spans="1:11" ht="42" customHeight="1">
      <c r="A8269" s="2" t="s">
        <v>16998</v>
      </c>
      <c r="B8269" s="2" t="s">
        <v>16998</v>
      </c>
      <c r="C8269" s="2" t="s">
        <v>16</v>
      </c>
      <c r="D8269" s="2" t="s">
        <v>17</v>
      </c>
      <c r="E8269" s="5">
        <v>-31472</v>
      </c>
      <c r="F8269" s="3" t="s">
        <v>1942</v>
      </c>
      <c r="G8269" s="3" t="s">
        <v>82</v>
      </c>
      <c r="H8269" s="2" t="s">
        <v>20</v>
      </c>
      <c r="I8269" s="2" t="s">
        <v>17043</v>
      </c>
      <c r="J8269" s="3" t="str">
        <f>HYPERLINK("https://www.boe.es/gazeta/dias/1813/10/30/pdfs/GRE-1813-142.pdf#page=5","Abrir facsímil")</f>
        <v>Abrir facsímil</v>
      </c>
      <c r="K8269" s="3" t="s">
        <v>22</v>
      </c>
    </row>
    <row r="8270" spans="1:11" ht="42" customHeight="1">
      <c r="A8270" s="2" t="s">
        <v>16998</v>
      </c>
      <c r="B8270" s="2" t="s">
        <v>16998</v>
      </c>
      <c r="C8270" s="2" t="s">
        <v>16</v>
      </c>
      <c r="D8270" s="2" t="s">
        <v>17</v>
      </c>
      <c r="E8270" s="5">
        <v>-31465</v>
      </c>
      <c r="F8270" s="3" t="s">
        <v>407</v>
      </c>
      <c r="G8270" s="3" t="s">
        <v>54</v>
      </c>
      <c r="H8270" s="2" t="s">
        <v>20</v>
      </c>
      <c r="I8270" s="2" t="s">
        <v>17044</v>
      </c>
      <c r="J8270" s="3" t="str">
        <f>HYPERLINK("https://www.boe.es/gazeta/dias/1813/11/06/pdfs/GMR-1813-70.pdf#page=3","Abrir facsímil")</f>
        <v>Abrir facsímil</v>
      </c>
      <c r="K8270" s="3" t="s">
        <v>22</v>
      </c>
    </row>
    <row r="8271" spans="1:11" ht="42" customHeight="1">
      <c r="A8271" s="2" t="s">
        <v>16998</v>
      </c>
      <c r="B8271" s="2" t="s">
        <v>16998</v>
      </c>
      <c r="C8271" s="2" t="s">
        <v>16</v>
      </c>
      <c r="D8271" s="2" t="s">
        <v>17</v>
      </c>
      <c r="E8271" s="5">
        <v>-31462</v>
      </c>
      <c r="F8271" s="3" t="s">
        <v>542</v>
      </c>
      <c r="G8271" s="3" t="s">
        <v>19</v>
      </c>
      <c r="H8271" s="2" t="s">
        <v>20</v>
      </c>
      <c r="I8271" s="2" t="s">
        <v>17045</v>
      </c>
      <c r="J8271" s="3" t="str">
        <f>HYPERLINK("https://www.boe.es/gazeta/dias/1813/11/09/pdfs/GRE-1813-146.pdf#page=4","Abrir facsímil")</f>
        <v>Abrir facsímil</v>
      </c>
      <c r="K8271" s="3" t="s">
        <v>22</v>
      </c>
    </row>
    <row r="8272" spans="1:11" ht="42" customHeight="1">
      <c r="A8272" s="2" t="s">
        <v>16998</v>
      </c>
      <c r="B8272" s="2" t="s">
        <v>16998</v>
      </c>
      <c r="C8272" s="2" t="s">
        <v>16</v>
      </c>
      <c r="D8272" s="2" t="s">
        <v>17</v>
      </c>
      <c r="E8272" s="5">
        <v>-31462</v>
      </c>
      <c r="F8272" s="3" t="s">
        <v>542</v>
      </c>
      <c r="G8272" s="3" t="s">
        <v>95</v>
      </c>
      <c r="H8272" s="2" t="s">
        <v>20</v>
      </c>
      <c r="I8272" s="2" t="s">
        <v>17046</v>
      </c>
      <c r="J8272" s="3" t="str">
        <f>HYPERLINK("https://www.boe.es/gazeta/dias/1813/11/09/pdfs/GRE-1813-146.pdf#page=6","Abrir facsímil")</f>
        <v>Abrir facsímil</v>
      </c>
      <c r="K8272" s="3" t="s">
        <v>22</v>
      </c>
    </row>
    <row r="8273" spans="1:11" ht="42" customHeight="1">
      <c r="A8273" s="2" t="s">
        <v>16998</v>
      </c>
      <c r="B8273" s="2" t="s">
        <v>16998</v>
      </c>
      <c r="C8273" s="2" t="s">
        <v>16</v>
      </c>
      <c r="D8273" s="2" t="s">
        <v>17</v>
      </c>
      <c r="E8273" s="5">
        <v>-31460</v>
      </c>
      <c r="F8273" s="3" t="s">
        <v>599</v>
      </c>
      <c r="G8273" s="3" t="s">
        <v>54</v>
      </c>
      <c r="H8273" s="2" t="s">
        <v>20</v>
      </c>
      <c r="I8273" s="2" t="s">
        <v>17047</v>
      </c>
      <c r="J8273" s="3" t="str">
        <f>HYPERLINK("https://www.boe.es/gazeta/dias/1813/11/11/pdfs/GMR-1813-72.pdf#page=3","Abrir facsímil")</f>
        <v>Abrir facsímil</v>
      </c>
      <c r="K8273" s="3" t="s">
        <v>22</v>
      </c>
    </row>
    <row r="8274" spans="1:11" ht="42" customHeight="1">
      <c r="A8274" s="2" t="s">
        <v>16998</v>
      </c>
      <c r="B8274" s="2" t="s">
        <v>16998</v>
      </c>
      <c r="C8274" s="2" t="s">
        <v>16</v>
      </c>
      <c r="D8274" s="2" t="s">
        <v>17</v>
      </c>
      <c r="E8274" s="5">
        <v>-31448</v>
      </c>
      <c r="F8274" s="3" t="s">
        <v>57</v>
      </c>
      <c r="G8274" s="3" t="s">
        <v>58</v>
      </c>
      <c r="H8274" s="2" t="s">
        <v>20</v>
      </c>
      <c r="I8274" s="2" t="s">
        <v>17048</v>
      </c>
      <c r="J8274" s="3" t="str">
        <f>HYPERLINK("https://www.boe.es/gazeta/dias/1813/11/23/pdfs/GRE-1813-153.pdf#page=2","Abrir facsímil")</f>
        <v>Abrir facsímil</v>
      </c>
      <c r="K8274" s="3" t="s">
        <v>22</v>
      </c>
    </row>
    <row r="8275" spans="1:11" ht="42" customHeight="1">
      <c r="A8275" s="2" t="s">
        <v>17049</v>
      </c>
      <c r="B8275" s="2" t="s">
        <v>17050</v>
      </c>
      <c r="C8275" s="2" t="s">
        <v>16</v>
      </c>
      <c r="D8275" s="2" t="s">
        <v>17</v>
      </c>
      <c r="E8275" s="5">
        <v>-31446</v>
      </c>
      <c r="F8275" s="3" t="s">
        <v>1078</v>
      </c>
      <c r="G8275" s="3" t="s">
        <v>82</v>
      </c>
      <c r="H8275" s="2" t="s">
        <v>29</v>
      </c>
      <c r="I8275" s="2" t="s">
        <v>17051</v>
      </c>
      <c r="J8275" s="3" t="str">
        <f>HYPERLINK("https://www.boe.es/gazeta/dias/1813/11/25/pdfs/GRE-1813-154.pdf#page=5","Abrir facsímil")</f>
        <v>Abrir facsímil</v>
      </c>
      <c r="K8275" s="3" t="s">
        <v>31</v>
      </c>
    </row>
    <row r="8276" spans="1:11" ht="42" customHeight="1">
      <c r="A8276" s="2" t="s">
        <v>17052</v>
      </c>
      <c r="B8276" s="2" t="s">
        <v>17052</v>
      </c>
      <c r="C8276" s="2" t="s">
        <v>16</v>
      </c>
      <c r="D8276" s="2" t="s">
        <v>17</v>
      </c>
      <c r="E8276" s="5">
        <v>-31693</v>
      </c>
      <c r="F8276" s="3" t="s">
        <v>3950</v>
      </c>
      <c r="G8276" s="3" t="s">
        <v>58</v>
      </c>
      <c r="H8276" s="2" t="s">
        <v>20</v>
      </c>
      <c r="I8276" s="2" t="s">
        <v>17053</v>
      </c>
      <c r="J8276" s="3" t="str">
        <f>HYPERLINK("https://www.boe.es/gazeta/dias/1813/03/23/pdfs/GRE-1813-36.pdf#page=2","Abrir facsímil")</f>
        <v>Abrir facsímil</v>
      </c>
      <c r="K8276" s="3" t="s">
        <v>22</v>
      </c>
    </row>
    <row r="8277" spans="1:11" ht="42" customHeight="1">
      <c r="A8277" s="2" t="s">
        <v>17054</v>
      </c>
      <c r="B8277" s="2" t="s">
        <v>17054</v>
      </c>
      <c r="C8277" s="2" t="s">
        <v>16</v>
      </c>
      <c r="D8277" s="2" t="s">
        <v>17</v>
      </c>
      <c r="E8277" s="5">
        <v>-31756</v>
      </c>
      <c r="F8277" s="3" t="s">
        <v>951</v>
      </c>
      <c r="G8277" s="3" t="s">
        <v>669</v>
      </c>
      <c r="H8277" s="2" t="s">
        <v>20</v>
      </c>
      <c r="I8277" s="2" t="s">
        <v>17055</v>
      </c>
      <c r="J8277" s="3" t="str">
        <f>HYPERLINK("https://www.boe.es/gazeta/dias/1813/01/19/pdfs/GRE-1813-8.pdf#page=2","Abrir facsímil")</f>
        <v>Abrir facsímil</v>
      </c>
      <c r="K8277" s="3" t="s">
        <v>22</v>
      </c>
    </row>
    <row r="8278" spans="1:11" ht="42" customHeight="1">
      <c r="A8278" s="2" t="s">
        <v>17056</v>
      </c>
      <c r="B8278" s="2" t="s">
        <v>17056</v>
      </c>
      <c r="C8278" s="2" t="s">
        <v>16</v>
      </c>
      <c r="D8278" s="2" t="s">
        <v>17</v>
      </c>
      <c r="E8278" s="5">
        <v>-31698</v>
      </c>
      <c r="F8278" s="3" t="s">
        <v>470</v>
      </c>
      <c r="G8278" s="3" t="s">
        <v>4979</v>
      </c>
      <c r="H8278" s="2" t="s">
        <v>20</v>
      </c>
      <c r="I8278" s="2" t="s">
        <v>17057</v>
      </c>
      <c r="J8278" s="3" t="str">
        <f>HYPERLINK("https://www.boe.es/gazeta/dias/1813/03/18/pdfs/GRE-1813-34.pdf#page=6","Abrir facsímil")</f>
        <v>Abrir facsímil</v>
      </c>
      <c r="K8278" s="3" t="s">
        <v>22</v>
      </c>
    </row>
    <row r="8279" spans="1:11" ht="42" customHeight="1">
      <c r="A8279" s="2" t="s">
        <v>17058</v>
      </c>
      <c r="B8279" s="2" t="s">
        <v>17058</v>
      </c>
      <c r="C8279" s="2" t="s">
        <v>16</v>
      </c>
      <c r="D8279" s="2" t="s">
        <v>17</v>
      </c>
      <c r="E8279" s="5">
        <v>-31425</v>
      </c>
      <c r="F8279" s="3" t="s">
        <v>1669</v>
      </c>
      <c r="G8279" s="3" t="s">
        <v>95</v>
      </c>
      <c r="H8279" s="2" t="s">
        <v>20</v>
      </c>
      <c r="I8279" s="2" t="s">
        <v>17059</v>
      </c>
      <c r="J8279" s="3" t="str">
        <f>HYPERLINK("https://www.boe.es/gazeta/dias/1813/12/16/pdfs/GRE-1813-165.pdf#page=6","Abrir facsímil")</f>
        <v>Abrir facsímil</v>
      </c>
      <c r="K8279" s="3" t="s">
        <v>22</v>
      </c>
    </row>
    <row r="8280" spans="1:11" ht="42" customHeight="1">
      <c r="A8280" s="2" t="s">
        <v>17060</v>
      </c>
      <c r="B8280" s="2" t="s">
        <v>17060</v>
      </c>
      <c r="C8280" s="2" t="s">
        <v>16</v>
      </c>
      <c r="D8280" s="2" t="s">
        <v>17</v>
      </c>
      <c r="E8280" s="5">
        <v>-31644</v>
      </c>
      <c r="F8280" s="3" t="s">
        <v>3904</v>
      </c>
      <c r="G8280" s="3" t="s">
        <v>983</v>
      </c>
      <c r="H8280" s="2" t="s">
        <v>20</v>
      </c>
      <c r="I8280" s="2" t="s">
        <v>17061</v>
      </c>
      <c r="J8280" s="3" t="str">
        <f>HYPERLINK("https://www.boe.es/gazeta/dias/1813/05/11/pdfs/GRE-1813-58.pdf#page=7","Abrir facsímil")</f>
        <v>Abrir facsímil</v>
      </c>
      <c r="K8280" s="3" t="s">
        <v>22</v>
      </c>
    </row>
    <row r="8281" spans="1:11" ht="42" customHeight="1">
      <c r="A8281" s="2" t="s">
        <v>17062</v>
      </c>
      <c r="B8281" s="2" t="s">
        <v>17062</v>
      </c>
      <c r="C8281" s="2" t="s">
        <v>16</v>
      </c>
      <c r="D8281" s="2" t="s">
        <v>17</v>
      </c>
      <c r="E8281" s="5">
        <v>-31521</v>
      </c>
      <c r="F8281" s="3" t="s">
        <v>1282</v>
      </c>
      <c r="G8281" s="3" t="s">
        <v>82</v>
      </c>
      <c r="H8281" s="2" t="s">
        <v>20</v>
      </c>
      <c r="I8281" s="2" t="s">
        <v>17063</v>
      </c>
      <c r="J8281" s="3" t="str">
        <f>HYPERLINK("https://www.boe.es/gazeta/dias/1813/09/11/pdfs/GMR-1813-41.pdf#page=5","Abrir facsímil")</f>
        <v>Abrir facsímil</v>
      </c>
      <c r="K8281" s="3" t="s">
        <v>22</v>
      </c>
    </row>
    <row r="8282" spans="1:11" ht="42" customHeight="1">
      <c r="A8282" s="2" t="s">
        <v>17064</v>
      </c>
      <c r="B8282" s="2" t="s">
        <v>17065</v>
      </c>
      <c r="C8282" s="2" t="s">
        <v>16</v>
      </c>
      <c r="D8282" s="2" t="s">
        <v>17</v>
      </c>
      <c r="E8282" s="5">
        <v>-31559</v>
      </c>
      <c r="F8282" s="3" t="s">
        <v>1485</v>
      </c>
      <c r="G8282" s="3" t="s">
        <v>82</v>
      </c>
      <c r="H8282" s="2" t="s">
        <v>20</v>
      </c>
      <c r="I8282" s="2" t="s">
        <v>17066</v>
      </c>
      <c r="J8282" s="3" t="str">
        <f>HYPERLINK("https://www.boe.es/gazeta/dias/1813/08/04/pdfs/GRE-1813-113.pdf#page=5","Abrir facsímil")</f>
        <v>Abrir facsímil</v>
      </c>
      <c r="K8282" s="3" t="s">
        <v>22</v>
      </c>
    </row>
    <row r="8283" spans="1:11" ht="42" customHeight="1">
      <c r="A8283" s="2" t="s">
        <v>17064</v>
      </c>
      <c r="B8283" s="2" t="s">
        <v>17065</v>
      </c>
      <c r="C8283" s="2" t="s">
        <v>16</v>
      </c>
      <c r="D8283" s="2" t="s">
        <v>17</v>
      </c>
      <c r="E8283" s="5">
        <v>-31535</v>
      </c>
      <c r="F8283" s="3" t="s">
        <v>894</v>
      </c>
      <c r="G8283" s="3" t="s">
        <v>82</v>
      </c>
      <c r="H8283" s="2" t="s">
        <v>20</v>
      </c>
      <c r="I8283" s="2" t="s">
        <v>17067</v>
      </c>
      <c r="J8283" s="3" t="str">
        <f>HYPERLINK("https://www.boe.es/gazeta/dias/1813/08/28/pdfs/GMR-1813-34.pdf#page=5","Abrir facsímil")</f>
        <v>Abrir facsímil</v>
      </c>
      <c r="K8283" s="3" t="s">
        <v>22</v>
      </c>
    </row>
    <row r="8284" spans="1:11" ht="42" customHeight="1">
      <c r="A8284" s="2" t="s">
        <v>17064</v>
      </c>
      <c r="B8284" s="2" t="s">
        <v>17065</v>
      </c>
      <c r="C8284" s="2" t="s">
        <v>16</v>
      </c>
      <c r="D8284" s="2" t="s">
        <v>17</v>
      </c>
      <c r="E8284" s="5">
        <v>-31528</v>
      </c>
      <c r="F8284" s="3" t="s">
        <v>1485</v>
      </c>
      <c r="G8284" s="3" t="s">
        <v>82</v>
      </c>
      <c r="H8284" s="2" t="s">
        <v>20</v>
      </c>
      <c r="I8284" s="2" t="s">
        <v>17066</v>
      </c>
      <c r="J8284" s="3" t="str">
        <f>HYPERLINK("https://www.boe.es/gazeta/dias/1813/09/04/pdfs/GRE-1813-113.pdf#page=5","Abrir facsímil")</f>
        <v>Abrir facsímil</v>
      </c>
      <c r="K8284" s="3" t="s">
        <v>22</v>
      </c>
    </row>
    <row r="8285" spans="1:11" ht="42" customHeight="1">
      <c r="A8285" s="2" t="s">
        <v>17068</v>
      </c>
      <c r="B8285" s="2" t="s">
        <v>17068</v>
      </c>
      <c r="C8285" s="2" t="s">
        <v>16</v>
      </c>
      <c r="D8285" s="2" t="s">
        <v>17</v>
      </c>
      <c r="E8285" s="5">
        <v>-31693</v>
      </c>
      <c r="F8285" s="3" t="s">
        <v>3950</v>
      </c>
      <c r="G8285" s="3" t="s">
        <v>65</v>
      </c>
      <c r="H8285" s="2" t="s">
        <v>20</v>
      </c>
      <c r="I8285" s="2" t="s">
        <v>17069</v>
      </c>
      <c r="J8285" s="3" t="str">
        <f>HYPERLINK("https://www.boe.es/gazeta/dias/1813/03/23/pdfs/GRE-1813-36.pdf#page=1","Abrir facsímil")</f>
        <v>Abrir facsímil</v>
      </c>
      <c r="K8285" s="3" t="s">
        <v>22</v>
      </c>
    </row>
    <row r="8286" spans="1:11" ht="42" customHeight="1">
      <c r="A8286" s="2" t="s">
        <v>17070</v>
      </c>
      <c r="B8286" s="2" t="s">
        <v>17070</v>
      </c>
      <c r="C8286" s="2" t="s">
        <v>16</v>
      </c>
      <c r="D8286" s="2" t="s">
        <v>17</v>
      </c>
      <c r="E8286" s="5">
        <v>-31525</v>
      </c>
      <c r="F8286" s="3" t="s">
        <v>135</v>
      </c>
      <c r="G8286" s="3" t="s">
        <v>65</v>
      </c>
      <c r="H8286" s="2" t="s">
        <v>20</v>
      </c>
      <c r="I8286" s="2" t="s">
        <v>17071</v>
      </c>
      <c r="J8286" s="3" t="str">
        <f>HYPERLINK("https://www.boe.es/gazeta/dias/1813/09/07/pdfs/GMR-1813-38.pdf#page=1","Abrir facsímil")</f>
        <v>Abrir facsímil</v>
      </c>
      <c r="K8286" s="3" t="s">
        <v>22</v>
      </c>
    </row>
    <row r="8287" spans="1:11" ht="42" customHeight="1">
      <c r="A8287" s="2" t="s">
        <v>17072</v>
      </c>
      <c r="B8287" s="2" t="s">
        <v>17072</v>
      </c>
      <c r="C8287" s="2" t="s">
        <v>16</v>
      </c>
      <c r="D8287" s="2" t="s">
        <v>17</v>
      </c>
      <c r="E8287" s="5">
        <v>-31578</v>
      </c>
      <c r="F8287" s="3" t="s">
        <v>974</v>
      </c>
      <c r="G8287" s="3" t="s">
        <v>54</v>
      </c>
      <c r="H8287" s="2" t="s">
        <v>20</v>
      </c>
      <c r="I8287" s="2" t="s">
        <v>17073</v>
      </c>
      <c r="J8287" s="3" t="str">
        <f>HYPERLINK("https://www.boe.es/gazeta/dias/1813/07/16/pdfs/GMR-1813-18.pdf#page=3","Abrir facsímil")</f>
        <v>Abrir facsímil</v>
      </c>
      <c r="K8287" s="3" t="s">
        <v>22</v>
      </c>
    </row>
    <row r="8288" spans="1:11" ht="42" customHeight="1">
      <c r="A8288" s="2" t="s">
        <v>17074</v>
      </c>
      <c r="B8288" s="2" t="s">
        <v>17074</v>
      </c>
      <c r="C8288" s="2" t="s">
        <v>16</v>
      </c>
      <c r="D8288" s="2" t="s">
        <v>17</v>
      </c>
      <c r="E8288" s="5">
        <v>-31754</v>
      </c>
      <c r="F8288" s="3" t="s">
        <v>899</v>
      </c>
      <c r="G8288" s="3" t="s">
        <v>10603</v>
      </c>
      <c r="H8288" s="2" t="s">
        <v>20</v>
      </c>
      <c r="I8288" s="2" t="s">
        <v>17075</v>
      </c>
      <c r="J8288" s="3" t="str">
        <f>HYPERLINK("https://www.boe.es/gazeta/dias/1813/01/21/pdfs/GRE-1813-9.pdf#page=3","Abrir facsímil")</f>
        <v>Abrir facsímil</v>
      </c>
      <c r="K8288" s="3" t="s">
        <v>22</v>
      </c>
    </row>
    <row r="8289" spans="1:11" ht="42" customHeight="1">
      <c r="A8289" s="2" t="s">
        <v>17076</v>
      </c>
      <c r="B8289" s="2" t="s">
        <v>17076</v>
      </c>
      <c r="C8289" s="2" t="s">
        <v>16</v>
      </c>
      <c r="D8289" s="2" t="s">
        <v>17</v>
      </c>
      <c r="E8289" s="5">
        <v>-31497</v>
      </c>
      <c r="F8289" s="3" t="s">
        <v>223</v>
      </c>
      <c r="G8289" s="3" t="s">
        <v>87</v>
      </c>
      <c r="H8289" s="2" t="s">
        <v>20</v>
      </c>
      <c r="I8289" s="2" t="s">
        <v>17077</v>
      </c>
      <c r="J8289" s="3" t="str">
        <f>HYPERLINK("https://www.boe.es/gazeta/dias/1813/10/05/pdfs/GRE-1813-130.pdf#page=7","Abrir facsímil")</f>
        <v>Abrir facsímil</v>
      </c>
      <c r="K8289" s="3" t="s">
        <v>22</v>
      </c>
    </row>
    <row r="8290" spans="1:11" ht="42" customHeight="1">
      <c r="A8290" s="2" t="s">
        <v>17076</v>
      </c>
      <c r="B8290" s="2" t="s">
        <v>17076</v>
      </c>
      <c r="C8290" s="2" t="s">
        <v>16</v>
      </c>
      <c r="D8290" s="2" t="s">
        <v>17</v>
      </c>
      <c r="E8290" s="5">
        <v>-31481</v>
      </c>
      <c r="F8290" s="3" t="s">
        <v>380</v>
      </c>
      <c r="G8290" s="3" t="s">
        <v>54</v>
      </c>
      <c r="H8290" s="2" t="s">
        <v>20</v>
      </c>
      <c r="I8290" s="2" t="s">
        <v>17078</v>
      </c>
      <c r="J8290" s="3" t="str">
        <f>HYPERLINK("https://www.boe.es/gazeta/dias/1813/10/21/pdfs/GRE-1813-137.pdf#page=3","Abrir facsímil")</f>
        <v>Abrir facsímil</v>
      </c>
      <c r="K8290" s="3" t="s">
        <v>22</v>
      </c>
    </row>
    <row r="8291" spans="1:11" ht="42" customHeight="1">
      <c r="A8291" s="2" t="s">
        <v>17076</v>
      </c>
      <c r="B8291" s="2" t="s">
        <v>17076</v>
      </c>
      <c r="C8291" s="2" t="s">
        <v>16</v>
      </c>
      <c r="D8291" s="2" t="s">
        <v>17</v>
      </c>
      <c r="E8291" s="5">
        <v>-31462</v>
      </c>
      <c r="F8291" s="3" t="s">
        <v>1028</v>
      </c>
      <c r="G8291" s="3" t="s">
        <v>19</v>
      </c>
      <c r="H8291" s="2" t="s">
        <v>20</v>
      </c>
      <c r="I8291" s="2" t="s">
        <v>17079</v>
      </c>
      <c r="J8291" s="3" t="str">
        <f>HYPERLINK("https://www.boe.es/gazeta/dias/1813/11/09/pdfs/GMR-1813-71.pdf#page=4","Abrir facsímil")</f>
        <v>Abrir facsímil</v>
      </c>
      <c r="K8291" s="3" t="s">
        <v>22</v>
      </c>
    </row>
    <row r="8292" spans="1:11" ht="42" customHeight="1">
      <c r="A8292" s="2" t="s">
        <v>17076</v>
      </c>
      <c r="B8292" s="2" t="s">
        <v>17076</v>
      </c>
      <c r="C8292" s="2" t="s">
        <v>16</v>
      </c>
      <c r="D8292" s="2" t="s">
        <v>17</v>
      </c>
      <c r="E8292" s="5">
        <v>-31455</v>
      </c>
      <c r="F8292" s="3" t="s">
        <v>693</v>
      </c>
      <c r="G8292" s="3" t="s">
        <v>1588</v>
      </c>
      <c r="H8292" s="2" t="s">
        <v>20</v>
      </c>
      <c r="I8292" s="2" t="s">
        <v>17080</v>
      </c>
      <c r="J8292" s="3" t="str">
        <f>HYPERLINK("https://www.boe.es/gazeta/dias/1813/11/16/pdfs/GRE-1813-150.pdf#page=4","Abrir facsímil")</f>
        <v>Abrir facsímil</v>
      </c>
      <c r="K8292" s="3" t="s">
        <v>22</v>
      </c>
    </row>
    <row r="8293" spans="1:11" ht="42" customHeight="1">
      <c r="A8293" s="2" t="s">
        <v>17076</v>
      </c>
      <c r="B8293" s="2" t="s">
        <v>17076</v>
      </c>
      <c r="C8293" s="2" t="s">
        <v>16</v>
      </c>
      <c r="D8293" s="2" t="s">
        <v>17</v>
      </c>
      <c r="E8293" s="5">
        <v>-31453</v>
      </c>
      <c r="F8293" s="3" t="s">
        <v>695</v>
      </c>
      <c r="G8293" s="3" t="s">
        <v>65</v>
      </c>
      <c r="H8293" s="2" t="s">
        <v>20</v>
      </c>
      <c r="I8293" s="2" t="s">
        <v>17081</v>
      </c>
      <c r="J8293" s="3" t="str">
        <f>HYPERLINK("https://www.boe.es/gazeta/dias/1813/11/18/pdfs/GRE-1813-151.pdf#page=1","Abrir facsímil")</f>
        <v>Abrir facsímil</v>
      </c>
      <c r="K8293" s="3" t="s">
        <v>22</v>
      </c>
    </row>
    <row r="8294" spans="1:11" ht="42" customHeight="1">
      <c r="A8294" s="2" t="s">
        <v>17076</v>
      </c>
      <c r="B8294" s="2" t="s">
        <v>17076</v>
      </c>
      <c r="C8294" s="2" t="s">
        <v>16</v>
      </c>
      <c r="D8294" s="2" t="s">
        <v>17</v>
      </c>
      <c r="E8294" s="5">
        <v>-31413</v>
      </c>
      <c r="F8294" s="3" t="s">
        <v>149</v>
      </c>
      <c r="G8294" s="3" t="s">
        <v>54</v>
      </c>
      <c r="H8294" s="2" t="s">
        <v>20</v>
      </c>
      <c r="I8294" s="2" t="s">
        <v>17082</v>
      </c>
      <c r="J8294" s="3" t="str">
        <f>HYPERLINK("https://www.boe.es/gazeta/dias/1813/12/28/pdfs/GMR-1813-93.pdf#page=3","Abrir facsímil")</f>
        <v>Abrir facsímil</v>
      </c>
      <c r="K8294" s="3" t="s">
        <v>22</v>
      </c>
    </row>
    <row r="8295" spans="1:11" ht="42" customHeight="1">
      <c r="A8295" s="2" t="s">
        <v>17083</v>
      </c>
      <c r="B8295" s="2" t="s">
        <v>17083</v>
      </c>
      <c r="C8295" s="2" t="s">
        <v>16</v>
      </c>
      <c r="D8295" s="2" t="s">
        <v>97</v>
      </c>
      <c r="E8295" s="5">
        <v>-31499</v>
      </c>
      <c r="F8295" s="3" t="s">
        <v>220</v>
      </c>
      <c r="G8295" s="3" t="s">
        <v>1788</v>
      </c>
      <c r="H8295" s="2" t="s">
        <v>20</v>
      </c>
      <c r="I8295" s="2" t="s">
        <v>17084</v>
      </c>
      <c r="J8295" s="3" t="str">
        <f>HYPERLINK("https://www.boe.es/gazeta/dias/1813/10/03/pdfs/GMR-1813-53E.pdf#page=4","Abrir facsímil")</f>
        <v>Abrir facsímil</v>
      </c>
      <c r="K8295" s="3" t="s">
        <v>22</v>
      </c>
    </row>
    <row r="8296" spans="1:11" ht="42" customHeight="1">
      <c r="A8296" s="2" t="s">
        <v>17083</v>
      </c>
      <c r="B8296" s="2" t="s">
        <v>17083</v>
      </c>
      <c r="C8296" s="2" t="s">
        <v>16</v>
      </c>
      <c r="D8296" s="2" t="s">
        <v>97</v>
      </c>
      <c r="E8296" s="5">
        <v>-31499</v>
      </c>
      <c r="F8296" s="3" t="s">
        <v>220</v>
      </c>
      <c r="G8296" s="3" t="s">
        <v>54</v>
      </c>
      <c r="H8296" s="2" t="s">
        <v>20</v>
      </c>
      <c r="I8296" s="2" t="s">
        <v>17085</v>
      </c>
      <c r="J8296" s="3" t="str">
        <f>HYPERLINK("https://www.boe.es/gazeta/dias/1813/10/03/pdfs/GMR-1813-53E.pdf#page=3","Abrir facsímil")</f>
        <v>Abrir facsímil</v>
      </c>
      <c r="K8296" s="3" t="s">
        <v>22</v>
      </c>
    </row>
    <row r="8297" spans="1:11" ht="42" customHeight="1">
      <c r="A8297" s="2" t="s">
        <v>17086</v>
      </c>
      <c r="B8297" s="2" t="s">
        <v>17086</v>
      </c>
      <c r="C8297" s="2" t="s">
        <v>16</v>
      </c>
      <c r="D8297" s="2" t="s">
        <v>17</v>
      </c>
      <c r="E8297" s="5">
        <v>-31448</v>
      </c>
      <c r="F8297" s="3" t="s">
        <v>57</v>
      </c>
      <c r="G8297" s="3" t="s">
        <v>54</v>
      </c>
      <c r="H8297" s="2" t="s">
        <v>20</v>
      </c>
      <c r="I8297" s="2" t="s">
        <v>17087</v>
      </c>
      <c r="J8297" s="3" t="str">
        <f>HYPERLINK("https://www.boe.es/gazeta/dias/1813/11/23/pdfs/GRE-1813-153.pdf#page=3","Abrir facsímil")</f>
        <v>Abrir facsímil</v>
      </c>
      <c r="K8297" s="3" t="s">
        <v>22</v>
      </c>
    </row>
    <row r="8298" spans="1:11" ht="42" customHeight="1">
      <c r="A8298" s="2" t="s">
        <v>17088</v>
      </c>
      <c r="B8298" s="2" t="s">
        <v>17088</v>
      </c>
      <c r="C8298" s="2" t="s">
        <v>16</v>
      </c>
      <c r="D8298" s="2" t="s">
        <v>17</v>
      </c>
      <c r="E8298" s="5">
        <v>-31474</v>
      </c>
      <c r="F8298" s="3" t="s">
        <v>130</v>
      </c>
      <c r="G8298" s="3" t="s">
        <v>82</v>
      </c>
      <c r="H8298" s="2" t="s">
        <v>20</v>
      </c>
      <c r="I8298" s="2" t="s">
        <v>17089</v>
      </c>
      <c r="J8298" s="3" t="str">
        <f>HYPERLINK("https://www.boe.es/gazeta/dias/1813/10/28/pdfs/GRE-1813-141.pdf#page=5","Abrir facsímil")</f>
        <v>Abrir facsímil</v>
      </c>
      <c r="K8298" s="3" t="s">
        <v>22</v>
      </c>
    </row>
    <row r="8299" spans="1:11" ht="42" customHeight="1">
      <c r="A8299" s="2" t="s">
        <v>17090</v>
      </c>
      <c r="B8299" s="2" t="s">
        <v>17090</v>
      </c>
      <c r="C8299" s="2" t="s">
        <v>25</v>
      </c>
      <c r="D8299" s="2" t="s">
        <v>26</v>
      </c>
      <c r="E8299" s="5">
        <v>-31571</v>
      </c>
      <c r="F8299" s="3" t="s">
        <v>788</v>
      </c>
      <c r="G8299" s="3" t="s">
        <v>82</v>
      </c>
      <c r="H8299" s="2" t="s">
        <v>20</v>
      </c>
      <c r="I8299" s="2" t="s">
        <v>17091</v>
      </c>
      <c r="J8299" s="3" t="str">
        <f>HYPERLINK("https://www.boe.es/gazeta/dias/1813/07/23/pdfs/GMR-1813-20.pdf#page=5","Abrir facsímil")</f>
        <v>Abrir facsímil</v>
      </c>
      <c r="K8299" s="3" t="s">
        <v>22</v>
      </c>
    </row>
    <row r="8300" spans="1:11" ht="42" customHeight="1">
      <c r="A8300" s="2" t="s">
        <v>17092</v>
      </c>
      <c r="B8300" s="2" t="s">
        <v>17092</v>
      </c>
      <c r="C8300" s="2" t="s">
        <v>16</v>
      </c>
      <c r="D8300" s="2" t="s">
        <v>17</v>
      </c>
      <c r="E8300" s="5">
        <v>-31629</v>
      </c>
      <c r="F8300" s="3" t="s">
        <v>1146</v>
      </c>
      <c r="G8300" s="3" t="s">
        <v>65</v>
      </c>
      <c r="H8300" s="2" t="s">
        <v>20</v>
      </c>
      <c r="I8300" s="2" t="s">
        <v>17093</v>
      </c>
      <c r="J8300" s="3" t="str">
        <f>HYPERLINK("https://www.boe.es/gazeta/dias/1813/05/26/pdfs/GMD-1813-146.pdf#page=1","Abrir facsímil")</f>
        <v>Abrir facsímil</v>
      </c>
      <c r="K8300" s="3" t="s">
        <v>22</v>
      </c>
    </row>
    <row r="8301" spans="1:11" ht="42" customHeight="1">
      <c r="A8301" s="2" t="s">
        <v>17092</v>
      </c>
      <c r="B8301" s="2" t="s">
        <v>17092</v>
      </c>
      <c r="C8301" s="2" t="s">
        <v>16</v>
      </c>
      <c r="D8301" s="2" t="s">
        <v>17</v>
      </c>
      <c r="E8301" s="5">
        <v>-31516</v>
      </c>
      <c r="F8301" s="3" t="s">
        <v>1685</v>
      </c>
      <c r="G8301" s="3" t="s">
        <v>95</v>
      </c>
      <c r="H8301" s="2" t="s">
        <v>20</v>
      </c>
      <c r="I8301" s="2" t="s">
        <v>17094</v>
      </c>
      <c r="J8301" s="3" t="str">
        <f>HYPERLINK("https://www.boe.es/gazeta/dias/1813/09/16/pdfs/GRE-1813-120.pdf#page=6","Abrir facsímil")</f>
        <v>Abrir facsímil</v>
      </c>
      <c r="K8301" s="3" t="s">
        <v>22</v>
      </c>
    </row>
    <row r="8302" spans="1:11" ht="42" customHeight="1">
      <c r="A8302" s="2" t="s">
        <v>17095</v>
      </c>
      <c r="B8302" s="2" t="s">
        <v>17095</v>
      </c>
      <c r="C8302" s="2" t="s">
        <v>16</v>
      </c>
      <c r="D8302" s="2" t="s">
        <v>17</v>
      </c>
      <c r="E8302" s="5">
        <v>-31446</v>
      </c>
      <c r="F8302" s="3" t="s">
        <v>1078</v>
      </c>
      <c r="G8302" s="3" t="s">
        <v>82</v>
      </c>
      <c r="H8302" s="2" t="s">
        <v>20</v>
      </c>
      <c r="I8302" s="2" t="s">
        <v>17096</v>
      </c>
      <c r="J8302" s="3" t="str">
        <f>HYPERLINK("https://www.boe.es/gazeta/dias/1813/11/25/pdfs/GRE-1813-154.pdf#page=5","Abrir facsímil")</f>
        <v>Abrir facsímil</v>
      </c>
      <c r="K8302" s="3" t="s">
        <v>22</v>
      </c>
    </row>
    <row r="8303" spans="1:11" ht="42" customHeight="1">
      <c r="A8303" s="2" t="s">
        <v>17097</v>
      </c>
      <c r="B8303" s="2" t="s">
        <v>17097</v>
      </c>
      <c r="C8303" s="2" t="s">
        <v>16</v>
      </c>
      <c r="D8303" s="2" t="s">
        <v>17</v>
      </c>
      <c r="E8303" s="5">
        <v>-31698</v>
      </c>
      <c r="F8303" s="3" t="s">
        <v>470</v>
      </c>
      <c r="G8303" s="3" t="s">
        <v>471</v>
      </c>
      <c r="H8303" s="2" t="s">
        <v>20</v>
      </c>
      <c r="I8303" s="2" t="s">
        <v>17098</v>
      </c>
      <c r="J8303" s="3" t="str">
        <f>HYPERLINK("https://www.boe.es/gazeta/dias/1813/03/18/pdfs/GRE-1813-34.pdf#page=7","Abrir facsímil")</f>
        <v>Abrir facsímil</v>
      </c>
      <c r="K8303" s="3" t="s">
        <v>22</v>
      </c>
    </row>
    <row r="8304" spans="1:11" ht="42" customHeight="1">
      <c r="A8304" s="2" t="s">
        <v>17099</v>
      </c>
      <c r="B8304" s="2" t="s">
        <v>17100</v>
      </c>
      <c r="C8304" s="2" t="s">
        <v>16</v>
      </c>
      <c r="D8304" s="2" t="s">
        <v>17</v>
      </c>
      <c r="E8304" s="5">
        <v>-31458</v>
      </c>
      <c r="F8304" s="3" t="s">
        <v>2315</v>
      </c>
      <c r="G8304" s="3" t="s">
        <v>19</v>
      </c>
      <c r="H8304" s="2" t="s">
        <v>20</v>
      </c>
      <c r="I8304" s="2" t="s">
        <v>17101</v>
      </c>
      <c r="J8304" s="3" t="str">
        <f>HYPERLINK("https://www.boe.es/gazeta/dias/1813/11/13/pdfs/GMR-1813-73.pdf#page=4","Abrir facsímil")</f>
        <v>Abrir facsímil</v>
      </c>
      <c r="K8304" s="3" t="s">
        <v>22</v>
      </c>
    </row>
    <row r="8305" spans="1:11" ht="42" customHeight="1">
      <c r="A8305" s="2" t="s">
        <v>17102</v>
      </c>
      <c r="B8305" s="2" t="s">
        <v>17102</v>
      </c>
      <c r="C8305" s="2" t="s">
        <v>16</v>
      </c>
      <c r="D8305" s="2" t="s">
        <v>17</v>
      </c>
      <c r="E8305" s="5">
        <v>-31497</v>
      </c>
      <c r="F8305" s="3" t="s">
        <v>223</v>
      </c>
      <c r="G8305" s="3" t="s">
        <v>87</v>
      </c>
      <c r="H8305" s="2" t="s">
        <v>20</v>
      </c>
      <c r="I8305" s="2" t="s">
        <v>17103</v>
      </c>
      <c r="J8305" s="3" t="str">
        <f>HYPERLINK("https://www.boe.es/gazeta/dias/1813/10/05/pdfs/GRE-1813-130.pdf#page=7","Abrir facsímil")</f>
        <v>Abrir facsímil</v>
      </c>
      <c r="K8305" s="3" t="s">
        <v>22</v>
      </c>
    </row>
    <row r="8306" spans="1:11" ht="42" customHeight="1">
      <c r="A8306" s="2" t="s">
        <v>17104</v>
      </c>
      <c r="B8306" s="2" t="s">
        <v>17104</v>
      </c>
      <c r="C8306" s="2" t="s">
        <v>16</v>
      </c>
      <c r="D8306" s="2" t="s">
        <v>17</v>
      </c>
      <c r="E8306" s="5">
        <v>-31700</v>
      </c>
      <c r="F8306" s="3" t="s">
        <v>226</v>
      </c>
      <c r="G8306" s="3" t="s">
        <v>7249</v>
      </c>
      <c r="H8306" s="2" t="s">
        <v>20</v>
      </c>
      <c r="I8306" s="2" t="s">
        <v>17105</v>
      </c>
      <c r="J8306" s="3" t="str">
        <f>HYPERLINK("https://www.boe.es/gazeta/dias/1813/03/16/pdfs/GRE-1813-33.pdf#page=6","Abrir facsímil")</f>
        <v>Abrir facsímil</v>
      </c>
      <c r="K8306" s="3" t="s">
        <v>22</v>
      </c>
    </row>
    <row r="8307" spans="1:11" ht="42" customHeight="1">
      <c r="A8307" s="2" t="s">
        <v>17104</v>
      </c>
      <c r="B8307" s="2" t="s">
        <v>17104</v>
      </c>
      <c r="C8307" s="2" t="s">
        <v>16</v>
      </c>
      <c r="D8307" s="2" t="s">
        <v>17</v>
      </c>
      <c r="E8307" s="5">
        <v>-31413</v>
      </c>
      <c r="F8307" s="3" t="s">
        <v>149</v>
      </c>
      <c r="G8307" s="3" t="s">
        <v>58</v>
      </c>
      <c r="H8307" s="2" t="s">
        <v>20</v>
      </c>
      <c r="I8307" s="2" t="s">
        <v>17106</v>
      </c>
      <c r="J8307" s="3" t="str">
        <f>HYPERLINK("https://www.boe.es/gazeta/dias/1813/12/28/pdfs/GMR-1813-93.pdf#page=2","Abrir facsímil")</f>
        <v>Abrir facsímil</v>
      </c>
      <c r="K8307" s="3" t="s">
        <v>22</v>
      </c>
    </row>
    <row r="8308" spans="1:11" ht="42" customHeight="1">
      <c r="A8308" s="2" t="s">
        <v>17107</v>
      </c>
      <c r="B8308" s="2" t="s">
        <v>17107</v>
      </c>
      <c r="C8308" s="2" t="s">
        <v>16</v>
      </c>
      <c r="D8308" s="2" t="s">
        <v>17</v>
      </c>
      <c r="E8308" s="5">
        <v>-31411</v>
      </c>
      <c r="F8308" s="3" t="s">
        <v>3702</v>
      </c>
      <c r="G8308" s="3" t="s">
        <v>54</v>
      </c>
      <c r="H8308" s="2" t="s">
        <v>20</v>
      </c>
      <c r="I8308" s="2" t="s">
        <v>17108</v>
      </c>
      <c r="J8308" s="3" t="str">
        <f>HYPERLINK("https://www.boe.es/gazeta/dias/1813/12/30/pdfs/GRE-1813-171.pdf#page=3","Abrir facsímil")</f>
        <v>Abrir facsímil</v>
      </c>
      <c r="K8308" s="3" t="s">
        <v>22</v>
      </c>
    </row>
    <row r="8309" spans="1:11" ht="42" customHeight="1">
      <c r="A8309" s="2" t="s">
        <v>17109</v>
      </c>
      <c r="B8309" s="2" t="s">
        <v>17109</v>
      </c>
      <c r="C8309" s="2" t="s">
        <v>16</v>
      </c>
      <c r="D8309" s="2" t="s">
        <v>17</v>
      </c>
      <c r="E8309" s="5">
        <v>-31448</v>
      </c>
      <c r="F8309" s="3" t="s">
        <v>57</v>
      </c>
      <c r="G8309" s="3" t="s">
        <v>2218</v>
      </c>
      <c r="H8309" s="2" t="s">
        <v>20</v>
      </c>
      <c r="I8309" s="2" t="s">
        <v>17110</v>
      </c>
      <c r="J8309" s="3" t="str">
        <f>HYPERLINK("https://www.boe.es/gazeta/dias/1813/11/23/pdfs/GRE-1813-153.pdf#page=4","Abrir facsímil")</f>
        <v>Abrir facsímil</v>
      </c>
      <c r="K8309" s="3" t="s">
        <v>22</v>
      </c>
    </row>
    <row r="8310" spans="1:11" ht="42" customHeight="1">
      <c r="A8310" s="2" t="s">
        <v>17111</v>
      </c>
      <c r="B8310" s="2" t="s">
        <v>17111</v>
      </c>
      <c r="C8310" s="2" t="s">
        <v>16</v>
      </c>
      <c r="D8310" s="2" t="s">
        <v>97</v>
      </c>
      <c r="E8310" s="5">
        <v>-31499</v>
      </c>
      <c r="F8310" s="3" t="s">
        <v>220</v>
      </c>
      <c r="G8310" s="3" t="s">
        <v>58</v>
      </c>
      <c r="H8310" s="2" t="s">
        <v>20</v>
      </c>
      <c r="I8310" s="2" t="s">
        <v>17112</v>
      </c>
      <c r="J8310" s="3" t="str">
        <f>HYPERLINK("https://www.boe.es/gazeta/dias/1813/10/03/pdfs/GMR-1813-53E.pdf#page=2","Abrir facsímil")</f>
        <v>Abrir facsímil</v>
      </c>
      <c r="K8310" s="3" t="s">
        <v>22</v>
      </c>
    </row>
    <row r="8311" spans="1:11" ht="42" customHeight="1">
      <c r="A8311" s="2" t="s">
        <v>17111</v>
      </c>
      <c r="B8311" s="2" t="s">
        <v>17111</v>
      </c>
      <c r="C8311" s="2" t="s">
        <v>16</v>
      </c>
      <c r="D8311" s="2" t="s">
        <v>17</v>
      </c>
      <c r="E8311" s="5">
        <v>-31453</v>
      </c>
      <c r="F8311" s="3" t="s">
        <v>695</v>
      </c>
      <c r="G8311" s="3" t="s">
        <v>54</v>
      </c>
      <c r="H8311" s="2" t="s">
        <v>20</v>
      </c>
      <c r="I8311" s="2" t="s">
        <v>17113</v>
      </c>
      <c r="J8311" s="3" t="str">
        <f>HYPERLINK("https://www.boe.es/gazeta/dias/1813/11/18/pdfs/GRE-1813-151.pdf#page=3","Abrir facsímil")</f>
        <v>Abrir facsímil</v>
      </c>
      <c r="K8311" s="3" t="s">
        <v>22</v>
      </c>
    </row>
    <row r="8312" spans="1:11" ht="42" customHeight="1">
      <c r="A8312" s="2" t="s">
        <v>17111</v>
      </c>
      <c r="B8312" s="2" t="s">
        <v>17111</v>
      </c>
      <c r="C8312" s="2" t="s">
        <v>16</v>
      </c>
      <c r="D8312" s="2" t="s">
        <v>17</v>
      </c>
      <c r="E8312" s="5">
        <v>-31451</v>
      </c>
      <c r="F8312" s="3" t="s">
        <v>2325</v>
      </c>
      <c r="G8312" s="3" t="s">
        <v>58</v>
      </c>
      <c r="H8312" s="2" t="s">
        <v>20</v>
      </c>
      <c r="I8312" s="2" t="s">
        <v>17114</v>
      </c>
      <c r="J8312" s="3" t="str">
        <f>HYPERLINK("https://www.boe.es/gazeta/dias/1813/11/20/pdfs/GMR-1813-77.pdf#page=2","Abrir facsímil")</f>
        <v>Abrir facsímil</v>
      </c>
      <c r="K8312" s="3" t="s">
        <v>22</v>
      </c>
    </row>
    <row r="8313" spans="1:11" ht="42" customHeight="1">
      <c r="A8313" s="2" t="s">
        <v>17111</v>
      </c>
      <c r="B8313" s="2" t="s">
        <v>17111</v>
      </c>
      <c r="C8313" s="2" t="s">
        <v>16</v>
      </c>
      <c r="D8313" s="2" t="s">
        <v>17</v>
      </c>
      <c r="E8313" s="5">
        <v>-31448</v>
      </c>
      <c r="F8313" s="3" t="s">
        <v>325</v>
      </c>
      <c r="G8313" s="3" t="s">
        <v>95</v>
      </c>
      <c r="H8313" s="2" t="s">
        <v>20</v>
      </c>
      <c r="I8313" s="2" t="s">
        <v>17115</v>
      </c>
      <c r="J8313" s="3" t="str">
        <f>HYPERLINK("https://www.boe.es/gazeta/dias/1813/11/23/pdfs/GMR-1813-78.pdf#page=6","Abrir facsímil")</f>
        <v>Abrir facsímil</v>
      </c>
      <c r="K8313" s="3" t="s">
        <v>22</v>
      </c>
    </row>
    <row r="8314" spans="1:11" ht="42" customHeight="1">
      <c r="A8314" s="2" t="s">
        <v>17111</v>
      </c>
      <c r="B8314" s="2" t="s">
        <v>17111</v>
      </c>
      <c r="C8314" s="2" t="s">
        <v>16</v>
      </c>
      <c r="D8314" s="2" t="s">
        <v>17</v>
      </c>
      <c r="E8314" s="5">
        <v>-31446</v>
      </c>
      <c r="F8314" s="3" t="s">
        <v>1078</v>
      </c>
      <c r="G8314" s="3" t="s">
        <v>58</v>
      </c>
      <c r="H8314" s="2" t="s">
        <v>20</v>
      </c>
      <c r="I8314" s="2" t="s">
        <v>17116</v>
      </c>
      <c r="J8314" s="3" t="str">
        <f>HYPERLINK("https://www.boe.es/gazeta/dias/1813/11/25/pdfs/GRE-1813-154.pdf#page=2","Abrir facsímil")</f>
        <v>Abrir facsímil</v>
      </c>
      <c r="K8314" s="3" t="s">
        <v>22</v>
      </c>
    </row>
    <row r="8315" spans="1:11" ht="42" customHeight="1">
      <c r="A8315" s="2" t="s">
        <v>17111</v>
      </c>
      <c r="B8315" s="2" t="s">
        <v>17111</v>
      </c>
      <c r="C8315" s="2" t="s">
        <v>16</v>
      </c>
      <c r="D8315" s="2" t="s">
        <v>17</v>
      </c>
      <c r="E8315" s="5">
        <v>-31446</v>
      </c>
      <c r="F8315" s="3" t="s">
        <v>1078</v>
      </c>
      <c r="G8315" s="3" t="s">
        <v>82</v>
      </c>
      <c r="H8315" s="2" t="s">
        <v>20</v>
      </c>
      <c r="I8315" s="2" t="s">
        <v>17117</v>
      </c>
      <c r="J8315" s="3" t="str">
        <f>HYPERLINK("https://www.boe.es/gazeta/dias/1813/11/25/pdfs/GRE-1813-154.pdf#page=5","Abrir facsímil")</f>
        <v>Abrir facsímil</v>
      </c>
      <c r="K8315" s="3" t="s">
        <v>22</v>
      </c>
    </row>
    <row r="8316" spans="1:11" ht="42" customHeight="1">
      <c r="A8316" s="2" t="s">
        <v>17111</v>
      </c>
      <c r="B8316" s="2" t="s">
        <v>17111</v>
      </c>
      <c r="C8316" s="2" t="s">
        <v>16</v>
      </c>
      <c r="D8316" s="2" t="s">
        <v>17</v>
      </c>
      <c r="E8316" s="5">
        <v>-31437</v>
      </c>
      <c r="F8316" s="3" t="s">
        <v>217</v>
      </c>
      <c r="G8316" s="3" t="s">
        <v>54</v>
      </c>
      <c r="H8316" s="2" t="s">
        <v>20</v>
      </c>
      <c r="I8316" s="2" t="s">
        <v>17118</v>
      </c>
      <c r="J8316" s="3" t="str">
        <f>HYPERLINK("https://www.boe.es/gazeta/dias/1813/12/04/pdfs/GRE-1813-160.pdf#page=3","Abrir facsímil")</f>
        <v>Abrir facsímil</v>
      </c>
      <c r="K8316" s="3" t="s">
        <v>22</v>
      </c>
    </row>
    <row r="8317" spans="1:11" ht="42" customHeight="1">
      <c r="A8317" s="2" t="s">
        <v>17111</v>
      </c>
      <c r="B8317" s="2" t="s">
        <v>17111</v>
      </c>
      <c r="C8317" s="2" t="s">
        <v>16</v>
      </c>
      <c r="D8317" s="2" t="s">
        <v>17</v>
      </c>
      <c r="E8317" s="5">
        <v>-31434</v>
      </c>
      <c r="F8317" s="3" t="s">
        <v>18</v>
      </c>
      <c r="G8317" s="3" t="s">
        <v>95</v>
      </c>
      <c r="H8317" s="2" t="s">
        <v>20</v>
      </c>
      <c r="I8317" s="2" t="s">
        <v>17119</v>
      </c>
      <c r="J8317" s="3" t="str">
        <f>HYPERLINK("https://www.boe.es/gazeta/dias/1813/12/07/pdfs/GRE-1813-161.pdf#page=6","Abrir facsímil")</f>
        <v>Abrir facsímil</v>
      </c>
      <c r="K8317" s="3" t="s">
        <v>22</v>
      </c>
    </row>
    <row r="8318" spans="1:11" ht="42" customHeight="1">
      <c r="A8318" s="2" t="s">
        <v>17111</v>
      </c>
      <c r="B8318" s="2" t="s">
        <v>17111</v>
      </c>
      <c r="C8318" s="2" t="s">
        <v>16</v>
      </c>
      <c r="D8318" s="2" t="s">
        <v>17</v>
      </c>
      <c r="E8318" s="5">
        <v>-31427</v>
      </c>
      <c r="F8318" s="3" t="s">
        <v>489</v>
      </c>
      <c r="G8318" s="3" t="s">
        <v>490</v>
      </c>
      <c r="H8318" s="2" t="s">
        <v>20</v>
      </c>
      <c r="I8318" s="2" t="s">
        <v>17120</v>
      </c>
      <c r="J8318" s="3" t="str">
        <f>HYPERLINK("https://www.boe.es/gazeta/dias/1813/12/14/pdfs/GMR-1813-87.pdf#page=5","Abrir facsímil")</f>
        <v>Abrir facsímil</v>
      </c>
      <c r="K8318" s="3" t="s">
        <v>22</v>
      </c>
    </row>
    <row r="8319" spans="1:11" ht="42" customHeight="1">
      <c r="A8319" s="2" t="s">
        <v>17111</v>
      </c>
      <c r="B8319" s="2" t="s">
        <v>17111</v>
      </c>
      <c r="C8319" s="2" t="s">
        <v>16</v>
      </c>
      <c r="D8319" s="2" t="s">
        <v>17</v>
      </c>
      <c r="E8319" s="5">
        <v>-31427</v>
      </c>
      <c r="F8319" s="3" t="s">
        <v>489</v>
      </c>
      <c r="G8319" s="3" t="s">
        <v>54</v>
      </c>
      <c r="H8319" s="2" t="s">
        <v>20</v>
      </c>
      <c r="I8319" s="2" t="s">
        <v>17121</v>
      </c>
      <c r="J8319" s="3" t="str">
        <f>HYPERLINK("https://www.boe.es/gazeta/dias/1813/12/14/pdfs/GMR-1813-87.pdf#page=3","Abrir facsímil")</f>
        <v>Abrir facsímil</v>
      </c>
      <c r="K8319" s="3" t="s">
        <v>22</v>
      </c>
    </row>
    <row r="8320" spans="1:11" ht="42" customHeight="1">
      <c r="A8320" s="2" t="s">
        <v>17111</v>
      </c>
      <c r="B8320" s="2" t="s">
        <v>17111</v>
      </c>
      <c r="C8320" s="2" t="s">
        <v>16</v>
      </c>
      <c r="D8320" s="2" t="s">
        <v>17</v>
      </c>
      <c r="E8320" s="5">
        <v>-31420</v>
      </c>
      <c r="F8320" s="3" t="s">
        <v>145</v>
      </c>
      <c r="G8320" s="3" t="s">
        <v>19</v>
      </c>
      <c r="H8320" s="2" t="s">
        <v>20</v>
      </c>
      <c r="I8320" s="2" t="s">
        <v>17122</v>
      </c>
      <c r="J8320" s="3" t="str">
        <f>HYPERLINK("https://www.boe.es/gazeta/dias/1813/12/21/pdfs/GMR-1813-90.pdf#page=4","Abrir facsímil")</f>
        <v>Abrir facsímil</v>
      </c>
      <c r="K8320" s="3" t="s">
        <v>22</v>
      </c>
    </row>
    <row r="8321" spans="1:11" ht="42" customHeight="1">
      <c r="A8321" s="2" t="s">
        <v>17123</v>
      </c>
      <c r="B8321" s="2" t="s">
        <v>17123</v>
      </c>
      <c r="C8321" s="2" t="s">
        <v>16</v>
      </c>
      <c r="D8321" s="2" t="s">
        <v>17</v>
      </c>
      <c r="E8321" s="5">
        <v>-31681</v>
      </c>
      <c r="F8321" s="3" t="s">
        <v>925</v>
      </c>
      <c r="G8321" s="3" t="s">
        <v>58</v>
      </c>
      <c r="H8321" s="2" t="s">
        <v>20</v>
      </c>
      <c r="I8321" s="2" t="s">
        <v>17124</v>
      </c>
      <c r="J8321" s="3" t="str">
        <f>HYPERLINK("https://www.boe.es/gazeta/dias/1813/04/04/pdfs/GMD-1813-94.pdf#page=2","Abrir facsímil")</f>
        <v>Abrir facsímil</v>
      </c>
      <c r="K8321" s="3" t="s">
        <v>22</v>
      </c>
    </row>
    <row r="8322" spans="1:11" ht="42" customHeight="1">
      <c r="A8322" s="2" t="s">
        <v>17125</v>
      </c>
      <c r="B8322" s="2" t="s">
        <v>17125</v>
      </c>
      <c r="C8322" s="2" t="s">
        <v>16</v>
      </c>
      <c r="D8322" s="2" t="s">
        <v>17</v>
      </c>
      <c r="E8322" s="5">
        <v>-31451</v>
      </c>
      <c r="F8322" s="3" t="s">
        <v>127</v>
      </c>
      <c r="G8322" s="3" t="s">
        <v>87</v>
      </c>
      <c r="H8322" s="2" t="s">
        <v>20</v>
      </c>
      <c r="I8322" s="2" t="s">
        <v>17126</v>
      </c>
      <c r="J8322" s="3" t="str">
        <f>HYPERLINK("https://www.boe.es/gazeta/dias/1813/11/20/pdfs/GRE-1813-152.pdf#page=7","Abrir facsímil")</f>
        <v>Abrir facsímil</v>
      </c>
      <c r="K8322" s="3" t="s">
        <v>22</v>
      </c>
    </row>
    <row r="8323" spans="1:11" ht="42" customHeight="1">
      <c r="A8323" s="2" t="s">
        <v>17127</v>
      </c>
      <c r="B8323" s="2" t="s">
        <v>17127</v>
      </c>
      <c r="C8323" s="2" t="s">
        <v>16</v>
      </c>
      <c r="D8323" s="2" t="s">
        <v>17</v>
      </c>
      <c r="E8323" s="5">
        <v>-31735</v>
      </c>
      <c r="F8323" s="3" t="s">
        <v>558</v>
      </c>
      <c r="G8323" s="3" t="s">
        <v>559</v>
      </c>
      <c r="H8323" s="2" t="s">
        <v>20</v>
      </c>
      <c r="I8323" s="2" t="s">
        <v>17128</v>
      </c>
      <c r="J8323" s="3" t="str">
        <f>HYPERLINK("https://www.boe.es/gazeta/dias/1813/02/09/pdfs/GRE-1813-17.pdf#page=5","Abrir facsímil")</f>
        <v>Abrir facsímil</v>
      </c>
      <c r="K8323" s="3" t="s">
        <v>22</v>
      </c>
    </row>
    <row r="8324" spans="1:11" ht="42" customHeight="1">
      <c r="A8324" s="2" t="s">
        <v>17127</v>
      </c>
      <c r="B8324" s="2" t="s">
        <v>17127</v>
      </c>
      <c r="C8324" s="2" t="s">
        <v>16</v>
      </c>
      <c r="D8324" s="2" t="s">
        <v>17</v>
      </c>
      <c r="E8324" s="5">
        <v>-31733</v>
      </c>
      <c r="F8324" s="3" t="s">
        <v>3036</v>
      </c>
      <c r="G8324" s="3" t="s">
        <v>54</v>
      </c>
      <c r="H8324" s="2" t="s">
        <v>20</v>
      </c>
      <c r="I8324" s="2" t="s">
        <v>17129</v>
      </c>
      <c r="J8324" s="3" t="str">
        <f>HYPERLINK("https://www.boe.es/gazeta/dias/1813/02/11/pdfs/GRE-1813-18.pdf#page=3","Abrir facsímil")</f>
        <v>Abrir facsímil</v>
      </c>
      <c r="K8324" s="3" t="s">
        <v>22</v>
      </c>
    </row>
    <row r="8325" spans="1:11" ht="42" customHeight="1">
      <c r="A8325" s="2" t="s">
        <v>17127</v>
      </c>
      <c r="B8325" s="2" t="s">
        <v>17127</v>
      </c>
      <c r="C8325" s="2" t="s">
        <v>16</v>
      </c>
      <c r="D8325" s="2" t="s">
        <v>17</v>
      </c>
      <c r="E8325" s="5">
        <v>-31710</v>
      </c>
      <c r="F8325" s="3" t="s">
        <v>2689</v>
      </c>
      <c r="G8325" s="3" t="s">
        <v>65</v>
      </c>
      <c r="H8325" s="2" t="s">
        <v>20</v>
      </c>
      <c r="I8325" s="2" t="s">
        <v>17130</v>
      </c>
      <c r="J8325" s="3" t="str">
        <f>HYPERLINK("https://www.boe.es/gazeta/dias/1813/03/06/pdfs/GRE-1813-29.pdf#page=1","Abrir facsímil")</f>
        <v>Abrir facsímil</v>
      </c>
      <c r="K8325" s="3" t="s">
        <v>22</v>
      </c>
    </row>
    <row r="8326" spans="1:11" ht="42" customHeight="1">
      <c r="A8326" s="2" t="s">
        <v>17127</v>
      </c>
      <c r="B8326" s="2" t="s">
        <v>17127</v>
      </c>
      <c r="C8326" s="2" t="s">
        <v>16</v>
      </c>
      <c r="D8326" s="2" t="s">
        <v>17</v>
      </c>
      <c r="E8326" s="5">
        <v>-31509</v>
      </c>
      <c r="F8326" s="3" t="s">
        <v>202</v>
      </c>
      <c r="G8326" s="3" t="s">
        <v>54</v>
      </c>
      <c r="H8326" s="2" t="s">
        <v>20</v>
      </c>
      <c r="I8326" s="2" t="s">
        <v>17131</v>
      </c>
      <c r="J8326" s="3" t="str">
        <f>HYPERLINK("https://www.boe.es/gazeta/dias/1813/09/23/pdfs/GMR-1813-47.pdf#page=3","Abrir facsímil")</f>
        <v>Abrir facsímil</v>
      </c>
      <c r="K8326" s="3" t="s">
        <v>22</v>
      </c>
    </row>
    <row r="8327" spans="1:11" ht="42" customHeight="1">
      <c r="A8327" s="2" t="s">
        <v>17127</v>
      </c>
      <c r="B8327" s="2" t="s">
        <v>17127</v>
      </c>
      <c r="C8327" s="2" t="s">
        <v>16</v>
      </c>
      <c r="D8327" s="2" t="s">
        <v>17</v>
      </c>
      <c r="E8327" s="5">
        <v>-31507</v>
      </c>
      <c r="F8327" s="3" t="s">
        <v>2294</v>
      </c>
      <c r="G8327" s="3" t="s">
        <v>65</v>
      </c>
      <c r="H8327" s="2" t="s">
        <v>20</v>
      </c>
      <c r="I8327" s="2" t="s">
        <v>17132</v>
      </c>
      <c r="J8327" s="3" t="str">
        <f>HYPERLINK("https://www.boe.es/gazeta/dias/1813/09/25/pdfs/GRE-1813-126.pdf#page=1","Abrir facsímil")</f>
        <v>Abrir facsímil</v>
      </c>
      <c r="K8327" s="3" t="s">
        <v>22</v>
      </c>
    </row>
    <row r="8328" spans="1:11" ht="42" customHeight="1">
      <c r="A8328" s="2" t="s">
        <v>17127</v>
      </c>
      <c r="B8328" s="2" t="s">
        <v>17127</v>
      </c>
      <c r="C8328" s="2" t="s">
        <v>16</v>
      </c>
      <c r="D8328" s="2" t="s">
        <v>17</v>
      </c>
      <c r="E8328" s="5">
        <v>-31504</v>
      </c>
      <c r="F8328" s="3" t="s">
        <v>192</v>
      </c>
      <c r="G8328" s="3" t="s">
        <v>58</v>
      </c>
      <c r="H8328" s="2" t="s">
        <v>20</v>
      </c>
      <c r="I8328" s="2" t="s">
        <v>17133</v>
      </c>
      <c r="J8328" s="3" t="str">
        <f>HYPERLINK("https://www.boe.es/gazeta/dias/1813/09/28/pdfs/GRE-1813-127.pdf#page=2","Abrir facsímil")</f>
        <v>Abrir facsímil</v>
      </c>
      <c r="K8328" s="3" t="s">
        <v>22</v>
      </c>
    </row>
    <row r="8329" spans="1:11" ht="42" customHeight="1">
      <c r="A8329" s="2" t="s">
        <v>17127</v>
      </c>
      <c r="B8329" s="2" t="s">
        <v>17127</v>
      </c>
      <c r="C8329" s="2" t="s">
        <v>16</v>
      </c>
      <c r="D8329" s="2" t="s">
        <v>17</v>
      </c>
      <c r="E8329" s="5">
        <v>-31502</v>
      </c>
      <c r="F8329" s="3" t="s">
        <v>1363</v>
      </c>
      <c r="G8329" s="3" t="s">
        <v>82</v>
      </c>
      <c r="H8329" s="2" t="s">
        <v>20</v>
      </c>
      <c r="I8329" s="2" t="s">
        <v>17134</v>
      </c>
      <c r="J8329" s="3" t="str">
        <f>HYPERLINK("https://www.boe.es/gazeta/dias/1813/09/30/pdfs/GRE-1813-128.pdf#page=5","Abrir facsímil")</f>
        <v>Abrir facsímil</v>
      </c>
      <c r="K8329" s="3" t="s">
        <v>22</v>
      </c>
    </row>
    <row r="8330" spans="1:11" ht="42" customHeight="1">
      <c r="A8330" s="2" t="s">
        <v>17127</v>
      </c>
      <c r="B8330" s="2" t="s">
        <v>17127</v>
      </c>
      <c r="C8330" s="2" t="s">
        <v>16</v>
      </c>
      <c r="D8330" s="2" t="s">
        <v>17</v>
      </c>
      <c r="E8330" s="5">
        <v>-31467</v>
      </c>
      <c r="F8330" s="3" t="s">
        <v>1464</v>
      </c>
      <c r="G8330" s="3" t="s">
        <v>6318</v>
      </c>
      <c r="H8330" s="2" t="s">
        <v>20</v>
      </c>
      <c r="I8330" s="2" t="s">
        <v>17135</v>
      </c>
      <c r="J8330" s="3" t="str">
        <f>HYPERLINK("https://www.boe.es/gazeta/dias/1813/11/04/pdfs/GRE-1813-144.pdf#page=3","Abrir facsímil")</f>
        <v>Abrir facsímil</v>
      </c>
      <c r="K8330" s="3" t="s">
        <v>22</v>
      </c>
    </row>
    <row r="8331" spans="1:11" ht="42" customHeight="1">
      <c r="A8331" s="2" t="s">
        <v>17127</v>
      </c>
      <c r="B8331" s="2" t="s">
        <v>17127</v>
      </c>
      <c r="C8331" s="2" t="s">
        <v>16</v>
      </c>
      <c r="D8331" s="2" t="s">
        <v>17</v>
      </c>
      <c r="E8331" s="5">
        <v>-31446</v>
      </c>
      <c r="F8331" s="3" t="s">
        <v>1078</v>
      </c>
      <c r="G8331" s="3" t="s">
        <v>95</v>
      </c>
      <c r="H8331" s="2" t="s">
        <v>20</v>
      </c>
      <c r="I8331" s="2" t="s">
        <v>17136</v>
      </c>
      <c r="J8331" s="3" t="str">
        <f>HYPERLINK("https://www.boe.es/gazeta/dias/1813/11/25/pdfs/GRE-1813-154.pdf#page=6","Abrir facsímil")</f>
        <v>Abrir facsímil</v>
      </c>
      <c r="K8331" s="3" t="s">
        <v>22</v>
      </c>
    </row>
    <row r="8332" spans="1:11" ht="42" customHeight="1">
      <c r="A8332" s="2" t="s">
        <v>17127</v>
      </c>
      <c r="B8332" s="2" t="s">
        <v>17127</v>
      </c>
      <c r="C8332" s="2" t="s">
        <v>16</v>
      </c>
      <c r="D8332" s="2" t="s">
        <v>17</v>
      </c>
      <c r="E8332" s="5">
        <v>-31437</v>
      </c>
      <c r="F8332" s="3" t="s">
        <v>217</v>
      </c>
      <c r="G8332" s="3" t="s">
        <v>539</v>
      </c>
      <c r="H8332" s="2" t="s">
        <v>20</v>
      </c>
      <c r="I8332" s="2" t="s">
        <v>17137</v>
      </c>
      <c r="J8332" s="3" t="str">
        <f>HYPERLINK("https://www.boe.es/gazeta/dias/1813/12/04/pdfs/GRE-1813-160.pdf#page=4","Abrir facsímil")</f>
        <v>Abrir facsímil</v>
      </c>
      <c r="K8332" s="3" t="s">
        <v>22</v>
      </c>
    </row>
    <row r="8333" spans="1:11" ht="42" customHeight="1">
      <c r="A8333" s="2" t="s">
        <v>17127</v>
      </c>
      <c r="B8333" s="2" t="s">
        <v>17127</v>
      </c>
      <c r="C8333" s="2" t="s">
        <v>16</v>
      </c>
      <c r="D8333" s="2" t="s">
        <v>17</v>
      </c>
      <c r="E8333" s="5">
        <v>-31430</v>
      </c>
      <c r="F8333" s="3" t="s">
        <v>1161</v>
      </c>
      <c r="G8333" s="3" t="s">
        <v>19</v>
      </c>
      <c r="H8333" s="2" t="s">
        <v>20</v>
      </c>
      <c r="I8333" s="2" t="s">
        <v>17138</v>
      </c>
      <c r="J8333" s="3" t="str">
        <f>HYPERLINK("https://www.boe.es/gazeta/dias/1813/12/11/pdfs/GMR-1813-86.pdf#page=4","Abrir facsímil")</f>
        <v>Abrir facsímil</v>
      </c>
      <c r="K8333" s="3" t="s">
        <v>22</v>
      </c>
    </row>
    <row r="8334" spans="1:11" ht="42" customHeight="1">
      <c r="A8334" s="2" t="s">
        <v>17127</v>
      </c>
      <c r="B8334" s="2" t="s">
        <v>17127</v>
      </c>
      <c r="C8334" s="2" t="s">
        <v>16</v>
      </c>
      <c r="D8334" s="2" t="s">
        <v>17</v>
      </c>
      <c r="E8334" s="5">
        <v>-31425</v>
      </c>
      <c r="F8334" s="3" t="s">
        <v>1955</v>
      </c>
      <c r="G8334" s="3" t="s">
        <v>5369</v>
      </c>
      <c r="H8334" s="2" t="s">
        <v>20</v>
      </c>
      <c r="I8334" s="2" t="s">
        <v>17139</v>
      </c>
      <c r="J8334" s="3" t="str">
        <f>HYPERLINK("https://www.boe.es/gazeta/dias/1813/12/16/pdfs/GMR-1813-88.pdf#page=7","Abrir facsímil")</f>
        <v>Abrir facsímil</v>
      </c>
      <c r="K8334" s="3" t="s">
        <v>22</v>
      </c>
    </row>
    <row r="8335" spans="1:11" ht="42" customHeight="1">
      <c r="A8335" s="2" t="s">
        <v>17127</v>
      </c>
      <c r="B8335" s="2" t="s">
        <v>17127</v>
      </c>
      <c r="C8335" s="2" t="s">
        <v>16</v>
      </c>
      <c r="D8335" s="2" t="s">
        <v>17</v>
      </c>
      <c r="E8335" s="5">
        <v>-31425</v>
      </c>
      <c r="F8335" s="3" t="s">
        <v>1955</v>
      </c>
      <c r="G8335" s="3" t="s">
        <v>19</v>
      </c>
      <c r="H8335" s="2" t="s">
        <v>20</v>
      </c>
      <c r="I8335" s="2" t="s">
        <v>17140</v>
      </c>
      <c r="J8335" s="3" t="str">
        <f>HYPERLINK("https://www.boe.es/gazeta/dias/1813/12/16/pdfs/GMR-1813-88.pdf#page=4","Abrir facsímil")</f>
        <v>Abrir facsímil</v>
      </c>
      <c r="K8335" s="3" t="s">
        <v>22</v>
      </c>
    </row>
    <row r="8336" spans="1:11" ht="42" customHeight="1">
      <c r="A8336" s="2" t="s">
        <v>17127</v>
      </c>
      <c r="B8336" s="2" t="s">
        <v>17127</v>
      </c>
      <c r="C8336" s="2" t="s">
        <v>16</v>
      </c>
      <c r="D8336" s="2" t="s">
        <v>17</v>
      </c>
      <c r="E8336" s="5">
        <v>-31420</v>
      </c>
      <c r="F8336" s="3" t="s">
        <v>145</v>
      </c>
      <c r="G8336" s="3" t="s">
        <v>58</v>
      </c>
      <c r="H8336" s="2" t="s">
        <v>20</v>
      </c>
      <c r="I8336" s="2" t="s">
        <v>17141</v>
      </c>
      <c r="J8336" s="3" t="str">
        <f>HYPERLINK("https://www.boe.es/gazeta/dias/1813/12/21/pdfs/GMR-1813-90.pdf#page=2","Abrir facsímil")</f>
        <v>Abrir facsímil</v>
      </c>
      <c r="K8336" s="3" t="s">
        <v>22</v>
      </c>
    </row>
    <row r="8337" spans="1:11" ht="42" customHeight="1">
      <c r="A8337" s="2" t="s">
        <v>17127</v>
      </c>
      <c r="B8337" s="2" t="s">
        <v>17127</v>
      </c>
      <c r="C8337" s="2" t="s">
        <v>16</v>
      </c>
      <c r="D8337" s="2" t="s">
        <v>17</v>
      </c>
      <c r="E8337" s="5">
        <v>-31420</v>
      </c>
      <c r="F8337" s="3" t="s">
        <v>145</v>
      </c>
      <c r="G8337" s="3" t="s">
        <v>54</v>
      </c>
      <c r="H8337" s="2" t="s">
        <v>20</v>
      </c>
      <c r="I8337" s="2" t="s">
        <v>17142</v>
      </c>
      <c r="J8337" s="3" t="str">
        <f>HYPERLINK("https://www.boe.es/gazeta/dias/1813/12/21/pdfs/GMR-1813-90.pdf#page=3","Abrir facsímil")</f>
        <v>Abrir facsímil</v>
      </c>
      <c r="K8337" s="3" t="s">
        <v>22</v>
      </c>
    </row>
    <row r="8338" spans="1:11" ht="42" customHeight="1">
      <c r="A8338" s="2" t="s">
        <v>17127</v>
      </c>
      <c r="B8338" s="2" t="s">
        <v>17127</v>
      </c>
      <c r="C8338" s="2" t="s">
        <v>16</v>
      </c>
      <c r="D8338" s="2" t="s">
        <v>17</v>
      </c>
      <c r="E8338" s="5">
        <v>-31418</v>
      </c>
      <c r="F8338" s="3" t="s">
        <v>147</v>
      </c>
      <c r="G8338" s="3" t="s">
        <v>54</v>
      </c>
      <c r="H8338" s="2" t="s">
        <v>20</v>
      </c>
      <c r="I8338" s="2" t="s">
        <v>17143</v>
      </c>
      <c r="J8338" s="3" t="str">
        <f>HYPERLINK("https://www.boe.es/gazeta/dias/1813/12/23/pdfs/GRE-1813-168.pdf#page=3","Abrir facsímil")</f>
        <v>Abrir facsímil</v>
      </c>
      <c r="K8338" s="3" t="s">
        <v>22</v>
      </c>
    </row>
    <row r="8339" spans="1:11" ht="42" customHeight="1">
      <c r="A8339" s="2" t="s">
        <v>17144</v>
      </c>
      <c r="B8339" s="2" t="s">
        <v>17144</v>
      </c>
      <c r="C8339" s="2" t="s">
        <v>16</v>
      </c>
      <c r="D8339" s="2" t="s">
        <v>17</v>
      </c>
      <c r="E8339" s="5">
        <v>-31434</v>
      </c>
      <c r="F8339" s="3" t="s">
        <v>948</v>
      </c>
      <c r="G8339" s="3" t="s">
        <v>58</v>
      </c>
      <c r="H8339" s="2" t="s">
        <v>20</v>
      </c>
      <c r="I8339" s="2" t="s">
        <v>17145</v>
      </c>
      <c r="J8339" s="3" t="str">
        <f>HYPERLINK("https://www.boe.es/gazeta/dias/1813/12/07/pdfs/GMR-1813-84.pdf#page=2","Abrir facsímil")</f>
        <v>Abrir facsímil</v>
      </c>
      <c r="K8339" s="3" t="s">
        <v>22</v>
      </c>
    </row>
    <row r="8340" spans="1:11" ht="42" customHeight="1">
      <c r="A8340" s="2" t="s">
        <v>17146</v>
      </c>
      <c r="B8340" s="2" t="s">
        <v>17146</v>
      </c>
      <c r="C8340" s="2" t="s">
        <v>16</v>
      </c>
      <c r="D8340" s="2" t="s">
        <v>17</v>
      </c>
      <c r="E8340" s="5">
        <v>-31418</v>
      </c>
      <c r="F8340" s="3" t="s">
        <v>147</v>
      </c>
      <c r="G8340" s="3" t="s">
        <v>54</v>
      </c>
      <c r="H8340" s="2" t="s">
        <v>20</v>
      </c>
      <c r="I8340" s="2" t="s">
        <v>17147</v>
      </c>
      <c r="J8340" s="3" t="str">
        <f>HYPERLINK("https://www.boe.es/gazeta/dias/1813/12/23/pdfs/GRE-1813-168.pdf#page=3","Abrir facsímil")</f>
        <v>Abrir facsímil</v>
      </c>
      <c r="K8340" s="3" t="s">
        <v>22</v>
      </c>
    </row>
    <row r="8341" spans="1:11" ht="42" customHeight="1">
      <c r="A8341" s="2" t="s">
        <v>17148</v>
      </c>
      <c r="B8341" s="2" t="s">
        <v>17148</v>
      </c>
      <c r="C8341" s="2" t="s">
        <v>16</v>
      </c>
      <c r="D8341" s="2" t="s">
        <v>17</v>
      </c>
      <c r="E8341" s="5">
        <v>-31495</v>
      </c>
      <c r="F8341" s="3" t="s">
        <v>194</v>
      </c>
      <c r="G8341" s="3" t="s">
        <v>58</v>
      </c>
      <c r="H8341" s="2" t="s">
        <v>20</v>
      </c>
      <c r="I8341" s="2" t="s">
        <v>17149</v>
      </c>
      <c r="J8341" s="3" t="str">
        <f>HYPERLINK("https://www.boe.es/gazeta/dias/1813/10/07/pdfs/GMR-1813-55.pdf#page=2","Abrir facsímil")</f>
        <v>Abrir facsímil</v>
      </c>
      <c r="K8341" s="3" t="s">
        <v>22</v>
      </c>
    </row>
    <row r="8342" spans="1:11" ht="42" customHeight="1">
      <c r="A8342" s="2" t="s">
        <v>17150</v>
      </c>
      <c r="B8342" s="2" t="s">
        <v>17150</v>
      </c>
      <c r="C8342" s="2" t="s">
        <v>16</v>
      </c>
      <c r="D8342" s="2" t="s">
        <v>17</v>
      </c>
      <c r="E8342" s="5">
        <v>-31455</v>
      </c>
      <c r="F8342" s="3" t="s">
        <v>693</v>
      </c>
      <c r="G8342" s="3" t="s">
        <v>82</v>
      </c>
      <c r="H8342" s="2" t="s">
        <v>20</v>
      </c>
      <c r="I8342" s="2" t="s">
        <v>17151</v>
      </c>
      <c r="J8342" s="3" t="str">
        <f>HYPERLINK("https://www.boe.es/gazeta/dias/1813/11/16/pdfs/GRE-1813-150.pdf#page=5","Abrir facsímil")</f>
        <v>Abrir facsímil</v>
      </c>
      <c r="K8342" s="3" t="s">
        <v>22</v>
      </c>
    </row>
    <row r="8343" spans="1:11" ht="42" customHeight="1">
      <c r="A8343" s="2" t="s">
        <v>17152</v>
      </c>
      <c r="B8343" s="2" t="s">
        <v>17152</v>
      </c>
      <c r="C8343" s="2" t="s">
        <v>25</v>
      </c>
      <c r="D8343" s="2" t="s">
        <v>26</v>
      </c>
      <c r="E8343" s="5">
        <v>-31734</v>
      </c>
      <c r="F8343" s="3" t="s">
        <v>362</v>
      </c>
      <c r="G8343" s="3" t="s">
        <v>54</v>
      </c>
      <c r="H8343" s="2" t="s">
        <v>20</v>
      </c>
      <c r="I8343" s="2" t="s">
        <v>17153</v>
      </c>
      <c r="J8343" s="3" t="str">
        <f>HYPERLINK("https://www.boe.es/gazeta/dias/1813/02/10/pdfs/GMD-1813-41.pdf#page=3","Abrir facsímil")</f>
        <v>Abrir facsímil</v>
      </c>
      <c r="K8343" s="3" t="s">
        <v>22</v>
      </c>
    </row>
    <row r="8344" spans="1:11" ht="42" customHeight="1">
      <c r="A8344" s="2" t="s">
        <v>17154</v>
      </c>
      <c r="B8344" s="2" t="s">
        <v>17154</v>
      </c>
      <c r="C8344" s="2" t="s">
        <v>16</v>
      </c>
      <c r="D8344" s="2" t="s">
        <v>17</v>
      </c>
      <c r="E8344" s="5">
        <v>-31651</v>
      </c>
      <c r="F8344" s="3" t="s">
        <v>579</v>
      </c>
      <c r="G8344" s="3" t="s">
        <v>65</v>
      </c>
      <c r="H8344" s="2" t="s">
        <v>20</v>
      </c>
      <c r="I8344" s="2" t="s">
        <v>17155</v>
      </c>
      <c r="J8344" s="3" t="str">
        <f>HYPERLINK("https://www.boe.es/gazeta/dias/1813/05/04/pdfs/GRE-1813-55.pdf#page=1","Abrir facsímil")</f>
        <v>Abrir facsímil</v>
      </c>
      <c r="K8344" s="3" t="s">
        <v>22</v>
      </c>
    </row>
    <row r="8345" spans="1:11" ht="42" customHeight="1">
      <c r="A8345" s="2" t="s">
        <v>17156</v>
      </c>
      <c r="B8345" s="2" t="s">
        <v>17156</v>
      </c>
      <c r="C8345" s="2" t="s">
        <v>34</v>
      </c>
      <c r="D8345" s="2" t="s">
        <v>35</v>
      </c>
      <c r="E8345" s="5">
        <v>-31728</v>
      </c>
      <c r="F8345" s="3" t="s">
        <v>2887</v>
      </c>
      <c r="G8345" s="3" t="s">
        <v>58</v>
      </c>
      <c r="H8345" s="2" t="s">
        <v>20</v>
      </c>
      <c r="I8345" s="2" t="s">
        <v>17157</v>
      </c>
      <c r="J8345" s="3" t="str">
        <f>HYPERLINK("https://www.boe.es/gazeta/dias/1813/02/16/pdfs/GMD-1813-47.pdf#page=2","Abrir facsímil")</f>
        <v>Abrir facsímil</v>
      </c>
      <c r="K8345" s="3" t="s">
        <v>22</v>
      </c>
    </row>
    <row r="8346" spans="1:11" ht="42" customHeight="1">
      <c r="A8346" s="2" t="s">
        <v>17158</v>
      </c>
      <c r="B8346" s="2" t="s">
        <v>17158</v>
      </c>
      <c r="C8346" s="2" t="s">
        <v>16</v>
      </c>
      <c r="D8346" s="2" t="s">
        <v>17</v>
      </c>
      <c r="E8346" s="5">
        <v>-31766</v>
      </c>
      <c r="F8346" s="3" t="s">
        <v>1356</v>
      </c>
      <c r="G8346" s="3" t="s">
        <v>4701</v>
      </c>
      <c r="H8346" s="2" t="s">
        <v>20</v>
      </c>
      <c r="I8346" s="2" t="s">
        <v>17159</v>
      </c>
      <c r="J8346" s="3" t="str">
        <f>HYPERLINK("https://www.boe.es/gazeta/dias/1813/01/09/pdfs/GRE-1813-4.pdf#page=4","Abrir facsímil")</f>
        <v>Abrir facsímil</v>
      </c>
      <c r="K8346" s="3" t="s">
        <v>22</v>
      </c>
    </row>
    <row r="8347" spans="1:11" ht="42" customHeight="1">
      <c r="A8347" s="2" t="s">
        <v>17160</v>
      </c>
      <c r="B8347" s="2" t="s">
        <v>17160</v>
      </c>
      <c r="C8347" s="2" t="s">
        <v>25</v>
      </c>
      <c r="D8347" s="2" t="s">
        <v>26</v>
      </c>
      <c r="E8347" s="5">
        <v>-31773</v>
      </c>
      <c r="F8347" s="3" t="s">
        <v>3667</v>
      </c>
      <c r="G8347" s="3" t="s">
        <v>2765</v>
      </c>
      <c r="H8347" s="2" t="s">
        <v>20</v>
      </c>
      <c r="I8347" s="2" t="s">
        <v>17161</v>
      </c>
      <c r="J8347" s="3" t="str">
        <f>HYPERLINK("https://www.boe.es/gazeta/dias/1813/01/02/pdfs/GRE-1813-1.pdf#page=4","Abrir facsímil")</f>
        <v>Abrir facsímil</v>
      </c>
      <c r="K8347" s="3" t="s">
        <v>22</v>
      </c>
    </row>
    <row r="8348" spans="1:11" ht="42" customHeight="1">
      <c r="A8348" s="2" t="s">
        <v>17162</v>
      </c>
      <c r="B8348" s="2" t="s">
        <v>17162</v>
      </c>
      <c r="C8348" s="2" t="s">
        <v>16</v>
      </c>
      <c r="D8348" s="2" t="s">
        <v>17</v>
      </c>
      <c r="E8348" s="5">
        <v>-31504</v>
      </c>
      <c r="F8348" s="3" t="s">
        <v>1361</v>
      </c>
      <c r="G8348" s="3" t="s">
        <v>54</v>
      </c>
      <c r="H8348" s="2" t="s">
        <v>20</v>
      </c>
      <c r="I8348" s="2" t="s">
        <v>17163</v>
      </c>
      <c r="J8348" s="3" t="str">
        <f>HYPERLINK("https://www.boe.es/gazeta/dias/1813/09/28/pdfs/GMR-1813-50.pdf#page=3","Abrir facsímil")</f>
        <v>Abrir facsímil</v>
      </c>
      <c r="K8348" s="3" t="s">
        <v>22</v>
      </c>
    </row>
    <row r="8349" spans="1:11" ht="42" customHeight="1">
      <c r="A8349" s="2" t="s">
        <v>17164</v>
      </c>
      <c r="B8349" s="2" t="s">
        <v>17165</v>
      </c>
      <c r="C8349" s="2" t="s">
        <v>16</v>
      </c>
      <c r="D8349" s="2" t="s">
        <v>17</v>
      </c>
      <c r="E8349" s="5">
        <v>-31762</v>
      </c>
      <c r="F8349" s="3" t="s">
        <v>604</v>
      </c>
      <c r="G8349" s="3" t="s">
        <v>65</v>
      </c>
      <c r="H8349" s="2" t="s">
        <v>20</v>
      </c>
      <c r="I8349" s="2" t="s">
        <v>17166</v>
      </c>
      <c r="J8349" s="3" t="str">
        <f>HYPERLINK("https://www.boe.es/gazeta/dias/1813/01/13/pdfs/GMD-1813-13.pdf#page=1","Abrir facsímil")</f>
        <v>Abrir facsímil</v>
      </c>
      <c r="K8349" s="3" t="s">
        <v>22</v>
      </c>
    </row>
    <row r="8350" spans="1:11" ht="42" customHeight="1">
      <c r="A8350" s="2" t="s">
        <v>17167</v>
      </c>
      <c r="B8350" s="2" t="s">
        <v>17168</v>
      </c>
      <c r="C8350" s="2" t="s">
        <v>16</v>
      </c>
      <c r="D8350" s="2" t="s">
        <v>17</v>
      </c>
      <c r="E8350" s="5">
        <v>-31528</v>
      </c>
      <c r="F8350" s="3" t="s">
        <v>141</v>
      </c>
      <c r="G8350" s="3" t="s">
        <v>28</v>
      </c>
      <c r="H8350" s="2" t="s">
        <v>20</v>
      </c>
      <c r="I8350" s="2" t="s">
        <v>17169</v>
      </c>
      <c r="J8350" s="3" t="str">
        <f>HYPERLINK("https://www.boe.es/gazeta/dias/1813/09/04/pdfs/GMR-1813-37.pdf#page=8","Abrir facsímil")</f>
        <v>Abrir facsímil</v>
      </c>
      <c r="K8350" s="3" t="s">
        <v>22</v>
      </c>
    </row>
    <row r="8351" spans="1:11" ht="42" customHeight="1">
      <c r="A8351" s="2" t="s">
        <v>17167</v>
      </c>
      <c r="B8351" s="2" t="s">
        <v>17168</v>
      </c>
      <c r="C8351" s="2" t="s">
        <v>34</v>
      </c>
      <c r="D8351" s="2" t="s">
        <v>35</v>
      </c>
      <c r="E8351" s="5">
        <v>-31479</v>
      </c>
      <c r="F8351" s="3" t="s">
        <v>322</v>
      </c>
      <c r="G8351" s="3" t="s">
        <v>1307</v>
      </c>
      <c r="H8351" s="2" t="s">
        <v>20</v>
      </c>
      <c r="I8351" s="2" t="s">
        <v>17170</v>
      </c>
      <c r="J8351" s="3" t="str">
        <f>HYPERLINK("https://www.boe.es/gazeta/dias/1813/10/23/pdfs/GMR-1813-63.pdf#page=12","Abrir facsímil")</f>
        <v>Abrir facsímil</v>
      </c>
      <c r="K8351" s="3" t="s">
        <v>22</v>
      </c>
    </row>
    <row r="8352" spans="1:11" ht="42" customHeight="1">
      <c r="A8352" s="2" t="s">
        <v>17171</v>
      </c>
      <c r="B8352" s="2" t="s">
        <v>17172</v>
      </c>
      <c r="C8352" s="2" t="s">
        <v>16</v>
      </c>
      <c r="D8352" s="2" t="s">
        <v>17</v>
      </c>
      <c r="E8352" s="5">
        <v>-31570</v>
      </c>
      <c r="F8352" s="3" t="s">
        <v>1803</v>
      </c>
      <c r="G8352" s="3" t="s">
        <v>54</v>
      </c>
      <c r="H8352" s="2" t="s">
        <v>20</v>
      </c>
      <c r="I8352" s="2" t="s">
        <v>17173</v>
      </c>
      <c r="J8352" s="3" t="str">
        <f>HYPERLINK("https://www.boe.es/gazeta/dias/1813/07/24/pdfs/GRE-1813-94.pdf#page=3","Abrir facsímil")</f>
        <v>Abrir facsímil</v>
      </c>
      <c r="K8352" s="3" t="s">
        <v>22</v>
      </c>
    </row>
    <row r="8353" spans="1:11" ht="42" customHeight="1">
      <c r="A8353" s="2" t="s">
        <v>17174</v>
      </c>
      <c r="B8353" s="2" t="s">
        <v>17174</v>
      </c>
      <c r="C8353" s="2" t="s">
        <v>16</v>
      </c>
      <c r="D8353" s="2" t="s">
        <v>17</v>
      </c>
      <c r="E8353" s="5">
        <v>-31411</v>
      </c>
      <c r="F8353" s="3" t="s">
        <v>3702</v>
      </c>
      <c r="G8353" s="3" t="s">
        <v>87</v>
      </c>
      <c r="H8353" s="2" t="s">
        <v>20</v>
      </c>
      <c r="I8353" s="2" t="s">
        <v>17175</v>
      </c>
      <c r="J8353" s="3" t="str">
        <f>HYPERLINK("https://www.boe.es/gazeta/dias/1813/12/30/pdfs/GRE-1813-171.pdf#page=7","Abrir facsímil")</f>
        <v>Abrir facsímil</v>
      </c>
      <c r="K8353" s="3" t="s">
        <v>22</v>
      </c>
    </row>
    <row r="8354" spans="1:11" ht="42" customHeight="1">
      <c r="A8354" s="2" t="s">
        <v>17176</v>
      </c>
      <c r="B8354" s="2" t="s">
        <v>17177</v>
      </c>
      <c r="C8354" s="2" t="s">
        <v>16</v>
      </c>
      <c r="D8354" s="2" t="s">
        <v>17</v>
      </c>
      <c r="E8354" s="5">
        <v>-31725</v>
      </c>
      <c r="F8354" s="3" t="s">
        <v>3928</v>
      </c>
      <c r="G8354" s="3" t="s">
        <v>19</v>
      </c>
      <c r="H8354" s="2" t="s">
        <v>20</v>
      </c>
      <c r="I8354" s="2" t="s">
        <v>17178</v>
      </c>
      <c r="J8354" s="3" t="str">
        <f>HYPERLINK("https://www.boe.es/gazeta/dias/1813/02/19/pdfs/GMD-1813-50.pdf#page=4","Abrir facsímil")</f>
        <v>Abrir facsímil</v>
      </c>
      <c r="K8354" s="3" t="s">
        <v>22</v>
      </c>
    </row>
    <row r="8355" spans="1:11" ht="42" customHeight="1">
      <c r="A8355" s="2" t="s">
        <v>17179</v>
      </c>
      <c r="B8355" s="2" t="s">
        <v>17180</v>
      </c>
      <c r="C8355" s="2" t="s">
        <v>25</v>
      </c>
      <c r="D8355" s="2" t="s">
        <v>26</v>
      </c>
      <c r="E8355" s="5">
        <v>-31675</v>
      </c>
      <c r="F8355" s="3" t="s">
        <v>27</v>
      </c>
      <c r="G8355" s="3" t="s">
        <v>28</v>
      </c>
      <c r="H8355" s="2" t="s">
        <v>20</v>
      </c>
      <c r="I8355" s="2" t="s">
        <v>17181</v>
      </c>
      <c r="J8355" s="3" t="str">
        <f>HYPERLINK("https://www.boe.es/gazeta/dias/1813/04/10/pdfs/GRE-1813-44.pdf#page=8","Abrir facsímil")</f>
        <v>Abrir facsímil</v>
      </c>
      <c r="K8355" s="3" t="s">
        <v>22</v>
      </c>
    </row>
    <row r="8356" spans="1:11" ht="42" customHeight="1">
      <c r="A8356" s="2" t="s">
        <v>17182</v>
      </c>
      <c r="B8356" s="2" t="s">
        <v>17183</v>
      </c>
      <c r="C8356" s="2" t="s">
        <v>109</v>
      </c>
      <c r="D8356" s="2" t="s">
        <v>26</v>
      </c>
      <c r="E8356" s="5">
        <v>-31721</v>
      </c>
      <c r="F8356" s="3" t="s">
        <v>5009</v>
      </c>
      <c r="G8356" s="3" t="s">
        <v>19</v>
      </c>
      <c r="H8356" s="2" t="s">
        <v>20</v>
      </c>
      <c r="I8356" s="2" t="s">
        <v>17184</v>
      </c>
      <c r="J8356" s="3" t="str">
        <f>HYPERLINK("https://www.boe.es/gazeta/dias/1813/02/23/pdfs/GMD-1813-54.pdf#page=4","Abrir facsímil")</f>
        <v>Abrir facsímil</v>
      </c>
      <c r="K8356" s="3" t="s">
        <v>22</v>
      </c>
    </row>
    <row r="8357" spans="1:11" ht="42" customHeight="1">
      <c r="A8357" s="2" t="s">
        <v>17185</v>
      </c>
      <c r="B8357" s="2" t="s">
        <v>17186</v>
      </c>
      <c r="C8357" s="2" t="s">
        <v>187</v>
      </c>
      <c r="D8357" s="2" t="s">
        <v>26</v>
      </c>
      <c r="E8357" s="5">
        <v>-31694</v>
      </c>
      <c r="F8357" s="3" t="s">
        <v>2756</v>
      </c>
      <c r="G8357" s="3" t="s">
        <v>19</v>
      </c>
      <c r="H8357" s="2" t="s">
        <v>20</v>
      </c>
      <c r="I8357" s="2" t="s">
        <v>17187</v>
      </c>
      <c r="J8357" s="3" t="str">
        <f>HYPERLINK("https://www.boe.es/gazeta/dias/1813/03/22/pdfs/GMD-1813-81.pdf#page=4","Abrir facsímil")</f>
        <v>Abrir facsímil</v>
      </c>
      <c r="K8357" s="3" t="s">
        <v>22</v>
      </c>
    </row>
    <row r="8358" spans="1:11" ht="42" customHeight="1">
      <c r="A8358" s="2" t="s">
        <v>17188</v>
      </c>
      <c r="B8358" s="2" t="s">
        <v>17189</v>
      </c>
      <c r="C8358" s="2" t="s">
        <v>25</v>
      </c>
      <c r="D8358" s="2" t="s">
        <v>26</v>
      </c>
      <c r="E8358" s="5">
        <v>-31675</v>
      </c>
      <c r="F8358" s="3" t="s">
        <v>27</v>
      </c>
      <c r="G8358" s="3" t="s">
        <v>28</v>
      </c>
      <c r="H8358" s="2" t="s">
        <v>20</v>
      </c>
      <c r="I8358" s="2" t="s">
        <v>17190</v>
      </c>
      <c r="J8358" s="3" t="str">
        <f>HYPERLINK("https://www.boe.es/gazeta/dias/1813/04/10/pdfs/GRE-1813-44.pdf#page=8","Abrir facsímil")</f>
        <v>Abrir facsímil</v>
      </c>
      <c r="K8358" s="3" t="s">
        <v>22</v>
      </c>
    </row>
    <row r="8359" spans="1:11" ht="42" customHeight="1">
      <c r="A8359" s="2" t="s">
        <v>17191</v>
      </c>
      <c r="B8359" s="2" t="s">
        <v>17192</v>
      </c>
      <c r="C8359" s="2" t="s">
        <v>25</v>
      </c>
      <c r="D8359" s="2" t="s">
        <v>26</v>
      </c>
      <c r="E8359" s="5">
        <v>-31677</v>
      </c>
      <c r="F8359" s="3" t="s">
        <v>76</v>
      </c>
      <c r="G8359" s="3" t="s">
        <v>28</v>
      </c>
      <c r="H8359" s="2" t="s">
        <v>20</v>
      </c>
      <c r="I8359" s="2" t="s">
        <v>17193</v>
      </c>
      <c r="J8359" s="3" t="str">
        <f>HYPERLINK("https://www.boe.es/gazeta/dias/1813/04/08/pdfs/GRE-1813-43.pdf#page=8","Abrir facsímil")</f>
        <v>Abrir facsímil</v>
      </c>
      <c r="K8359" s="3" t="s">
        <v>22</v>
      </c>
    </row>
    <row r="8360" spans="1:11" ht="42" customHeight="1">
      <c r="A8360" s="2" t="s">
        <v>17194</v>
      </c>
      <c r="B8360" s="2" t="s">
        <v>17195</v>
      </c>
      <c r="C8360" s="2" t="s">
        <v>69</v>
      </c>
      <c r="D8360" s="2" t="s">
        <v>26</v>
      </c>
      <c r="E8360" s="5">
        <v>-31502</v>
      </c>
      <c r="F8360" s="3" t="s">
        <v>257</v>
      </c>
      <c r="G8360" s="3" t="s">
        <v>258</v>
      </c>
      <c r="H8360" s="2" t="s">
        <v>20</v>
      </c>
      <c r="I8360" s="2" t="s">
        <v>17196</v>
      </c>
      <c r="J8360" s="3" t="str">
        <f>HYPERLINK("https://www.boe.es/gazeta/dias/1813/09/30/pdfs/GMR-1813-51.pdf#page=12","Abrir facsímil")</f>
        <v>Abrir facsímil</v>
      </c>
      <c r="K8360" s="3" t="s">
        <v>22</v>
      </c>
    </row>
    <row r="8361" spans="1:11" ht="42" customHeight="1">
      <c r="A8361" s="2" t="s">
        <v>17197</v>
      </c>
      <c r="B8361" s="2" t="s">
        <v>17197</v>
      </c>
      <c r="C8361" s="2" t="s">
        <v>16</v>
      </c>
      <c r="D8361" s="2" t="s">
        <v>17</v>
      </c>
      <c r="E8361" s="5">
        <v>-31745</v>
      </c>
      <c r="F8361" s="3" t="s">
        <v>1856</v>
      </c>
      <c r="G8361" s="3" t="s">
        <v>19</v>
      </c>
      <c r="H8361" s="2" t="s">
        <v>20</v>
      </c>
      <c r="I8361" s="2" t="s">
        <v>17198</v>
      </c>
      <c r="J8361" s="3" t="str">
        <f>HYPERLINK("https://www.boe.es/gazeta/dias/1813/01/30/pdfs/GMD-1813-30.pdf#page=4","Abrir facsímil")</f>
        <v>Abrir facsímil</v>
      </c>
      <c r="K8361" s="3" t="s">
        <v>22</v>
      </c>
    </row>
    <row r="8362" spans="1:11" ht="42" customHeight="1">
      <c r="A8362" s="2" t="s">
        <v>17197</v>
      </c>
      <c r="B8362" s="2" t="s">
        <v>17197</v>
      </c>
      <c r="C8362" s="2" t="s">
        <v>16</v>
      </c>
      <c r="D8362" s="2" t="s">
        <v>17</v>
      </c>
      <c r="E8362" s="5">
        <v>-31741</v>
      </c>
      <c r="F8362" s="3" t="s">
        <v>1359</v>
      </c>
      <c r="G8362" s="3" t="s">
        <v>54</v>
      </c>
      <c r="H8362" s="2" t="s">
        <v>20</v>
      </c>
      <c r="I8362" s="2" t="s">
        <v>17199</v>
      </c>
      <c r="J8362" s="3" t="str">
        <f>HYPERLINK("https://www.boe.es/gazeta/dias/1813/02/03/pdfs/GMD-1813-34.pdf#page=3","Abrir facsímil")</f>
        <v>Abrir facsímil</v>
      </c>
      <c r="K8362" s="3" t="s">
        <v>22</v>
      </c>
    </row>
    <row r="8363" spans="1:11" ht="42" customHeight="1">
      <c r="A8363" s="2" t="s">
        <v>17200</v>
      </c>
      <c r="B8363" s="2" t="s">
        <v>17201</v>
      </c>
      <c r="C8363" s="2" t="s">
        <v>16</v>
      </c>
      <c r="D8363" s="2" t="s">
        <v>17</v>
      </c>
      <c r="E8363" s="5">
        <v>-31737</v>
      </c>
      <c r="F8363" s="3" t="s">
        <v>5824</v>
      </c>
      <c r="G8363" s="3" t="s">
        <v>54</v>
      </c>
      <c r="H8363" s="2" t="s">
        <v>20</v>
      </c>
      <c r="I8363" s="2" t="s">
        <v>17202</v>
      </c>
      <c r="J8363" s="3" t="str">
        <f>HYPERLINK("https://www.boe.es/gazeta/dias/1813/02/07/pdfs/GMD-1813-38.pdf#page=3","Abrir facsímil")</f>
        <v>Abrir facsímil</v>
      </c>
      <c r="K8363" s="3" t="s">
        <v>22</v>
      </c>
    </row>
    <row r="8364" spans="1:11" ht="42" customHeight="1">
      <c r="A8364" s="2" t="s">
        <v>17203</v>
      </c>
      <c r="B8364" s="2" t="s">
        <v>17203</v>
      </c>
      <c r="C8364" s="2" t="s">
        <v>435</v>
      </c>
      <c r="D8364" s="2" t="s">
        <v>26</v>
      </c>
      <c r="E8364" s="5">
        <v>-31453</v>
      </c>
      <c r="F8364" s="3" t="s">
        <v>887</v>
      </c>
      <c r="G8364" s="3" t="s">
        <v>888</v>
      </c>
      <c r="H8364" s="2" t="s">
        <v>20</v>
      </c>
      <c r="I8364" s="2" t="s">
        <v>17204</v>
      </c>
      <c r="J8364" s="3" t="str">
        <f>HYPERLINK("https://www.boe.es/gazeta/dias/1813/11/18/pdfs/GMR-1813-76.pdf#page=10","Abrir facsímil")</f>
        <v>Abrir facsímil</v>
      </c>
      <c r="K8364" s="3" t="s">
        <v>22</v>
      </c>
    </row>
    <row r="8365" spans="1:11" ht="42" customHeight="1">
      <c r="A8365" s="2" t="s">
        <v>17205</v>
      </c>
      <c r="B8365" s="2" t="s">
        <v>17205</v>
      </c>
      <c r="C8365" s="2" t="s">
        <v>16</v>
      </c>
      <c r="D8365" s="2" t="s">
        <v>17</v>
      </c>
      <c r="E8365" s="5">
        <v>-31458</v>
      </c>
      <c r="F8365" s="3" t="s">
        <v>2315</v>
      </c>
      <c r="G8365" s="3" t="s">
        <v>87</v>
      </c>
      <c r="H8365" s="2" t="s">
        <v>20</v>
      </c>
      <c r="I8365" s="2" t="s">
        <v>17206</v>
      </c>
      <c r="J8365" s="3" t="str">
        <f>HYPERLINK("https://www.boe.es/gazeta/dias/1813/11/13/pdfs/GMR-1813-73.pdf#page=7","Abrir facsímil")</f>
        <v>Abrir facsímil</v>
      </c>
      <c r="K8365" s="3" t="s">
        <v>22</v>
      </c>
    </row>
    <row r="8366" spans="1:11" ht="42" customHeight="1">
      <c r="A8366" s="2" t="s">
        <v>17207</v>
      </c>
      <c r="B8366" s="2" t="s">
        <v>17208</v>
      </c>
      <c r="C8366" s="2" t="s">
        <v>25</v>
      </c>
      <c r="D8366" s="2" t="s">
        <v>26</v>
      </c>
      <c r="E8366" s="5">
        <v>-31721</v>
      </c>
      <c r="F8366" s="3" t="s">
        <v>562</v>
      </c>
      <c r="G8366" s="3" t="s">
        <v>17209</v>
      </c>
      <c r="H8366" s="2" t="s">
        <v>20</v>
      </c>
      <c r="I8366" s="2" t="s">
        <v>17210</v>
      </c>
      <c r="J8366" s="3" t="str">
        <f>HYPERLINK("https://www.boe.es/gazeta/dias/1813/02/23/pdfs/GRE-1813-23.pdf#page=7","Abrir facsímil")</f>
        <v>Abrir facsímil</v>
      </c>
      <c r="K8366" s="3" t="s">
        <v>22</v>
      </c>
    </row>
    <row r="8367" spans="1:11" ht="42" customHeight="1">
      <c r="A8367" s="2" t="s">
        <v>17207</v>
      </c>
      <c r="B8367" s="2" t="s">
        <v>17208</v>
      </c>
      <c r="C8367" s="2" t="s">
        <v>16</v>
      </c>
      <c r="D8367" s="2" t="s">
        <v>17</v>
      </c>
      <c r="E8367" s="5">
        <v>-31714</v>
      </c>
      <c r="F8367" s="3" t="s">
        <v>479</v>
      </c>
      <c r="G8367" s="3" t="s">
        <v>789</v>
      </c>
      <c r="H8367" s="2" t="s">
        <v>20</v>
      </c>
      <c r="I8367" s="2" t="s">
        <v>17211</v>
      </c>
      <c r="J8367" s="3" t="str">
        <f>HYPERLINK("https://www.boe.es/gazeta/dias/1813/03/02/pdfs/GRE-1813-27.pdf#page=8","Abrir facsímil")</f>
        <v>Abrir facsímil</v>
      </c>
      <c r="K8367" s="3" t="s">
        <v>22</v>
      </c>
    </row>
    <row r="8368" spans="1:11" ht="42" customHeight="1">
      <c r="A8368" s="2" t="s">
        <v>17212</v>
      </c>
      <c r="B8368" s="2" t="s">
        <v>17213</v>
      </c>
      <c r="C8368" s="2" t="s">
        <v>34</v>
      </c>
      <c r="D8368" s="2" t="s">
        <v>35</v>
      </c>
      <c r="E8368" s="5">
        <v>-31709</v>
      </c>
      <c r="F8368" s="3" t="s">
        <v>36</v>
      </c>
      <c r="G8368" s="3" t="s">
        <v>303</v>
      </c>
      <c r="H8368" s="2" t="s">
        <v>20</v>
      </c>
      <c r="I8368" s="2" t="s">
        <v>17214</v>
      </c>
      <c r="J8368" s="3" t="str">
        <f>HYPERLINK("https://www.boe.es/gazeta/dias/1813/03/07/pdfs/GMD-1813-66.pdf#page=3","Abrir facsímil")</f>
        <v>Abrir facsímil</v>
      </c>
      <c r="K8368" s="3" t="s">
        <v>22</v>
      </c>
    </row>
    <row r="8369" spans="1:11" ht="42" customHeight="1">
      <c r="A8369" s="2" t="s">
        <v>17215</v>
      </c>
      <c r="B8369" s="2" t="s">
        <v>17215</v>
      </c>
      <c r="C8369" s="2" t="s">
        <v>16</v>
      </c>
      <c r="D8369" s="2" t="s">
        <v>17</v>
      </c>
      <c r="E8369" s="5">
        <v>-31441</v>
      </c>
      <c r="F8369" s="3" t="s">
        <v>1952</v>
      </c>
      <c r="G8369" s="3" t="s">
        <v>28</v>
      </c>
      <c r="H8369" s="2" t="s">
        <v>20</v>
      </c>
      <c r="I8369" s="2" t="s">
        <v>17216</v>
      </c>
      <c r="J8369" s="3" t="str">
        <f>HYPERLINK("https://www.boe.es/gazeta/dias/1813/11/30/pdfs/GRE-1813-158.pdf#page=8","Abrir facsímil")</f>
        <v>Abrir facsímil</v>
      </c>
      <c r="K8369" s="3" t="s">
        <v>22</v>
      </c>
    </row>
    <row r="8370" spans="1:11" ht="42" customHeight="1">
      <c r="A8370" s="2" t="s">
        <v>17217</v>
      </c>
      <c r="B8370" s="2" t="s">
        <v>17218</v>
      </c>
      <c r="C8370" s="2" t="s">
        <v>16</v>
      </c>
      <c r="D8370" s="2" t="s">
        <v>17</v>
      </c>
      <c r="E8370" s="5">
        <v>-31740</v>
      </c>
      <c r="F8370" s="3" t="s">
        <v>354</v>
      </c>
      <c r="G8370" s="3" t="s">
        <v>7152</v>
      </c>
      <c r="H8370" s="2" t="s">
        <v>20</v>
      </c>
      <c r="I8370" s="2" t="s">
        <v>17219</v>
      </c>
      <c r="J8370" s="3" t="str">
        <f>HYPERLINK("https://www.boe.es/gazeta/dias/1813/02/04/pdfs/GRE-1813-15.pdf#page=3","Abrir facsímil")</f>
        <v>Abrir facsímil</v>
      </c>
      <c r="K8370" s="3" t="s">
        <v>22</v>
      </c>
    </row>
    <row r="8371" spans="1:11" ht="42" customHeight="1">
      <c r="A8371" s="2" t="s">
        <v>17220</v>
      </c>
      <c r="B8371" s="2" t="s">
        <v>17220</v>
      </c>
      <c r="C8371" s="2" t="s">
        <v>16</v>
      </c>
      <c r="D8371" s="2" t="s">
        <v>17</v>
      </c>
      <c r="E8371" s="5">
        <v>-31637</v>
      </c>
      <c r="F8371" s="3" t="s">
        <v>234</v>
      </c>
      <c r="G8371" s="3" t="s">
        <v>95</v>
      </c>
      <c r="H8371" s="2" t="s">
        <v>20</v>
      </c>
      <c r="I8371" s="2" t="s">
        <v>17221</v>
      </c>
      <c r="J8371" s="3" t="str">
        <f>HYPERLINK("https://www.boe.es/gazeta/dias/1813/05/18/pdfs/GRE-1813-61.pdf#page=6","Abrir facsímil")</f>
        <v>Abrir facsímil</v>
      </c>
      <c r="K8371" s="3" t="s">
        <v>22</v>
      </c>
    </row>
    <row r="8372" spans="1:11" ht="42" customHeight="1">
      <c r="A8372" s="2" t="s">
        <v>17222</v>
      </c>
      <c r="B8372" s="2" t="s">
        <v>17222</v>
      </c>
      <c r="C8372" s="2" t="s">
        <v>16</v>
      </c>
      <c r="D8372" s="2" t="s">
        <v>17</v>
      </c>
      <c r="E8372" s="5">
        <v>-31766</v>
      </c>
      <c r="F8372" s="3" t="s">
        <v>1356</v>
      </c>
      <c r="G8372" s="3" t="s">
        <v>87</v>
      </c>
      <c r="H8372" s="2" t="s">
        <v>20</v>
      </c>
      <c r="I8372" s="2" t="s">
        <v>17223</v>
      </c>
      <c r="J8372" s="3" t="str">
        <f>HYPERLINK("https://www.boe.es/gazeta/dias/1813/01/09/pdfs/GRE-1813-4.pdf#page=7","Abrir facsímil")</f>
        <v>Abrir facsímil</v>
      </c>
      <c r="K8372" s="3" t="s">
        <v>22</v>
      </c>
    </row>
    <row r="8373" spans="1:11" ht="42" customHeight="1">
      <c r="A8373" s="2" t="s">
        <v>17224</v>
      </c>
      <c r="B8373" s="2" t="s">
        <v>17225</v>
      </c>
      <c r="C8373" s="2" t="s">
        <v>16</v>
      </c>
      <c r="D8373" s="2" t="s">
        <v>17</v>
      </c>
      <c r="E8373" s="5">
        <v>-31635</v>
      </c>
      <c r="F8373" s="3" t="s">
        <v>2173</v>
      </c>
      <c r="G8373" s="3" t="s">
        <v>4157</v>
      </c>
      <c r="H8373" s="2" t="s">
        <v>20</v>
      </c>
      <c r="I8373" s="2" t="s">
        <v>17226</v>
      </c>
      <c r="J8373" s="3" t="str">
        <f>HYPERLINK("https://www.boe.es/gazeta/dias/1813/05/20/pdfs/GRE-1813-62.pdf#page=4","Abrir facsímil")</f>
        <v>Abrir facsímil</v>
      </c>
      <c r="K8373" s="3" t="s">
        <v>22</v>
      </c>
    </row>
    <row r="8374" spans="1:11" ht="42" customHeight="1">
      <c r="A8374" s="2" t="s">
        <v>17227</v>
      </c>
      <c r="B8374" s="2" t="s">
        <v>17228</v>
      </c>
      <c r="C8374" s="2" t="s">
        <v>34</v>
      </c>
      <c r="D8374" s="2" t="s">
        <v>35</v>
      </c>
      <c r="E8374" s="5">
        <v>-31709</v>
      </c>
      <c r="F8374" s="3" t="s">
        <v>36</v>
      </c>
      <c r="G8374" s="3" t="s">
        <v>303</v>
      </c>
      <c r="H8374" s="2" t="s">
        <v>20</v>
      </c>
      <c r="I8374" s="2" t="s">
        <v>17229</v>
      </c>
      <c r="J8374" s="3" t="str">
        <f>HYPERLINK("https://www.boe.es/gazeta/dias/1813/03/07/pdfs/GMD-1813-66.pdf#page=3","Abrir facsímil")</f>
        <v>Abrir facsímil</v>
      </c>
      <c r="K8374" s="3" t="s">
        <v>22</v>
      </c>
    </row>
    <row r="8375" spans="1:11" ht="42" customHeight="1">
      <c r="A8375" s="2" t="s">
        <v>17230</v>
      </c>
      <c r="B8375" s="2" t="s">
        <v>17231</v>
      </c>
      <c r="C8375" s="2" t="s">
        <v>25</v>
      </c>
      <c r="D8375" s="2" t="s">
        <v>26</v>
      </c>
      <c r="E8375" s="5">
        <v>-31752</v>
      </c>
      <c r="F8375" s="3" t="s">
        <v>182</v>
      </c>
      <c r="G8375" s="3" t="s">
        <v>183</v>
      </c>
      <c r="H8375" s="2" t="s">
        <v>20</v>
      </c>
      <c r="I8375" s="2" t="s">
        <v>17232</v>
      </c>
      <c r="J8375" s="3" t="str">
        <f>HYPERLINK("https://www.boe.es/gazeta/dias/1813/01/23/pdfs/GRE-1813-10.pdf#page=8","Abrir facsímil")</f>
        <v>Abrir facsímil</v>
      </c>
      <c r="K8375" s="3" t="s">
        <v>22</v>
      </c>
    </row>
    <row r="8376" spans="1:11" ht="42" customHeight="1">
      <c r="A8376" s="2" t="s">
        <v>17233</v>
      </c>
      <c r="B8376" s="2" t="s">
        <v>17233</v>
      </c>
      <c r="C8376" s="2" t="s">
        <v>16</v>
      </c>
      <c r="D8376" s="2" t="s">
        <v>17</v>
      </c>
      <c r="E8376" s="5">
        <v>-31725</v>
      </c>
      <c r="F8376" s="3" t="s">
        <v>3928</v>
      </c>
      <c r="G8376" s="3" t="s">
        <v>65</v>
      </c>
      <c r="H8376" s="2" t="s">
        <v>20</v>
      </c>
      <c r="I8376" s="2" t="s">
        <v>17234</v>
      </c>
      <c r="J8376" s="3" t="str">
        <f>HYPERLINK("https://www.boe.es/gazeta/dias/1813/02/19/pdfs/GMD-1813-50.pdf#page=1","Abrir facsímil")</f>
        <v>Abrir facsímil</v>
      </c>
      <c r="K8376" s="3" t="s">
        <v>22</v>
      </c>
    </row>
    <row r="8377" spans="1:11" ht="42" customHeight="1">
      <c r="A8377" s="2" t="s">
        <v>17233</v>
      </c>
      <c r="B8377" s="2" t="s">
        <v>17233</v>
      </c>
      <c r="C8377" s="2" t="s">
        <v>16</v>
      </c>
      <c r="D8377" s="2" t="s">
        <v>17</v>
      </c>
      <c r="E8377" s="5">
        <v>-31644</v>
      </c>
      <c r="F8377" s="3" t="s">
        <v>1979</v>
      </c>
      <c r="G8377" s="3" t="s">
        <v>54</v>
      </c>
      <c r="H8377" s="2" t="s">
        <v>20</v>
      </c>
      <c r="I8377" s="2" t="s">
        <v>17235</v>
      </c>
      <c r="J8377" s="3" t="str">
        <f>HYPERLINK("https://www.boe.es/gazeta/dias/1813/05/11/pdfs/GMD-1813-131.pdf#page=3","Abrir facsímil")</f>
        <v>Abrir facsímil</v>
      </c>
      <c r="K8377" s="3" t="s">
        <v>22</v>
      </c>
    </row>
    <row r="8378" spans="1:11" ht="42" customHeight="1">
      <c r="A8378" s="2" t="s">
        <v>17233</v>
      </c>
      <c r="B8378" s="2" t="s">
        <v>17233</v>
      </c>
      <c r="C8378" s="2" t="s">
        <v>16</v>
      </c>
      <c r="D8378" s="2" t="s">
        <v>17</v>
      </c>
      <c r="E8378" s="5">
        <v>-31644</v>
      </c>
      <c r="F8378" s="3" t="s">
        <v>1979</v>
      </c>
      <c r="G8378" s="3" t="s">
        <v>19</v>
      </c>
      <c r="H8378" s="2" t="s">
        <v>20</v>
      </c>
      <c r="I8378" s="2" t="s">
        <v>17236</v>
      </c>
      <c r="J8378" s="3" t="str">
        <f>HYPERLINK("https://www.boe.es/gazeta/dias/1813/05/11/pdfs/GMD-1813-131.pdf#page=4","Abrir facsímil")</f>
        <v>Abrir facsímil</v>
      </c>
      <c r="K8378" s="3" t="s">
        <v>22</v>
      </c>
    </row>
    <row r="8379" spans="1:11" ht="42" customHeight="1">
      <c r="A8379" s="2" t="s">
        <v>17233</v>
      </c>
      <c r="B8379" s="2" t="s">
        <v>17233</v>
      </c>
      <c r="C8379" s="2" t="s">
        <v>16</v>
      </c>
      <c r="D8379" s="2" t="s">
        <v>17</v>
      </c>
      <c r="E8379" s="5">
        <v>-31616</v>
      </c>
      <c r="F8379" s="3" t="s">
        <v>545</v>
      </c>
      <c r="G8379" s="3" t="s">
        <v>54</v>
      </c>
      <c r="H8379" s="2" t="s">
        <v>20</v>
      </c>
      <c r="I8379" s="2" t="s">
        <v>17237</v>
      </c>
      <c r="J8379" s="3" t="str">
        <f>HYPERLINK("https://www.boe.es/gazeta/dias/1813/06/08/pdfs/GRE-1813-71.pdf#page=3","Abrir facsímil")</f>
        <v>Abrir facsímil</v>
      </c>
      <c r="K8379" s="3" t="s">
        <v>22</v>
      </c>
    </row>
    <row r="8380" spans="1:11" ht="42" customHeight="1">
      <c r="A8380" s="2" t="s">
        <v>17233</v>
      </c>
      <c r="B8380" s="2" t="s">
        <v>17233</v>
      </c>
      <c r="C8380" s="2" t="s">
        <v>16</v>
      </c>
      <c r="D8380" s="2" t="s">
        <v>17</v>
      </c>
      <c r="E8380" s="5">
        <v>-31616</v>
      </c>
      <c r="F8380" s="3" t="s">
        <v>545</v>
      </c>
      <c r="G8380" s="3" t="s">
        <v>19</v>
      </c>
      <c r="H8380" s="2" t="s">
        <v>20</v>
      </c>
      <c r="I8380" s="2" t="s">
        <v>17238</v>
      </c>
      <c r="J8380" s="3" t="str">
        <f>HYPERLINK("https://www.boe.es/gazeta/dias/1813/06/08/pdfs/GRE-1813-71.pdf#page=4","Abrir facsímil")</f>
        <v>Abrir facsímil</v>
      </c>
      <c r="K8380" s="3" t="s">
        <v>22</v>
      </c>
    </row>
    <row r="8381" spans="1:11" ht="42" customHeight="1">
      <c r="A8381" s="2" t="s">
        <v>17233</v>
      </c>
      <c r="B8381" s="2" t="s">
        <v>17233</v>
      </c>
      <c r="C8381" s="2" t="s">
        <v>16</v>
      </c>
      <c r="D8381" s="2" t="s">
        <v>17</v>
      </c>
      <c r="E8381" s="5">
        <v>-31595</v>
      </c>
      <c r="F8381" s="3" t="s">
        <v>70</v>
      </c>
      <c r="G8381" s="3" t="s">
        <v>82</v>
      </c>
      <c r="H8381" s="2" t="s">
        <v>20</v>
      </c>
      <c r="I8381" s="2" t="s">
        <v>17239</v>
      </c>
      <c r="J8381" s="3" t="str">
        <f>HYPERLINK("https://www.boe.es/gazeta/dias/1813/06/29/pdfs/GMR-1813-13.pdf#page=5","Abrir facsímil")</f>
        <v>Abrir facsímil</v>
      </c>
      <c r="K8381" s="3" t="s">
        <v>22</v>
      </c>
    </row>
    <row r="8382" spans="1:11" ht="42" customHeight="1">
      <c r="A8382" s="2" t="s">
        <v>17233</v>
      </c>
      <c r="B8382" s="2" t="s">
        <v>17233</v>
      </c>
      <c r="C8382" s="2" t="s">
        <v>16</v>
      </c>
      <c r="D8382" s="2" t="s">
        <v>17</v>
      </c>
      <c r="E8382" s="5">
        <v>-31592</v>
      </c>
      <c r="F8382" s="3" t="s">
        <v>1538</v>
      </c>
      <c r="G8382" s="3" t="s">
        <v>54</v>
      </c>
      <c r="H8382" s="2" t="s">
        <v>20</v>
      </c>
      <c r="I8382" s="2" t="s">
        <v>17240</v>
      </c>
      <c r="J8382" s="3" t="str">
        <f>HYPERLINK("https://www.boe.es/gazeta/dias/1813/07/02/pdfs/GMR-1813-14.pdf#page=3","Abrir facsímil")</f>
        <v>Abrir facsímil</v>
      </c>
      <c r="K8382" s="3" t="s">
        <v>22</v>
      </c>
    </row>
    <row r="8383" spans="1:11" ht="42" customHeight="1">
      <c r="A8383" s="2" t="s">
        <v>17241</v>
      </c>
      <c r="B8383" s="2" t="s">
        <v>17242</v>
      </c>
      <c r="C8383" s="2" t="s">
        <v>16</v>
      </c>
      <c r="D8383" s="2" t="s">
        <v>17</v>
      </c>
      <c r="E8383" s="5">
        <v>-31726</v>
      </c>
      <c r="F8383" s="3" t="s">
        <v>533</v>
      </c>
      <c r="G8383" s="3" t="s">
        <v>65</v>
      </c>
      <c r="H8383" s="2" t="s">
        <v>29</v>
      </c>
      <c r="I8383" s="2" t="s">
        <v>17243</v>
      </c>
      <c r="J8383" s="3" t="str">
        <f>HYPERLINK("https://www.boe.es/gazeta/dias/1813/02/18/pdfs/GRE-1813-21.pdf#page=1","Abrir facsímil")</f>
        <v>Abrir facsímil</v>
      </c>
      <c r="K8383" s="3" t="s">
        <v>31</v>
      </c>
    </row>
    <row r="8384" spans="1:11" ht="42" customHeight="1">
      <c r="A8384" s="2" t="s">
        <v>17244</v>
      </c>
      <c r="B8384" s="2" t="s">
        <v>17245</v>
      </c>
      <c r="C8384" s="2" t="s">
        <v>16</v>
      </c>
      <c r="D8384" s="2" t="s">
        <v>17</v>
      </c>
      <c r="E8384" s="5">
        <v>-31525</v>
      </c>
      <c r="F8384" s="3" t="s">
        <v>1131</v>
      </c>
      <c r="G8384" s="3" t="s">
        <v>95</v>
      </c>
      <c r="H8384" s="2" t="s">
        <v>29</v>
      </c>
      <c r="I8384" s="2" t="s">
        <v>17246</v>
      </c>
      <c r="J8384" s="3" t="str">
        <f>HYPERLINK("https://www.boe.es/gazeta/dias/1813/09/07/pdfs/GRE-1813-114.pdf#page=6","Abrir facsímil")</f>
        <v>Abrir facsímil</v>
      </c>
      <c r="K8384" s="3" t="s">
        <v>31</v>
      </c>
    </row>
    <row r="8385" spans="1:11" ht="42" customHeight="1">
      <c r="A8385" s="2" t="s">
        <v>17247</v>
      </c>
      <c r="B8385" s="2" t="s">
        <v>17247</v>
      </c>
      <c r="C8385" s="2" t="s">
        <v>16</v>
      </c>
      <c r="D8385" s="2" t="s">
        <v>17</v>
      </c>
      <c r="E8385" s="5">
        <v>-31724</v>
      </c>
      <c r="F8385" s="3" t="s">
        <v>626</v>
      </c>
      <c r="G8385" s="3" t="s">
        <v>82</v>
      </c>
      <c r="H8385" s="2" t="s">
        <v>20</v>
      </c>
      <c r="I8385" s="2" t="s">
        <v>17248</v>
      </c>
      <c r="J8385" s="3" t="str">
        <f>HYPERLINK("https://www.boe.es/gazeta/dias/1813/02/20/pdfs/GRE-1813-22.pdf#page=5","Abrir facsímil")</f>
        <v>Abrir facsímil</v>
      </c>
      <c r="K8385" s="3" t="s">
        <v>22</v>
      </c>
    </row>
    <row r="8386" spans="1:11" ht="42" customHeight="1">
      <c r="A8386" s="2" t="s">
        <v>17247</v>
      </c>
      <c r="B8386" s="2" t="s">
        <v>17247</v>
      </c>
      <c r="C8386" s="2" t="s">
        <v>16</v>
      </c>
      <c r="D8386" s="2" t="s">
        <v>17</v>
      </c>
      <c r="E8386" s="5">
        <v>-31719</v>
      </c>
      <c r="F8386" s="3" t="s">
        <v>251</v>
      </c>
      <c r="G8386" s="3" t="s">
        <v>58</v>
      </c>
      <c r="H8386" s="2" t="s">
        <v>20</v>
      </c>
      <c r="I8386" s="2" t="s">
        <v>17249</v>
      </c>
      <c r="J8386" s="3" t="str">
        <f>HYPERLINK("https://www.boe.es/gazeta/dias/1813/02/25/pdfs/GMD-1813-56.pdf#page=2","Abrir facsímil")</f>
        <v>Abrir facsímil</v>
      </c>
      <c r="K8386" s="3" t="s">
        <v>22</v>
      </c>
    </row>
    <row r="8387" spans="1:11" ht="42" customHeight="1">
      <c r="A8387" s="2" t="s">
        <v>17247</v>
      </c>
      <c r="B8387" s="2" t="s">
        <v>17247</v>
      </c>
      <c r="C8387" s="2" t="s">
        <v>16</v>
      </c>
      <c r="D8387" s="2" t="s">
        <v>17</v>
      </c>
      <c r="E8387" s="5">
        <v>-31698</v>
      </c>
      <c r="F8387" s="3" t="s">
        <v>470</v>
      </c>
      <c r="G8387" s="3" t="s">
        <v>4979</v>
      </c>
      <c r="H8387" s="2" t="s">
        <v>20</v>
      </c>
      <c r="I8387" s="2" t="s">
        <v>17250</v>
      </c>
      <c r="J8387" s="3" t="str">
        <f>HYPERLINK("https://www.boe.es/gazeta/dias/1813/03/18/pdfs/GRE-1813-34.pdf#page=6","Abrir facsímil")</f>
        <v>Abrir facsímil</v>
      </c>
      <c r="K8387" s="3" t="s">
        <v>22</v>
      </c>
    </row>
    <row r="8388" spans="1:11" ht="42" customHeight="1">
      <c r="A8388" s="2" t="s">
        <v>17247</v>
      </c>
      <c r="B8388" s="2" t="s">
        <v>17247</v>
      </c>
      <c r="C8388" s="2" t="s">
        <v>16</v>
      </c>
      <c r="D8388" s="2" t="s">
        <v>17</v>
      </c>
      <c r="E8388" s="5">
        <v>-31698</v>
      </c>
      <c r="F8388" s="3" t="s">
        <v>470</v>
      </c>
      <c r="G8388" s="3" t="s">
        <v>54</v>
      </c>
      <c r="H8388" s="2" t="s">
        <v>20</v>
      </c>
      <c r="I8388" s="2" t="s">
        <v>17251</v>
      </c>
      <c r="J8388" s="3" t="str">
        <f>HYPERLINK("https://www.boe.es/gazeta/dias/1813/03/18/pdfs/GRE-1813-34.pdf#page=3","Abrir facsímil")</f>
        <v>Abrir facsímil</v>
      </c>
      <c r="K8388" s="3" t="s">
        <v>22</v>
      </c>
    </row>
    <row r="8389" spans="1:11" ht="42" customHeight="1">
      <c r="A8389" s="2" t="s">
        <v>17247</v>
      </c>
      <c r="B8389" s="2" t="s">
        <v>17247</v>
      </c>
      <c r="C8389" s="2" t="s">
        <v>16</v>
      </c>
      <c r="D8389" s="2" t="s">
        <v>17</v>
      </c>
      <c r="E8389" s="5">
        <v>-31600</v>
      </c>
      <c r="F8389" s="3" t="s">
        <v>2121</v>
      </c>
      <c r="G8389" s="3" t="s">
        <v>65</v>
      </c>
      <c r="H8389" s="2" t="s">
        <v>20</v>
      </c>
      <c r="I8389" s="2" t="s">
        <v>17252</v>
      </c>
      <c r="J8389" s="3" t="str">
        <f>HYPERLINK("https://www.boe.es/gazeta/dias/1813/06/24/pdfs/GRE-1813-78.pdf#page=1","Abrir facsímil")</f>
        <v>Abrir facsímil</v>
      </c>
      <c r="K8389" s="3" t="s">
        <v>22</v>
      </c>
    </row>
    <row r="8390" spans="1:11" ht="42" customHeight="1">
      <c r="A8390" s="2" t="s">
        <v>17247</v>
      </c>
      <c r="B8390" s="2" t="s">
        <v>17247</v>
      </c>
      <c r="C8390" s="2" t="s">
        <v>16</v>
      </c>
      <c r="D8390" s="2" t="s">
        <v>17</v>
      </c>
      <c r="E8390" s="5">
        <v>-31600</v>
      </c>
      <c r="F8390" s="3" t="s">
        <v>2121</v>
      </c>
      <c r="G8390" s="3" t="s">
        <v>58</v>
      </c>
      <c r="H8390" s="2" t="s">
        <v>20</v>
      </c>
      <c r="I8390" s="2" t="s">
        <v>17253</v>
      </c>
      <c r="J8390" s="3" t="str">
        <f>HYPERLINK("https://www.boe.es/gazeta/dias/1813/06/24/pdfs/GRE-1813-78.pdf#page=2","Abrir facsímil")</f>
        <v>Abrir facsímil</v>
      </c>
      <c r="K8390" s="3" t="s">
        <v>22</v>
      </c>
    </row>
    <row r="8391" spans="1:11" ht="42" customHeight="1">
      <c r="A8391" s="2" t="s">
        <v>17247</v>
      </c>
      <c r="B8391" s="2" t="s">
        <v>17247</v>
      </c>
      <c r="C8391" s="2" t="s">
        <v>16</v>
      </c>
      <c r="D8391" s="2" t="s">
        <v>17</v>
      </c>
      <c r="E8391" s="5">
        <v>-31598</v>
      </c>
      <c r="F8391" s="3" t="s">
        <v>286</v>
      </c>
      <c r="G8391" s="3" t="s">
        <v>54</v>
      </c>
      <c r="H8391" s="2" t="s">
        <v>20</v>
      </c>
      <c r="I8391" s="2" t="s">
        <v>17254</v>
      </c>
      <c r="J8391" s="3" t="str">
        <f>HYPERLINK("https://www.boe.es/gazeta/dias/1813/06/26/pdfs/GRE-1813-79.pdf#page=3","Abrir facsímil")</f>
        <v>Abrir facsímil</v>
      </c>
      <c r="K8391" s="3" t="s">
        <v>22</v>
      </c>
    </row>
    <row r="8392" spans="1:11" ht="42" customHeight="1">
      <c r="A8392" s="2" t="s">
        <v>17247</v>
      </c>
      <c r="B8392" s="2" t="s">
        <v>17247</v>
      </c>
      <c r="C8392" s="2" t="s">
        <v>16</v>
      </c>
      <c r="D8392" s="2" t="s">
        <v>17</v>
      </c>
      <c r="E8392" s="5">
        <v>-31598</v>
      </c>
      <c r="F8392" s="3" t="s">
        <v>286</v>
      </c>
      <c r="G8392" s="3" t="s">
        <v>19</v>
      </c>
      <c r="H8392" s="2" t="s">
        <v>20</v>
      </c>
      <c r="I8392" s="2" t="s">
        <v>17255</v>
      </c>
      <c r="J8392" s="3" t="str">
        <f>HYPERLINK("https://www.boe.es/gazeta/dias/1813/06/26/pdfs/GRE-1813-79.pdf#page=4","Abrir facsímil")</f>
        <v>Abrir facsímil</v>
      </c>
      <c r="K8392" s="3" t="s">
        <v>22</v>
      </c>
    </row>
    <row r="8393" spans="1:11" ht="42" customHeight="1">
      <c r="A8393" s="2" t="s">
        <v>17247</v>
      </c>
      <c r="B8393" s="2" t="s">
        <v>17247</v>
      </c>
      <c r="C8393" s="2" t="s">
        <v>16</v>
      </c>
      <c r="D8393" s="2" t="s">
        <v>17</v>
      </c>
      <c r="E8393" s="5">
        <v>-31585</v>
      </c>
      <c r="F8393" s="3" t="s">
        <v>177</v>
      </c>
      <c r="G8393" s="3" t="s">
        <v>54</v>
      </c>
      <c r="H8393" s="2" t="s">
        <v>20</v>
      </c>
      <c r="I8393" s="2" t="s">
        <v>17256</v>
      </c>
      <c r="J8393" s="3" t="str">
        <f>HYPERLINK("https://www.boe.es/gazeta/dias/1813/07/09/pdfs/GMR-1813-16.pdf#page=3","Abrir facsímil")</f>
        <v>Abrir facsímil</v>
      </c>
      <c r="K8393" s="3" t="s">
        <v>22</v>
      </c>
    </row>
    <row r="8394" spans="1:11" ht="42" customHeight="1">
      <c r="A8394" s="2" t="s">
        <v>17247</v>
      </c>
      <c r="B8394" s="2" t="s">
        <v>17247</v>
      </c>
      <c r="C8394" s="2" t="s">
        <v>16</v>
      </c>
      <c r="D8394" s="2" t="s">
        <v>17</v>
      </c>
      <c r="E8394" s="5">
        <v>-31585</v>
      </c>
      <c r="F8394" s="3" t="s">
        <v>177</v>
      </c>
      <c r="G8394" s="3" t="s">
        <v>19</v>
      </c>
      <c r="H8394" s="2" t="s">
        <v>20</v>
      </c>
      <c r="I8394" s="2" t="s">
        <v>17257</v>
      </c>
      <c r="J8394" s="3" t="str">
        <f>HYPERLINK("https://www.boe.es/gazeta/dias/1813/07/09/pdfs/GMR-1813-16.pdf#page=4","Abrir facsímil")</f>
        <v>Abrir facsímil</v>
      </c>
      <c r="K8394" s="3" t="s">
        <v>22</v>
      </c>
    </row>
    <row r="8395" spans="1:11" ht="42" customHeight="1">
      <c r="A8395" s="2" t="s">
        <v>17247</v>
      </c>
      <c r="B8395" s="2" t="s">
        <v>17247</v>
      </c>
      <c r="C8395" s="2" t="s">
        <v>16</v>
      </c>
      <c r="D8395" s="2" t="s">
        <v>17</v>
      </c>
      <c r="E8395" s="5">
        <v>-31572</v>
      </c>
      <c r="F8395" s="3" t="s">
        <v>317</v>
      </c>
      <c r="G8395" s="3" t="s">
        <v>19</v>
      </c>
      <c r="H8395" s="2" t="s">
        <v>20</v>
      </c>
      <c r="I8395" s="2" t="s">
        <v>17258</v>
      </c>
      <c r="J8395" s="3" t="str">
        <f>HYPERLINK("https://www.boe.es/gazeta/dias/1813/07/22/pdfs/GRE-1813-93.pdf#page=4","Abrir facsímil")</f>
        <v>Abrir facsímil</v>
      </c>
      <c r="K8395" s="3" t="s">
        <v>22</v>
      </c>
    </row>
    <row r="8396" spans="1:11" ht="42" customHeight="1">
      <c r="A8396" s="2" t="s">
        <v>17247</v>
      </c>
      <c r="B8396" s="2" t="s">
        <v>17247</v>
      </c>
      <c r="C8396" s="2" t="s">
        <v>16</v>
      </c>
      <c r="D8396" s="2" t="s">
        <v>17</v>
      </c>
      <c r="E8396" s="5">
        <v>-31479</v>
      </c>
      <c r="F8396" s="3" t="s">
        <v>2383</v>
      </c>
      <c r="G8396" s="3" t="s">
        <v>65</v>
      </c>
      <c r="H8396" s="2" t="s">
        <v>20</v>
      </c>
      <c r="I8396" s="2" t="s">
        <v>17259</v>
      </c>
      <c r="J8396" s="3" t="str">
        <f>HYPERLINK("https://www.boe.es/gazeta/dias/1813/10/23/pdfs/GRE-1813-138.pdf#page=1","Abrir facsímil")</f>
        <v>Abrir facsímil</v>
      </c>
      <c r="K8396" s="3" t="s">
        <v>22</v>
      </c>
    </row>
    <row r="8397" spans="1:11" ht="42" customHeight="1">
      <c r="A8397" s="2" t="s">
        <v>17247</v>
      </c>
      <c r="B8397" s="2" t="s">
        <v>17247</v>
      </c>
      <c r="C8397" s="2" t="s">
        <v>16</v>
      </c>
      <c r="D8397" s="2" t="s">
        <v>17</v>
      </c>
      <c r="E8397" s="5">
        <v>-31425</v>
      </c>
      <c r="F8397" s="3" t="s">
        <v>1669</v>
      </c>
      <c r="G8397" s="3" t="s">
        <v>19</v>
      </c>
      <c r="H8397" s="2" t="s">
        <v>20</v>
      </c>
      <c r="I8397" s="2" t="s">
        <v>17260</v>
      </c>
      <c r="J8397" s="3" t="str">
        <f>HYPERLINK("https://www.boe.es/gazeta/dias/1813/12/16/pdfs/GRE-1813-165.pdf#page=4","Abrir facsímil")</f>
        <v>Abrir facsímil</v>
      </c>
      <c r="K8397" s="3" t="s">
        <v>22</v>
      </c>
    </row>
    <row r="8398" spans="1:11" ht="42" customHeight="1">
      <c r="A8398" s="2" t="s">
        <v>17247</v>
      </c>
      <c r="B8398" s="2" t="s">
        <v>17247</v>
      </c>
      <c r="C8398" s="2" t="s">
        <v>16</v>
      </c>
      <c r="D8398" s="2" t="s">
        <v>17</v>
      </c>
      <c r="E8398" s="5">
        <v>-31423</v>
      </c>
      <c r="F8398" s="3" t="s">
        <v>2465</v>
      </c>
      <c r="G8398" s="3" t="s">
        <v>65</v>
      </c>
      <c r="H8398" s="2" t="s">
        <v>20</v>
      </c>
      <c r="I8398" s="2" t="s">
        <v>17261</v>
      </c>
      <c r="J8398" s="3" t="str">
        <f>HYPERLINK("https://www.boe.es/gazeta/dias/1813/12/18/pdfs/GMR-1813-89.pdf#page=1","Abrir facsímil")</f>
        <v>Abrir facsímil</v>
      </c>
      <c r="K8398" s="3" t="s">
        <v>22</v>
      </c>
    </row>
    <row r="8399" spans="1:11" ht="42" customHeight="1">
      <c r="A8399" s="2" t="s">
        <v>17262</v>
      </c>
      <c r="B8399" s="2" t="s">
        <v>17263</v>
      </c>
      <c r="C8399" s="2" t="s">
        <v>16</v>
      </c>
      <c r="D8399" s="2" t="s">
        <v>17</v>
      </c>
      <c r="E8399" s="5">
        <v>-31726</v>
      </c>
      <c r="F8399" s="3" t="s">
        <v>533</v>
      </c>
      <c r="G8399" s="3" t="s">
        <v>65</v>
      </c>
      <c r="H8399" s="2" t="s">
        <v>20</v>
      </c>
      <c r="I8399" s="2" t="s">
        <v>17264</v>
      </c>
      <c r="J8399" s="3" t="str">
        <f>HYPERLINK("https://www.boe.es/gazeta/dias/1813/02/18/pdfs/GRE-1813-21.pdf#page=1","Abrir facsímil")</f>
        <v>Abrir facsímil</v>
      </c>
      <c r="K8399" s="3" t="s">
        <v>22</v>
      </c>
    </row>
    <row r="8400" spans="1:11" ht="42" customHeight="1">
      <c r="A8400" s="2" t="s">
        <v>17265</v>
      </c>
      <c r="B8400" s="2" t="s">
        <v>17265</v>
      </c>
      <c r="C8400" s="2" t="s">
        <v>16</v>
      </c>
      <c r="D8400" s="2" t="s">
        <v>17</v>
      </c>
      <c r="E8400" s="5">
        <v>-31682</v>
      </c>
      <c r="F8400" s="3" t="s">
        <v>6815</v>
      </c>
      <c r="G8400" s="3" t="s">
        <v>65</v>
      </c>
      <c r="H8400" s="2" t="s">
        <v>20</v>
      </c>
      <c r="I8400" s="2" t="s">
        <v>17266</v>
      </c>
      <c r="J8400" s="3" t="str">
        <f>HYPERLINK("https://www.boe.es/gazeta/dias/1813/04/03/pdfs/GMD-1813-93.pdf#page=1","Abrir facsímil")</f>
        <v>Abrir facsímil</v>
      </c>
      <c r="K8400" s="3" t="s">
        <v>22</v>
      </c>
    </row>
    <row r="8401" spans="1:11" ht="42" customHeight="1">
      <c r="A8401" s="2" t="s">
        <v>17267</v>
      </c>
      <c r="B8401" s="2" t="s">
        <v>17267</v>
      </c>
      <c r="C8401" s="2" t="s">
        <v>16</v>
      </c>
      <c r="D8401" s="2" t="s">
        <v>17</v>
      </c>
      <c r="E8401" s="5">
        <v>-31488</v>
      </c>
      <c r="F8401" s="3" t="s">
        <v>2370</v>
      </c>
      <c r="G8401" s="3" t="s">
        <v>17268</v>
      </c>
      <c r="H8401" s="2" t="s">
        <v>20</v>
      </c>
      <c r="I8401" s="2" t="s">
        <v>17269</v>
      </c>
      <c r="J8401" s="3" t="str">
        <f>HYPERLINK("https://www.boe.es/gazeta/dias/1813/10/14/pdfs/GMR-1813-59.pdf#page=2","Abrir facsímil")</f>
        <v>Abrir facsímil</v>
      </c>
      <c r="K8401" s="3" t="s">
        <v>22</v>
      </c>
    </row>
    <row r="8402" spans="1:11" ht="42" customHeight="1">
      <c r="A8402" s="2" t="s">
        <v>17270</v>
      </c>
      <c r="B8402" s="2" t="s">
        <v>17271</v>
      </c>
      <c r="C8402" s="2" t="s">
        <v>16</v>
      </c>
      <c r="D8402" s="2" t="s">
        <v>17</v>
      </c>
      <c r="E8402" s="5">
        <v>-31516</v>
      </c>
      <c r="F8402" s="3" t="s">
        <v>1685</v>
      </c>
      <c r="G8402" s="3" t="s">
        <v>1686</v>
      </c>
      <c r="H8402" s="2" t="s">
        <v>20</v>
      </c>
      <c r="I8402" s="2" t="s">
        <v>17272</v>
      </c>
      <c r="J8402" s="3" t="str">
        <f>HYPERLINK("https://www.boe.es/gazeta/dias/1813/09/16/pdfs/GRE-1813-120.pdf#page=7","Abrir facsímil")</f>
        <v>Abrir facsímil</v>
      </c>
      <c r="K8402" s="3" t="s">
        <v>22</v>
      </c>
    </row>
    <row r="8403" spans="1:11" ht="42" customHeight="1">
      <c r="A8403" s="2" t="s">
        <v>17273</v>
      </c>
      <c r="B8403" s="2" t="s">
        <v>17273</v>
      </c>
      <c r="C8403" s="2" t="s">
        <v>435</v>
      </c>
      <c r="D8403" s="2" t="s">
        <v>26</v>
      </c>
      <c r="E8403" s="5">
        <v>-31712</v>
      </c>
      <c r="F8403" s="3" t="s">
        <v>719</v>
      </c>
      <c r="G8403" s="3" t="s">
        <v>58</v>
      </c>
      <c r="H8403" s="2" t="s">
        <v>20</v>
      </c>
      <c r="I8403" s="2" t="s">
        <v>17274</v>
      </c>
      <c r="J8403" s="3" t="str">
        <f>HYPERLINK("https://www.boe.es/gazeta/dias/1813/03/04/pdfs/GMD-1813-63.pdf#page=2","Abrir facsímil")</f>
        <v>Abrir facsímil</v>
      </c>
      <c r="K8403" s="3" t="s">
        <v>22</v>
      </c>
    </row>
    <row r="8404" spans="1:11" ht="42" customHeight="1">
      <c r="A8404" s="2" t="s">
        <v>17275</v>
      </c>
      <c r="B8404" s="2" t="s">
        <v>17276</v>
      </c>
      <c r="C8404" s="2" t="s">
        <v>16</v>
      </c>
      <c r="D8404" s="2" t="s">
        <v>17</v>
      </c>
      <c r="E8404" s="5">
        <v>-31572</v>
      </c>
      <c r="F8404" s="3" t="s">
        <v>317</v>
      </c>
      <c r="G8404" s="3" t="s">
        <v>28</v>
      </c>
      <c r="H8404" s="2" t="s">
        <v>20</v>
      </c>
      <c r="I8404" s="2" t="s">
        <v>17277</v>
      </c>
      <c r="J8404" s="3" t="str">
        <f>HYPERLINK("https://www.boe.es/gazeta/dias/1813/07/22/pdfs/GRE-1813-93.pdf#page=8","Abrir facsímil")</f>
        <v>Abrir facsímil</v>
      </c>
      <c r="K8404" s="3" t="s">
        <v>22</v>
      </c>
    </row>
    <row r="8405" spans="1:11" ht="42" customHeight="1">
      <c r="A8405" s="2" t="s">
        <v>17278</v>
      </c>
      <c r="B8405" s="2" t="s">
        <v>17279</v>
      </c>
      <c r="C8405" s="2" t="s">
        <v>16</v>
      </c>
      <c r="D8405" s="2" t="s">
        <v>17</v>
      </c>
      <c r="E8405" s="5">
        <v>-31619</v>
      </c>
      <c r="F8405" s="3" t="s">
        <v>1350</v>
      </c>
      <c r="G8405" s="3" t="s">
        <v>54</v>
      </c>
      <c r="H8405" s="2" t="s">
        <v>20</v>
      </c>
      <c r="I8405" s="2" t="s">
        <v>17280</v>
      </c>
      <c r="J8405" s="3" t="str">
        <f>HYPERLINK("https://www.boe.es/gazeta/dias/1813/06/05/pdfs/GMR-1813-2.pdf#page=3","Abrir facsímil")</f>
        <v>Abrir facsímil</v>
      </c>
      <c r="K8405" s="3" t="s">
        <v>22</v>
      </c>
    </row>
    <row r="8406" spans="1:11" ht="42" customHeight="1">
      <c r="A8406" s="2" t="s">
        <v>17281</v>
      </c>
      <c r="B8406" s="2" t="s">
        <v>17281</v>
      </c>
      <c r="C8406" s="2" t="s">
        <v>16</v>
      </c>
      <c r="D8406" s="2" t="s">
        <v>17</v>
      </c>
      <c r="E8406" s="5">
        <v>-31683</v>
      </c>
      <c r="F8406" s="3" t="s">
        <v>1213</v>
      </c>
      <c r="G8406" s="3" t="s">
        <v>54</v>
      </c>
      <c r="H8406" s="2" t="s">
        <v>20</v>
      </c>
      <c r="I8406" s="2" t="s">
        <v>17282</v>
      </c>
      <c r="J8406" s="3" t="str">
        <f>HYPERLINK("https://www.boe.es/gazeta/dias/1813/04/02/pdfs/GMD-1813-92.pdf#page=3","Abrir facsímil")</f>
        <v>Abrir facsímil</v>
      </c>
      <c r="K8406" s="3" t="s">
        <v>22</v>
      </c>
    </row>
    <row r="8407" spans="1:11" ht="42" customHeight="1">
      <c r="A8407" s="2" t="s">
        <v>17281</v>
      </c>
      <c r="B8407" s="2" t="s">
        <v>17281</v>
      </c>
      <c r="C8407" s="2" t="s">
        <v>16</v>
      </c>
      <c r="D8407" s="2" t="s">
        <v>17</v>
      </c>
      <c r="E8407" s="5">
        <v>-31530</v>
      </c>
      <c r="F8407" s="3" t="s">
        <v>133</v>
      </c>
      <c r="G8407" s="3" t="s">
        <v>95</v>
      </c>
      <c r="H8407" s="2" t="s">
        <v>20</v>
      </c>
      <c r="I8407" s="2" t="s">
        <v>17283</v>
      </c>
      <c r="J8407" s="3" t="str">
        <f>HYPERLINK("https://www.boe.es/gazeta/dias/1813/09/02/pdfs/GMR-1813-36.pdf#page=6","Abrir facsímil")</f>
        <v>Abrir facsímil</v>
      </c>
      <c r="K8407" s="3" t="s">
        <v>22</v>
      </c>
    </row>
    <row r="8408" spans="1:11" ht="42" customHeight="1">
      <c r="A8408" s="2" t="s">
        <v>17284</v>
      </c>
      <c r="B8408" s="2" t="s">
        <v>17284</v>
      </c>
      <c r="C8408" s="2" t="s">
        <v>16</v>
      </c>
      <c r="D8408" s="2" t="s">
        <v>17</v>
      </c>
      <c r="E8408" s="5">
        <v>-31472</v>
      </c>
      <c r="F8408" s="3" t="s">
        <v>143</v>
      </c>
      <c r="G8408" s="3" t="s">
        <v>65</v>
      </c>
      <c r="H8408" s="2" t="s">
        <v>20</v>
      </c>
      <c r="I8408" s="2" t="s">
        <v>17285</v>
      </c>
      <c r="J8408" s="3" t="str">
        <f>HYPERLINK("https://www.boe.es/gazeta/dias/1813/10/30/pdfs/GMR-1813-66.pdf#page=1","Abrir facsímil")</f>
        <v>Abrir facsímil</v>
      </c>
      <c r="K8408" s="3" t="s">
        <v>22</v>
      </c>
    </row>
    <row r="8409" spans="1:11" ht="42" customHeight="1">
      <c r="A8409" s="2" t="s">
        <v>17286</v>
      </c>
      <c r="B8409" s="2" t="s">
        <v>17286</v>
      </c>
      <c r="C8409" s="2" t="s">
        <v>34</v>
      </c>
      <c r="D8409" s="2" t="s">
        <v>35</v>
      </c>
      <c r="E8409" s="5">
        <v>-31649</v>
      </c>
      <c r="F8409" s="3" t="s">
        <v>3961</v>
      </c>
      <c r="G8409" s="3" t="s">
        <v>54</v>
      </c>
      <c r="H8409" s="2" t="s">
        <v>20</v>
      </c>
      <c r="I8409" s="2" t="s">
        <v>17287</v>
      </c>
      <c r="J8409" s="3" t="str">
        <f>HYPERLINK("https://www.boe.es/gazeta/dias/1813/05/06/pdfs/GMD-1813-126.pdf#page=3","Abrir facsímil")</f>
        <v>Abrir facsímil</v>
      </c>
      <c r="K8409" s="3" t="s">
        <v>22</v>
      </c>
    </row>
    <row r="8410" spans="1:11" ht="42" customHeight="1">
      <c r="A8410" s="2" t="s">
        <v>17288</v>
      </c>
      <c r="B8410" s="2" t="s">
        <v>17288</v>
      </c>
      <c r="C8410" s="2" t="s">
        <v>16</v>
      </c>
      <c r="D8410" s="2" t="s">
        <v>17</v>
      </c>
      <c r="E8410" s="5">
        <v>-31772</v>
      </c>
      <c r="F8410" s="3" t="s">
        <v>2361</v>
      </c>
      <c r="G8410" s="3" t="s">
        <v>65</v>
      </c>
      <c r="H8410" s="2" t="s">
        <v>20</v>
      </c>
      <c r="I8410" s="2" t="s">
        <v>17289</v>
      </c>
      <c r="J8410" s="3" t="str">
        <f>HYPERLINK("https://www.boe.es/gazeta/dias/1813/01/03/pdfs/GMD-1813-3.pdf#page=1","Abrir facsímil")</f>
        <v>Abrir facsímil</v>
      </c>
      <c r="K8410" s="3" t="s">
        <v>22</v>
      </c>
    </row>
    <row r="8411" spans="1:11" ht="42" customHeight="1">
      <c r="A8411" s="2" t="s">
        <v>17290</v>
      </c>
      <c r="B8411" s="2" t="s">
        <v>17291</v>
      </c>
      <c r="C8411" s="2" t="s">
        <v>25</v>
      </c>
      <c r="D8411" s="2" t="s">
        <v>26</v>
      </c>
      <c r="E8411" s="5">
        <v>-31675</v>
      </c>
      <c r="F8411" s="3" t="s">
        <v>27</v>
      </c>
      <c r="G8411" s="3" t="s">
        <v>648</v>
      </c>
      <c r="H8411" s="2" t="s">
        <v>20</v>
      </c>
      <c r="I8411" s="2" t="s">
        <v>17292</v>
      </c>
      <c r="J8411" s="3" t="str">
        <f>HYPERLINK("https://www.boe.es/gazeta/dias/1813/04/10/pdfs/GRE-1813-44.pdf#page=7","Abrir facsímil")</f>
        <v>Abrir facsímil</v>
      </c>
      <c r="K8411" s="3" t="s">
        <v>22</v>
      </c>
    </row>
    <row r="8412" spans="1:11" ht="42" customHeight="1">
      <c r="A8412" s="2" t="s">
        <v>17293</v>
      </c>
      <c r="B8412" s="2" t="s">
        <v>17294</v>
      </c>
      <c r="C8412" s="2" t="s">
        <v>25</v>
      </c>
      <c r="D8412" s="2" t="s">
        <v>26</v>
      </c>
      <c r="E8412" s="5">
        <v>-31745</v>
      </c>
      <c r="F8412" s="3" t="s">
        <v>445</v>
      </c>
      <c r="G8412" s="3" t="s">
        <v>475</v>
      </c>
      <c r="H8412" s="2" t="s">
        <v>20</v>
      </c>
      <c r="I8412" s="2" t="s">
        <v>17295</v>
      </c>
      <c r="J8412" s="3" t="str">
        <f>HYPERLINK("https://www.boe.es/gazeta/dias/1813/01/30/pdfs/GRE-1813-13.pdf#page=7","Abrir facsímil")</f>
        <v>Abrir facsímil</v>
      </c>
      <c r="K8412" s="3" t="s">
        <v>22</v>
      </c>
    </row>
    <row r="8413" spans="1:11" ht="42" customHeight="1">
      <c r="A8413" s="2" t="s">
        <v>17296</v>
      </c>
      <c r="B8413" s="2" t="s">
        <v>17297</v>
      </c>
      <c r="C8413" s="2" t="s">
        <v>34</v>
      </c>
      <c r="D8413" s="2" t="s">
        <v>35</v>
      </c>
      <c r="E8413" s="5">
        <v>-31558</v>
      </c>
      <c r="F8413" s="3" t="s">
        <v>1288</v>
      </c>
      <c r="G8413" s="3" t="s">
        <v>28</v>
      </c>
      <c r="H8413" s="2" t="s">
        <v>20</v>
      </c>
      <c r="I8413" s="2" t="s">
        <v>17298</v>
      </c>
      <c r="J8413" s="3" t="str">
        <f>HYPERLINK("https://www.boe.es/gazeta/dias/1813/08/05/pdfs/GMR-1813-24.pdf#page=8","Abrir facsímil")</f>
        <v>Abrir facsímil</v>
      </c>
      <c r="K8413" s="3" t="s">
        <v>22</v>
      </c>
    </row>
    <row r="8414" spans="1:11" ht="42" customHeight="1">
      <c r="A8414" s="2" t="s">
        <v>17299</v>
      </c>
      <c r="B8414" s="2" t="s">
        <v>17300</v>
      </c>
      <c r="C8414" s="2" t="s">
        <v>16</v>
      </c>
      <c r="D8414" s="2" t="s">
        <v>17</v>
      </c>
      <c r="E8414" s="5">
        <v>-31709</v>
      </c>
      <c r="F8414" s="3" t="s">
        <v>36</v>
      </c>
      <c r="G8414" s="3" t="s">
        <v>19</v>
      </c>
      <c r="H8414" s="2" t="s">
        <v>20</v>
      </c>
      <c r="I8414" s="2" t="s">
        <v>17301</v>
      </c>
      <c r="J8414" s="3" t="str">
        <f>HYPERLINK("https://www.boe.es/gazeta/dias/1813/03/07/pdfs/GMD-1813-66.pdf#page=4","Abrir facsímil")</f>
        <v>Abrir facsímil</v>
      </c>
      <c r="K8414" s="3" t="s">
        <v>22</v>
      </c>
    </row>
    <row r="8415" spans="1:11" ht="42" customHeight="1">
      <c r="A8415" s="2" t="s">
        <v>17302</v>
      </c>
      <c r="B8415" s="2" t="s">
        <v>17303</v>
      </c>
      <c r="C8415" s="2" t="s">
        <v>277</v>
      </c>
      <c r="D8415" s="2" t="s">
        <v>26</v>
      </c>
      <c r="E8415" s="5">
        <v>-31483</v>
      </c>
      <c r="F8415" s="3" t="s">
        <v>1292</v>
      </c>
      <c r="G8415" s="3" t="s">
        <v>1293</v>
      </c>
      <c r="H8415" s="2" t="s">
        <v>20</v>
      </c>
      <c r="I8415" s="2" t="s">
        <v>17304</v>
      </c>
      <c r="J8415" s="3" t="str">
        <f>HYPERLINK("https://www.boe.es/gazeta/dias/1813/10/19/pdfs/GMR-1813-61.pdf#page=12","Abrir facsímil")</f>
        <v>Abrir facsímil</v>
      </c>
      <c r="K8415" s="3" t="s">
        <v>22</v>
      </c>
    </row>
    <row r="8416" spans="1:11" ht="42" customHeight="1">
      <c r="A8416" s="2" t="s">
        <v>17302</v>
      </c>
      <c r="B8416" s="2" t="s">
        <v>17303</v>
      </c>
      <c r="C8416" s="2" t="s">
        <v>34</v>
      </c>
      <c r="D8416" s="2" t="s">
        <v>35</v>
      </c>
      <c r="E8416" s="5">
        <v>-31476</v>
      </c>
      <c r="F8416" s="3" t="s">
        <v>158</v>
      </c>
      <c r="G8416" s="3" t="s">
        <v>28</v>
      </c>
      <c r="H8416" s="2" t="s">
        <v>20</v>
      </c>
      <c r="I8416" s="2" t="s">
        <v>17305</v>
      </c>
      <c r="J8416" s="3" t="str">
        <f>HYPERLINK("https://www.boe.es/gazeta/dias/1813/10/26/pdfs/GMR-1813-64.pdf#page=8","Abrir facsímil")</f>
        <v>Abrir facsímil</v>
      </c>
      <c r="K8416" s="3" t="s">
        <v>22</v>
      </c>
    </row>
    <row r="8417" spans="1:11" ht="42" customHeight="1">
      <c r="A8417" s="2" t="s">
        <v>17306</v>
      </c>
      <c r="B8417" s="2" t="s">
        <v>17307</v>
      </c>
      <c r="C8417" s="2" t="s">
        <v>34</v>
      </c>
      <c r="D8417" s="2" t="s">
        <v>35</v>
      </c>
      <c r="E8417" s="5">
        <v>-31437</v>
      </c>
      <c r="F8417" s="3" t="s">
        <v>680</v>
      </c>
      <c r="G8417" s="3" t="s">
        <v>87</v>
      </c>
      <c r="H8417" s="2" t="s">
        <v>20</v>
      </c>
      <c r="I8417" s="2" t="s">
        <v>17308</v>
      </c>
      <c r="J8417" s="3" t="str">
        <f>HYPERLINK("https://www.boe.es/gazeta/dias/1813/12/04/pdfs/GMR-1813-83.pdf#page=7","Abrir facsímil")</f>
        <v>Abrir facsímil</v>
      </c>
      <c r="K8417" s="3" t="s">
        <v>22</v>
      </c>
    </row>
    <row r="8418" spans="1:11" ht="42" customHeight="1">
      <c r="A8418" s="2" t="s">
        <v>17309</v>
      </c>
      <c r="B8418" s="2" t="s">
        <v>17310</v>
      </c>
      <c r="C8418" s="2" t="s">
        <v>435</v>
      </c>
      <c r="D8418" s="2" t="s">
        <v>26</v>
      </c>
      <c r="E8418" s="5">
        <v>-31472</v>
      </c>
      <c r="F8418" s="3" t="s">
        <v>143</v>
      </c>
      <c r="G8418" s="3" t="s">
        <v>87</v>
      </c>
      <c r="H8418" s="2" t="s">
        <v>20</v>
      </c>
      <c r="I8418" s="2" t="s">
        <v>17311</v>
      </c>
      <c r="J8418" s="3" t="str">
        <f>HYPERLINK("https://www.boe.es/gazeta/dias/1813/10/30/pdfs/GMR-1813-66.pdf#page=7","Abrir facsímil")</f>
        <v>Abrir facsímil</v>
      </c>
      <c r="K8418" s="3" t="s">
        <v>22</v>
      </c>
    </row>
    <row r="8419" spans="1:11" ht="42" customHeight="1">
      <c r="A8419" s="2" t="s">
        <v>17312</v>
      </c>
      <c r="B8419" s="2" t="s">
        <v>17313</v>
      </c>
      <c r="C8419" s="2" t="s">
        <v>25</v>
      </c>
      <c r="D8419" s="2" t="s">
        <v>26</v>
      </c>
      <c r="E8419" s="5">
        <v>-31567</v>
      </c>
      <c r="F8419" s="3" t="s">
        <v>820</v>
      </c>
      <c r="G8419" s="3" t="s">
        <v>821</v>
      </c>
      <c r="H8419" s="2" t="s">
        <v>20</v>
      </c>
      <c r="I8419" s="2" t="s">
        <v>17314</v>
      </c>
      <c r="J8419" s="3" t="str">
        <f>HYPERLINK("https://www.boe.es/gazeta/dias/1813/07/27/pdfs/GMR-1813-21.pdf#page=13","Abrir facsímil")</f>
        <v>Abrir facsímil</v>
      </c>
      <c r="K8419" s="3" t="s">
        <v>22</v>
      </c>
    </row>
    <row r="8420" spans="1:11" ht="42" customHeight="1">
      <c r="A8420" s="2" t="s">
        <v>17315</v>
      </c>
      <c r="B8420" s="2" t="s">
        <v>17315</v>
      </c>
      <c r="C8420" s="2" t="s">
        <v>34</v>
      </c>
      <c r="D8420" s="2" t="s">
        <v>35</v>
      </c>
      <c r="E8420" s="5">
        <v>-31762</v>
      </c>
      <c r="F8420" s="3" t="s">
        <v>604</v>
      </c>
      <c r="G8420" s="3" t="s">
        <v>65</v>
      </c>
      <c r="H8420" s="2" t="s">
        <v>20</v>
      </c>
      <c r="I8420" s="2" t="s">
        <v>17316</v>
      </c>
      <c r="J8420" s="3" t="str">
        <f>HYPERLINK("https://www.boe.es/gazeta/dias/1813/01/13/pdfs/GMD-1813-13.pdf#page=1","Abrir facsímil")</f>
        <v>Abrir facsímil</v>
      </c>
      <c r="K8420" s="3" t="s">
        <v>22</v>
      </c>
    </row>
    <row r="8421" spans="1:11" ht="42" customHeight="1">
      <c r="A8421" s="2" t="s">
        <v>17317</v>
      </c>
      <c r="B8421" s="2" t="s">
        <v>17317</v>
      </c>
      <c r="C8421" s="2" t="s">
        <v>16</v>
      </c>
      <c r="D8421" s="2" t="s">
        <v>17</v>
      </c>
      <c r="E8421" s="5">
        <v>-31723</v>
      </c>
      <c r="F8421" s="3" t="s">
        <v>273</v>
      </c>
      <c r="G8421" s="3" t="s">
        <v>54</v>
      </c>
      <c r="H8421" s="2" t="s">
        <v>20</v>
      </c>
      <c r="I8421" s="2" t="s">
        <v>17318</v>
      </c>
      <c r="J8421" s="3" t="str">
        <f>HYPERLINK("https://www.boe.es/gazeta/dias/1813/02/21/pdfs/GMD-1813-52.pdf#page=3","Abrir facsímil")</f>
        <v>Abrir facsímil</v>
      </c>
      <c r="K8421" s="3" t="s">
        <v>22</v>
      </c>
    </row>
    <row r="8422" spans="1:11" ht="42" customHeight="1">
      <c r="A8422" s="2" t="s">
        <v>17319</v>
      </c>
      <c r="B8422" s="2" t="s">
        <v>17320</v>
      </c>
      <c r="C8422" s="2" t="s">
        <v>16</v>
      </c>
      <c r="D8422" s="2" t="s">
        <v>17</v>
      </c>
      <c r="E8422" s="5">
        <v>-31582</v>
      </c>
      <c r="F8422" s="3" t="s">
        <v>907</v>
      </c>
      <c r="G8422" s="3" t="s">
        <v>87</v>
      </c>
      <c r="H8422" s="2" t="s">
        <v>20</v>
      </c>
      <c r="I8422" s="2" t="s">
        <v>17321</v>
      </c>
      <c r="J8422" s="3" t="str">
        <f>HYPERLINK("https://www.boe.es/gazeta/dias/1813/07/12/pdfs/GRE-1813-87.pdf#page=7","Abrir facsímil")</f>
        <v>Abrir facsímil</v>
      </c>
      <c r="K8422" s="3" t="s">
        <v>22</v>
      </c>
    </row>
    <row r="8423" spans="1:11" ht="42" customHeight="1">
      <c r="A8423" s="2" t="s">
        <v>17319</v>
      </c>
      <c r="B8423" s="2" t="s">
        <v>17320</v>
      </c>
      <c r="C8423" s="2" t="s">
        <v>16</v>
      </c>
      <c r="D8423" s="2" t="s">
        <v>17</v>
      </c>
      <c r="E8423" s="5">
        <v>-31574</v>
      </c>
      <c r="F8423" s="3" t="s">
        <v>1343</v>
      </c>
      <c r="G8423" s="3" t="s">
        <v>178</v>
      </c>
      <c r="H8423" s="2" t="s">
        <v>20</v>
      </c>
      <c r="I8423" s="2" t="s">
        <v>17322</v>
      </c>
      <c r="J8423" s="3" t="str">
        <f>HYPERLINK("https://www.boe.es/gazeta/dias/1813/07/20/pdfs/GMR-1813-19.pdf#page=11","Abrir facsímil")</f>
        <v>Abrir facsímil</v>
      </c>
      <c r="K8423" s="3" t="s">
        <v>22</v>
      </c>
    </row>
    <row r="8424" spans="1:11" ht="42" customHeight="1">
      <c r="A8424" s="2" t="s">
        <v>17323</v>
      </c>
      <c r="B8424" s="2" t="s">
        <v>17324</v>
      </c>
      <c r="C8424" s="2" t="s">
        <v>16</v>
      </c>
      <c r="D8424" s="2" t="s">
        <v>17</v>
      </c>
      <c r="E8424" s="5">
        <v>-31465</v>
      </c>
      <c r="F8424" s="3" t="s">
        <v>407</v>
      </c>
      <c r="G8424" s="3" t="s">
        <v>3112</v>
      </c>
      <c r="H8424" s="2" t="s">
        <v>20</v>
      </c>
      <c r="I8424" s="2" t="s">
        <v>17325</v>
      </c>
      <c r="J8424" s="3" t="str">
        <f>HYPERLINK("https://www.boe.es/gazeta/dias/1813/11/06/pdfs/GMR-1813-70.pdf#page=6","Abrir facsímil")</f>
        <v>Abrir facsímil</v>
      </c>
      <c r="K8424" s="3" t="s">
        <v>22</v>
      </c>
    </row>
    <row r="8425" spans="1:11" ht="42" customHeight="1">
      <c r="A8425" s="2" t="s">
        <v>17326</v>
      </c>
      <c r="B8425" s="2" t="s">
        <v>17327</v>
      </c>
      <c r="C8425" s="2" t="s">
        <v>25</v>
      </c>
      <c r="D8425" s="2" t="s">
        <v>26</v>
      </c>
      <c r="E8425" s="5">
        <v>-31677</v>
      </c>
      <c r="F8425" s="3" t="s">
        <v>76</v>
      </c>
      <c r="G8425" s="3" t="s">
        <v>28</v>
      </c>
      <c r="H8425" s="2" t="s">
        <v>20</v>
      </c>
      <c r="I8425" s="2" t="s">
        <v>17328</v>
      </c>
      <c r="J8425" s="3" t="str">
        <f>HYPERLINK("https://www.boe.es/gazeta/dias/1813/04/08/pdfs/GRE-1813-43.pdf#page=8","Abrir facsímil")</f>
        <v>Abrir facsímil</v>
      </c>
      <c r="K8425" s="3" t="s">
        <v>22</v>
      </c>
    </row>
    <row r="8426" spans="1:11" ht="42" customHeight="1">
      <c r="A8426" s="2" t="s">
        <v>17329</v>
      </c>
      <c r="B8426" s="2" t="s">
        <v>17330</v>
      </c>
      <c r="C8426" s="2" t="s">
        <v>16</v>
      </c>
      <c r="D8426" s="2" t="s">
        <v>17</v>
      </c>
      <c r="E8426" s="5">
        <v>-31479</v>
      </c>
      <c r="F8426" s="3" t="s">
        <v>2383</v>
      </c>
      <c r="G8426" s="3" t="s">
        <v>87</v>
      </c>
      <c r="H8426" s="2" t="s">
        <v>20</v>
      </c>
      <c r="I8426" s="2" t="s">
        <v>17331</v>
      </c>
      <c r="J8426" s="3" t="str">
        <f>HYPERLINK("https://www.boe.es/gazeta/dias/1813/10/23/pdfs/GRE-1813-138.pdf#page=7","Abrir facsímil")</f>
        <v>Abrir facsímil</v>
      </c>
      <c r="K8426" s="3" t="s">
        <v>22</v>
      </c>
    </row>
    <row r="8427" spans="1:11" ht="42" customHeight="1">
      <c r="A8427" s="2" t="s">
        <v>17332</v>
      </c>
      <c r="B8427" s="2" t="s">
        <v>17333</v>
      </c>
      <c r="C8427" s="2" t="s">
        <v>25</v>
      </c>
      <c r="D8427" s="2" t="s">
        <v>26</v>
      </c>
      <c r="E8427" s="5">
        <v>-31752</v>
      </c>
      <c r="F8427" s="3" t="s">
        <v>182</v>
      </c>
      <c r="G8427" s="3" t="s">
        <v>183</v>
      </c>
      <c r="H8427" s="2" t="s">
        <v>20</v>
      </c>
      <c r="I8427" s="2" t="s">
        <v>17334</v>
      </c>
      <c r="J8427" s="3" t="str">
        <f>HYPERLINK("https://www.boe.es/gazeta/dias/1813/01/23/pdfs/GRE-1813-10.pdf#page=8","Abrir facsímil")</f>
        <v>Abrir facsímil</v>
      </c>
      <c r="K8427" s="3" t="s">
        <v>22</v>
      </c>
    </row>
    <row r="8428" spans="1:11" ht="42" customHeight="1">
      <c r="A8428" s="2" t="s">
        <v>17335</v>
      </c>
      <c r="B8428" s="2" t="s">
        <v>17336</v>
      </c>
      <c r="C8428" s="2" t="s">
        <v>16</v>
      </c>
      <c r="D8428" s="2" t="s">
        <v>17</v>
      </c>
      <c r="E8428" s="5">
        <v>-31570</v>
      </c>
      <c r="F8428" s="3" t="s">
        <v>1803</v>
      </c>
      <c r="G8428" s="3" t="s">
        <v>19</v>
      </c>
      <c r="H8428" s="2" t="s">
        <v>20</v>
      </c>
      <c r="I8428" s="2" t="s">
        <v>17337</v>
      </c>
      <c r="J8428" s="3" t="str">
        <f>HYPERLINK("https://www.boe.es/gazeta/dias/1813/07/24/pdfs/GRE-1813-94.pdf#page=4","Abrir facsímil")</f>
        <v>Abrir facsímil</v>
      </c>
      <c r="K8428" s="3" t="s">
        <v>22</v>
      </c>
    </row>
    <row r="8429" spans="1:11" ht="42" customHeight="1">
      <c r="A8429" s="2" t="s">
        <v>17338</v>
      </c>
      <c r="B8429" s="2" t="s">
        <v>17339</v>
      </c>
      <c r="C8429" s="2" t="s">
        <v>34</v>
      </c>
      <c r="D8429" s="2" t="s">
        <v>35</v>
      </c>
      <c r="E8429" s="5">
        <v>-31762</v>
      </c>
      <c r="F8429" s="3" t="s">
        <v>604</v>
      </c>
      <c r="G8429" s="3" t="s">
        <v>19</v>
      </c>
      <c r="H8429" s="2" t="s">
        <v>20</v>
      </c>
      <c r="I8429" s="2" t="s">
        <v>17340</v>
      </c>
      <c r="J8429" s="3" t="str">
        <f>HYPERLINK("https://www.boe.es/gazeta/dias/1813/01/13/pdfs/GMD-1813-13.pdf#page=4","Abrir facsímil")</f>
        <v>Abrir facsímil</v>
      </c>
      <c r="K8429" s="3" t="s">
        <v>22</v>
      </c>
    </row>
    <row r="8430" spans="1:11" ht="42" customHeight="1">
      <c r="A8430" s="2" t="s">
        <v>17341</v>
      </c>
      <c r="B8430" s="2" t="s">
        <v>17342</v>
      </c>
      <c r="C8430" s="2" t="s">
        <v>34</v>
      </c>
      <c r="D8430" s="2" t="s">
        <v>35</v>
      </c>
      <c r="E8430" s="5">
        <v>-31658</v>
      </c>
      <c r="F8430" s="3" t="s">
        <v>1113</v>
      </c>
      <c r="G8430" s="3" t="s">
        <v>1091</v>
      </c>
      <c r="H8430" s="2" t="s">
        <v>20</v>
      </c>
      <c r="I8430" s="2" t="s">
        <v>17343</v>
      </c>
      <c r="J8430" s="3" t="str">
        <f>HYPERLINK("https://www.boe.es/gazeta/dias/1813/04/27/pdfs/GRE-1813-52.pdf#page=7","Abrir facsímil")</f>
        <v>Abrir facsímil</v>
      </c>
      <c r="K8430" s="3" t="s">
        <v>22</v>
      </c>
    </row>
    <row r="8431" spans="1:11" ht="42" customHeight="1">
      <c r="A8431" s="2" t="s">
        <v>17344</v>
      </c>
      <c r="B8431" s="2" t="s">
        <v>17345</v>
      </c>
      <c r="C8431" s="2" t="s">
        <v>16</v>
      </c>
      <c r="D8431" s="2" t="s">
        <v>17</v>
      </c>
      <c r="E8431" s="5">
        <v>-31658</v>
      </c>
      <c r="F8431" s="3" t="s">
        <v>1113</v>
      </c>
      <c r="G8431" s="3" t="s">
        <v>1091</v>
      </c>
      <c r="H8431" s="2" t="s">
        <v>20</v>
      </c>
      <c r="I8431" s="2" t="s">
        <v>17346</v>
      </c>
      <c r="J8431" s="3" t="str">
        <f>HYPERLINK("https://www.boe.es/gazeta/dias/1813/04/27/pdfs/GRE-1813-52.pdf#page=7","Abrir facsímil")</f>
        <v>Abrir facsímil</v>
      </c>
      <c r="K8431" s="3" t="s">
        <v>22</v>
      </c>
    </row>
    <row r="8432" spans="1:11" ht="42" customHeight="1">
      <c r="A8432" s="2" t="s">
        <v>17347</v>
      </c>
      <c r="B8432" s="2" t="s">
        <v>17347</v>
      </c>
      <c r="C8432" s="2" t="s">
        <v>16</v>
      </c>
      <c r="D8432" s="2" t="s">
        <v>17</v>
      </c>
      <c r="E8432" s="5">
        <v>-31469</v>
      </c>
      <c r="F8432" s="3" t="s">
        <v>1452</v>
      </c>
      <c r="G8432" s="3" t="s">
        <v>82</v>
      </c>
      <c r="H8432" s="2" t="s">
        <v>20</v>
      </c>
      <c r="I8432" s="2" t="s">
        <v>17348</v>
      </c>
      <c r="J8432" s="3" t="str">
        <f>HYPERLINK("https://www.boe.es/gazeta/dias/1813/11/02/pdfs/GRE-1813-143.pdf#page=5","Abrir facsímil")</f>
        <v>Abrir facsímil</v>
      </c>
      <c r="K8432" s="3" t="s">
        <v>22</v>
      </c>
    </row>
    <row r="8433" spans="1:11" ht="42" customHeight="1">
      <c r="A8433" s="2" t="s">
        <v>17349</v>
      </c>
      <c r="B8433" s="2" t="s">
        <v>17350</v>
      </c>
      <c r="C8433" s="2" t="s">
        <v>16</v>
      </c>
      <c r="D8433" s="2" t="s">
        <v>17</v>
      </c>
      <c r="E8433" s="5">
        <v>-31733</v>
      </c>
      <c r="F8433" s="3" t="s">
        <v>3036</v>
      </c>
      <c r="G8433" s="3" t="s">
        <v>3198</v>
      </c>
      <c r="H8433" s="2" t="s">
        <v>20</v>
      </c>
      <c r="I8433" s="2" t="s">
        <v>17351</v>
      </c>
      <c r="J8433" s="3" t="str">
        <f>HYPERLINK("https://www.boe.es/gazeta/dias/1813/02/11/pdfs/GRE-1813-18.pdf#page=7","Abrir facsímil")</f>
        <v>Abrir facsímil</v>
      </c>
      <c r="K8433" s="3" t="s">
        <v>22</v>
      </c>
    </row>
    <row r="8434" spans="1:11" ht="42" customHeight="1">
      <c r="A8434" s="2" t="s">
        <v>17352</v>
      </c>
      <c r="B8434" s="2" t="s">
        <v>17353</v>
      </c>
      <c r="C8434" s="2" t="s">
        <v>34</v>
      </c>
      <c r="D8434" s="2" t="s">
        <v>35</v>
      </c>
      <c r="E8434" s="5">
        <v>-31689</v>
      </c>
      <c r="F8434" s="3" t="s">
        <v>48</v>
      </c>
      <c r="G8434" s="3" t="s">
        <v>49</v>
      </c>
      <c r="H8434" s="2" t="s">
        <v>20</v>
      </c>
      <c r="I8434" s="2" t="s">
        <v>17354</v>
      </c>
      <c r="J8434" s="3" t="str">
        <f>HYPERLINK("https://www.boe.es/gazeta/dias/1813/03/27/pdfs/GRE-1813-38.pdf#page=7","Abrir facsímil")</f>
        <v>Abrir facsímil</v>
      </c>
      <c r="K8434" s="3" t="s">
        <v>22</v>
      </c>
    </row>
    <row r="8435" spans="1:11" ht="42" customHeight="1">
      <c r="A8435" s="2" t="s">
        <v>17355</v>
      </c>
      <c r="B8435" s="2" t="s">
        <v>17355</v>
      </c>
      <c r="C8435" s="2" t="s">
        <v>16</v>
      </c>
      <c r="D8435" s="2" t="s">
        <v>17</v>
      </c>
      <c r="E8435" s="5">
        <v>-31444</v>
      </c>
      <c r="F8435" s="3" t="s">
        <v>389</v>
      </c>
      <c r="G8435" s="3" t="s">
        <v>54</v>
      </c>
      <c r="H8435" s="2" t="s">
        <v>20</v>
      </c>
      <c r="I8435" s="2" t="s">
        <v>17356</v>
      </c>
      <c r="J8435" s="3" t="str">
        <f>HYPERLINK("https://www.boe.es/gazeta/dias/1813/11/27/pdfs/GMR-1813-80.pdf#page=3","Abrir facsímil")</f>
        <v>Abrir facsímil</v>
      </c>
      <c r="K8435" s="3" t="s">
        <v>22</v>
      </c>
    </row>
    <row r="8436" spans="1:11" ht="42" customHeight="1">
      <c r="A8436" s="2" t="s">
        <v>17357</v>
      </c>
      <c r="B8436" s="2" t="s">
        <v>17357</v>
      </c>
      <c r="C8436" s="2" t="s">
        <v>16</v>
      </c>
      <c r="D8436" s="2" t="s">
        <v>17</v>
      </c>
      <c r="E8436" s="5">
        <v>-31453</v>
      </c>
      <c r="F8436" s="3" t="s">
        <v>887</v>
      </c>
      <c r="G8436" s="3" t="s">
        <v>87</v>
      </c>
      <c r="H8436" s="2" t="s">
        <v>20</v>
      </c>
      <c r="I8436" s="2" t="s">
        <v>17358</v>
      </c>
      <c r="J8436" s="3" t="str">
        <f>HYPERLINK("https://www.boe.es/gazeta/dias/1813/11/18/pdfs/GMR-1813-76.pdf#page=7","Abrir facsímil")</f>
        <v>Abrir facsímil</v>
      </c>
      <c r="K8436" s="3" t="s">
        <v>22</v>
      </c>
    </row>
    <row r="8437" spans="1:11" ht="42" customHeight="1">
      <c r="A8437" s="2" t="s">
        <v>17357</v>
      </c>
      <c r="B8437" s="2" t="s">
        <v>17357</v>
      </c>
      <c r="C8437" s="2" t="s">
        <v>16</v>
      </c>
      <c r="D8437" s="2" t="s">
        <v>17</v>
      </c>
      <c r="E8437" s="5">
        <v>-31441</v>
      </c>
      <c r="F8437" s="3" t="s">
        <v>1952</v>
      </c>
      <c r="G8437" s="3" t="s">
        <v>82</v>
      </c>
      <c r="H8437" s="2" t="s">
        <v>20</v>
      </c>
      <c r="I8437" s="2" t="s">
        <v>17359</v>
      </c>
      <c r="J8437" s="3" t="str">
        <f>HYPERLINK("https://www.boe.es/gazeta/dias/1813/11/30/pdfs/GRE-1813-158.pdf#page=5","Abrir facsímil")</f>
        <v>Abrir facsímil</v>
      </c>
      <c r="K8437" s="3" t="s">
        <v>22</v>
      </c>
    </row>
    <row r="8438" spans="1:11" ht="42" customHeight="1">
      <c r="A8438" s="2" t="s">
        <v>17360</v>
      </c>
      <c r="B8438" s="2" t="s">
        <v>17360</v>
      </c>
      <c r="C8438" s="2" t="s">
        <v>16</v>
      </c>
      <c r="D8438" s="2" t="s">
        <v>17</v>
      </c>
      <c r="E8438" s="5">
        <v>-31458</v>
      </c>
      <c r="F8438" s="3" t="s">
        <v>2315</v>
      </c>
      <c r="G8438" s="3" t="s">
        <v>54</v>
      </c>
      <c r="H8438" s="2" t="s">
        <v>20</v>
      </c>
      <c r="I8438" s="2" t="s">
        <v>17361</v>
      </c>
      <c r="J8438" s="3" t="str">
        <f>HYPERLINK("https://www.boe.es/gazeta/dias/1813/11/13/pdfs/GMR-1813-73.pdf#page=3","Abrir facsímil")</f>
        <v>Abrir facsímil</v>
      </c>
      <c r="K8438" s="3" t="s">
        <v>22</v>
      </c>
    </row>
    <row r="8439" spans="1:11" ht="42" customHeight="1">
      <c r="A8439" s="2" t="s">
        <v>17360</v>
      </c>
      <c r="B8439" s="2" t="s">
        <v>17360</v>
      </c>
      <c r="C8439" s="2" t="s">
        <v>16</v>
      </c>
      <c r="D8439" s="2" t="s">
        <v>17</v>
      </c>
      <c r="E8439" s="5">
        <v>-31453</v>
      </c>
      <c r="F8439" s="3" t="s">
        <v>695</v>
      </c>
      <c r="G8439" s="3" t="s">
        <v>65</v>
      </c>
      <c r="H8439" s="2" t="s">
        <v>20</v>
      </c>
      <c r="I8439" s="2" t="s">
        <v>17362</v>
      </c>
      <c r="J8439" s="3" t="str">
        <f>HYPERLINK("https://www.boe.es/gazeta/dias/1813/11/18/pdfs/GRE-1813-151.pdf#page=1","Abrir facsímil")</f>
        <v>Abrir facsímil</v>
      </c>
      <c r="K8439" s="3" t="s">
        <v>22</v>
      </c>
    </row>
    <row r="8440" spans="1:11" ht="42" customHeight="1">
      <c r="A8440" s="2" t="s">
        <v>17363</v>
      </c>
      <c r="B8440" s="2" t="s">
        <v>17364</v>
      </c>
      <c r="C8440" s="2" t="s">
        <v>16</v>
      </c>
      <c r="D8440" s="2" t="s">
        <v>17</v>
      </c>
      <c r="E8440" s="5">
        <v>-31635</v>
      </c>
      <c r="F8440" s="3" t="s">
        <v>2173</v>
      </c>
      <c r="G8440" s="3" t="s">
        <v>4157</v>
      </c>
      <c r="H8440" s="2" t="s">
        <v>29</v>
      </c>
      <c r="I8440" s="2" t="s">
        <v>17365</v>
      </c>
      <c r="J8440" s="3" t="str">
        <f>HYPERLINK("https://www.boe.es/gazeta/dias/1813/05/20/pdfs/GRE-1813-62.pdf#page=4","Abrir facsímil")</f>
        <v>Abrir facsímil</v>
      </c>
      <c r="K8440" s="3" t="s">
        <v>31</v>
      </c>
    </row>
    <row r="8441" spans="1:11" ht="42" customHeight="1">
      <c r="A8441" s="2" t="s">
        <v>17366</v>
      </c>
      <c r="B8441" s="2" t="s">
        <v>17367</v>
      </c>
      <c r="C8441" s="2" t="s">
        <v>435</v>
      </c>
      <c r="D8441" s="2" t="s">
        <v>26</v>
      </c>
      <c r="E8441" s="5">
        <v>-31448</v>
      </c>
      <c r="F8441" s="3" t="s">
        <v>325</v>
      </c>
      <c r="G8441" s="3" t="s">
        <v>258</v>
      </c>
      <c r="H8441" s="2" t="s">
        <v>20</v>
      </c>
      <c r="I8441" s="2" t="s">
        <v>17368</v>
      </c>
      <c r="J8441" s="3" t="str">
        <f>HYPERLINK("https://www.boe.es/gazeta/dias/1813/11/23/pdfs/GMR-1813-78.pdf#page=12","Abrir facsímil")</f>
        <v>Abrir facsímil</v>
      </c>
      <c r="K8441" s="3" t="s">
        <v>22</v>
      </c>
    </row>
    <row r="8442" spans="1:11" ht="42" customHeight="1">
      <c r="A8442" s="2" t="s">
        <v>17369</v>
      </c>
      <c r="B8442" s="2" t="s">
        <v>17369</v>
      </c>
      <c r="C8442" s="2" t="s">
        <v>16</v>
      </c>
      <c r="D8442" s="2" t="s">
        <v>17</v>
      </c>
      <c r="E8442" s="5">
        <v>-31460</v>
      </c>
      <c r="F8442" s="3" t="s">
        <v>599</v>
      </c>
      <c r="G8442" s="3" t="s">
        <v>1492</v>
      </c>
      <c r="H8442" s="2" t="s">
        <v>20</v>
      </c>
      <c r="I8442" s="2" t="s">
        <v>17370</v>
      </c>
      <c r="J8442" s="3" t="str">
        <f>HYPERLINK("https://www.boe.es/gazeta/dias/1813/11/11/pdfs/GMR-1813-72.pdf#page=4","Abrir facsímil")</f>
        <v>Abrir facsímil</v>
      </c>
      <c r="K8442" s="3" t="s">
        <v>22</v>
      </c>
    </row>
    <row r="8443" spans="1:11" ht="42" customHeight="1">
      <c r="A8443" s="2" t="s">
        <v>17371</v>
      </c>
      <c r="B8443" s="2" t="s">
        <v>17371</v>
      </c>
      <c r="C8443" s="2" t="s">
        <v>16</v>
      </c>
      <c r="D8443" s="2" t="s">
        <v>17</v>
      </c>
      <c r="E8443" s="5">
        <v>-31462</v>
      </c>
      <c r="F8443" s="3" t="s">
        <v>542</v>
      </c>
      <c r="G8443" s="3" t="s">
        <v>2156</v>
      </c>
      <c r="H8443" s="2" t="s">
        <v>20</v>
      </c>
      <c r="I8443" s="2" t="s">
        <v>17372</v>
      </c>
      <c r="J8443" s="3" t="str">
        <f>HYPERLINK("https://www.boe.es/gazeta/dias/1813/11/09/pdfs/GRE-1813-146.pdf#page=5","Abrir facsímil")</f>
        <v>Abrir facsímil</v>
      </c>
      <c r="K8443" s="3" t="s">
        <v>22</v>
      </c>
    </row>
    <row r="8444" spans="1:11" ht="42" customHeight="1">
      <c r="A8444" s="2" t="s">
        <v>17373</v>
      </c>
      <c r="B8444" s="2" t="s">
        <v>17373</v>
      </c>
      <c r="C8444" s="2" t="s">
        <v>16</v>
      </c>
      <c r="D8444" s="2" t="s">
        <v>17</v>
      </c>
      <c r="E8444" s="5">
        <v>-31702</v>
      </c>
      <c r="F8444" s="3" t="s">
        <v>6504</v>
      </c>
      <c r="G8444" s="3" t="s">
        <v>65</v>
      </c>
      <c r="H8444" s="2" t="s">
        <v>20</v>
      </c>
      <c r="I8444" s="2" t="s">
        <v>17374</v>
      </c>
      <c r="J8444" s="3" t="str">
        <f>HYPERLINK("https://www.boe.es/gazeta/dias/1813/03/14/pdfs/GMD-1813-73.pdf#page=1","Abrir facsímil")</f>
        <v>Abrir facsímil</v>
      </c>
      <c r="K8444" s="3" t="s">
        <v>22</v>
      </c>
    </row>
    <row r="8445" spans="1:11" ht="42" customHeight="1">
      <c r="A8445" s="2" t="s">
        <v>17375</v>
      </c>
      <c r="B8445" s="2" t="s">
        <v>17376</v>
      </c>
      <c r="C8445" s="2" t="s">
        <v>25</v>
      </c>
      <c r="D8445" s="2" t="s">
        <v>26</v>
      </c>
      <c r="E8445" s="5">
        <v>-31677</v>
      </c>
      <c r="F8445" s="3" t="s">
        <v>76</v>
      </c>
      <c r="G8445" s="3" t="s">
        <v>28</v>
      </c>
      <c r="H8445" s="2" t="s">
        <v>20</v>
      </c>
      <c r="I8445" s="2" t="s">
        <v>17377</v>
      </c>
      <c r="J8445" s="3" t="str">
        <f>HYPERLINK("https://www.boe.es/gazeta/dias/1813/04/08/pdfs/GRE-1813-43.pdf#page=8","Abrir facsímil")</f>
        <v>Abrir facsímil</v>
      </c>
      <c r="K8445" s="3" t="s">
        <v>22</v>
      </c>
    </row>
    <row r="8446" spans="1:11" ht="42" customHeight="1">
      <c r="A8446" s="2" t="s">
        <v>17378</v>
      </c>
      <c r="B8446" s="2" t="s">
        <v>17378</v>
      </c>
      <c r="C8446" s="2" t="s">
        <v>16</v>
      </c>
      <c r="D8446" s="2" t="s">
        <v>17</v>
      </c>
      <c r="E8446" s="5">
        <v>-31462</v>
      </c>
      <c r="F8446" s="3" t="s">
        <v>542</v>
      </c>
      <c r="G8446" s="3" t="s">
        <v>2156</v>
      </c>
      <c r="H8446" s="2" t="s">
        <v>20</v>
      </c>
      <c r="I8446" s="2" t="s">
        <v>17379</v>
      </c>
      <c r="J8446" s="3" t="str">
        <f>HYPERLINK("https://www.boe.es/gazeta/dias/1813/11/09/pdfs/GRE-1813-146.pdf#page=5","Abrir facsímil")</f>
        <v>Abrir facsímil</v>
      </c>
      <c r="K8446" s="3" t="s">
        <v>22</v>
      </c>
    </row>
    <row r="8447" spans="1:11" ht="42" customHeight="1">
      <c r="A8447" s="2" t="s">
        <v>17378</v>
      </c>
      <c r="B8447" s="2" t="s">
        <v>17378</v>
      </c>
      <c r="C8447" s="2" t="s">
        <v>16</v>
      </c>
      <c r="D8447" s="2" t="s">
        <v>17</v>
      </c>
      <c r="E8447" s="5">
        <v>-31462</v>
      </c>
      <c r="F8447" s="3" t="s">
        <v>542</v>
      </c>
      <c r="G8447" s="3" t="s">
        <v>95</v>
      </c>
      <c r="H8447" s="2" t="s">
        <v>20</v>
      </c>
      <c r="I8447" s="2" t="s">
        <v>17380</v>
      </c>
      <c r="J8447" s="3" t="str">
        <f>HYPERLINK("https://www.boe.es/gazeta/dias/1813/11/09/pdfs/GRE-1813-146.pdf#page=6","Abrir facsímil")</f>
        <v>Abrir facsímil</v>
      </c>
      <c r="K8447" s="3" t="s">
        <v>22</v>
      </c>
    </row>
    <row r="8448" spans="1:11" ht="42" customHeight="1">
      <c r="A8448" s="2" t="s">
        <v>17378</v>
      </c>
      <c r="B8448" s="2" t="s">
        <v>17378</v>
      </c>
      <c r="C8448" s="2" t="s">
        <v>16</v>
      </c>
      <c r="D8448" s="2" t="s">
        <v>17</v>
      </c>
      <c r="E8448" s="5">
        <v>-31458</v>
      </c>
      <c r="F8448" s="3" t="s">
        <v>1171</v>
      </c>
      <c r="G8448" s="3" t="s">
        <v>58</v>
      </c>
      <c r="H8448" s="2" t="s">
        <v>20</v>
      </c>
      <c r="I8448" s="2" t="s">
        <v>17381</v>
      </c>
      <c r="J8448" s="3" t="str">
        <f>HYPERLINK("https://www.boe.es/gazeta/dias/1813/11/13/pdfs/GRE-1813-149.pdf#page=2","Abrir facsímil")</f>
        <v>Abrir facsímil</v>
      </c>
      <c r="K8448" s="3" t="s">
        <v>22</v>
      </c>
    </row>
    <row r="8449" spans="1:11" ht="42" customHeight="1">
      <c r="A8449" s="2" t="s">
        <v>17378</v>
      </c>
      <c r="B8449" s="2" t="s">
        <v>17378</v>
      </c>
      <c r="C8449" s="2" t="s">
        <v>16</v>
      </c>
      <c r="D8449" s="2" t="s">
        <v>17</v>
      </c>
      <c r="E8449" s="5">
        <v>-31448</v>
      </c>
      <c r="F8449" s="3" t="s">
        <v>57</v>
      </c>
      <c r="G8449" s="3" t="s">
        <v>106</v>
      </c>
      <c r="H8449" s="2" t="s">
        <v>20</v>
      </c>
      <c r="I8449" s="2" t="s">
        <v>17382</v>
      </c>
      <c r="J8449" s="3" t="str">
        <f>HYPERLINK("https://www.boe.es/gazeta/dias/1813/11/23/pdfs/GRE-1813-153.pdf#page=1","Abrir facsímil")</f>
        <v>Abrir facsímil</v>
      </c>
      <c r="K8449" s="3" t="s">
        <v>22</v>
      </c>
    </row>
    <row r="8450" spans="1:11" ht="42" customHeight="1">
      <c r="A8450" s="2" t="s">
        <v>17383</v>
      </c>
      <c r="B8450" s="2" t="s">
        <v>17384</v>
      </c>
      <c r="C8450" s="2" t="s">
        <v>16</v>
      </c>
      <c r="D8450" s="2" t="s">
        <v>17</v>
      </c>
      <c r="E8450" s="5">
        <v>-31448</v>
      </c>
      <c r="F8450" s="3" t="s">
        <v>325</v>
      </c>
      <c r="G8450" s="3" t="s">
        <v>65</v>
      </c>
      <c r="H8450" s="2" t="s">
        <v>20</v>
      </c>
      <c r="I8450" s="2" t="s">
        <v>17385</v>
      </c>
      <c r="J8450" s="3" t="str">
        <f>HYPERLINK("https://www.boe.es/gazeta/dias/1813/11/23/pdfs/GMR-1813-78.pdf#page=1","Abrir facsímil")</f>
        <v>Abrir facsímil</v>
      </c>
      <c r="K8450" s="3" t="s">
        <v>22</v>
      </c>
    </row>
    <row r="8451" spans="1:11" ht="42" customHeight="1">
      <c r="A8451" s="2" t="s">
        <v>17383</v>
      </c>
      <c r="B8451" s="2" t="s">
        <v>17384</v>
      </c>
      <c r="C8451" s="2" t="s">
        <v>16</v>
      </c>
      <c r="D8451" s="2" t="s">
        <v>17</v>
      </c>
      <c r="E8451" s="5">
        <v>-31448</v>
      </c>
      <c r="F8451" s="3" t="s">
        <v>325</v>
      </c>
      <c r="G8451" s="3" t="s">
        <v>58</v>
      </c>
      <c r="H8451" s="2" t="s">
        <v>20</v>
      </c>
      <c r="I8451" s="2" t="s">
        <v>17386</v>
      </c>
      <c r="J8451" s="3" t="str">
        <f>HYPERLINK("https://www.boe.es/gazeta/dias/1813/11/23/pdfs/GMR-1813-78.pdf#page=2","Abrir facsímil")</f>
        <v>Abrir facsímil</v>
      </c>
      <c r="K8451" s="3" t="s">
        <v>22</v>
      </c>
    </row>
    <row r="8452" spans="1:11" ht="42" customHeight="1">
      <c r="A8452" s="2" t="s">
        <v>17387</v>
      </c>
      <c r="B8452" s="2" t="s">
        <v>17387</v>
      </c>
      <c r="C8452" s="2" t="s">
        <v>25</v>
      </c>
      <c r="D8452" s="2" t="s">
        <v>26</v>
      </c>
      <c r="E8452" s="5">
        <v>-31598</v>
      </c>
      <c r="F8452" s="3" t="s">
        <v>286</v>
      </c>
      <c r="G8452" s="3" t="s">
        <v>58</v>
      </c>
      <c r="H8452" s="2" t="s">
        <v>20</v>
      </c>
      <c r="I8452" s="2" t="s">
        <v>17388</v>
      </c>
      <c r="J8452" s="3" t="str">
        <f>HYPERLINK("https://www.boe.es/gazeta/dias/1813/06/26/pdfs/GRE-1813-79.pdf#page=2","Abrir facsímil")</f>
        <v>Abrir facsímil</v>
      </c>
      <c r="K8452" s="3" t="s">
        <v>22</v>
      </c>
    </row>
    <row r="8453" spans="1:11" ht="42" customHeight="1">
      <c r="A8453" s="2" t="s">
        <v>17389</v>
      </c>
      <c r="B8453" s="2" t="s">
        <v>17389</v>
      </c>
      <c r="C8453" s="2" t="s">
        <v>16</v>
      </c>
      <c r="D8453" s="2" t="s">
        <v>17</v>
      </c>
      <c r="E8453" s="5">
        <v>-31453</v>
      </c>
      <c r="F8453" s="3" t="s">
        <v>887</v>
      </c>
      <c r="G8453" s="3" t="s">
        <v>65</v>
      </c>
      <c r="H8453" s="2" t="s">
        <v>20</v>
      </c>
      <c r="I8453" s="2" t="s">
        <v>17390</v>
      </c>
      <c r="J8453" s="3" t="str">
        <f>HYPERLINK("https://www.boe.es/gazeta/dias/1813/11/18/pdfs/GMR-1813-76.pdf#page=1","Abrir facsímil")</f>
        <v>Abrir facsímil</v>
      </c>
      <c r="K8453" s="3" t="s">
        <v>22</v>
      </c>
    </row>
    <row r="8454" spans="1:11" ht="42" customHeight="1">
      <c r="A8454" s="2" t="s">
        <v>17391</v>
      </c>
      <c r="B8454" s="2" t="s">
        <v>17392</v>
      </c>
      <c r="C8454" s="2" t="s">
        <v>34</v>
      </c>
      <c r="D8454" s="2" t="s">
        <v>35</v>
      </c>
      <c r="E8454" s="5">
        <v>-31544</v>
      </c>
      <c r="F8454" s="3" t="s">
        <v>44</v>
      </c>
      <c r="G8454" s="3" t="s">
        <v>49</v>
      </c>
      <c r="H8454" s="2" t="s">
        <v>20</v>
      </c>
      <c r="I8454" s="2" t="s">
        <v>17393</v>
      </c>
      <c r="J8454" s="3" t="str">
        <f>HYPERLINK("https://www.boe.es/gazeta/dias/1813/08/19/pdfs/GMR-1813-30.pdf#page=5","Abrir facsímil")</f>
        <v>Abrir facsímil</v>
      </c>
      <c r="K8454" s="3" t="s">
        <v>22</v>
      </c>
    </row>
    <row r="8455" spans="1:11" ht="42" customHeight="1">
      <c r="A8455" s="2" t="s">
        <v>17394</v>
      </c>
      <c r="B8455" s="2" t="s">
        <v>17394</v>
      </c>
      <c r="C8455" s="2" t="s">
        <v>25</v>
      </c>
      <c r="D8455" s="2" t="s">
        <v>26</v>
      </c>
      <c r="E8455" s="5">
        <v>-31700</v>
      </c>
      <c r="F8455" s="3" t="s">
        <v>778</v>
      </c>
      <c r="G8455" s="3" t="s">
        <v>13686</v>
      </c>
      <c r="H8455" s="2" t="s">
        <v>20</v>
      </c>
      <c r="I8455" s="2" t="s">
        <v>17395</v>
      </c>
      <c r="J8455" s="3" t="str">
        <f>HYPERLINK("https://www.boe.es/gazeta/dias/1813/03/16/pdfs/GMD-1813-75.pdf#page=2","Abrir facsímil")</f>
        <v>Abrir facsímil</v>
      </c>
      <c r="K8455" s="3" t="s">
        <v>22</v>
      </c>
    </row>
    <row r="8456" spans="1:11" ht="42" customHeight="1">
      <c r="A8456" s="2" t="s">
        <v>17396</v>
      </c>
      <c r="B8456" s="2" t="s">
        <v>17396</v>
      </c>
      <c r="C8456" s="2" t="s">
        <v>16</v>
      </c>
      <c r="D8456" s="2" t="s">
        <v>17</v>
      </c>
      <c r="E8456" s="5">
        <v>-31715</v>
      </c>
      <c r="F8456" s="3" t="s">
        <v>3358</v>
      </c>
      <c r="G8456" s="3" t="s">
        <v>65</v>
      </c>
      <c r="H8456" s="2" t="s">
        <v>20</v>
      </c>
      <c r="I8456" s="2" t="s">
        <v>17397</v>
      </c>
      <c r="J8456" s="3" t="str">
        <f>HYPERLINK("https://www.boe.es/gazeta/dias/1813/03/01/pdfs/GMD-1813-60.pdf#page=1","Abrir facsímil")</f>
        <v>Abrir facsímil</v>
      </c>
      <c r="K8456" s="3" t="s">
        <v>22</v>
      </c>
    </row>
    <row r="8457" spans="1:11" ht="42" customHeight="1">
      <c r="A8457" s="2" t="s">
        <v>17396</v>
      </c>
      <c r="B8457" s="2" t="s">
        <v>17396</v>
      </c>
      <c r="C8457" s="2" t="s">
        <v>16</v>
      </c>
      <c r="D8457" s="2" t="s">
        <v>17</v>
      </c>
      <c r="E8457" s="5">
        <v>-31705</v>
      </c>
      <c r="F8457" s="3" t="s">
        <v>4455</v>
      </c>
      <c r="G8457" s="3" t="s">
        <v>65</v>
      </c>
      <c r="H8457" s="2" t="s">
        <v>20</v>
      </c>
      <c r="I8457" s="2" t="s">
        <v>17398</v>
      </c>
      <c r="J8457" s="3" t="str">
        <f>HYPERLINK("https://www.boe.es/gazeta/dias/1813/03/11/pdfs/GMD-1813-70.pdf#page=1","Abrir facsímil")</f>
        <v>Abrir facsímil</v>
      </c>
      <c r="K8457" s="3" t="s">
        <v>22</v>
      </c>
    </row>
    <row r="8458" spans="1:11" ht="42" customHeight="1">
      <c r="A8458" s="2" t="s">
        <v>17396</v>
      </c>
      <c r="B8458" s="2" t="s">
        <v>17396</v>
      </c>
      <c r="C8458" s="2" t="s">
        <v>16</v>
      </c>
      <c r="D8458" s="2" t="s">
        <v>97</v>
      </c>
      <c r="E8458" s="5">
        <v>-31499</v>
      </c>
      <c r="F8458" s="3" t="s">
        <v>220</v>
      </c>
      <c r="G8458" s="3" t="s">
        <v>87</v>
      </c>
      <c r="H8458" s="2" t="s">
        <v>20</v>
      </c>
      <c r="I8458" s="2" t="s">
        <v>17399</v>
      </c>
      <c r="J8458" s="3" t="str">
        <f>HYPERLINK("https://www.boe.es/gazeta/dias/1813/10/03/pdfs/GMR-1813-53E.pdf#page=7","Abrir facsímil")</f>
        <v>Abrir facsímil</v>
      </c>
      <c r="K8458" s="3" t="s">
        <v>22</v>
      </c>
    </row>
    <row r="8459" spans="1:11" ht="42" customHeight="1">
      <c r="A8459" s="2" t="s">
        <v>17400</v>
      </c>
      <c r="B8459" s="2" t="s">
        <v>17401</v>
      </c>
      <c r="C8459" s="2" t="s">
        <v>25</v>
      </c>
      <c r="D8459" s="2" t="s">
        <v>26</v>
      </c>
      <c r="E8459" s="5">
        <v>-31567</v>
      </c>
      <c r="F8459" s="3" t="s">
        <v>820</v>
      </c>
      <c r="G8459" s="3" t="s">
        <v>747</v>
      </c>
      <c r="H8459" s="2" t="s">
        <v>20</v>
      </c>
      <c r="I8459" s="2" t="s">
        <v>17402</v>
      </c>
      <c r="J8459" s="3" t="str">
        <f>HYPERLINK("https://www.boe.es/gazeta/dias/1813/07/27/pdfs/GMR-1813-21.pdf#page=10","Abrir facsímil")</f>
        <v>Abrir facsímil</v>
      </c>
      <c r="K8459" s="3" t="s">
        <v>22</v>
      </c>
    </row>
    <row r="8460" spans="1:11" ht="42" customHeight="1">
      <c r="A8460" s="2" t="s">
        <v>17403</v>
      </c>
      <c r="B8460" s="2" t="s">
        <v>17404</v>
      </c>
      <c r="C8460" s="2" t="s">
        <v>16</v>
      </c>
      <c r="D8460" s="2" t="s">
        <v>17</v>
      </c>
      <c r="E8460" s="5">
        <v>-31749</v>
      </c>
      <c r="F8460" s="3" t="s">
        <v>1515</v>
      </c>
      <c r="G8460" s="3" t="s">
        <v>1516</v>
      </c>
      <c r="H8460" s="2" t="s">
        <v>20</v>
      </c>
      <c r="I8460" s="2" t="s">
        <v>17405</v>
      </c>
      <c r="J8460" s="3" t="str">
        <f>HYPERLINK("https://www.boe.es/gazeta/dias/1813/01/26/pdfs/GRE-1813-11.pdf#page=5","Abrir facsímil")</f>
        <v>Abrir facsímil</v>
      </c>
      <c r="K8460" s="3" t="s">
        <v>22</v>
      </c>
    </row>
    <row r="8461" spans="1:11" ht="42" customHeight="1">
      <c r="A8461" s="2" t="s">
        <v>17406</v>
      </c>
      <c r="B8461" s="2" t="s">
        <v>17407</v>
      </c>
      <c r="C8461" s="2" t="s">
        <v>34</v>
      </c>
      <c r="D8461" s="2" t="s">
        <v>35</v>
      </c>
      <c r="E8461" s="5">
        <v>-31504</v>
      </c>
      <c r="F8461" s="3" t="s">
        <v>192</v>
      </c>
      <c r="G8461" s="3" t="s">
        <v>82</v>
      </c>
      <c r="H8461" s="2" t="s">
        <v>20</v>
      </c>
      <c r="I8461" s="2" t="s">
        <v>17408</v>
      </c>
      <c r="J8461" s="3" t="str">
        <f>HYPERLINK("https://www.boe.es/gazeta/dias/1813/09/28/pdfs/GRE-1813-127.pdf#page=5","Abrir facsímil")</f>
        <v>Abrir facsímil</v>
      </c>
      <c r="K8461" s="3" t="s">
        <v>22</v>
      </c>
    </row>
    <row r="8462" spans="1:11" ht="42" customHeight="1">
      <c r="A8462" s="2" t="s">
        <v>17409</v>
      </c>
      <c r="B8462" s="2" t="s">
        <v>17409</v>
      </c>
      <c r="C8462" s="2" t="s">
        <v>16</v>
      </c>
      <c r="D8462" s="2" t="s">
        <v>17</v>
      </c>
      <c r="E8462" s="5">
        <v>-31677</v>
      </c>
      <c r="F8462" s="3" t="s">
        <v>4220</v>
      </c>
      <c r="G8462" s="3" t="s">
        <v>65</v>
      </c>
      <c r="H8462" s="2" t="s">
        <v>20</v>
      </c>
      <c r="I8462" s="2" t="s">
        <v>17410</v>
      </c>
      <c r="J8462" s="3" t="str">
        <f>HYPERLINK("https://www.boe.es/gazeta/dias/1813/04/08/pdfs/GMD-1813-98.pdf#page=1","Abrir facsímil")</f>
        <v>Abrir facsímil</v>
      </c>
      <c r="K8462" s="3" t="s">
        <v>22</v>
      </c>
    </row>
    <row r="8463" spans="1:11" ht="42" customHeight="1"/>
    <row r="8464" spans="1:11"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8462">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17411</v>
      </c>
      <c r="B1" s="8"/>
      <c r="C1" s="8"/>
      <c r="D1" s="8"/>
      <c r="E1" s="8"/>
      <c r="F1" s="8"/>
    </row>
    <row r="2" spans="1:6" ht="22.05" customHeight="1">
      <c r="A2" s="12" t="s">
        <v>17412</v>
      </c>
      <c r="B2" s="12"/>
      <c r="C2" s="12"/>
      <c r="D2" s="12"/>
      <c r="E2" s="12"/>
      <c r="F2" s="12"/>
    </row>
    <row r="4" spans="1:6" ht="30" customHeight="1">
      <c r="A4" s="1" t="s">
        <v>8</v>
      </c>
      <c r="B4" s="1" t="s">
        <v>9</v>
      </c>
      <c r="C4" s="1" t="s">
        <v>17413</v>
      </c>
      <c r="D4" s="1" t="s">
        <v>17414</v>
      </c>
      <c r="E4" s="1" t="s">
        <v>17415</v>
      </c>
      <c r="F4" s="1" t="s">
        <v>17416</v>
      </c>
    </row>
    <row r="5" spans="1:6" ht="31.05" customHeight="1">
      <c r="A5" s="6">
        <v>-31774</v>
      </c>
      <c r="B5" s="2" t="s">
        <v>3665</v>
      </c>
      <c r="C5" s="2" t="s">
        <v>17417</v>
      </c>
      <c r="D5" s="3">
        <v>4</v>
      </c>
      <c r="E5" s="3">
        <v>8</v>
      </c>
      <c r="F5" s="3" t="str">
        <f>HYPERLINK("https://www.boe.es/gazeta/dias/1813/01/01/pdfs/GMD-1813-1.pdf","Abrir PDF")</f>
        <v>Abrir PDF</v>
      </c>
    </row>
    <row r="6" spans="1:6" ht="31.05" customHeight="1">
      <c r="A6" s="6">
        <v>-31773</v>
      </c>
      <c r="B6" s="2" t="s">
        <v>7854</v>
      </c>
      <c r="C6" s="2" t="s">
        <v>17418</v>
      </c>
      <c r="D6" s="3">
        <v>4</v>
      </c>
      <c r="E6" s="3">
        <v>2</v>
      </c>
      <c r="F6" s="3" t="str">
        <f>HYPERLINK("https://www.boe.es/gazeta/dias/1813/01/02/pdfs/GMD-1813-2.pdf","Abrir PDF")</f>
        <v>Abrir PDF</v>
      </c>
    </row>
    <row r="7" spans="1:6" ht="31.05" customHeight="1">
      <c r="A7" s="6">
        <v>-31773</v>
      </c>
      <c r="B7" s="2" t="s">
        <v>3667</v>
      </c>
      <c r="C7" s="2" t="s">
        <v>17419</v>
      </c>
      <c r="D7" s="3">
        <v>8</v>
      </c>
      <c r="E7" s="3">
        <v>33</v>
      </c>
      <c r="F7" s="3" t="str">
        <f>HYPERLINK("https://www.boe.es/gazeta/dias/1813/01/02/pdfs/GRE-1813-1.pdf","Abrir PDF")</f>
        <v>Abrir PDF</v>
      </c>
    </row>
    <row r="8" spans="1:6" ht="31.05" customHeight="1">
      <c r="A8" s="6">
        <v>-31772</v>
      </c>
      <c r="B8" s="2" t="s">
        <v>2361</v>
      </c>
      <c r="C8" s="2" t="s">
        <v>17420</v>
      </c>
      <c r="D8" s="3">
        <v>4</v>
      </c>
      <c r="E8" s="3">
        <v>10</v>
      </c>
      <c r="F8" s="3" t="str">
        <f>HYPERLINK("https://www.boe.es/gazeta/dias/1813/01/03/pdfs/GMD-1813-3.pdf","Abrir PDF")</f>
        <v>Abrir PDF</v>
      </c>
    </row>
    <row r="9" spans="1:6" ht="31.05" customHeight="1">
      <c r="A9" s="6">
        <v>-31772</v>
      </c>
      <c r="B9" s="2" t="s">
        <v>709</v>
      </c>
      <c r="C9" s="2" t="s">
        <v>17421</v>
      </c>
      <c r="D9" s="3">
        <v>8</v>
      </c>
      <c r="E9" s="3">
        <v>52</v>
      </c>
      <c r="F9" s="3" t="str">
        <f>HYPERLINK("https://www.boe.es/gazeta/dias/1813/01/03/pdfs/GRE-1813-69.pdf","Abrir PDF")</f>
        <v>Abrir PDF</v>
      </c>
    </row>
    <row r="10" spans="1:6" ht="31.05" customHeight="1">
      <c r="A10" s="6">
        <v>-31771</v>
      </c>
      <c r="B10" s="2" t="s">
        <v>1976</v>
      </c>
      <c r="C10" s="2" t="s">
        <v>17422</v>
      </c>
      <c r="D10" s="3">
        <v>4</v>
      </c>
      <c r="E10" s="3">
        <v>6</v>
      </c>
      <c r="F10" s="3" t="str">
        <f>HYPERLINK("https://www.boe.es/gazeta/dias/1813/01/04/pdfs/GMD-1813-4.pdf","Abrir PDF")</f>
        <v>Abrir PDF</v>
      </c>
    </row>
    <row r="11" spans="1:6" ht="31.05" customHeight="1">
      <c r="A11" s="6">
        <v>-31770</v>
      </c>
      <c r="B11" s="2" t="s">
        <v>641</v>
      </c>
      <c r="C11" s="2" t="s">
        <v>17423</v>
      </c>
      <c r="D11" s="3">
        <v>4</v>
      </c>
      <c r="E11" s="3">
        <v>7</v>
      </c>
      <c r="F11" s="3" t="str">
        <f>HYPERLINK("https://www.boe.es/gazeta/dias/1813/01/05/pdfs/GMD-1813-5.pdf","Abrir PDF")</f>
        <v>Abrir PDF</v>
      </c>
    </row>
    <row r="12" spans="1:6" ht="31.05" customHeight="1">
      <c r="A12" s="6">
        <v>-31770</v>
      </c>
      <c r="B12" s="2" t="s">
        <v>1738</v>
      </c>
      <c r="C12" s="2" t="s">
        <v>17424</v>
      </c>
      <c r="D12" s="3">
        <v>8</v>
      </c>
      <c r="E12" s="3">
        <v>31</v>
      </c>
      <c r="F12" s="3" t="str">
        <f>HYPERLINK("https://www.boe.es/gazeta/dias/1813/01/05/pdfs/GRE-1813-2.pdf","Abrir PDF")</f>
        <v>Abrir PDF</v>
      </c>
    </row>
    <row r="13" spans="1:6" ht="31.05" customHeight="1">
      <c r="A13" s="6">
        <v>-31770</v>
      </c>
      <c r="B13" s="2" t="s">
        <v>188</v>
      </c>
      <c r="C13" s="2" t="s">
        <v>17425</v>
      </c>
      <c r="D13" s="3">
        <v>8</v>
      </c>
      <c r="E13" s="3">
        <v>44</v>
      </c>
      <c r="F13" s="3" t="str">
        <f>HYPERLINK("https://www.boe.es/gazeta/dias/1813/01/05/pdfs/GRE-1813-3.pdf","Abrir PDF")</f>
        <v>Abrir PDF</v>
      </c>
    </row>
    <row r="14" spans="1:6" ht="31.05" customHeight="1">
      <c r="A14" s="6">
        <v>-31769</v>
      </c>
      <c r="B14" s="2" t="s">
        <v>431</v>
      </c>
      <c r="C14" s="2" t="s">
        <v>17426</v>
      </c>
      <c r="D14" s="3">
        <v>4</v>
      </c>
      <c r="E14" s="3">
        <v>11</v>
      </c>
      <c r="F14" s="3" t="str">
        <f>HYPERLINK("https://www.boe.es/gazeta/dias/1813/01/06/pdfs/GMD-1813-6.pdf","Abrir PDF")</f>
        <v>Abrir PDF</v>
      </c>
    </row>
    <row r="15" spans="1:6" ht="31.05" customHeight="1">
      <c r="A15" s="6">
        <v>-31768</v>
      </c>
      <c r="B15" s="2" t="s">
        <v>5769</v>
      </c>
      <c r="C15" s="2" t="s">
        <v>17427</v>
      </c>
      <c r="D15" s="3">
        <v>4</v>
      </c>
      <c r="E15" s="3">
        <v>1</v>
      </c>
      <c r="F15" s="3" t="str">
        <f>HYPERLINK("https://www.boe.es/gazeta/dias/1813/01/07/pdfs/GMD-1813-7.pdf","Abrir PDF")</f>
        <v>Abrir PDF</v>
      </c>
    </row>
    <row r="16" spans="1:6" ht="31.05" customHeight="1">
      <c r="A16" s="6">
        <v>-31768</v>
      </c>
      <c r="B16" s="2" t="s">
        <v>188</v>
      </c>
      <c r="C16" s="2" t="s">
        <v>17425</v>
      </c>
      <c r="D16" s="3">
        <v>8</v>
      </c>
      <c r="E16" s="3">
        <v>44</v>
      </c>
      <c r="F16" s="3" t="str">
        <f>HYPERLINK("https://www.boe.es/gazeta/dias/1813/01/07/pdfs/GRE-1813-3.pdf","Abrir PDF")</f>
        <v>Abrir PDF</v>
      </c>
    </row>
    <row r="17" spans="1:6" ht="31.05" customHeight="1">
      <c r="A17" s="6">
        <v>-31767</v>
      </c>
      <c r="B17" s="2" t="s">
        <v>1915</v>
      </c>
      <c r="C17" s="2" t="s">
        <v>17428</v>
      </c>
      <c r="D17" s="3">
        <v>4</v>
      </c>
      <c r="E17" s="3">
        <v>19</v>
      </c>
      <c r="F17" s="3" t="str">
        <f>HYPERLINK("https://www.boe.es/gazeta/dias/1813/01/08/pdfs/GMD-1813-8.pdf","Abrir PDF")</f>
        <v>Abrir PDF</v>
      </c>
    </row>
    <row r="18" spans="1:6" ht="31.05" customHeight="1">
      <c r="A18" s="6">
        <v>-31766</v>
      </c>
      <c r="B18" s="2" t="s">
        <v>6349</v>
      </c>
      <c r="C18" s="2" t="s">
        <v>17429</v>
      </c>
      <c r="D18" s="3">
        <v>4</v>
      </c>
      <c r="E18" s="3">
        <v>7</v>
      </c>
      <c r="F18" s="3" t="str">
        <f>HYPERLINK("https://www.boe.es/gazeta/dias/1813/01/09/pdfs/GMD-1813-9.pdf","Abrir PDF")</f>
        <v>Abrir PDF</v>
      </c>
    </row>
    <row r="19" spans="1:6" ht="31.05" customHeight="1">
      <c r="A19" s="6">
        <v>-31766</v>
      </c>
      <c r="B19" s="2" t="s">
        <v>1356</v>
      </c>
      <c r="C19" s="2" t="s">
        <v>17430</v>
      </c>
      <c r="D19" s="3">
        <v>8</v>
      </c>
      <c r="E19" s="3">
        <v>34</v>
      </c>
      <c r="F19" s="3" t="str">
        <f>HYPERLINK("https://www.boe.es/gazeta/dias/1813/01/09/pdfs/GRE-1813-4.pdf","Abrir PDF")</f>
        <v>Abrir PDF</v>
      </c>
    </row>
    <row r="20" spans="1:6" ht="31.05" customHeight="1">
      <c r="A20" s="6">
        <v>-31765</v>
      </c>
      <c r="B20" s="2" t="s">
        <v>4141</v>
      </c>
      <c r="C20" s="2" t="s">
        <v>17431</v>
      </c>
      <c r="D20" s="3">
        <v>4</v>
      </c>
      <c r="E20" s="3">
        <v>2</v>
      </c>
      <c r="F20" s="3" t="str">
        <f>HYPERLINK("https://www.boe.es/gazeta/dias/1813/01/10/pdfs/GMD-1813-10.pdf","Abrir PDF")</f>
        <v>Abrir PDF</v>
      </c>
    </row>
    <row r="21" spans="1:6" ht="31.05" customHeight="1">
      <c r="A21" s="6">
        <v>-31764</v>
      </c>
      <c r="B21" s="2" t="s">
        <v>2677</v>
      </c>
      <c r="C21" s="2" t="s">
        <v>17432</v>
      </c>
      <c r="D21" s="3">
        <v>4</v>
      </c>
      <c r="E21" s="3">
        <v>6</v>
      </c>
      <c r="F21" s="3" t="str">
        <f>HYPERLINK("https://www.boe.es/gazeta/dias/1813/01/11/pdfs/GMD-1813-11.pdf","Abrir PDF")</f>
        <v>Abrir PDF</v>
      </c>
    </row>
    <row r="22" spans="1:6" ht="31.05" customHeight="1">
      <c r="A22" s="6">
        <v>-31763</v>
      </c>
      <c r="B22" s="2" t="s">
        <v>4470</v>
      </c>
      <c r="C22" s="2" t="s">
        <v>17433</v>
      </c>
      <c r="D22" s="3">
        <v>4</v>
      </c>
      <c r="E22" s="3">
        <v>4</v>
      </c>
      <c r="F22" s="3" t="str">
        <f>HYPERLINK("https://www.boe.es/gazeta/dias/1813/01/12/pdfs/GMD-1813-12.pdf","Abrir PDF")</f>
        <v>Abrir PDF</v>
      </c>
    </row>
    <row r="23" spans="1:6" ht="31.05" customHeight="1">
      <c r="A23" s="6">
        <v>-31763</v>
      </c>
      <c r="B23" s="2" t="s">
        <v>668</v>
      </c>
      <c r="C23" s="2" t="s">
        <v>17434</v>
      </c>
      <c r="D23" s="3">
        <v>8</v>
      </c>
      <c r="E23" s="3">
        <v>29</v>
      </c>
      <c r="F23" s="3" t="str">
        <f>HYPERLINK("https://www.boe.es/gazeta/dias/1813/01/12/pdfs/GRE-1813-5.pdf","Abrir PDF")</f>
        <v>Abrir PDF</v>
      </c>
    </row>
    <row r="24" spans="1:6" ht="31.05" customHeight="1">
      <c r="A24" s="6">
        <v>-31762</v>
      </c>
      <c r="B24" s="2" t="s">
        <v>604</v>
      </c>
      <c r="C24" s="2" t="s">
        <v>17435</v>
      </c>
      <c r="D24" s="3">
        <v>4</v>
      </c>
      <c r="E24" s="3">
        <v>11</v>
      </c>
      <c r="F24" s="3" t="str">
        <f>HYPERLINK("https://www.boe.es/gazeta/dias/1813/01/13/pdfs/GMD-1813-13.pdf","Abrir PDF")</f>
        <v>Abrir PDF</v>
      </c>
    </row>
    <row r="25" spans="1:6" ht="31.05" customHeight="1">
      <c r="A25" s="6">
        <v>-31761</v>
      </c>
      <c r="B25" s="2" t="s">
        <v>6125</v>
      </c>
      <c r="C25" s="2" t="s">
        <v>17436</v>
      </c>
      <c r="D25" s="3">
        <v>4</v>
      </c>
      <c r="E25" s="3">
        <v>2</v>
      </c>
      <c r="F25" s="3" t="str">
        <f>HYPERLINK("https://www.boe.es/gazeta/dias/1813/01/14/pdfs/GMD-1813-14.pdf","Abrir PDF")</f>
        <v>Abrir PDF</v>
      </c>
    </row>
    <row r="26" spans="1:6" ht="31.05" customHeight="1">
      <c r="A26" s="6">
        <v>-31761</v>
      </c>
      <c r="B26" s="2" t="s">
        <v>376</v>
      </c>
      <c r="C26" s="2" t="s">
        <v>17437</v>
      </c>
      <c r="D26" s="3">
        <v>8</v>
      </c>
      <c r="E26" s="3">
        <v>10</v>
      </c>
      <c r="F26" s="3" t="str">
        <f>HYPERLINK("https://www.boe.es/gazeta/dias/1813/01/14/pdfs/GRE-1813-6.pdf","Abrir PDF")</f>
        <v>Abrir PDF</v>
      </c>
    </row>
    <row r="27" spans="1:6" ht="31.05" customHeight="1">
      <c r="A27" s="6">
        <v>-31760</v>
      </c>
      <c r="B27" s="2" t="s">
        <v>3670</v>
      </c>
      <c r="C27" s="2" t="s">
        <v>17438</v>
      </c>
      <c r="D27" s="3">
        <v>4</v>
      </c>
      <c r="E27" s="3">
        <v>3</v>
      </c>
      <c r="F27" s="3" t="str">
        <f>HYPERLINK("https://www.boe.es/gazeta/dias/1813/01/15/pdfs/GMD-1813-15.pdf","Abrir PDF")</f>
        <v>Abrir PDF</v>
      </c>
    </row>
    <row r="28" spans="1:6" ht="31.05" customHeight="1">
      <c r="A28" s="6">
        <v>-31759</v>
      </c>
      <c r="B28" s="2" t="s">
        <v>621</v>
      </c>
      <c r="C28" s="2" t="s">
        <v>17439</v>
      </c>
      <c r="D28" s="3">
        <v>4</v>
      </c>
      <c r="E28" s="3">
        <v>2</v>
      </c>
      <c r="F28" s="3" t="str">
        <f>HYPERLINK("https://www.boe.es/gazeta/dias/1813/01/16/pdfs/GMD-1813-16.pdf","Abrir PDF")</f>
        <v>Abrir PDF</v>
      </c>
    </row>
    <row r="29" spans="1:6" ht="31.05" customHeight="1">
      <c r="A29" s="6">
        <v>-31759</v>
      </c>
      <c r="B29" s="2" t="s">
        <v>419</v>
      </c>
      <c r="C29" s="2" t="s">
        <v>17440</v>
      </c>
      <c r="D29" s="3">
        <v>8</v>
      </c>
      <c r="E29" s="3">
        <v>30</v>
      </c>
      <c r="F29" s="3" t="str">
        <f>HYPERLINK("https://www.boe.es/gazeta/dias/1813/01/16/pdfs/GRE-1813-7.pdf","Abrir PDF")</f>
        <v>Abrir PDF</v>
      </c>
    </row>
    <row r="30" spans="1:6" ht="31.05" customHeight="1">
      <c r="A30" s="6">
        <v>-31758</v>
      </c>
      <c r="B30" s="2" t="s">
        <v>5810</v>
      </c>
      <c r="C30" s="2" t="s">
        <v>17441</v>
      </c>
      <c r="D30" s="3">
        <v>4</v>
      </c>
      <c r="E30" s="3">
        <v>4</v>
      </c>
      <c r="F30" s="3" t="str">
        <f>HYPERLINK("https://www.boe.es/gazeta/dias/1813/01/17/pdfs/GMD-1813-17.pdf","Abrir PDF")</f>
        <v>Abrir PDF</v>
      </c>
    </row>
    <row r="31" spans="1:6" ht="31.05" customHeight="1">
      <c r="A31" s="6">
        <v>-31757</v>
      </c>
      <c r="B31" s="2" t="s">
        <v>5611</v>
      </c>
      <c r="C31" s="2" t="s">
        <v>17442</v>
      </c>
      <c r="D31" s="3">
        <v>4</v>
      </c>
      <c r="E31" s="3">
        <v>4</v>
      </c>
      <c r="F31" s="3" t="str">
        <f>HYPERLINK("https://www.boe.es/gazeta/dias/1813/01/18/pdfs/GMD-1813-18.pdf","Abrir PDF")</f>
        <v>Abrir PDF</v>
      </c>
    </row>
    <row r="32" spans="1:6" ht="31.05" customHeight="1">
      <c r="A32" s="6">
        <v>-31756</v>
      </c>
      <c r="B32" s="2" t="s">
        <v>2620</v>
      </c>
      <c r="C32" s="2" t="s">
        <v>17443</v>
      </c>
      <c r="D32" s="3">
        <v>4</v>
      </c>
      <c r="E32" s="3">
        <v>2</v>
      </c>
      <c r="F32" s="3" t="str">
        <f>HYPERLINK("https://www.boe.es/gazeta/dias/1813/01/19/pdfs/GMD-1813-19.pdf","Abrir PDF")</f>
        <v>Abrir PDF</v>
      </c>
    </row>
    <row r="33" spans="1:6" ht="31.05" customHeight="1">
      <c r="A33" s="6">
        <v>-31756</v>
      </c>
      <c r="B33" s="2" t="s">
        <v>951</v>
      </c>
      <c r="C33" s="2" t="s">
        <v>17444</v>
      </c>
      <c r="D33" s="3">
        <v>8</v>
      </c>
      <c r="E33" s="3">
        <v>28</v>
      </c>
      <c r="F33" s="3" t="str">
        <f>HYPERLINK("https://www.boe.es/gazeta/dias/1813/01/19/pdfs/GRE-1813-8.pdf","Abrir PDF")</f>
        <v>Abrir PDF</v>
      </c>
    </row>
    <row r="34" spans="1:6" ht="31.05" customHeight="1">
      <c r="A34" s="6">
        <v>-31755</v>
      </c>
      <c r="B34" s="2" t="s">
        <v>2592</v>
      </c>
      <c r="C34" s="2" t="s">
        <v>17445</v>
      </c>
      <c r="D34" s="3">
        <v>4</v>
      </c>
      <c r="E34" s="3">
        <v>4</v>
      </c>
      <c r="F34" s="3" t="str">
        <f>HYPERLINK("https://www.boe.es/gazeta/dias/1813/01/20/pdfs/GMD-1813-20.pdf","Abrir PDF")</f>
        <v>Abrir PDF</v>
      </c>
    </row>
    <row r="35" spans="1:6" ht="31.05" customHeight="1">
      <c r="A35" s="6">
        <v>-31754</v>
      </c>
      <c r="B35" s="2" t="s">
        <v>2608</v>
      </c>
      <c r="C35" s="2" t="s">
        <v>17446</v>
      </c>
      <c r="D35" s="3">
        <v>4</v>
      </c>
      <c r="E35" s="3">
        <v>4</v>
      </c>
      <c r="F35" s="3" t="str">
        <f>HYPERLINK("https://www.boe.es/gazeta/dias/1813/01/21/pdfs/GMD-1813-21.pdf","Abrir PDF")</f>
        <v>Abrir PDF</v>
      </c>
    </row>
    <row r="36" spans="1:6" ht="31.05" customHeight="1">
      <c r="A36" s="6">
        <v>-31754</v>
      </c>
      <c r="B36" s="2" t="s">
        <v>899</v>
      </c>
      <c r="C36" s="2" t="s">
        <v>17447</v>
      </c>
      <c r="D36" s="3">
        <v>8</v>
      </c>
      <c r="E36" s="3">
        <v>48</v>
      </c>
      <c r="F36" s="3" t="str">
        <f>HYPERLINK("https://www.boe.es/gazeta/dias/1813/01/21/pdfs/GRE-1813-9.pdf","Abrir PDF")</f>
        <v>Abrir PDF</v>
      </c>
    </row>
    <row r="37" spans="1:6" ht="31.05" customHeight="1">
      <c r="A37" s="6">
        <v>-31753</v>
      </c>
      <c r="B37" s="2" t="s">
        <v>17448</v>
      </c>
      <c r="C37" s="2" t="s">
        <v>17449</v>
      </c>
      <c r="D37" s="3">
        <v>4</v>
      </c>
      <c r="E37" s="3">
        <v>0</v>
      </c>
      <c r="F37" s="3" t="str">
        <f>HYPERLINK("https://www.boe.es/gazeta/dias/1813/01/22/pdfs/GMD-1813-22.pdf","Abrir PDF")</f>
        <v>Abrir PDF</v>
      </c>
    </row>
    <row r="38" spans="1:6" ht="31.05" customHeight="1">
      <c r="A38" s="6">
        <v>-31752</v>
      </c>
      <c r="B38" s="2" t="s">
        <v>7642</v>
      </c>
      <c r="C38" s="2" t="s">
        <v>17450</v>
      </c>
      <c r="D38" s="3">
        <v>4</v>
      </c>
      <c r="E38" s="3">
        <v>2</v>
      </c>
      <c r="F38" s="3" t="str">
        <f>HYPERLINK("https://www.boe.es/gazeta/dias/1813/01/23/pdfs/GMD-1813-23.pdf","Abrir PDF")</f>
        <v>Abrir PDF</v>
      </c>
    </row>
    <row r="39" spans="1:6" ht="31.05" customHeight="1">
      <c r="A39" s="6">
        <v>-31752</v>
      </c>
      <c r="B39" s="2" t="s">
        <v>182</v>
      </c>
      <c r="C39" s="2" t="s">
        <v>17451</v>
      </c>
      <c r="D39" s="3">
        <v>8</v>
      </c>
      <c r="E39" s="3">
        <v>106</v>
      </c>
      <c r="F39" s="3" t="str">
        <f>HYPERLINK("https://www.boe.es/gazeta/dias/1813/01/23/pdfs/GRE-1813-10.pdf","Abrir PDF")</f>
        <v>Abrir PDF</v>
      </c>
    </row>
    <row r="40" spans="1:6" ht="31.05" customHeight="1">
      <c r="A40" s="6">
        <v>-31751</v>
      </c>
      <c r="B40" s="2" t="s">
        <v>10706</v>
      </c>
      <c r="C40" s="2" t="s">
        <v>17452</v>
      </c>
      <c r="D40" s="3">
        <v>4</v>
      </c>
      <c r="E40" s="3">
        <v>1</v>
      </c>
      <c r="F40" s="3" t="str">
        <f>HYPERLINK("https://www.boe.es/gazeta/dias/1813/01/24/pdfs/GMD-1813-24.pdf","Abrir PDF")</f>
        <v>Abrir PDF</v>
      </c>
    </row>
    <row r="41" spans="1:6" ht="31.05" customHeight="1">
      <c r="A41" s="6">
        <v>-31750</v>
      </c>
      <c r="B41" s="2" t="s">
        <v>8248</v>
      </c>
      <c r="C41" s="2" t="s">
        <v>17453</v>
      </c>
      <c r="D41" s="3">
        <v>4</v>
      </c>
      <c r="E41" s="3">
        <v>2</v>
      </c>
      <c r="F41" s="3" t="str">
        <f>HYPERLINK("https://www.boe.es/gazeta/dias/1813/01/25/pdfs/GMD-1813-25.pdf","Abrir PDF")</f>
        <v>Abrir PDF</v>
      </c>
    </row>
    <row r="42" spans="1:6" ht="31.05" customHeight="1">
      <c r="A42" s="6">
        <v>-31749</v>
      </c>
      <c r="B42" s="2" t="s">
        <v>3765</v>
      </c>
      <c r="C42" s="2" t="s">
        <v>17454</v>
      </c>
      <c r="D42" s="3">
        <v>4</v>
      </c>
      <c r="E42" s="3">
        <v>3</v>
      </c>
      <c r="F42" s="3" t="str">
        <f>HYPERLINK("https://www.boe.es/gazeta/dias/1813/01/26/pdfs/GMD-1813-26.pdf","Abrir PDF")</f>
        <v>Abrir PDF</v>
      </c>
    </row>
    <row r="43" spans="1:6" ht="31.05" customHeight="1">
      <c r="A43" s="6">
        <v>-31749</v>
      </c>
      <c r="B43" s="2" t="s">
        <v>1515</v>
      </c>
      <c r="C43" s="2" t="s">
        <v>17455</v>
      </c>
      <c r="D43" s="3">
        <v>8</v>
      </c>
      <c r="E43" s="3">
        <v>18</v>
      </c>
      <c r="F43" s="3" t="str">
        <f>HYPERLINK("https://www.boe.es/gazeta/dias/1813/01/26/pdfs/GRE-1813-11.pdf","Abrir PDF")</f>
        <v>Abrir PDF</v>
      </c>
    </row>
    <row r="44" spans="1:6" ht="31.05" customHeight="1">
      <c r="A44" s="6">
        <v>-31748</v>
      </c>
      <c r="B44" s="2" t="s">
        <v>5041</v>
      </c>
      <c r="C44" s="2" t="s">
        <v>17456</v>
      </c>
      <c r="D44" s="3">
        <v>4</v>
      </c>
      <c r="E44" s="3">
        <v>8</v>
      </c>
      <c r="F44" s="3" t="str">
        <f>HYPERLINK("https://www.boe.es/gazeta/dias/1813/01/27/pdfs/GMD-1813-27.pdf","Abrir PDF")</f>
        <v>Abrir PDF</v>
      </c>
    </row>
    <row r="45" spans="1:6" ht="31.05" customHeight="1">
      <c r="A45" s="6">
        <v>-31747</v>
      </c>
      <c r="B45" s="2" t="s">
        <v>4771</v>
      </c>
      <c r="C45" s="2" t="s">
        <v>17457</v>
      </c>
      <c r="D45" s="3">
        <v>4</v>
      </c>
      <c r="E45" s="3">
        <v>4</v>
      </c>
      <c r="F45" s="3" t="str">
        <f>HYPERLINK("https://www.boe.es/gazeta/dias/1813/01/28/pdfs/GMD-1813-28.pdf","Abrir PDF")</f>
        <v>Abrir PDF</v>
      </c>
    </row>
    <row r="46" spans="1:6" ht="31.05" customHeight="1">
      <c r="A46" s="6">
        <v>-31747</v>
      </c>
      <c r="B46" s="2" t="s">
        <v>86</v>
      </c>
      <c r="C46" s="2" t="s">
        <v>17458</v>
      </c>
      <c r="D46" s="3">
        <v>8</v>
      </c>
      <c r="E46" s="3">
        <v>27</v>
      </c>
      <c r="F46" s="3" t="str">
        <f>HYPERLINK("https://www.boe.es/gazeta/dias/1813/01/28/pdfs/GRE-1813-12.pdf","Abrir PDF")</f>
        <v>Abrir PDF</v>
      </c>
    </row>
    <row r="47" spans="1:6" ht="31.05" customHeight="1">
      <c r="A47" s="6">
        <v>-31746</v>
      </c>
      <c r="B47" s="2" t="s">
        <v>1566</v>
      </c>
      <c r="C47" s="2" t="s">
        <v>17459</v>
      </c>
      <c r="D47" s="3">
        <v>4</v>
      </c>
      <c r="E47" s="3">
        <v>5</v>
      </c>
      <c r="F47" s="3" t="str">
        <f>HYPERLINK("https://www.boe.es/gazeta/dias/1813/01/29/pdfs/GMD-1813-29.pdf","Abrir PDF")</f>
        <v>Abrir PDF</v>
      </c>
    </row>
    <row r="48" spans="1:6" ht="31.05" customHeight="1">
      <c r="A48" s="6">
        <v>-31745</v>
      </c>
      <c r="B48" s="2" t="s">
        <v>1856</v>
      </c>
      <c r="C48" s="2" t="s">
        <v>17460</v>
      </c>
      <c r="D48" s="3">
        <v>4</v>
      </c>
      <c r="E48" s="3">
        <v>7</v>
      </c>
      <c r="F48" s="3" t="str">
        <f>HYPERLINK("https://www.boe.es/gazeta/dias/1813/01/30/pdfs/GMD-1813-30.pdf","Abrir PDF")</f>
        <v>Abrir PDF</v>
      </c>
    </row>
    <row r="49" spans="1:6" ht="31.05" customHeight="1">
      <c r="A49" s="6">
        <v>-31745</v>
      </c>
      <c r="B49" s="2" t="s">
        <v>445</v>
      </c>
      <c r="C49" s="2" t="s">
        <v>17461</v>
      </c>
      <c r="D49" s="3">
        <v>8</v>
      </c>
      <c r="E49" s="3">
        <v>139</v>
      </c>
      <c r="F49" s="3" t="str">
        <f>HYPERLINK("https://www.boe.es/gazeta/dias/1813/01/30/pdfs/GRE-1813-13.pdf","Abrir PDF")</f>
        <v>Abrir PDF</v>
      </c>
    </row>
    <row r="50" spans="1:6" ht="31.05" customHeight="1">
      <c r="A50" s="6">
        <v>-31744</v>
      </c>
      <c r="B50" s="2" t="s">
        <v>5679</v>
      </c>
      <c r="C50" s="2" t="s">
        <v>17462</v>
      </c>
      <c r="D50" s="3">
        <v>4</v>
      </c>
      <c r="E50" s="3">
        <v>9</v>
      </c>
      <c r="F50" s="3" t="str">
        <f>HYPERLINK("https://www.boe.es/gazeta/dias/1813/01/31/pdfs/GMD-1813-31.pdf","Abrir PDF")</f>
        <v>Abrir PDF</v>
      </c>
    </row>
    <row r="51" spans="1:6" ht="31.05" customHeight="1">
      <c r="A51" s="6">
        <v>-31743</v>
      </c>
      <c r="B51" s="2" t="s">
        <v>2711</v>
      </c>
      <c r="C51" s="2" t="s">
        <v>17463</v>
      </c>
      <c r="D51" s="3">
        <v>4</v>
      </c>
      <c r="E51" s="3">
        <v>14</v>
      </c>
      <c r="F51" s="3" t="str">
        <f>HYPERLINK("https://www.boe.es/gazeta/dias/1813/02/01/pdfs/GMD-1813-32.pdf","Abrir PDF")</f>
        <v>Abrir PDF</v>
      </c>
    </row>
    <row r="52" spans="1:6" ht="31.05" customHeight="1">
      <c r="A52" s="6">
        <v>-31742</v>
      </c>
      <c r="B52" s="2" t="s">
        <v>2051</v>
      </c>
      <c r="C52" s="2" t="s">
        <v>17464</v>
      </c>
      <c r="D52" s="3">
        <v>4</v>
      </c>
      <c r="E52" s="3">
        <v>10</v>
      </c>
      <c r="F52" s="3" t="str">
        <f>HYPERLINK("https://www.boe.es/gazeta/dias/1813/02/02/pdfs/GMD-1813-33.pdf","Abrir PDF")</f>
        <v>Abrir PDF</v>
      </c>
    </row>
    <row r="53" spans="1:6" ht="31.05" customHeight="1">
      <c r="A53" s="6">
        <v>-31742</v>
      </c>
      <c r="B53" s="2" t="s">
        <v>2667</v>
      </c>
      <c r="C53" s="2" t="s">
        <v>17465</v>
      </c>
      <c r="D53" s="3">
        <v>8</v>
      </c>
      <c r="E53" s="3">
        <v>19</v>
      </c>
      <c r="F53" s="3" t="str">
        <f>HYPERLINK("https://www.boe.es/gazeta/dias/1813/02/02/pdfs/GRE-1813-14.pdf","Abrir PDF")</f>
        <v>Abrir PDF</v>
      </c>
    </row>
    <row r="54" spans="1:6" ht="31.05" customHeight="1">
      <c r="A54" s="6">
        <v>-31741</v>
      </c>
      <c r="B54" s="2" t="s">
        <v>1359</v>
      </c>
      <c r="C54" s="2" t="s">
        <v>17466</v>
      </c>
      <c r="D54" s="3">
        <v>4</v>
      </c>
      <c r="E54" s="3">
        <v>12</v>
      </c>
      <c r="F54" s="3" t="str">
        <f>HYPERLINK("https://www.boe.es/gazeta/dias/1813/02/03/pdfs/GMD-1813-34.pdf","Abrir PDF")</f>
        <v>Abrir PDF</v>
      </c>
    </row>
    <row r="55" spans="1:6" ht="31.05" customHeight="1">
      <c r="A55" s="6">
        <v>-31740</v>
      </c>
      <c r="B55" s="2" t="s">
        <v>5259</v>
      </c>
      <c r="C55" s="2" t="s">
        <v>17467</v>
      </c>
      <c r="D55" s="3">
        <v>4</v>
      </c>
      <c r="E55" s="3">
        <v>11</v>
      </c>
      <c r="F55" s="3" t="str">
        <f>HYPERLINK("https://www.boe.es/gazeta/dias/1813/02/04/pdfs/GMD-1813-35.pdf","Abrir PDF")</f>
        <v>Abrir PDF</v>
      </c>
    </row>
    <row r="56" spans="1:6" ht="31.05" customHeight="1">
      <c r="A56" s="6">
        <v>-31740</v>
      </c>
      <c r="B56" s="2" t="s">
        <v>354</v>
      </c>
      <c r="C56" s="2" t="s">
        <v>17468</v>
      </c>
      <c r="D56" s="3">
        <v>8</v>
      </c>
      <c r="E56" s="3">
        <v>15</v>
      </c>
      <c r="F56" s="3" t="str">
        <f>HYPERLINK("https://www.boe.es/gazeta/dias/1813/02/04/pdfs/GRE-1813-15.pdf","Abrir PDF")</f>
        <v>Abrir PDF</v>
      </c>
    </row>
    <row r="57" spans="1:6" ht="31.05" customHeight="1">
      <c r="A57" s="6">
        <v>-31739</v>
      </c>
      <c r="B57" s="2" t="s">
        <v>784</v>
      </c>
      <c r="C57" s="2" t="s">
        <v>17469</v>
      </c>
      <c r="D57" s="3">
        <v>4</v>
      </c>
      <c r="E57" s="3">
        <v>5</v>
      </c>
      <c r="F57" s="3" t="str">
        <f>HYPERLINK("https://www.boe.es/gazeta/dias/1813/02/05/pdfs/GMD-1813-36.pdf","Abrir PDF")</f>
        <v>Abrir PDF</v>
      </c>
    </row>
    <row r="58" spans="1:6" ht="31.05" customHeight="1">
      <c r="A58" s="6">
        <v>-31738</v>
      </c>
      <c r="B58" s="2" t="s">
        <v>2045</v>
      </c>
      <c r="C58" s="2" t="s">
        <v>17470</v>
      </c>
      <c r="D58" s="3">
        <v>4</v>
      </c>
      <c r="E58" s="3">
        <v>13</v>
      </c>
      <c r="F58" s="3" t="str">
        <f>HYPERLINK("https://www.boe.es/gazeta/dias/1813/02/06/pdfs/GMD-1813-37.pdf","Abrir PDF")</f>
        <v>Abrir PDF</v>
      </c>
    </row>
    <row r="59" spans="1:6" ht="31.05" customHeight="1">
      <c r="A59" s="6">
        <v>-31738</v>
      </c>
      <c r="B59" s="2" t="s">
        <v>556</v>
      </c>
      <c r="C59" s="2" t="s">
        <v>17471</v>
      </c>
      <c r="D59" s="3">
        <v>8</v>
      </c>
      <c r="E59" s="3">
        <v>43</v>
      </c>
      <c r="F59" s="3" t="str">
        <f>HYPERLINK("https://www.boe.es/gazeta/dias/1813/02/06/pdfs/GRE-1813-16.pdf","Abrir PDF")</f>
        <v>Abrir PDF</v>
      </c>
    </row>
    <row r="60" spans="1:6" ht="31.05" customHeight="1">
      <c r="A60" s="6">
        <v>-31737</v>
      </c>
      <c r="B60" s="2" t="s">
        <v>5824</v>
      </c>
      <c r="C60" s="2" t="s">
        <v>17472</v>
      </c>
      <c r="D60" s="3">
        <v>4</v>
      </c>
      <c r="E60" s="3">
        <v>10</v>
      </c>
      <c r="F60" s="3" t="str">
        <f>HYPERLINK("https://www.boe.es/gazeta/dias/1813/02/07/pdfs/GMD-1813-38.pdf","Abrir PDF")</f>
        <v>Abrir PDF</v>
      </c>
    </row>
    <row r="61" spans="1:6" ht="31.05" customHeight="1">
      <c r="A61" s="6">
        <v>-31736</v>
      </c>
      <c r="B61" s="2" t="s">
        <v>1936</v>
      </c>
      <c r="C61" s="2" t="s">
        <v>17473</v>
      </c>
      <c r="D61" s="3">
        <v>4</v>
      </c>
      <c r="E61" s="3">
        <v>8</v>
      </c>
      <c r="F61" s="3" t="str">
        <f>HYPERLINK("https://www.boe.es/gazeta/dias/1813/02/08/pdfs/GMD-1813-39.pdf","Abrir PDF")</f>
        <v>Abrir PDF</v>
      </c>
    </row>
    <row r="62" spans="1:6" ht="31.05" customHeight="1">
      <c r="A62" s="6">
        <v>-31735</v>
      </c>
      <c r="B62" s="2" t="s">
        <v>5472</v>
      </c>
      <c r="C62" s="2" t="s">
        <v>17474</v>
      </c>
      <c r="D62" s="3">
        <v>4</v>
      </c>
      <c r="E62" s="3">
        <v>5</v>
      </c>
      <c r="F62" s="3" t="str">
        <f>HYPERLINK("https://www.boe.es/gazeta/dias/1813/02/09/pdfs/GMD-1813-40.pdf","Abrir PDF")</f>
        <v>Abrir PDF</v>
      </c>
    </row>
    <row r="63" spans="1:6" ht="31.05" customHeight="1">
      <c r="A63" s="6">
        <v>-31735</v>
      </c>
      <c r="B63" s="2" t="s">
        <v>558</v>
      </c>
      <c r="C63" s="2" t="s">
        <v>17475</v>
      </c>
      <c r="D63" s="3">
        <v>8</v>
      </c>
      <c r="E63" s="3">
        <v>16</v>
      </c>
      <c r="F63" s="3" t="str">
        <f>HYPERLINK("https://www.boe.es/gazeta/dias/1813/02/09/pdfs/GRE-1813-17.pdf","Abrir PDF")</f>
        <v>Abrir PDF</v>
      </c>
    </row>
    <row r="64" spans="1:6" ht="31.05" customHeight="1">
      <c r="A64" s="6">
        <v>-31734</v>
      </c>
      <c r="B64" s="2" t="s">
        <v>362</v>
      </c>
      <c r="C64" s="2" t="s">
        <v>17476</v>
      </c>
      <c r="D64" s="3">
        <v>4</v>
      </c>
      <c r="E64" s="3">
        <v>20</v>
      </c>
      <c r="F64" s="3" t="str">
        <f>HYPERLINK("https://www.boe.es/gazeta/dias/1813/02/10/pdfs/GMD-1813-41.pdf","Abrir PDF")</f>
        <v>Abrir PDF</v>
      </c>
    </row>
    <row r="65" spans="1:6" ht="31.05" customHeight="1">
      <c r="A65" s="6">
        <v>-31733</v>
      </c>
      <c r="B65" s="2" t="s">
        <v>3364</v>
      </c>
      <c r="C65" s="2" t="s">
        <v>17477</v>
      </c>
      <c r="D65" s="3">
        <v>4</v>
      </c>
      <c r="E65" s="3">
        <v>2</v>
      </c>
      <c r="F65" s="3" t="str">
        <f>HYPERLINK("https://www.boe.es/gazeta/dias/1813/02/11/pdfs/GMD-1813-42.pdf","Abrir PDF")</f>
        <v>Abrir PDF</v>
      </c>
    </row>
    <row r="66" spans="1:6" ht="31.05" customHeight="1">
      <c r="A66" s="6">
        <v>-31733</v>
      </c>
      <c r="B66" s="2" t="s">
        <v>3036</v>
      </c>
      <c r="C66" s="2" t="s">
        <v>17478</v>
      </c>
      <c r="D66" s="3">
        <v>8</v>
      </c>
      <c r="E66" s="3">
        <v>37</v>
      </c>
      <c r="F66" s="3" t="str">
        <f>HYPERLINK("https://www.boe.es/gazeta/dias/1813/02/11/pdfs/GRE-1813-18.pdf","Abrir PDF")</f>
        <v>Abrir PDF</v>
      </c>
    </row>
    <row r="67" spans="1:6" ht="31.05" customHeight="1">
      <c r="A67" s="6">
        <v>-31732</v>
      </c>
      <c r="B67" s="2" t="s">
        <v>1904</v>
      </c>
      <c r="C67" s="2" t="s">
        <v>17479</v>
      </c>
      <c r="D67" s="3">
        <v>4</v>
      </c>
      <c r="E67" s="3">
        <v>16</v>
      </c>
      <c r="F67" s="3" t="str">
        <f>HYPERLINK("https://www.boe.es/gazeta/dias/1813/02/12/pdfs/GMD-1813-43.pdf","Abrir PDF")</f>
        <v>Abrir PDF</v>
      </c>
    </row>
    <row r="68" spans="1:6" ht="31.05" customHeight="1">
      <c r="A68" s="6">
        <v>-31731</v>
      </c>
      <c r="B68" s="2" t="s">
        <v>1938</v>
      </c>
      <c r="C68" s="2" t="s">
        <v>17480</v>
      </c>
      <c r="D68" s="3">
        <v>4</v>
      </c>
      <c r="E68" s="3">
        <v>3</v>
      </c>
      <c r="F68" s="3" t="str">
        <f>HYPERLINK("https://www.boe.es/gazeta/dias/1813/02/13/pdfs/GMD-1813-44.pdf","Abrir PDF")</f>
        <v>Abrir PDF</v>
      </c>
    </row>
    <row r="69" spans="1:6" ht="31.05" customHeight="1">
      <c r="A69" s="6">
        <v>-31731</v>
      </c>
      <c r="B69" s="2" t="s">
        <v>866</v>
      </c>
      <c r="C69" s="2" t="s">
        <v>17481</v>
      </c>
      <c r="D69" s="3">
        <v>8</v>
      </c>
      <c r="E69" s="3">
        <v>48</v>
      </c>
      <c r="F69" s="3" t="str">
        <f>HYPERLINK("https://www.boe.es/gazeta/dias/1813/02/13/pdfs/GRE-1813-19.pdf","Abrir PDF")</f>
        <v>Abrir PDF</v>
      </c>
    </row>
    <row r="70" spans="1:6" ht="31.05" customHeight="1">
      <c r="A70" s="6">
        <v>-31730</v>
      </c>
      <c r="B70" s="2" t="s">
        <v>2497</v>
      </c>
      <c r="C70" s="2" t="s">
        <v>17482</v>
      </c>
      <c r="D70" s="3">
        <v>4</v>
      </c>
      <c r="E70" s="3">
        <v>5</v>
      </c>
      <c r="F70" s="3" t="str">
        <f>HYPERLINK("https://www.boe.es/gazeta/dias/1813/02/14/pdfs/GMD-1813-45.pdf","Abrir PDF")</f>
        <v>Abrir PDF</v>
      </c>
    </row>
    <row r="71" spans="1:6" ht="31.05" customHeight="1">
      <c r="A71" s="6">
        <v>-31729</v>
      </c>
      <c r="B71" s="2" t="s">
        <v>1650</v>
      </c>
      <c r="C71" s="2" t="s">
        <v>17483</v>
      </c>
      <c r="D71" s="3">
        <v>4</v>
      </c>
      <c r="E71" s="3">
        <v>2</v>
      </c>
      <c r="F71" s="3" t="str">
        <f>HYPERLINK("https://www.boe.es/gazeta/dias/1813/02/15/pdfs/GMD-1813-46.pdf","Abrir PDF")</f>
        <v>Abrir PDF</v>
      </c>
    </row>
    <row r="72" spans="1:6" ht="31.05" customHeight="1">
      <c r="A72" s="6">
        <v>-31728</v>
      </c>
      <c r="B72" s="2" t="s">
        <v>2887</v>
      </c>
      <c r="C72" s="2" t="s">
        <v>17484</v>
      </c>
      <c r="D72" s="3">
        <v>4</v>
      </c>
      <c r="E72" s="3">
        <v>7</v>
      </c>
      <c r="F72" s="3" t="str">
        <f>HYPERLINK("https://www.boe.es/gazeta/dias/1813/02/16/pdfs/GMD-1813-47.pdf","Abrir PDF")</f>
        <v>Abrir PDF</v>
      </c>
    </row>
    <row r="73" spans="1:6" ht="31.05" customHeight="1">
      <c r="A73" s="6">
        <v>-31728</v>
      </c>
      <c r="B73" s="2" t="s">
        <v>1434</v>
      </c>
      <c r="C73" s="2" t="s">
        <v>17485</v>
      </c>
      <c r="D73" s="3">
        <v>8</v>
      </c>
      <c r="E73" s="3">
        <v>48</v>
      </c>
      <c r="F73" s="3" t="str">
        <f>HYPERLINK("https://www.boe.es/gazeta/dias/1813/02/16/pdfs/GRE-1813-20.pdf","Abrir PDF")</f>
        <v>Abrir PDF</v>
      </c>
    </row>
    <row r="74" spans="1:6" ht="31.05" customHeight="1">
      <c r="A74" s="6">
        <v>-31727</v>
      </c>
      <c r="B74" s="2" t="s">
        <v>3767</v>
      </c>
      <c r="C74" s="2" t="s">
        <v>17486</v>
      </c>
      <c r="D74" s="3">
        <v>4</v>
      </c>
      <c r="E74" s="3">
        <v>6</v>
      </c>
      <c r="F74" s="3" t="str">
        <f>HYPERLINK("https://www.boe.es/gazeta/dias/1813/02/17/pdfs/GMD-1813-48.pdf","Abrir PDF")</f>
        <v>Abrir PDF</v>
      </c>
    </row>
    <row r="75" spans="1:6" ht="31.05" customHeight="1">
      <c r="A75" s="6">
        <v>-31726</v>
      </c>
      <c r="B75" s="2" t="s">
        <v>493</v>
      </c>
      <c r="C75" s="2" t="s">
        <v>17487</v>
      </c>
      <c r="D75" s="3">
        <v>4</v>
      </c>
      <c r="E75" s="3">
        <v>25</v>
      </c>
      <c r="F75" s="3" t="str">
        <f>HYPERLINK("https://www.boe.es/gazeta/dias/1813/02/18/pdfs/GMD-1813-49.pdf","Abrir PDF")</f>
        <v>Abrir PDF</v>
      </c>
    </row>
    <row r="76" spans="1:6" ht="31.05" customHeight="1">
      <c r="A76" s="6">
        <v>-31726</v>
      </c>
      <c r="B76" s="2" t="s">
        <v>533</v>
      </c>
      <c r="C76" s="2" t="s">
        <v>17488</v>
      </c>
      <c r="D76" s="3">
        <v>8</v>
      </c>
      <c r="E76" s="3">
        <v>33</v>
      </c>
      <c r="F76" s="3" t="str">
        <f>HYPERLINK("https://www.boe.es/gazeta/dias/1813/02/18/pdfs/GRE-1813-21.pdf","Abrir PDF")</f>
        <v>Abrir PDF</v>
      </c>
    </row>
    <row r="77" spans="1:6" ht="31.05" customHeight="1">
      <c r="A77" s="6">
        <v>-31725</v>
      </c>
      <c r="B77" s="2" t="s">
        <v>3928</v>
      </c>
      <c r="C77" s="2" t="s">
        <v>17489</v>
      </c>
      <c r="D77" s="3">
        <v>4</v>
      </c>
      <c r="E77" s="3">
        <v>9</v>
      </c>
      <c r="F77" s="3" t="str">
        <f>HYPERLINK("https://www.boe.es/gazeta/dias/1813/02/19/pdfs/GMD-1813-50.pdf","Abrir PDF")</f>
        <v>Abrir PDF</v>
      </c>
    </row>
    <row r="78" spans="1:6" ht="31.05" customHeight="1">
      <c r="A78" s="6">
        <v>-31724</v>
      </c>
      <c r="B78" s="2" t="s">
        <v>684</v>
      </c>
      <c r="C78" s="2" t="s">
        <v>17490</v>
      </c>
      <c r="D78" s="3">
        <v>4</v>
      </c>
      <c r="E78" s="3">
        <v>14</v>
      </c>
      <c r="F78" s="3" t="str">
        <f>HYPERLINK("https://www.boe.es/gazeta/dias/1813/02/20/pdfs/GMD-1813-51.pdf","Abrir PDF")</f>
        <v>Abrir PDF</v>
      </c>
    </row>
    <row r="79" spans="1:6" ht="31.05" customHeight="1">
      <c r="A79" s="6">
        <v>-31724</v>
      </c>
      <c r="B79" s="2" t="s">
        <v>626</v>
      </c>
      <c r="C79" s="2" t="s">
        <v>17491</v>
      </c>
      <c r="D79" s="3">
        <v>8</v>
      </c>
      <c r="E79" s="3">
        <v>20</v>
      </c>
      <c r="F79" s="3" t="str">
        <f>HYPERLINK("https://www.boe.es/gazeta/dias/1813/02/20/pdfs/GRE-1813-22.pdf","Abrir PDF")</f>
        <v>Abrir PDF</v>
      </c>
    </row>
    <row r="80" spans="1:6" ht="31.05" customHeight="1">
      <c r="A80" s="6">
        <v>-31723</v>
      </c>
      <c r="B80" s="2" t="s">
        <v>273</v>
      </c>
      <c r="C80" s="2" t="s">
        <v>17492</v>
      </c>
      <c r="D80" s="3">
        <v>4</v>
      </c>
      <c r="E80" s="3">
        <v>12</v>
      </c>
      <c r="F80" s="3" t="str">
        <f>HYPERLINK("https://www.boe.es/gazeta/dias/1813/02/21/pdfs/GMD-1813-52.pdf","Abrir PDF")</f>
        <v>Abrir PDF</v>
      </c>
    </row>
    <row r="81" spans="1:6" ht="31.05" customHeight="1">
      <c r="A81" s="6">
        <v>-31722</v>
      </c>
      <c r="B81" s="2" t="s">
        <v>3675</v>
      </c>
      <c r="C81" s="2" t="s">
        <v>17493</v>
      </c>
      <c r="D81" s="3">
        <v>4</v>
      </c>
      <c r="E81" s="3">
        <v>8</v>
      </c>
      <c r="F81" s="3" t="str">
        <f>HYPERLINK("https://www.boe.es/gazeta/dias/1813/02/22/pdfs/GMD-1813-53.pdf","Abrir PDF")</f>
        <v>Abrir PDF</v>
      </c>
    </row>
    <row r="82" spans="1:6" ht="31.05" customHeight="1">
      <c r="A82" s="6">
        <v>-31721</v>
      </c>
      <c r="B82" s="2" t="s">
        <v>5009</v>
      </c>
      <c r="C82" s="2" t="s">
        <v>17494</v>
      </c>
      <c r="D82" s="3">
        <v>4</v>
      </c>
      <c r="E82" s="3">
        <v>6</v>
      </c>
      <c r="F82" s="3" t="str">
        <f>HYPERLINK("https://www.boe.es/gazeta/dias/1813/02/23/pdfs/GMD-1813-54.pdf","Abrir PDF")</f>
        <v>Abrir PDF</v>
      </c>
    </row>
    <row r="83" spans="1:6" ht="31.05" customHeight="1">
      <c r="A83" s="6">
        <v>-31721</v>
      </c>
      <c r="B83" s="2" t="s">
        <v>562</v>
      </c>
      <c r="C83" s="2" t="s">
        <v>17495</v>
      </c>
      <c r="D83" s="3">
        <v>8</v>
      </c>
      <c r="E83" s="3">
        <v>8</v>
      </c>
      <c r="F83" s="3" t="str">
        <f>HYPERLINK("https://www.boe.es/gazeta/dias/1813/02/23/pdfs/GRE-1813-23.pdf","Abrir PDF")</f>
        <v>Abrir PDF</v>
      </c>
    </row>
    <row r="84" spans="1:6" ht="31.05" customHeight="1">
      <c r="A84" s="6">
        <v>-31720</v>
      </c>
      <c r="B84" s="2" t="s">
        <v>672</v>
      </c>
      <c r="C84" s="2" t="s">
        <v>17496</v>
      </c>
      <c r="D84" s="3">
        <v>4</v>
      </c>
      <c r="E84" s="3">
        <v>16</v>
      </c>
      <c r="F84" s="3" t="str">
        <f>HYPERLINK("https://www.boe.es/gazeta/dias/1813/02/24/pdfs/GMD-1813-55.pdf","Abrir PDF")</f>
        <v>Abrir PDF</v>
      </c>
    </row>
    <row r="85" spans="1:6" ht="31.05" customHeight="1">
      <c r="A85" s="6">
        <v>-31719</v>
      </c>
      <c r="B85" s="2" t="s">
        <v>251</v>
      </c>
      <c r="C85" s="2" t="s">
        <v>17497</v>
      </c>
      <c r="D85" s="3">
        <v>4</v>
      </c>
      <c r="E85" s="3">
        <v>52</v>
      </c>
      <c r="F85" s="3" t="str">
        <f>HYPERLINK("https://www.boe.es/gazeta/dias/1813/02/25/pdfs/GMD-1813-56.pdf","Abrir PDF")</f>
        <v>Abrir PDF</v>
      </c>
    </row>
    <row r="86" spans="1:6" ht="31.05" customHeight="1">
      <c r="A86" s="6">
        <v>-31719</v>
      </c>
      <c r="B86" s="2" t="s">
        <v>1770</v>
      </c>
      <c r="C86" s="2" t="s">
        <v>17498</v>
      </c>
      <c r="D86" s="3">
        <v>8</v>
      </c>
      <c r="E86" s="3">
        <v>11</v>
      </c>
      <c r="F86" s="3" t="str">
        <f>HYPERLINK("https://www.boe.es/gazeta/dias/1813/02/25/pdfs/GRE-1813-24.pdf","Abrir PDF")</f>
        <v>Abrir PDF</v>
      </c>
    </row>
    <row r="87" spans="1:6" ht="31.05" customHeight="1">
      <c r="A87" s="6">
        <v>-31718</v>
      </c>
      <c r="B87" s="2" t="s">
        <v>1498</v>
      </c>
      <c r="C87" s="2" t="s">
        <v>17499</v>
      </c>
      <c r="D87" s="3">
        <v>4</v>
      </c>
      <c r="E87" s="3">
        <v>3</v>
      </c>
      <c r="F87" s="3" t="str">
        <f>HYPERLINK("https://www.boe.es/gazeta/dias/1813/02/26/pdfs/GMD-1813-57.pdf","Abrir PDF")</f>
        <v>Abrir PDF</v>
      </c>
    </row>
    <row r="88" spans="1:6" ht="31.05" customHeight="1">
      <c r="A88" s="6">
        <v>-31717</v>
      </c>
      <c r="B88" s="2" t="s">
        <v>4754</v>
      </c>
      <c r="C88" s="2" t="s">
        <v>17500</v>
      </c>
      <c r="D88" s="3">
        <v>4</v>
      </c>
      <c r="E88" s="3">
        <v>3</v>
      </c>
      <c r="F88" s="3" t="str">
        <f>HYPERLINK("https://www.boe.es/gazeta/dias/1813/02/27/pdfs/GMD-1813-58.pdf","Abrir PDF")</f>
        <v>Abrir PDF</v>
      </c>
    </row>
    <row r="89" spans="1:6" ht="31.05" customHeight="1">
      <c r="A89" s="6">
        <v>-31717</v>
      </c>
      <c r="B89" s="2" t="s">
        <v>2338</v>
      </c>
      <c r="C89" s="2" t="s">
        <v>17501</v>
      </c>
      <c r="D89" s="3">
        <v>8</v>
      </c>
      <c r="E89" s="3">
        <v>12</v>
      </c>
      <c r="F89" s="3" t="str">
        <f>HYPERLINK("https://www.boe.es/gazeta/dias/1813/02/27/pdfs/GRE-1813-25.pdf","Abrir PDF")</f>
        <v>Abrir PDF</v>
      </c>
    </row>
    <row r="90" spans="1:6" ht="31.05" customHeight="1">
      <c r="A90" s="6">
        <v>-31716</v>
      </c>
      <c r="B90" s="2" t="s">
        <v>1652</v>
      </c>
      <c r="C90" s="2" t="s">
        <v>17502</v>
      </c>
      <c r="D90" s="3">
        <v>4</v>
      </c>
      <c r="E90" s="3">
        <v>9</v>
      </c>
      <c r="F90" s="3" t="str">
        <f>HYPERLINK("https://www.boe.es/gazeta/dias/1813/02/28/pdfs/GMD-1813-59.pdf","Abrir PDF")</f>
        <v>Abrir PDF</v>
      </c>
    </row>
    <row r="91" spans="1:6" ht="31.05" customHeight="1">
      <c r="A91" s="6">
        <v>-31716</v>
      </c>
      <c r="B91" s="2" t="s">
        <v>6756</v>
      </c>
      <c r="C91" s="2" t="s">
        <v>17503</v>
      </c>
      <c r="D91" s="3">
        <v>4</v>
      </c>
      <c r="E91" s="3">
        <v>4</v>
      </c>
      <c r="F91" s="3" t="str">
        <f>HYPERLINK("https://www.boe.es/gazeta/dias/1813/02/28/pdfs/GRE-1813-26E.pdf","Abrir PDF")</f>
        <v>Abrir PDF</v>
      </c>
    </row>
    <row r="92" spans="1:6" ht="31.05" customHeight="1">
      <c r="A92" s="6">
        <v>-31715</v>
      </c>
      <c r="B92" s="2" t="s">
        <v>3358</v>
      </c>
      <c r="C92" s="2" t="s">
        <v>17504</v>
      </c>
      <c r="D92" s="3">
        <v>4</v>
      </c>
      <c r="E92" s="3">
        <v>16</v>
      </c>
      <c r="F92" s="3" t="str">
        <f>HYPERLINK("https://www.boe.es/gazeta/dias/1813/03/01/pdfs/GMD-1813-60.pdf","Abrir PDF")</f>
        <v>Abrir PDF</v>
      </c>
    </row>
    <row r="93" spans="1:6" ht="31.05" customHeight="1">
      <c r="A93" s="6">
        <v>-31714</v>
      </c>
      <c r="B93" s="2" t="s">
        <v>3912</v>
      </c>
      <c r="C93" s="2" t="s">
        <v>17505</v>
      </c>
      <c r="D93" s="3">
        <v>4</v>
      </c>
      <c r="E93" s="3">
        <v>4</v>
      </c>
      <c r="F93" s="3" t="str">
        <f>HYPERLINK("https://www.boe.es/gazeta/dias/1813/03/02/pdfs/GMD-1813-61.pdf","Abrir PDF")</f>
        <v>Abrir PDF</v>
      </c>
    </row>
    <row r="94" spans="1:6" ht="31.05" customHeight="1">
      <c r="A94" s="6">
        <v>-31714</v>
      </c>
      <c r="B94" s="2" t="s">
        <v>479</v>
      </c>
      <c r="C94" s="2" t="s">
        <v>17506</v>
      </c>
      <c r="D94" s="3">
        <v>8</v>
      </c>
      <c r="E94" s="3">
        <v>16</v>
      </c>
      <c r="F94" s="3" t="str">
        <f>HYPERLINK("https://www.boe.es/gazeta/dias/1813/03/02/pdfs/GRE-1813-27.pdf","Abrir PDF")</f>
        <v>Abrir PDF</v>
      </c>
    </row>
    <row r="95" spans="1:6" ht="31.05" customHeight="1">
      <c r="A95" s="6">
        <v>-31713</v>
      </c>
      <c r="B95" s="2" t="s">
        <v>3677</v>
      </c>
      <c r="C95" s="2" t="s">
        <v>17507</v>
      </c>
      <c r="D95" s="3">
        <v>4</v>
      </c>
      <c r="E95" s="3">
        <v>8</v>
      </c>
      <c r="F95" s="3" t="str">
        <f>HYPERLINK("https://www.boe.es/gazeta/dias/1813/03/03/pdfs/GMD-1813-62.pdf","Abrir PDF")</f>
        <v>Abrir PDF</v>
      </c>
    </row>
    <row r="96" spans="1:6" ht="31.05" customHeight="1">
      <c r="A96" s="6">
        <v>-31712</v>
      </c>
      <c r="B96" s="2" t="s">
        <v>719</v>
      </c>
      <c r="C96" s="2" t="s">
        <v>17508</v>
      </c>
      <c r="D96" s="3">
        <v>4</v>
      </c>
      <c r="E96" s="3">
        <v>9</v>
      </c>
      <c r="F96" s="3" t="str">
        <f>HYPERLINK("https://www.boe.es/gazeta/dias/1813/03/04/pdfs/GMD-1813-63.pdf","Abrir PDF")</f>
        <v>Abrir PDF</v>
      </c>
    </row>
    <row r="97" spans="1:6" ht="31.05" customHeight="1">
      <c r="A97" s="6">
        <v>-31712</v>
      </c>
      <c r="B97" s="2" t="s">
        <v>3469</v>
      </c>
      <c r="C97" s="2" t="s">
        <v>17509</v>
      </c>
      <c r="D97" s="3">
        <v>8</v>
      </c>
      <c r="E97" s="3">
        <v>11</v>
      </c>
      <c r="F97" s="3" t="str">
        <f>HYPERLINK("https://www.boe.es/gazeta/dias/1813/03/04/pdfs/GRE-1813-28.pdf","Abrir PDF")</f>
        <v>Abrir PDF</v>
      </c>
    </row>
    <row r="98" spans="1:6" ht="31.05" customHeight="1">
      <c r="A98" s="6">
        <v>-31711</v>
      </c>
      <c r="B98" s="2" t="s">
        <v>90</v>
      </c>
      <c r="C98" s="2" t="s">
        <v>17510</v>
      </c>
      <c r="D98" s="3">
        <v>4</v>
      </c>
      <c r="E98" s="3">
        <v>6</v>
      </c>
      <c r="F98" s="3" t="str">
        <f>HYPERLINK("https://www.boe.es/gazeta/dias/1813/03/05/pdfs/GMD-1813-64.pdf","Abrir PDF")</f>
        <v>Abrir PDF</v>
      </c>
    </row>
    <row r="99" spans="1:6" ht="31.05" customHeight="1">
      <c r="A99" s="6">
        <v>-31711</v>
      </c>
      <c r="B99" s="2" t="s">
        <v>385</v>
      </c>
      <c r="C99" s="2" t="s">
        <v>17511</v>
      </c>
      <c r="D99" s="3">
        <v>8</v>
      </c>
      <c r="E99" s="3">
        <v>54</v>
      </c>
      <c r="F99" s="3" t="str">
        <f>HYPERLINK("https://www.boe.es/gazeta/dias/1813/03/05/pdfs/GRE-1813-99.pdf","Abrir PDF")</f>
        <v>Abrir PDF</v>
      </c>
    </row>
    <row r="100" spans="1:6" ht="31.05" customHeight="1">
      <c r="A100" s="6">
        <v>-31710</v>
      </c>
      <c r="B100" s="2" t="s">
        <v>4744</v>
      </c>
      <c r="C100" s="2" t="s">
        <v>17512</v>
      </c>
      <c r="D100" s="3">
        <v>4</v>
      </c>
      <c r="E100" s="3">
        <v>14</v>
      </c>
      <c r="F100" s="3" t="str">
        <f>HYPERLINK("https://www.boe.es/gazeta/dias/1813/03/06/pdfs/GMD-1813-65.pdf","Abrir PDF")</f>
        <v>Abrir PDF</v>
      </c>
    </row>
    <row r="101" spans="1:6" ht="31.05" customHeight="1">
      <c r="A101" s="6">
        <v>-31710</v>
      </c>
      <c r="B101" s="2" t="s">
        <v>2689</v>
      </c>
      <c r="C101" s="2" t="s">
        <v>17513</v>
      </c>
      <c r="D101" s="3">
        <v>8</v>
      </c>
      <c r="E101" s="3">
        <v>12</v>
      </c>
      <c r="F101" s="3" t="str">
        <f>HYPERLINK("https://www.boe.es/gazeta/dias/1813/03/06/pdfs/GRE-1813-29.pdf","Abrir PDF")</f>
        <v>Abrir PDF</v>
      </c>
    </row>
    <row r="102" spans="1:6" ht="31.05" customHeight="1">
      <c r="A102" s="6">
        <v>-31709</v>
      </c>
      <c r="B102" s="2" t="s">
        <v>36</v>
      </c>
      <c r="C102" s="2" t="s">
        <v>17514</v>
      </c>
      <c r="D102" s="3">
        <v>4</v>
      </c>
      <c r="E102" s="3">
        <v>164</v>
      </c>
      <c r="F102" s="3" t="str">
        <f>HYPERLINK("https://www.boe.es/gazeta/dias/1813/03/07/pdfs/GMD-1813-66.pdf","Abrir PDF")</f>
        <v>Abrir PDF</v>
      </c>
    </row>
    <row r="103" spans="1:6" ht="31.05" customHeight="1">
      <c r="A103" s="6">
        <v>-31708</v>
      </c>
      <c r="B103" s="2" t="s">
        <v>166</v>
      </c>
      <c r="C103" s="2" t="s">
        <v>17515</v>
      </c>
      <c r="D103" s="3">
        <v>4</v>
      </c>
      <c r="E103" s="3">
        <v>6</v>
      </c>
      <c r="F103" s="3" t="str">
        <f>HYPERLINK("https://www.boe.es/gazeta/dias/1813/03/08/pdfs/GMD-1813-67.pdf","Abrir PDF")</f>
        <v>Abrir PDF</v>
      </c>
    </row>
    <row r="104" spans="1:6" ht="31.05" customHeight="1">
      <c r="A104" s="6">
        <v>-31707</v>
      </c>
      <c r="B104" s="2" t="s">
        <v>2195</v>
      </c>
      <c r="C104" s="2" t="s">
        <v>17516</v>
      </c>
      <c r="D104" s="3">
        <v>4</v>
      </c>
      <c r="E104" s="3">
        <v>10</v>
      </c>
      <c r="F104" s="3" t="str">
        <f>HYPERLINK("https://www.boe.es/gazeta/dias/1813/03/09/pdfs/GMD-1813-68.pdf","Abrir PDF")</f>
        <v>Abrir PDF</v>
      </c>
    </row>
    <row r="105" spans="1:6" ht="31.05" customHeight="1">
      <c r="A105" s="6">
        <v>-31707</v>
      </c>
      <c r="B105" s="2" t="s">
        <v>1557</v>
      </c>
      <c r="C105" s="2" t="s">
        <v>17517</v>
      </c>
      <c r="D105" s="3">
        <v>8</v>
      </c>
      <c r="E105" s="3">
        <v>9</v>
      </c>
      <c r="F105" s="3" t="str">
        <f>HYPERLINK("https://www.boe.es/gazeta/dias/1813/03/09/pdfs/GRE-1813-30.pdf","Abrir PDF")</f>
        <v>Abrir PDF</v>
      </c>
    </row>
    <row r="106" spans="1:6" ht="31.05" customHeight="1">
      <c r="A106" s="6">
        <v>-31706</v>
      </c>
      <c r="B106" s="2" t="s">
        <v>2256</v>
      </c>
      <c r="C106" s="2" t="s">
        <v>17518</v>
      </c>
      <c r="D106" s="3">
        <v>4</v>
      </c>
      <c r="E106" s="3">
        <v>11</v>
      </c>
      <c r="F106" s="3" t="str">
        <f>HYPERLINK("https://www.boe.es/gazeta/dias/1813/03/10/pdfs/GMD-1813-69.pdf","Abrir PDF")</f>
        <v>Abrir PDF</v>
      </c>
    </row>
    <row r="107" spans="1:6" ht="31.05" customHeight="1">
      <c r="A107" s="6">
        <v>-31705</v>
      </c>
      <c r="B107" s="2" t="s">
        <v>4455</v>
      </c>
      <c r="C107" s="2" t="s">
        <v>17519</v>
      </c>
      <c r="D107" s="3">
        <v>4</v>
      </c>
      <c r="E107" s="3">
        <v>12</v>
      </c>
      <c r="F107" s="3" t="str">
        <f>HYPERLINK("https://www.boe.es/gazeta/dias/1813/03/11/pdfs/GMD-1813-70.pdf","Abrir PDF")</f>
        <v>Abrir PDF</v>
      </c>
    </row>
    <row r="108" spans="1:6" ht="31.05" customHeight="1">
      <c r="A108" s="6">
        <v>-31705</v>
      </c>
      <c r="B108" s="2" t="s">
        <v>243</v>
      </c>
      <c r="C108" s="2" t="s">
        <v>17520</v>
      </c>
      <c r="D108" s="3">
        <v>8</v>
      </c>
      <c r="E108" s="3">
        <v>11</v>
      </c>
      <c r="F108" s="3" t="str">
        <f>HYPERLINK("https://www.boe.es/gazeta/dias/1813/03/11/pdfs/GRE-1813-31.pdf","Abrir PDF")</f>
        <v>Abrir PDF</v>
      </c>
    </row>
    <row r="109" spans="1:6" ht="31.05" customHeight="1">
      <c r="A109" s="6">
        <v>-31704</v>
      </c>
      <c r="B109" s="2" t="s">
        <v>6300</v>
      </c>
      <c r="C109" s="2" t="s">
        <v>17521</v>
      </c>
      <c r="D109" s="3">
        <v>4</v>
      </c>
      <c r="E109" s="3">
        <v>4</v>
      </c>
      <c r="F109" s="3" t="str">
        <f>HYPERLINK("https://www.boe.es/gazeta/dias/1813/03/12/pdfs/GMD-1813-71.pdf","Abrir PDF")</f>
        <v>Abrir PDF</v>
      </c>
    </row>
    <row r="110" spans="1:6" ht="31.05" customHeight="1">
      <c r="A110" s="6">
        <v>-31703</v>
      </c>
      <c r="B110" s="2" t="s">
        <v>526</v>
      </c>
      <c r="C110" s="2" t="s">
        <v>17522</v>
      </c>
      <c r="D110" s="3">
        <v>4</v>
      </c>
      <c r="E110" s="3">
        <v>12</v>
      </c>
      <c r="F110" s="3" t="str">
        <f>HYPERLINK("https://www.boe.es/gazeta/dias/1813/03/13/pdfs/GMD-1813-72.pdf","Abrir PDF")</f>
        <v>Abrir PDF</v>
      </c>
    </row>
    <row r="111" spans="1:6" ht="31.05" customHeight="1">
      <c r="A111" s="6">
        <v>-31703</v>
      </c>
      <c r="B111" s="2" t="s">
        <v>4331</v>
      </c>
      <c r="C111" s="2" t="s">
        <v>17523</v>
      </c>
      <c r="D111" s="3">
        <v>8</v>
      </c>
      <c r="E111" s="3">
        <v>18</v>
      </c>
      <c r="F111" s="3" t="str">
        <f>HYPERLINK("https://www.boe.es/gazeta/dias/1813/03/13/pdfs/GRE-1813-32.pdf","Abrir PDF")</f>
        <v>Abrir PDF</v>
      </c>
    </row>
    <row r="112" spans="1:6" ht="31.05" customHeight="1">
      <c r="A112" s="6">
        <v>-31702</v>
      </c>
      <c r="B112" s="2" t="s">
        <v>6504</v>
      </c>
      <c r="C112" s="2" t="s">
        <v>17524</v>
      </c>
      <c r="D112" s="3">
        <v>4</v>
      </c>
      <c r="E112" s="3">
        <v>4</v>
      </c>
      <c r="F112" s="3" t="str">
        <f>HYPERLINK("https://www.boe.es/gazeta/dias/1813/03/14/pdfs/GMD-1813-73.pdf","Abrir PDF")</f>
        <v>Abrir PDF</v>
      </c>
    </row>
    <row r="113" spans="1:6" ht="31.05" customHeight="1">
      <c r="A113" s="6">
        <v>-31701</v>
      </c>
      <c r="B113" s="2" t="s">
        <v>1561</v>
      </c>
      <c r="C113" s="2" t="s">
        <v>17525</v>
      </c>
      <c r="D113" s="3">
        <v>4</v>
      </c>
      <c r="E113" s="3">
        <v>13</v>
      </c>
      <c r="F113" s="3" t="str">
        <f>HYPERLINK("https://www.boe.es/gazeta/dias/1813/03/15/pdfs/GMD-1813-74.pdf","Abrir PDF")</f>
        <v>Abrir PDF</v>
      </c>
    </row>
    <row r="114" spans="1:6" ht="31.05" customHeight="1">
      <c r="A114" s="6">
        <v>-31700</v>
      </c>
      <c r="B114" s="2" t="s">
        <v>778</v>
      </c>
      <c r="C114" s="2" t="s">
        <v>17526</v>
      </c>
      <c r="D114" s="3">
        <v>4</v>
      </c>
      <c r="E114" s="3">
        <v>19</v>
      </c>
      <c r="F114" s="3" t="str">
        <f>HYPERLINK("https://www.boe.es/gazeta/dias/1813/03/16/pdfs/GMD-1813-75.pdf","Abrir PDF")</f>
        <v>Abrir PDF</v>
      </c>
    </row>
    <row r="115" spans="1:6" ht="31.05" customHeight="1">
      <c r="A115" s="6">
        <v>-31700</v>
      </c>
      <c r="B115" s="2" t="s">
        <v>226</v>
      </c>
      <c r="C115" s="2" t="s">
        <v>17527</v>
      </c>
      <c r="D115" s="3">
        <v>8</v>
      </c>
      <c r="E115" s="3">
        <v>13</v>
      </c>
      <c r="F115" s="3" t="str">
        <f>HYPERLINK("https://www.boe.es/gazeta/dias/1813/03/16/pdfs/GRE-1813-33.pdf","Abrir PDF")</f>
        <v>Abrir PDF</v>
      </c>
    </row>
    <row r="116" spans="1:6" ht="31.05" customHeight="1">
      <c r="A116" s="6">
        <v>-31699</v>
      </c>
      <c r="B116" s="2" t="s">
        <v>13534</v>
      </c>
      <c r="C116" s="2" t="s">
        <v>17528</v>
      </c>
      <c r="D116" s="3">
        <v>4</v>
      </c>
      <c r="E116" s="3">
        <v>2</v>
      </c>
      <c r="F116" s="3" t="str">
        <f>HYPERLINK("https://www.boe.es/gazeta/dias/1813/03/17/pdfs/GMD-1813-76.pdf","Abrir PDF")</f>
        <v>Abrir PDF</v>
      </c>
    </row>
    <row r="117" spans="1:6" ht="31.05" customHeight="1">
      <c r="A117" s="6">
        <v>-31698</v>
      </c>
      <c r="B117" s="2" t="s">
        <v>12599</v>
      </c>
      <c r="C117" s="2" t="s">
        <v>17529</v>
      </c>
      <c r="D117" s="3">
        <v>4</v>
      </c>
      <c r="E117" s="3">
        <v>1</v>
      </c>
      <c r="F117" s="3" t="str">
        <f>HYPERLINK("https://www.boe.es/gazeta/dias/1813/03/18/pdfs/GMD-1813-77.pdf","Abrir PDF")</f>
        <v>Abrir PDF</v>
      </c>
    </row>
    <row r="118" spans="1:6" ht="31.05" customHeight="1">
      <c r="A118" s="6">
        <v>-31698</v>
      </c>
      <c r="B118" s="2" t="s">
        <v>470</v>
      </c>
      <c r="C118" s="2" t="s">
        <v>17530</v>
      </c>
      <c r="D118" s="3">
        <v>8</v>
      </c>
      <c r="E118" s="3">
        <v>31</v>
      </c>
      <c r="F118" s="3" t="str">
        <f>HYPERLINK("https://www.boe.es/gazeta/dias/1813/03/18/pdfs/GRE-1813-34.pdf","Abrir PDF")</f>
        <v>Abrir PDF</v>
      </c>
    </row>
    <row r="119" spans="1:6" ht="31.05" customHeight="1">
      <c r="A119" s="6">
        <v>-31697</v>
      </c>
      <c r="B119" s="2" t="s">
        <v>2761</v>
      </c>
      <c r="C119" s="2" t="s">
        <v>17531</v>
      </c>
      <c r="D119" s="3">
        <v>4</v>
      </c>
      <c r="E119" s="3">
        <v>6</v>
      </c>
      <c r="F119" s="3" t="str">
        <f>HYPERLINK("https://www.boe.es/gazeta/dias/1813/03/19/pdfs/GMD-1813-78.pdf","Abrir PDF")</f>
        <v>Abrir PDF</v>
      </c>
    </row>
    <row r="120" spans="1:6" ht="31.05" customHeight="1">
      <c r="A120" s="6">
        <v>-31696</v>
      </c>
      <c r="B120" s="2" t="s">
        <v>4663</v>
      </c>
      <c r="C120" s="2" t="s">
        <v>17532</v>
      </c>
      <c r="D120" s="3">
        <v>4</v>
      </c>
      <c r="E120" s="3">
        <v>1</v>
      </c>
      <c r="F120" s="3" t="str">
        <f>HYPERLINK("https://www.boe.es/gazeta/dias/1813/03/20/pdfs/GMD-1813-79.pdf","Abrir PDF")</f>
        <v>Abrir PDF</v>
      </c>
    </row>
    <row r="121" spans="1:6" ht="31.05" customHeight="1">
      <c r="A121" s="6">
        <v>-31696</v>
      </c>
      <c r="B121" s="2" t="s">
        <v>520</v>
      </c>
      <c r="C121" s="2" t="s">
        <v>17533</v>
      </c>
      <c r="D121" s="3">
        <v>8</v>
      </c>
      <c r="E121" s="3">
        <v>18</v>
      </c>
      <c r="F121" s="3" t="str">
        <f>HYPERLINK("https://www.boe.es/gazeta/dias/1813/03/20/pdfs/GRE-1813-35.pdf","Abrir PDF")</f>
        <v>Abrir PDF</v>
      </c>
    </row>
    <row r="122" spans="1:6" ht="31.05" customHeight="1">
      <c r="A122" s="6">
        <v>-31695</v>
      </c>
      <c r="B122" s="2" t="s">
        <v>2770</v>
      </c>
      <c r="C122" s="2" t="s">
        <v>17534</v>
      </c>
      <c r="D122" s="3">
        <v>4</v>
      </c>
      <c r="E122" s="3">
        <v>14</v>
      </c>
      <c r="F122" s="3" t="str">
        <f>HYPERLINK("https://www.boe.es/gazeta/dias/1813/03/21/pdfs/GMD-1813-80.pdf","Abrir PDF")</f>
        <v>Abrir PDF</v>
      </c>
    </row>
    <row r="123" spans="1:6" ht="31.05" customHeight="1">
      <c r="A123" s="6">
        <v>-31694</v>
      </c>
      <c r="B123" s="2" t="s">
        <v>2756</v>
      </c>
      <c r="C123" s="2" t="s">
        <v>17535</v>
      </c>
      <c r="D123" s="3">
        <v>4</v>
      </c>
      <c r="E123" s="3">
        <v>15</v>
      </c>
      <c r="F123" s="3" t="str">
        <f>HYPERLINK("https://www.boe.es/gazeta/dias/1813/03/22/pdfs/GMD-1813-81.pdf","Abrir PDF")</f>
        <v>Abrir PDF</v>
      </c>
    </row>
    <row r="124" spans="1:6" ht="31.05" customHeight="1">
      <c r="A124" s="6">
        <v>-31693</v>
      </c>
      <c r="B124" s="2" t="s">
        <v>1847</v>
      </c>
      <c r="C124" s="2" t="s">
        <v>17536</v>
      </c>
      <c r="D124" s="3">
        <v>4</v>
      </c>
      <c r="E124" s="3">
        <v>7</v>
      </c>
      <c r="F124" s="3" t="str">
        <f>HYPERLINK("https://www.boe.es/gazeta/dias/1813/03/23/pdfs/GMD-1813-82.pdf","Abrir PDF")</f>
        <v>Abrir PDF</v>
      </c>
    </row>
    <row r="125" spans="1:6" ht="31.05" customHeight="1">
      <c r="A125" s="6">
        <v>-31693</v>
      </c>
      <c r="B125" s="2" t="s">
        <v>3950</v>
      </c>
      <c r="C125" s="2" t="s">
        <v>17537</v>
      </c>
      <c r="D125" s="3">
        <v>8</v>
      </c>
      <c r="E125" s="3">
        <v>17</v>
      </c>
      <c r="F125" s="3" t="str">
        <f>HYPERLINK("https://www.boe.es/gazeta/dias/1813/03/23/pdfs/GRE-1813-36.pdf","Abrir PDF")</f>
        <v>Abrir PDF</v>
      </c>
    </row>
    <row r="126" spans="1:6" ht="31.05" customHeight="1">
      <c r="A126" s="6">
        <v>-31692</v>
      </c>
      <c r="B126" s="2" t="s">
        <v>2171</v>
      </c>
      <c r="C126" s="2" t="s">
        <v>17538</v>
      </c>
      <c r="D126" s="3">
        <v>4</v>
      </c>
      <c r="E126" s="3">
        <v>11</v>
      </c>
      <c r="F126" s="3" t="str">
        <f>HYPERLINK("https://www.boe.es/gazeta/dias/1813/03/24/pdfs/GMD-1813-83.pdf","Abrir PDF")</f>
        <v>Abrir PDF</v>
      </c>
    </row>
    <row r="127" spans="1:6" ht="31.05" customHeight="1">
      <c r="A127" s="6">
        <v>-31691</v>
      </c>
      <c r="B127" s="2" t="s">
        <v>1621</v>
      </c>
      <c r="C127" s="2" t="s">
        <v>17539</v>
      </c>
      <c r="D127" s="3">
        <v>4</v>
      </c>
      <c r="E127" s="3">
        <v>17</v>
      </c>
      <c r="F127" s="3" t="str">
        <f>HYPERLINK("https://www.boe.es/gazeta/dias/1813/03/25/pdfs/GMD-1813-84.pdf","Abrir PDF")</f>
        <v>Abrir PDF</v>
      </c>
    </row>
    <row r="128" spans="1:6" ht="31.05" customHeight="1">
      <c r="A128" s="6">
        <v>-31691</v>
      </c>
      <c r="B128" s="2" t="s">
        <v>1542</v>
      </c>
      <c r="C128" s="2" t="s">
        <v>17540</v>
      </c>
      <c r="D128" s="3">
        <v>8</v>
      </c>
      <c r="E128" s="3">
        <v>23</v>
      </c>
      <c r="F128" s="3" t="str">
        <f>HYPERLINK("https://www.boe.es/gazeta/dias/1813/03/25/pdfs/GRE-1813-37.pdf","Abrir PDF")</f>
        <v>Abrir PDF</v>
      </c>
    </row>
    <row r="129" spans="1:6" ht="31.05" customHeight="1">
      <c r="A129" s="6">
        <v>-31690</v>
      </c>
      <c r="B129" s="2" t="s">
        <v>2575</v>
      </c>
      <c r="C129" s="2" t="s">
        <v>17541</v>
      </c>
      <c r="D129" s="3">
        <v>4</v>
      </c>
      <c r="E129" s="3">
        <v>10</v>
      </c>
      <c r="F129" s="3" t="str">
        <f>HYPERLINK("https://www.boe.es/gazeta/dias/1813/03/26/pdfs/GMD-1813-85.pdf","Abrir PDF")</f>
        <v>Abrir PDF</v>
      </c>
    </row>
    <row r="130" spans="1:6" ht="31.05" customHeight="1">
      <c r="A130" s="6">
        <v>-31689</v>
      </c>
      <c r="B130" s="2" t="s">
        <v>1347</v>
      </c>
      <c r="C130" s="2" t="s">
        <v>17542</v>
      </c>
      <c r="D130" s="3">
        <v>4</v>
      </c>
      <c r="E130" s="3">
        <v>3</v>
      </c>
      <c r="F130" s="3" t="str">
        <f>HYPERLINK("https://www.boe.es/gazeta/dias/1813/03/27/pdfs/GMD-1813-86.pdf","Abrir PDF")</f>
        <v>Abrir PDF</v>
      </c>
    </row>
    <row r="131" spans="1:6" ht="31.05" customHeight="1">
      <c r="A131" s="6">
        <v>-31689</v>
      </c>
      <c r="B131" s="2" t="s">
        <v>48</v>
      </c>
      <c r="C131" s="2" t="s">
        <v>17543</v>
      </c>
      <c r="D131" s="3">
        <v>8</v>
      </c>
      <c r="E131" s="3">
        <v>76</v>
      </c>
      <c r="F131" s="3" t="str">
        <f>HYPERLINK("https://www.boe.es/gazeta/dias/1813/03/27/pdfs/GRE-1813-38.pdf","Abrir PDF")</f>
        <v>Abrir PDF</v>
      </c>
    </row>
    <row r="132" spans="1:6" ht="31.05" customHeight="1">
      <c r="A132" s="6">
        <v>-31688</v>
      </c>
      <c r="B132" s="2" t="s">
        <v>9388</v>
      </c>
      <c r="C132" s="2" t="s">
        <v>17544</v>
      </c>
      <c r="D132" s="3">
        <v>4</v>
      </c>
      <c r="E132" s="3">
        <v>1</v>
      </c>
      <c r="F132" s="3" t="str">
        <f>HYPERLINK("https://www.boe.es/gazeta/dias/1813/03/28/pdfs/GMD-1813-87.pdf","Abrir PDF")</f>
        <v>Abrir PDF</v>
      </c>
    </row>
    <row r="133" spans="1:6" ht="31.05" customHeight="1">
      <c r="A133" s="6">
        <v>-31687</v>
      </c>
      <c r="B133" s="2" t="s">
        <v>2723</v>
      </c>
      <c r="C133" s="2" t="s">
        <v>17545</v>
      </c>
      <c r="D133" s="3">
        <v>4</v>
      </c>
      <c r="E133" s="3">
        <v>9</v>
      </c>
      <c r="F133" s="3" t="str">
        <f>HYPERLINK("https://www.boe.es/gazeta/dias/1813/03/29/pdfs/GMD-1813-88.pdf","Abrir PDF")</f>
        <v>Abrir PDF</v>
      </c>
    </row>
    <row r="134" spans="1:6" ht="31.05" customHeight="1">
      <c r="A134" s="6">
        <v>-31686</v>
      </c>
      <c r="B134" s="2" t="s">
        <v>7037</v>
      </c>
      <c r="C134" s="2" t="s">
        <v>17546</v>
      </c>
      <c r="D134" s="3">
        <v>4</v>
      </c>
      <c r="E134" s="3">
        <v>8</v>
      </c>
      <c r="F134" s="3" t="str">
        <f>HYPERLINK("https://www.boe.es/gazeta/dias/1813/03/30/pdfs/GMD-1813-89.pdf","Abrir PDF")</f>
        <v>Abrir PDF</v>
      </c>
    </row>
    <row r="135" spans="1:6" ht="31.05" customHeight="1">
      <c r="A135" s="6">
        <v>-31686</v>
      </c>
      <c r="B135" s="2" t="s">
        <v>372</v>
      </c>
      <c r="C135" s="2" t="s">
        <v>17547</v>
      </c>
      <c r="D135" s="3">
        <v>8</v>
      </c>
      <c r="E135" s="3">
        <v>16</v>
      </c>
      <c r="F135" s="3" t="str">
        <f>HYPERLINK("https://www.boe.es/gazeta/dias/1813/03/30/pdfs/GRE-1813-39.pdf","Abrir PDF")</f>
        <v>Abrir PDF</v>
      </c>
    </row>
    <row r="136" spans="1:6" ht="31.05" customHeight="1">
      <c r="A136" s="6">
        <v>-31685</v>
      </c>
      <c r="B136" s="2" t="s">
        <v>2671</v>
      </c>
      <c r="C136" s="2" t="s">
        <v>17548</v>
      </c>
      <c r="D136" s="3">
        <v>4</v>
      </c>
      <c r="E136" s="3">
        <v>8</v>
      </c>
      <c r="F136" s="3" t="str">
        <f>HYPERLINK("https://www.boe.es/gazeta/dias/1813/03/31/pdfs/GMD-1813-90.pdf","Abrir PDF")</f>
        <v>Abrir PDF</v>
      </c>
    </row>
    <row r="137" spans="1:6" ht="31.05" customHeight="1">
      <c r="A137" s="6">
        <v>-31684</v>
      </c>
      <c r="B137" s="2" t="s">
        <v>2053</v>
      </c>
      <c r="C137" s="2" t="s">
        <v>17549</v>
      </c>
      <c r="D137" s="3">
        <v>4</v>
      </c>
      <c r="E137" s="3">
        <v>5</v>
      </c>
      <c r="F137" s="3" t="str">
        <f>HYPERLINK("https://www.boe.es/gazeta/dias/1813/04/01/pdfs/GMD-1813-91.pdf","Abrir PDF")</f>
        <v>Abrir PDF</v>
      </c>
    </row>
    <row r="138" spans="1:6" ht="31.05" customHeight="1">
      <c r="A138" s="6">
        <v>-31684</v>
      </c>
      <c r="B138" s="2" t="s">
        <v>427</v>
      </c>
      <c r="C138" s="2" t="s">
        <v>17550</v>
      </c>
      <c r="D138" s="3">
        <v>8</v>
      </c>
      <c r="E138" s="3">
        <v>27</v>
      </c>
      <c r="F138" s="3" t="str">
        <f>HYPERLINK("https://www.boe.es/gazeta/dias/1813/04/01/pdfs/GRE-1813-40.pdf","Abrir PDF")</f>
        <v>Abrir PDF</v>
      </c>
    </row>
    <row r="139" spans="1:6" ht="31.05" customHeight="1">
      <c r="A139" s="6">
        <v>-31683</v>
      </c>
      <c r="B139" s="2" t="s">
        <v>1213</v>
      </c>
      <c r="C139" s="2" t="s">
        <v>17551</v>
      </c>
      <c r="D139" s="3">
        <v>4</v>
      </c>
      <c r="E139" s="3">
        <v>9</v>
      </c>
      <c r="F139" s="3" t="str">
        <f>HYPERLINK("https://www.boe.es/gazeta/dias/1813/04/02/pdfs/GMD-1813-92.pdf","Abrir PDF")</f>
        <v>Abrir PDF</v>
      </c>
    </row>
    <row r="140" spans="1:6" ht="31.05" customHeight="1">
      <c r="A140" s="6">
        <v>-31682</v>
      </c>
      <c r="B140" s="2" t="s">
        <v>6815</v>
      </c>
      <c r="C140" s="2" t="s">
        <v>17552</v>
      </c>
      <c r="D140" s="3">
        <v>4</v>
      </c>
      <c r="E140" s="3">
        <v>5</v>
      </c>
      <c r="F140" s="3" t="str">
        <f>HYPERLINK("https://www.boe.es/gazeta/dias/1813/04/03/pdfs/GMD-1813-93.pdf","Abrir PDF")</f>
        <v>Abrir PDF</v>
      </c>
    </row>
    <row r="141" spans="1:6" ht="31.05" customHeight="1">
      <c r="A141" s="6">
        <v>-31682</v>
      </c>
      <c r="B141" s="2" t="s">
        <v>5159</v>
      </c>
      <c r="C141" s="2" t="s">
        <v>17553</v>
      </c>
      <c r="D141" s="3">
        <v>8</v>
      </c>
      <c r="E141" s="3">
        <v>11</v>
      </c>
      <c r="F141" s="3" t="str">
        <f>HYPERLINK("https://www.boe.es/gazeta/dias/1813/04/03/pdfs/GRE-1813-41.pdf","Abrir PDF")</f>
        <v>Abrir PDF</v>
      </c>
    </row>
    <row r="142" spans="1:6" ht="31.05" customHeight="1">
      <c r="A142" s="6">
        <v>-31681</v>
      </c>
      <c r="B142" s="2" t="s">
        <v>925</v>
      </c>
      <c r="C142" s="2" t="s">
        <v>17554</v>
      </c>
      <c r="D142" s="3">
        <v>4</v>
      </c>
      <c r="E142" s="3">
        <v>9</v>
      </c>
      <c r="F142" s="3" t="str">
        <f>HYPERLINK("https://www.boe.es/gazeta/dias/1813/04/04/pdfs/GMD-1813-94.pdf","Abrir PDF")</f>
        <v>Abrir PDF</v>
      </c>
    </row>
    <row r="143" spans="1:6" ht="31.05" customHeight="1">
      <c r="A143" s="6">
        <v>-31680</v>
      </c>
      <c r="B143" s="2" t="s">
        <v>4851</v>
      </c>
      <c r="C143" s="2" t="s">
        <v>17555</v>
      </c>
      <c r="D143" s="3">
        <v>4</v>
      </c>
      <c r="E143" s="3">
        <v>7</v>
      </c>
      <c r="F143" s="3" t="str">
        <f>HYPERLINK("https://www.boe.es/gazeta/dias/1813/04/05/pdfs/GMD-1813-95.pdf","Abrir PDF")</f>
        <v>Abrir PDF</v>
      </c>
    </row>
    <row r="144" spans="1:6" ht="31.05" customHeight="1">
      <c r="A144" s="6">
        <v>-31679</v>
      </c>
      <c r="B144" s="2" t="s">
        <v>6334</v>
      </c>
      <c r="C144" s="2" t="s">
        <v>17556</v>
      </c>
      <c r="D144" s="3">
        <v>4</v>
      </c>
      <c r="E144" s="3">
        <v>4</v>
      </c>
      <c r="F144" s="3" t="str">
        <f>HYPERLINK("https://www.boe.es/gazeta/dias/1813/04/06/pdfs/GMD-1813-96.pdf","Abrir PDF")</f>
        <v>Abrir PDF</v>
      </c>
    </row>
    <row r="145" spans="1:6" ht="31.05" customHeight="1">
      <c r="A145" s="6">
        <v>-31679</v>
      </c>
      <c r="B145" s="2" t="s">
        <v>571</v>
      </c>
      <c r="C145" s="2" t="s">
        <v>17557</v>
      </c>
      <c r="D145" s="3">
        <v>8</v>
      </c>
      <c r="E145" s="3">
        <v>24</v>
      </c>
      <c r="F145" s="3" t="str">
        <f>HYPERLINK("https://www.boe.es/gazeta/dias/1813/04/06/pdfs/GRE-1813-42.pdf","Abrir PDF")</f>
        <v>Abrir PDF</v>
      </c>
    </row>
    <row r="146" spans="1:6" ht="31.05" customHeight="1">
      <c r="A146" s="6">
        <v>-31678</v>
      </c>
      <c r="B146" s="2" t="s">
        <v>8495</v>
      </c>
      <c r="C146" s="2" t="s">
        <v>17558</v>
      </c>
      <c r="D146" s="3">
        <v>4</v>
      </c>
      <c r="E146" s="3">
        <v>7</v>
      </c>
      <c r="F146" s="3" t="str">
        <f>HYPERLINK("https://www.boe.es/gazeta/dias/1813/04/07/pdfs/GMD-1813-97.pdf","Abrir PDF")</f>
        <v>Abrir PDF</v>
      </c>
    </row>
    <row r="147" spans="1:6" ht="31.05" customHeight="1">
      <c r="A147" s="6">
        <v>-31677</v>
      </c>
      <c r="B147" s="2" t="s">
        <v>4220</v>
      </c>
      <c r="C147" s="2" t="s">
        <v>17559</v>
      </c>
      <c r="D147" s="3">
        <v>4</v>
      </c>
      <c r="E147" s="3">
        <v>4</v>
      </c>
      <c r="F147" s="3" t="str">
        <f>HYPERLINK("https://www.boe.es/gazeta/dias/1813/04/08/pdfs/GMD-1813-98.pdf","Abrir PDF")</f>
        <v>Abrir PDF</v>
      </c>
    </row>
    <row r="148" spans="1:6" ht="31.05" customHeight="1">
      <c r="A148" s="6">
        <v>-31677</v>
      </c>
      <c r="B148" s="2" t="s">
        <v>76</v>
      </c>
      <c r="C148" s="2" t="s">
        <v>17560</v>
      </c>
      <c r="D148" s="3">
        <v>8</v>
      </c>
      <c r="E148" s="3">
        <v>109</v>
      </c>
      <c r="F148" s="3" t="str">
        <f>HYPERLINK("https://www.boe.es/gazeta/dias/1813/04/08/pdfs/GRE-1813-43.pdf","Abrir PDF")</f>
        <v>Abrir PDF</v>
      </c>
    </row>
    <row r="149" spans="1:6" ht="31.05" customHeight="1">
      <c r="A149" s="6">
        <v>-31676</v>
      </c>
      <c r="B149" s="2" t="s">
        <v>3907</v>
      </c>
      <c r="C149" s="2" t="s">
        <v>17561</v>
      </c>
      <c r="D149" s="3">
        <v>4</v>
      </c>
      <c r="E149" s="3">
        <v>3</v>
      </c>
      <c r="F149" s="3" t="str">
        <f>HYPERLINK("https://www.boe.es/gazeta/dias/1813/04/09/pdfs/GMD-1813-99.pdf","Abrir PDF")</f>
        <v>Abrir PDF</v>
      </c>
    </row>
    <row r="150" spans="1:6" ht="31.05" customHeight="1">
      <c r="A150" s="6">
        <v>-31675</v>
      </c>
      <c r="B150" s="2" t="s">
        <v>2552</v>
      </c>
      <c r="C150" s="2" t="s">
        <v>17562</v>
      </c>
      <c r="D150" s="3">
        <v>4</v>
      </c>
      <c r="E150" s="3">
        <v>14</v>
      </c>
      <c r="F150" s="3" t="str">
        <f>HYPERLINK("https://www.boe.es/gazeta/dias/1813/04/10/pdfs/GMD-1813-100.pdf","Abrir PDF")</f>
        <v>Abrir PDF</v>
      </c>
    </row>
    <row r="151" spans="1:6" ht="31.05" customHeight="1">
      <c r="A151" s="6">
        <v>-31675</v>
      </c>
      <c r="B151" s="2" t="s">
        <v>27</v>
      </c>
      <c r="C151" s="2" t="s">
        <v>17563</v>
      </c>
      <c r="D151" s="3">
        <v>8</v>
      </c>
      <c r="E151" s="3">
        <v>67</v>
      </c>
      <c r="F151" s="3" t="str">
        <f>HYPERLINK("https://www.boe.es/gazeta/dias/1813/04/10/pdfs/GRE-1813-44.pdf","Abrir PDF")</f>
        <v>Abrir PDF</v>
      </c>
    </row>
    <row r="152" spans="1:6" ht="31.05" customHeight="1">
      <c r="A152" s="6">
        <v>-31674</v>
      </c>
      <c r="B152" s="2" t="s">
        <v>2773</v>
      </c>
      <c r="C152" s="2" t="s">
        <v>17564</v>
      </c>
      <c r="D152" s="3">
        <v>4</v>
      </c>
      <c r="E152" s="3">
        <v>9</v>
      </c>
      <c r="F152" s="3" t="str">
        <f>HYPERLINK("https://www.boe.es/gazeta/dias/1813/04/11/pdfs/GMD-1813-101.pdf","Abrir PDF")</f>
        <v>Abrir PDF</v>
      </c>
    </row>
    <row r="153" spans="1:6" ht="31.05" customHeight="1">
      <c r="A153" s="6">
        <v>-31673</v>
      </c>
      <c r="B153" s="2" t="s">
        <v>2764</v>
      </c>
      <c r="C153" s="2" t="s">
        <v>17565</v>
      </c>
      <c r="D153" s="3">
        <v>4</v>
      </c>
      <c r="E153" s="3">
        <v>2</v>
      </c>
      <c r="F153" s="3" t="str">
        <f>HYPERLINK("https://www.boe.es/gazeta/dias/1813/04/12/pdfs/GMD-1813-102.pdf","Abrir PDF")</f>
        <v>Abrir PDF</v>
      </c>
    </row>
    <row r="154" spans="1:6" ht="31.05" customHeight="1">
      <c r="A154" s="6">
        <v>-31672</v>
      </c>
      <c r="B154" s="2" t="s">
        <v>3964</v>
      </c>
      <c r="C154" s="2" t="s">
        <v>17566</v>
      </c>
      <c r="D154" s="3">
        <v>4</v>
      </c>
      <c r="E154" s="3">
        <v>5</v>
      </c>
      <c r="F154" s="3" t="str">
        <f>HYPERLINK("https://www.boe.es/gazeta/dias/1813/04/13/pdfs/GMD-1813-103.pdf","Abrir PDF")</f>
        <v>Abrir PDF</v>
      </c>
    </row>
    <row r="155" spans="1:6" ht="31.05" customHeight="1">
      <c r="A155" s="6">
        <v>-31672</v>
      </c>
      <c r="B155" s="2" t="s">
        <v>238</v>
      </c>
      <c r="C155" s="2" t="s">
        <v>17567</v>
      </c>
      <c r="D155" s="3">
        <v>8</v>
      </c>
      <c r="E155" s="3">
        <v>9</v>
      </c>
      <c r="F155" s="3" t="str">
        <f>HYPERLINK("https://www.boe.es/gazeta/dias/1813/04/13/pdfs/GRE-1813-45.pdf","Abrir PDF")</f>
        <v>Abrir PDF</v>
      </c>
    </row>
    <row r="156" spans="1:6" ht="31.05" customHeight="1">
      <c r="A156" s="6">
        <v>-31671</v>
      </c>
      <c r="B156" s="2" t="s">
        <v>8567</v>
      </c>
      <c r="C156" s="2" t="s">
        <v>17568</v>
      </c>
      <c r="D156" s="3">
        <v>4</v>
      </c>
      <c r="E156" s="3">
        <v>4</v>
      </c>
      <c r="F156" s="3" t="str">
        <f>HYPERLINK("https://www.boe.es/gazeta/dias/1813/04/14/pdfs/GMD-1813-104.pdf","Abrir PDF")</f>
        <v>Abrir PDF</v>
      </c>
    </row>
    <row r="157" spans="1:6" ht="31.05" customHeight="1">
      <c r="A157" s="6">
        <v>-31670</v>
      </c>
      <c r="B157" s="2" t="s">
        <v>15874</v>
      </c>
      <c r="C157" s="2" t="s">
        <v>17569</v>
      </c>
      <c r="D157" s="3">
        <v>4</v>
      </c>
      <c r="E157" s="3">
        <v>1</v>
      </c>
      <c r="F157" s="3" t="str">
        <f>HYPERLINK("https://www.boe.es/gazeta/dias/1813/04/15/pdfs/GMD-1813-105.pdf","Abrir PDF")</f>
        <v>Abrir PDF</v>
      </c>
    </row>
    <row r="158" spans="1:6" ht="31.05" customHeight="1">
      <c r="A158" s="6">
        <v>-31670</v>
      </c>
      <c r="B158" s="2" t="s">
        <v>92</v>
      </c>
      <c r="C158" s="2" t="s">
        <v>17570</v>
      </c>
      <c r="D158" s="3">
        <v>8</v>
      </c>
      <c r="E158" s="3">
        <v>13</v>
      </c>
      <c r="F158" s="3" t="str">
        <f>HYPERLINK("https://www.boe.es/gazeta/dias/1813/04/15/pdfs/GRE-1813-46.pdf","Abrir PDF")</f>
        <v>Abrir PDF</v>
      </c>
    </row>
    <row r="159" spans="1:6" ht="31.05" customHeight="1">
      <c r="A159" s="6">
        <v>-31670</v>
      </c>
      <c r="B159" s="2" t="s">
        <v>98</v>
      </c>
      <c r="C159" s="2" t="s">
        <v>17571</v>
      </c>
      <c r="D159" s="3">
        <v>8</v>
      </c>
      <c r="E159" s="3">
        <v>17</v>
      </c>
      <c r="F159" s="3" t="str">
        <f>HYPERLINK("https://www.boe.es/gazeta/dias/1813/04/15/pdfs/GRE-1813-47E.pdf","Abrir PDF")</f>
        <v>Abrir PDF</v>
      </c>
    </row>
    <row r="160" spans="1:6" ht="31.05" customHeight="1">
      <c r="A160" s="6">
        <v>-31669</v>
      </c>
      <c r="B160" s="2" t="s">
        <v>1570</v>
      </c>
      <c r="C160" s="2" t="s">
        <v>17572</v>
      </c>
      <c r="D160" s="3">
        <v>4</v>
      </c>
      <c r="E160" s="3">
        <v>6</v>
      </c>
      <c r="F160" s="3" t="str">
        <f>HYPERLINK("https://www.boe.es/gazeta/dias/1813/04/16/pdfs/GMD-1813-106.pdf","Abrir PDF")</f>
        <v>Abrir PDF</v>
      </c>
    </row>
    <row r="161" spans="1:6" ht="31.05" customHeight="1">
      <c r="A161" s="6">
        <v>-31668</v>
      </c>
      <c r="B161" s="2" t="s">
        <v>53</v>
      </c>
      <c r="C161" s="2" t="s">
        <v>17573</v>
      </c>
      <c r="D161" s="3">
        <v>4</v>
      </c>
      <c r="E161" s="3">
        <v>3</v>
      </c>
      <c r="F161" s="3" t="str">
        <f>HYPERLINK("https://www.boe.es/gazeta/dias/1813/04/17/pdfs/GMD-1813-107.pdf","Abrir PDF")</f>
        <v>Abrir PDF</v>
      </c>
    </row>
    <row r="162" spans="1:6" ht="31.05" customHeight="1">
      <c r="A162" s="6">
        <v>-31668</v>
      </c>
      <c r="B162" s="2" t="s">
        <v>574</v>
      </c>
      <c r="C162" s="2" t="s">
        <v>17574</v>
      </c>
      <c r="D162" s="3">
        <v>8</v>
      </c>
      <c r="E162" s="3">
        <v>25</v>
      </c>
      <c r="F162" s="3" t="str">
        <f>HYPERLINK("https://www.boe.es/gazeta/dias/1813/04/17/pdfs/GRE-1813-48.pdf","Abrir PDF")</f>
        <v>Abrir PDF</v>
      </c>
    </row>
    <row r="163" spans="1:6" ht="31.05" customHeight="1">
      <c r="A163" s="6">
        <v>-31667</v>
      </c>
      <c r="B163" s="2" t="s">
        <v>3712</v>
      </c>
      <c r="C163" s="2" t="s">
        <v>17575</v>
      </c>
      <c r="D163" s="3">
        <v>4</v>
      </c>
      <c r="E163" s="3">
        <v>10</v>
      </c>
      <c r="F163" s="3" t="str">
        <f>HYPERLINK("https://www.boe.es/gazeta/dias/1813/04/18/pdfs/GMD-1813-108.pdf","Abrir PDF")</f>
        <v>Abrir PDF</v>
      </c>
    </row>
    <row r="164" spans="1:6" ht="31.05" customHeight="1">
      <c r="A164" s="6">
        <v>-31666</v>
      </c>
      <c r="B164" s="2" t="s">
        <v>17576</v>
      </c>
      <c r="C164" s="2" t="s">
        <v>17577</v>
      </c>
      <c r="D164" s="3">
        <v>4</v>
      </c>
      <c r="E164" s="3">
        <v>0</v>
      </c>
      <c r="F164" s="3" t="str">
        <f>HYPERLINK("https://www.boe.es/gazeta/dias/1813/04/19/pdfs/GMD-1813-109.pdf","Abrir PDF")</f>
        <v>Abrir PDF</v>
      </c>
    </row>
    <row r="165" spans="1:6" ht="31.05" customHeight="1">
      <c r="A165" s="6">
        <v>-31665</v>
      </c>
      <c r="B165" s="2" t="s">
        <v>966</v>
      </c>
      <c r="C165" s="2" t="s">
        <v>17578</v>
      </c>
      <c r="D165" s="3">
        <v>4</v>
      </c>
      <c r="E165" s="3">
        <v>4</v>
      </c>
      <c r="F165" s="3" t="str">
        <f>HYPERLINK("https://www.boe.es/gazeta/dias/1813/04/20/pdfs/GMD-1813-110.pdf","Abrir PDF")</f>
        <v>Abrir PDF</v>
      </c>
    </row>
    <row r="166" spans="1:6" ht="31.05" customHeight="1">
      <c r="A166" s="6">
        <v>-31665</v>
      </c>
      <c r="B166" s="2" t="s">
        <v>396</v>
      </c>
      <c r="C166" s="2" t="s">
        <v>17579</v>
      </c>
      <c r="D166" s="3">
        <v>8</v>
      </c>
      <c r="E166" s="3">
        <v>13</v>
      </c>
      <c r="F166" s="3" t="str">
        <f>HYPERLINK("https://www.boe.es/gazeta/dias/1813/04/20/pdfs/GRE-1813-49.pdf","Abrir PDF")</f>
        <v>Abrir PDF</v>
      </c>
    </row>
    <row r="167" spans="1:6" ht="31.05" customHeight="1">
      <c r="A167" s="6">
        <v>-31664</v>
      </c>
      <c r="B167" s="2" t="s">
        <v>1144</v>
      </c>
      <c r="C167" s="2" t="s">
        <v>17580</v>
      </c>
      <c r="D167" s="3">
        <v>4</v>
      </c>
      <c r="E167" s="3">
        <v>8</v>
      </c>
      <c r="F167" s="3" t="str">
        <f>HYPERLINK("https://www.boe.es/gazeta/dias/1813/04/21/pdfs/GMD-1813-111.pdf","Abrir PDF")</f>
        <v>Abrir PDF</v>
      </c>
    </row>
    <row r="168" spans="1:6" ht="31.05" customHeight="1">
      <c r="A168" s="6">
        <v>-31663</v>
      </c>
      <c r="B168" s="2" t="s">
        <v>871</v>
      </c>
      <c r="C168" s="2" t="s">
        <v>17581</v>
      </c>
      <c r="D168" s="3">
        <v>4</v>
      </c>
      <c r="E168" s="3">
        <v>14</v>
      </c>
      <c r="F168" s="3" t="str">
        <f>HYPERLINK("https://www.boe.es/gazeta/dias/1813/04/22/pdfs/GMD-1813-112.pdf","Abrir PDF")</f>
        <v>Abrir PDF</v>
      </c>
    </row>
    <row r="169" spans="1:6" ht="31.05" customHeight="1">
      <c r="A169" s="6">
        <v>-31663</v>
      </c>
      <c r="B169" s="2" t="s">
        <v>2638</v>
      </c>
      <c r="C169" s="2" t="s">
        <v>17582</v>
      </c>
      <c r="D169" s="3">
        <v>8</v>
      </c>
      <c r="E169" s="3">
        <v>14</v>
      </c>
      <c r="F169" s="3" t="str">
        <f>HYPERLINK("https://www.boe.es/gazeta/dias/1813/04/22/pdfs/GRE-1813-50.pdf","Abrir PDF")</f>
        <v>Abrir PDF</v>
      </c>
    </row>
    <row r="170" spans="1:6" ht="31.05" customHeight="1">
      <c r="A170" s="6">
        <v>-31662</v>
      </c>
      <c r="B170" s="2" t="s">
        <v>8038</v>
      </c>
      <c r="C170" s="2" t="s">
        <v>17583</v>
      </c>
      <c r="D170" s="3">
        <v>4</v>
      </c>
      <c r="E170" s="3">
        <v>6</v>
      </c>
      <c r="F170" s="3" t="str">
        <f>HYPERLINK("https://www.boe.es/gazeta/dias/1813/04/23/pdfs/GMD-1813-113.pdf","Abrir PDF")</f>
        <v>Abrir PDF</v>
      </c>
    </row>
    <row r="171" spans="1:6" ht="31.05" customHeight="1">
      <c r="A171" s="6">
        <v>-31661</v>
      </c>
      <c r="B171" s="2" t="s">
        <v>5131</v>
      </c>
      <c r="C171" s="2" t="s">
        <v>17584</v>
      </c>
      <c r="D171" s="3">
        <v>4</v>
      </c>
      <c r="E171" s="3">
        <v>4</v>
      </c>
      <c r="F171" s="3" t="str">
        <f>HYPERLINK("https://www.boe.es/gazeta/dias/1813/04/24/pdfs/GMD-1813-114.pdf","Abrir PDF")</f>
        <v>Abrir PDF</v>
      </c>
    </row>
    <row r="172" spans="1:6" ht="31.05" customHeight="1">
      <c r="A172" s="6">
        <v>-31661</v>
      </c>
      <c r="B172" s="2" t="s">
        <v>6643</v>
      </c>
      <c r="C172" s="2" t="s">
        <v>17585</v>
      </c>
      <c r="D172" s="3">
        <v>8</v>
      </c>
      <c r="E172" s="3">
        <v>11</v>
      </c>
      <c r="F172" s="3" t="str">
        <f>HYPERLINK("https://www.boe.es/gazeta/dias/1813/04/24/pdfs/GRE-1813-51.pdf","Abrir PDF")</f>
        <v>Abrir PDF</v>
      </c>
    </row>
    <row r="173" spans="1:6" ht="31.05" customHeight="1">
      <c r="A173" s="6">
        <v>-31660</v>
      </c>
      <c r="B173" s="2" t="s">
        <v>1632</v>
      </c>
      <c r="C173" s="2" t="s">
        <v>17586</v>
      </c>
      <c r="D173" s="3">
        <v>4</v>
      </c>
      <c r="E173" s="3">
        <v>11</v>
      </c>
      <c r="F173" s="3" t="str">
        <f>HYPERLINK("https://www.boe.es/gazeta/dias/1813/04/25/pdfs/GMD-1813-115.pdf","Abrir PDF")</f>
        <v>Abrir PDF</v>
      </c>
    </row>
    <row r="174" spans="1:6" ht="31.05" customHeight="1">
      <c r="A174" s="6">
        <v>-31659</v>
      </c>
      <c r="B174" s="2" t="s">
        <v>3041</v>
      </c>
      <c r="C174" s="2" t="s">
        <v>17587</v>
      </c>
      <c r="D174" s="3">
        <v>4</v>
      </c>
      <c r="E174" s="3">
        <v>23</v>
      </c>
      <c r="F174" s="3" t="str">
        <f>HYPERLINK("https://www.boe.es/gazeta/dias/1813/04/26/pdfs/GMD-1813-116.pdf","Abrir PDF")</f>
        <v>Abrir PDF</v>
      </c>
    </row>
    <row r="175" spans="1:6" ht="31.05" customHeight="1">
      <c r="A175" s="6">
        <v>-31658</v>
      </c>
      <c r="B175" s="2" t="s">
        <v>1654</v>
      </c>
      <c r="C175" s="2" t="s">
        <v>17588</v>
      </c>
      <c r="D175" s="3">
        <v>4</v>
      </c>
      <c r="E175" s="3">
        <v>10</v>
      </c>
      <c r="F175" s="3" t="str">
        <f>HYPERLINK("https://www.boe.es/gazeta/dias/1813/04/27/pdfs/GMD-1813-117.pdf","Abrir PDF")</f>
        <v>Abrir PDF</v>
      </c>
    </row>
    <row r="176" spans="1:6" ht="31.05" customHeight="1">
      <c r="A176" s="6">
        <v>-31658</v>
      </c>
      <c r="B176" s="2" t="s">
        <v>1113</v>
      </c>
      <c r="C176" s="2" t="s">
        <v>17589</v>
      </c>
      <c r="D176" s="3">
        <v>8</v>
      </c>
      <c r="E176" s="3">
        <v>31</v>
      </c>
      <c r="F176" s="3" t="str">
        <f>HYPERLINK("https://www.boe.es/gazeta/dias/1813/04/27/pdfs/GRE-1813-52.pdf","Abrir PDF")</f>
        <v>Abrir PDF</v>
      </c>
    </row>
    <row r="177" spans="1:6" ht="31.05" customHeight="1">
      <c r="A177" s="6">
        <v>-31657</v>
      </c>
      <c r="B177" s="2" t="s">
        <v>988</v>
      </c>
      <c r="C177" s="2" t="s">
        <v>17590</v>
      </c>
      <c r="D177" s="3">
        <v>4</v>
      </c>
      <c r="E177" s="3">
        <v>10</v>
      </c>
      <c r="F177" s="3" t="str">
        <f>HYPERLINK("https://www.boe.es/gazeta/dias/1813/04/28/pdfs/GMD-1813-118.pdf","Abrir PDF")</f>
        <v>Abrir PDF</v>
      </c>
    </row>
    <row r="178" spans="1:6" ht="31.05" customHeight="1">
      <c r="A178" s="6">
        <v>-31656</v>
      </c>
      <c r="B178" s="2" t="s">
        <v>415</v>
      </c>
      <c r="C178" s="2" t="s">
        <v>17591</v>
      </c>
      <c r="D178" s="3">
        <v>4</v>
      </c>
      <c r="E178" s="3">
        <v>8</v>
      </c>
      <c r="F178" s="3" t="str">
        <f>HYPERLINK("https://www.boe.es/gazeta/dias/1813/04/29/pdfs/GMD-1813-119.pdf","Abrir PDF")</f>
        <v>Abrir PDF</v>
      </c>
    </row>
    <row r="179" spans="1:6" ht="31.05" customHeight="1">
      <c r="A179" s="6">
        <v>-31656</v>
      </c>
      <c r="B179" s="2" t="s">
        <v>576</v>
      </c>
      <c r="C179" s="2" t="s">
        <v>17592</v>
      </c>
      <c r="D179" s="3">
        <v>8</v>
      </c>
      <c r="E179" s="3">
        <v>15</v>
      </c>
      <c r="F179" s="3" t="str">
        <f>HYPERLINK("https://www.boe.es/gazeta/dias/1813/04/29/pdfs/GRE-1813-53.pdf","Abrir PDF")</f>
        <v>Abrir PDF</v>
      </c>
    </row>
    <row r="180" spans="1:6" ht="31.05" customHeight="1">
      <c r="A180" s="6">
        <v>-31655</v>
      </c>
      <c r="B180" s="2" t="s">
        <v>858</v>
      </c>
      <c r="C180" s="2" t="s">
        <v>17593</v>
      </c>
      <c r="D180" s="3">
        <v>4</v>
      </c>
      <c r="E180" s="3">
        <v>17</v>
      </c>
      <c r="F180" s="3" t="str">
        <f>HYPERLINK("https://www.boe.es/gazeta/dias/1813/04/30/pdfs/GMD-1813-120.pdf","Abrir PDF")</f>
        <v>Abrir PDF</v>
      </c>
    </row>
    <row r="181" spans="1:6" ht="31.05" customHeight="1">
      <c r="A181" s="6">
        <v>-31654</v>
      </c>
      <c r="B181" s="2" t="s">
        <v>852</v>
      </c>
      <c r="C181" s="2" t="s">
        <v>17594</v>
      </c>
      <c r="D181" s="3">
        <v>4</v>
      </c>
      <c r="E181" s="3">
        <v>10</v>
      </c>
      <c r="F181" s="3" t="str">
        <f>HYPERLINK("https://www.boe.es/gazeta/dias/1813/05/01/pdfs/GMD-1813-121.pdf","Abrir PDF")</f>
        <v>Abrir PDF</v>
      </c>
    </row>
    <row r="182" spans="1:6" ht="31.05" customHeight="1">
      <c r="A182" s="6">
        <v>-31654</v>
      </c>
      <c r="B182" s="2" t="s">
        <v>1519</v>
      </c>
      <c r="C182" s="2" t="s">
        <v>17595</v>
      </c>
      <c r="D182" s="3">
        <v>8</v>
      </c>
      <c r="E182" s="3">
        <v>32</v>
      </c>
      <c r="F182" s="3" t="str">
        <f>HYPERLINK("https://www.boe.es/gazeta/dias/1813/05/01/pdfs/GRE-1813-54.pdf","Abrir PDF")</f>
        <v>Abrir PDF</v>
      </c>
    </row>
    <row r="183" spans="1:6" ht="31.05" customHeight="1">
      <c r="A183" s="6">
        <v>-31653</v>
      </c>
      <c r="B183" s="2" t="s">
        <v>3121</v>
      </c>
      <c r="C183" s="2" t="s">
        <v>17596</v>
      </c>
      <c r="D183" s="3">
        <v>4</v>
      </c>
      <c r="E183" s="3">
        <v>13</v>
      </c>
      <c r="F183" s="3" t="str">
        <f>HYPERLINK("https://www.boe.es/gazeta/dias/1813/05/02/pdfs/GMD-1813-122.pdf","Abrir PDF")</f>
        <v>Abrir PDF</v>
      </c>
    </row>
    <row r="184" spans="1:6" ht="31.05" customHeight="1">
      <c r="A184" s="6">
        <v>-31652</v>
      </c>
      <c r="B184" s="2" t="s">
        <v>3062</v>
      </c>
      <c r="C184" s="2" t="s">
        <v>17597</v>
      </c>
      <c r="D184" s="3">
        <v>4</v>
      </c>
      <c r="E184" s="3">
        <v>5</v>
      </c>
      <c r="F184" s="3" t="str">
        <f>HYPERLINK("https://www.boe.es/gazeta/dias/1813/05/03/pdfs/GMD-1813-123.pdf","Abrir PDF")</f>
        <v>Abrir PDF</v>
      </c>
    </row>
    <row r="185" spans="1:6" ht="31.05" customHeight="1">
      <c r="A185" s="6">
        <v>-31651</v>
      </c>
      <c r="B185" s="2" t="s">
        <v>1553</v>
      </c>
      <c r="C185" s="2" t="s">
        <v>17598</v>
      </c>
      <c r="D185" s="3">
        <v>4</v>
      </c>
      <c r="E185" s="3">
        <v>5</v>
      </c>
      <c r="F185" s="3" t="str">
        <f>HYPERLINK("https://www.boe.es/gazeta/dias/1813/05/04/pdfs/GMD-1813-124.pdf","Abrir PDF")</f>
        <v>Abrir PDF</v>
      </c>
    </row>
    <row r="186" spans="1:6" ht="31.05" customHeight="1">
      <c r="A186" s="6">
        <v>-31651</v>
      </c>
      <c r="B186" s="2" t="s">
        <v>579</v>
      </c>
      <c r="C186" s="2" t="s">
        <v>17599</v>
      </c>
      <c r="D186" s="3">
        <v>8</v>
      </c>
      <c r="E186" s="3">
        <v>11</v>
      </c>
      <c r="F186" s="3" t="str">
        <f>HYPERLINK("https://www.boe.es/gazeta/dias/1813/05/04/pdfs/GRE-1813-55.pdf","Abrir PDF")</f>
        <v>Abrir PDF</v>
      </c>
    </row>
    <row r="187" spans="1:6" ht="31.05" customHeight="1">
      <c r="A187" s="6">
        <v>-31650</v>
      </c>
      <c r="B187" s="2" t="s">
        <v>3403</v>
      </c>
      <c r="C187" s="2" t="s">
        <v>17600</v>
      </c>
      <c r="D187" s="3">
        <v>4</v>
      </c>
      <c r="E187" s="3">
        <v>2</v>
      </c>
      <c r="F187" s="3" t="str">
        <f>HYPERLINK("https://www.boe.es/gazeta/dias/1813/05/05/pdfs/GMD-1813-125.pdf","Abrir PDF")</f>
        <v>Abrir PDF</v>
      </c>
    </row>
    <row r="188" spans="1:6" ht="31.05" customHeight="1">
      <c r="A188" s="6">
        <v>-31649</v>
      </c>
      <c r="B188" s="2" t="s">
        <v>3961</v>
      </c>
      <c r="C188" s="2" t="s">
        <v>17601</v>
      </c>
      <c r="D188" s="3">
        <v>4</v>
      </c>
      <c r="E188" s="3">
        <v>9</v>
      </c>
      <c r="F188" s="3" t="str">
        <f>HYPERLINK("https://www.boe.es/gazeta/dias/1813/05/06/pdfs/GMD-1813-126.pdf","Abrir PDF")</f>
        <v>Abrir PDF</v>
      </c>
    </row>
    <row r="189" spans="1:6" ht="31.05" customHeight="1">
      <c r="A189" s="6">
        <v>-31649</v>
      </c>
      <c r="B189" s="2" t="s">
        <v>1057</v>
      </c>
      <c r="C189" s="2" t="s">
        <v>17602</v>
      </c>
      <c r="D189" s="3">
        <v>8</v>
      </c>
      <c r="E189" s="3">
        <v>30</v>
      </c>
      <c r="F189" s="3" t="str">
        <f>HYPERLINK("https://www.boe.es/gazeta/dias/1813/05/06/pdfs/GRE-1813-56.pdf","Abrir PDF")</f>
        <v>Abrir PDF</v>
      </c>
    </row>
    <row r="190" spans="1:6" ht="31.05" customHeight="1">
      <c r="A190" s="6">
        <v>-31648</v>
      </c>
      <c r="B190" s="2" t="s">
        <v>3263</v>
      </c>
      <c r="C190" s="2" t="s">
        <v>17603</v>
      </c>
      <c r="D190" s="3">
        <v>4</v>
      </c>
      <c r="E190" s="3">
        <v>11</v>
      </c>
      <c r="F190" s="3" t="str">
        <f>HYPERLINK("https://www.boe.es/gazeta/dias/1813/05/07/pdfs/GMD-1813-127.pdf","Abrir PDF")</f>
        <v>Abrir PDF</v>
      </c>
    </row>
    <row r="191" spans="1:6" ht="31.05" customHeight="1">
      <c r="A191" s="6">
        <v>-31647</v>
      </c>
      <c r="B191" s="2" t="s">
        <v>5110</v>
      </c>
      <c r="C191" s="2" t="s">
        <v>17604</v>
      </c>
      <c r="D191" s="3">
        <v>4</v>
      </c>
      <c r="E191" s="3">
        <v>13</v>
      </c>
      <c r="F191" s="3" t="str">
        <f>HYPERLINK("https://www.boe.es/gazeta/dias/1813/05/08/pdfs/GMD-1813-128.pdf","Abrir PDF")</f>
        <v>Abrir PDF</v>
      </c>
    </row>
    <row r="192" spans="1:6" ht="31.05" customHeight="1">
      <c r="A192" s="6">
        <v>-31647</v>
      </c>
      <c r="B192" s="2" t="s">
        <v>1972</v>
      </c>
      <c r="C192" s="2" t="s">
        <v>17605</v>
      </c>
      <c r="D192" s="3">
        <v>8</v>
      </c>
      <c r="E192" s="3">
        <v>13</v>
      </c>
      <c r="F192" s="3" t="str">
        <f>HYPERLINK("https://www.boe.es/gazeta/dias/1813/05/08/pdfs/GRE-1813-57.pdf","Abrir PDF")</f>
        <v>Abrir PDF</v>
      </c>
    </row>
    <row r="193" spans="1:6" ht="31.05" customHeight="1">
      <c r="A193" s="6">
        <v>-31646</v>
      </c>
      <c r="B193" s="2" t="s">
        <v>1523</v>
      </c>
      <c r="C193" s="2" t="s">
        <v>17606</v>
      </c>
      <c r="D193" s="3">
        <v>4</v>
      </c>
      <c r="E193" s="3">
        <v>9</v>
      </c>
      <c r="F193" s="3" t="str">
        <f>HYPERLINK("https://www.boe.es/gazeta/dias/1813/05/09/pdfs/GMD-1813-129.pdf","Abrir PDF")</f>
        <v>Abrir PDF</v>
      </c>
    </row>
    <row r="194" spans="1:6" ht="31.05" customHeight="1">
      <c r="A194" s="6">
        <v>-31645</v>
      </c>
      <c r="B194" s="2" t="s">
        <v>4666</v>
      </c>
      <c r="C194" s="2" t="s">
        <v>17607</v>
      </c>
      <c r="D194" s="3">
        <v>4</v>
      </c>
      <c r="E194" s="3">
        <v>12</v>
      </c>
      <c r="F194" s="3" t="str">
        <f>HYPERLINK("https://www.boe.es/gazeta/dias/1813/05/10/pdfs/GMD-1813-130.pdf","Abrir PDF")</f>
        <v>Abrir PDF</v>
      </c>
    </row>
    <row r="195" spans="1:6" ht="31.05" customHeight="1">
      <c r="A195" s="6">
        <v>-31644</v>
      </c>
      <c r="B195" s="2" t="s">
        <v>1979</v>
      </c>
      <c r="C195" s="2" t="s">
        <v>17608</v>
      </c>
      <c r="D195" s="3">
        <v>4</v>
      </c>
      <c r="E195" s="3">
        <v>10</v>
      </c>
      <c r="F195" s="3" t="str">
        <f>HYPERLINK("https://www.boe.es/gazeta/dias/1813/05/11/pdfs/GMD-1813-131.pdf","Abrir PDF")</f>
        <v>Abrir PDF</v>
      </c>
    </row>
    <row r="196" spans="1:6" ht="31.05" customHeight="1">
      <c r="A196" s="6">
        <v>-31644</v>
      </c>
      <c r="B196" s="2" t="s">
        <v>3904</v>
      </c>
      <c r="C196" s="2" t="s">
        <v>17609</v>
      </c>
      <c r="D196" s="3">
        <v>8</v>
      </c>
      <c r="E196" s="3">
        <v>14</v>
      </c>
      <c r="F196" s="3" t="str">
        <f>HYPERLINK("https://www.boe.es/gazeta/dias/1813/05/11/pdfs/GRE-1813-58.pdf","Abrir PDF")</f>
        <v>Abrir PDF</v>
      </c>
    </row>
    <row r="197" spans="1:6" ht="31.05" customHeight="1">
      <c r="A197" s="6">
        <v>-31643</v>
      </c>
      <c r="B197" s="2" t="s">
        <v>2610</v>
      </c>
      <c r="C197" s="2" t="s">
        <v>17610</v>
      </c>
      <c r="D197" s="3">
        <v>4</v>
      </c>
      <c r="E197" s="3">
        <v>11</v>
      </c>
      <c r="F197" s="3" t="str">
        <f>HYPERLINK("https://www.boe.es/gazeta/dias/1813/05/12/pdfs/GMD-1813-132.pdf","Abrir PDF")</f>
        <v>Abrir PDF</v>
      </c>
    </row>
    <row r="198" spans="1:6" ht="31.05" customHeight="1">
      <c r="A198" s="6">
        <v>-31642</v>
      </c>
      <c r="B198" s="2" t="s">
        <v>2091</v>
      </c>
      <c r="C198" s="2" t="s">
        <v>17611</v>
      </c>
      <c r="D198" s="3">
        <v>4</v>
      </c>
      <c r="E198" s="3">
        <v>10</v>
      </c>
      <c r="F198" s="3" t="str">
        <f>HYPERLINK("https://www.boe.es/gazeta/dias/1813/05/13/pdfs/GMD-1813-133.pdf","Abrir PDF")</f>
        <v>Abrir PDF</v>
      </c>
    </row>
    <row r="199" spans="1:6" ht="31.05" customHeight="1">
      <c r="A199" s="6">
        <v>-31642</v>
      </c>
      <c r="B199" s="2" t="s">
        <v>582</v>
      </c>
      <c r="C199" s="2" t="s">
        <v>17612</v>
      </c>
      <c r="D199" s="3">
        <v>8</v>
      </c>
      <c r="E199" s="3">
        <v>17</v>
      </c>
      <c r="F199" s="3" t="str">
        <f>HYPERLINK("https://www.boe.es/gazeta/dias/1813/05/13/pdfs/GRE-1813-59.pdf","Abrir PDF")</f>
        <v>Abrir PDF</v>
      </c>
    </row>
    <row r="200" spans="1:6" ht="31.05" customHeight="1">
      <c r="A200" s="6">
        <v>-31641</v>
      </c>
      <c r="B200" s="2" t="s">
        <v>6522</v>
      </c>
      <c r="C200" s="2" t="s">
        <v>17613</v>
      </c>
      <c r="D200" s="3">
        <v>4</v>
      </c>
      <c r="E200" s="3">
        <v>10</v>
      </c>
      <c r="F200" s="3" t="str">
        <f>HYPERLINK("https://www.boe.es/gazeta/dias/1813/05/14/pdfs/GMD-1813-134.pdf","Abrir PDF")</f>
        <v>Abrir PDF</v>
      </c>
    </row>
    <row r="201" spans="1:6" ht="31.05" customHeight="1">
      <c r="A201" s="6">
        <v>-31640</v>
      </c>
      <c r="B201" s="2" t="s">
        <v>3174</v>
      </c>
      <c r="C201" s="2" t="s">
        <v>17614</v>
      </c>
      <c r="D201" s="3">
        <v>4</v>
      </c>
      <c r="E201" s="3">
        <v>9</v>
      </c>
      <c r="F201" s="3" t="str">
        <f>HYPERLINK("https://www.boe.es/gazeta/dias/1813/05/15/pdfs/GMD-1813-135.pdf","Abrir PDF")</f>
        <v>Abrir PDF</v>
      </c>
    </row>
    <row r="202" spans="1:6" ht="31.05" customHeight="1">
      <c r="A202" s="6">
        <v>-31640</v>
      </c>
      <c r="B202" s="2" t="s">
        <v>2392</v>
      </c>
      <c r="C202" s="2" t="s">
        <v>17615</v>
      </c>
      <c r="D202" s="3">
        <v>8</v>
      </c>
      <c r="E202" s="3">
        <v>17</v>
      </c>
      <c r="F202" s="3" t="str">
        <f>HYPERLINK("https://www.boe.es/gazeta/dias/1813/05/15/pdfs/GRE-1813-60.pdf","Abrir PDF")</f>
        <v>Abrir PDF</v>
      </c>
    </row>
    <row r="203" spans="1:6" ht="31.05" customHeight="1">
      <c r="A203" s="6">
        <v>-31639</v>
      </c>
      <c r="B203" s="2" t="s">
        <v>10126</v>
      </c>
      <c r="C203" s="2" t="s">
        <v>17616</v>
      </c>
      <c r="D203" s="3">
        <v>4</v>
      </c>
      <c r="E203" s="3">
        <v>2</v>
      </c>
      <c r="F203" s="3" t="str">
        <f>HYPERLINK("https://www.boe.es/gazeta/dias/1813/05/16/pdfs/GMD-1813-136.pdf","Abrir PDF")</f>
        <v>Abrir PDF</v>
      </c>
    </row>
    <row r="204" spans="1:6" ht="31.05" customHeight="1">
      <c r="A204" s="6">
        <v>-31638</v>
      </c>
      <c r="B204" s="2" t="s">
        <v>1635</v>
      </c>
      <c r="C204" s="2" t="s">
        <v>17617</v>
      </c>
      <c r="D204" s="3">
        <v>4</v>
      </c>
      <c r="E204" s="3">
        <v>15</v>
      </c>
      <c r="F204" s="3" t="str">
        <f>HYPERLINK("https://www.boe.es/gazeta/dias/1813/05/17/pdfs/GMD-1813-137.pdf","Abrir PDF")</f>
        <v>Abrir PDF</v>
      </c>
    </row>
    <row r="205" spans="1:6" ht="31.05" customHeight="1">
      <c r="A205" s="6">
        <v>-31637</v>
      </c>
      <c r="B205" s="2" t="s">
        <v>855</v>
      </c>
      <c r="C205" s="2" t="s">
        <v>17618</v>
      </c>
      <c r="D205" s="3">
        <v>4</v>
      </c>
      <c r="E205" s="3">
        <v>22</v>
      </c>
      <c r="F205" s="3" t="str">
        <f>HYPERLINK("https://www.boe.es/gazeta/dias/1813/05/18/pdfs/GMD-1813-138.pdf","Abrir PDF")</f>
        <v>Abrir PDF</v>
      </c>
    </row>
    <row r="206" spans="1:6" ht="31.05" customHeight="1">
      <c r="A206" s="6">
        <v>-31637</v>
      </c>
      <c r="B206" s="2" t="s">
        <v>234</v>
      </c>
      <c r="C206" s="2" t="s">
        <v>17619</v>
      </c>
      <c r="D206" s="3">
        <v>8</v>
      </c>
      <c r="E206" s="3">
        <v>29</v>
      </c>
      <c r="F206" s="3" t="str">
        <f>HYPERLINK("https://www.boe.es/gazeta/dias/1813/05/18/pdfs/GRE-1813-61.pdf","Abrir PDF")</f>
        <v>Abrir PDF</v>
      </c>
    </row>
    <row r="207" spans="1:6" ht="31.05" customHeight="1">
      <c r="A207" s="6">
        <v>-31636</v>
      </c>
      <c r="B207" s="2" t="s">
        <v>1673</v>
      </c>
      <c r="C207" s="2" t="s">
        <v>17620</v>
      </c>
      <c r="D207" s="3">
        <v>4</v>
      </c>
      <c r="E207" s="3">
        <v>8</v>
      </c>
      <c r="F207" s="3" t="str">
        <f>HYPERLINK("https://www.boe.es/gazeta/dias/1813/05/19/pdfs/GMD-1813-139.pdf","Abrir PDF")</f>
        <v>Abrir PDF</v>
      </c>
    </row>
    <row r="208" spans="1:6" ht="31.05" customHeight="1">
      <c r="A208" s="6">
        <v>-31635</v>
      </c>
      <c r="B208" s="2" t="s">
        <v>8640</v>
      </c>
      <c r="C208" s="2" t="s">
        <v>17621</v>
      </c>
      <c r="D208" s="3">
        <v>4</v>
      </c>
      <c r="E208" s="3">
        <v>3</v>
      </c>
      <c r="F208" s="3" t="str">
        <f>HYPERLINK("https://www.boe.es/gazeta/dias/1813/05/20/pdfs/GMD-1813-140.pdf","Abrir PDF")</f>
        <v>Abrir PDF</v>
      </c>
    </row>
    <row r="209" spans="1:6" ht="31.05" customHeight="1">
      <c r="A209" s="6">
        <v>-31635</v>
      </c>
      <c r="B209" s="2" t="s">
        <v>2173</v>
      </c>
      <c r="C209" s="2" t="s">
        <v>17622</v>
      </c>
      <c r="D209" s="3">
        <v>8</v>
      </c>
      <c r="E209" s="3">
        <v>17</v>
      </c>
      <c r="F209" s="3" t="str">
        <f>HYPERLINK("https://www.boe.es/gazeta/dias/1813/05/20/pdfs/GRE-1813-62.pdf","Abrir PDF")</f>
        <v>Abrir PDF</v>
      </c>
    </row>
    <row r="210" spans="1:6" ht="31.05" customHeight="1">
      <c r="A210" s="6">
        <v>-31634</v>
      </c>
      <c r="B210" s="2" t="s">
        <v>8642</v>
      </c>
      <c r="C210" s="2" t="s">
        <v>17623</v>
      </c>
      <c r="D210" s="3">
        <v>4</v>
      </c>
      <c r="E210" s="3">
        <v>2</v>
      </c>
      <c r="F210" s="3" t="str">
        <f>HYPERLINK("https://www.boe.es/gazeta/dias/1813/05/21/pdfs/GMD-1813-141.pdf","Abrir PDF")</f>
        <v>Abrir PDF</v>
      </c>
    </row>
    <row r="211" spans="1:6" ht="31.05" customHeight="1">
      <c r="A211" s="6">
        <v>-31633</v>
      </c>
      <c r="B211" s="2" t="s">
        <v>6276</v>
      </c>
      <c r="C211" s="2" t="s">
        <v>17624</v>
      </c>
      <c r="D211" s="3">
        <v>4</v>
      </c>
      <c r="E211" s="3">
        <v>6</v>
      </c>
      <c r="F211" s="3" t="str">
        <f>HYPERLINK("https://www.boe.es/gazeta/dias/1813/05/22/pdfs/GMD-1813-142.pdf","Abrir PDF")</f>
        <v>Abrir PDF</v>
      </c>
    </row>
    <row r="212" spans="1:6" ht="31.05" customHeight="1">
      <c r="A212" s="6">
        <v>-31633</v>
      </c>
      <c r="B212" s="2" t="s">
        <v>875</v>
      </c>
      <c r="C212" s="2" t="s">
        <v>17625</v>
      </c>
      <c r="D212" s="3">
        <v>8</v>
      </c>
      <c r="E212" s="3">
        <v>9</v>
      </c>
      <c r="F212" s="3" t="str">
        <f>HYPERLINK("https://www.boe.es/gazeta/dias/1813/05/22/pdfs/GRE-1813-63.pdf","Abrir PDF")</f>
        <v>Abrir PDF</v>
      </c>
    </row>
    <row r="213" spans="1:6" ht="31.05" customHeight="1">
      <c r="A213" s="6">
        <v>-31632</v>
      </c>
      <c r="B213" s="2" t="s">
        <v>4444</v>
      </c>
      <c r="C213" s="2" t="s">
        <v>17626</v>
      </c>
      <c r="D213" s="3">
        <v>4</v>
      </c>
      <c r="E213" s="3">
        <v>1</v>
      </c>
      <c r="F213" s="3" t="str">
        <f>HYPERLINK("https://www.boe.es/gazeta/dias/1813/05/23/pdfs/GMD-1813-143.pdf","Abrir PDF")</f>
        <v>Abrir PDF</v>
      </c>
    </row>
    <row r="214" spans="1:6" ht="31.05" customHeight="1">
      <c r="A214" s="6">
        <v>-31631</v>
      </c>
      <c r="B214" s="2" t="s">
        <v>2792</v>
      </c>
      <c r="C214" s="2" t="s">
        <v>17627</v>
      </c>
      <c r="D214" s="3">
        <v>4</v>
      </c>
      <c r="E214" s="3">
        <v>11</v>
      </c>
      <c r="F214" s="3" t="str">
        <f>HYPERLINK("https://www.boe.es/gazeta/dias/1813/05/24/pdfs/GMD-1813-144.pdf","Abrir PDF")</f>
        <v>Abrir PDF</v>
      </c>
    </row>
    <row r="215" spans="1:6" ht="31.05" customHeight="1">
      <c r="A215" s="6">
        <v>-31630</v>
      </c>
      <c r="B215" s="2" t="s">
        <v>972</v>
      </c>
      <c r="C215" s="2" t="s">
        <v>17628</v>
      </c>
      <c r="D215" s="3">
        <v>4</v>
      </c>
      <c r="E215" s="3">
        <v>2</v>
      </c>
      <c r="F215" s="3" t="str">
        <f>HYPERLINK("https://www.boe.es/gazeta/dias/1813/05/25/pdfs/GMD-1813-145.pdf","Abrir PDF")</f>
        <v>Abrir PDF</v>
      </c>
    </row>
    <row r="216" spans="1:6" ht="31.05" customHeight="1">
      <c r="A216" s="6">
        <v>-31630</v>
      </c>
      <c r="B216" s="2" t="s">
        <v>1324</v>
      </c>
      <c r="C216" s="2" t="s">
        <v>17629</v>
      </c>
      <c r="D216" s="3">
        <v>8</v>
      </c>
      <c r="E216" s="3">
        <v>36</v>
      </c>
      <c r="F216" s="3" t="str">
        <f>HYPERLINK("https://www.boe.es/gazeta/dias/1813/05/25/pdfs/GRE-1813-64.pdf","Abrir PDF")</f>
        <v>Abrir PDF</v>
      </c>
    </row>
    <row r="217" spans="1:6" ht="31.05" customHeight="1">
      <c r="A217" s="6">
        <v>-31629</v>
      </c>
      <c r="B217" s="2" t="s">
        <v>1146</v>
      </c>
      <c r="C217" s="2" t="s">
        <v>17630</v>
      </c>
      <c r="D217" s="3">
        <v>4</v>
      </c>
      <c r="E217" s="3">
        <v>15</v>
      </c>
      <c r="F217" s="3" t="str">
        <f>HYPERLINK("https://www.boe.es/gazeta/dias/1813/05/26/pdfs/GMD-1813-146.pdf","Abrir PDF")</f>
        <v>Abrir PDF</v>
      </c>
    </row>
    <row r="218" spans="1:6" ht="31.05" customHeight="1">
      <c r="A218" s="6">
        <v>-31628</v>
      </c>
      <c r="B218" s="2" t="s">
        <v>17631</v>
      </c>
      <c r="C218" s="2" t="s">
        <v>17632</v>
      </c>
      <c r="D218" s="3">
        <v>4</v>
      </c>
      <c r="E218" s="3">
        <v>0</v>
      </c>
      <c r="F218" s="3" t="str">
        <f>HYPERLINK("https://www.boe.es/gazeta/dias/1813/05/27/pdfs/GMD-1813-147.pdf","Abrir PDF")</f>
        <v>Abrir PDF</v>
      </c>
    </row>
    <row r="219" spans="1:6" ht="31.05" customHeight="1">
      <c r="A219" s="6">
        <v>-31628</v>
      </c>
      <c r="B219" s="2" t="s">
        <v>358</v>
      </c>
      <c r="C219" s="2" t="s">
        <v>17633</v>
      </c>
      <c r="D219" s="3">
        <v>8</v>
      </c>
      <c r="E219" s="3">
        <v>23</v>
      </c>
      <c r="F219" s="3" t="str">
        <f>HYPERLINK("https://www.boe.es/gazeta/dias/1813/05/27/pdfs/GRE-1813-65.pdf","Abrir PDF")</f>
        <v>Abrir PDF</v>
      </c>
    </row>
    <row r="220" spans="1:6" ht="31.05" customHeight="1">
      <c r="A220" s="6">
        <v>-31626</v>
      </c>
      <c r="B220" s="2" t="s">
        <v>64</v>
      </c>
      <c r="C220" s="2" t="s">
        <v>17634</v>
      </c>
      <c r="D220" s="3">
        <v>8</v>
      </c>
      <c r="E220" s="3">
        <v>35</v>
      </c>
      <c r="F220" s="3" t="str">
        <f>HYPERLINK("https://www.boe.es/gazeta/dias/1813/05/29/pdfs/GRE-1813-66.pdf","Abrir PDF")</f>
        <v>Abrir PDF</v>
      </c>
    </row>
    <row r="221" spans="1:6" ht="31.05" customHeight="1">
      <c r="A221" s="6">
        <v>-31623</v>
      </c>
      <c r="B221" s="2" t="s">
        <v>267</v>
      </c>
      <c r="C221" s="2" t="s">
        <v>17635</v>
      </c>
      <c r="D221" s="3">
        <v>8</v>
      </c>
      <c r="E221" s="3">
        <v>32</v>
      </c>
      <c r="F221" s="3" t="str">
        <f>HYPERLINK("https://www.boe.es/gazeta/dias/1813/06/01/pdfs/GRE-1813-67.pdf","Abrir PDF")</f>
        <v>Abrir PDF</v>
      </c>
    </row>
    <row r="222" spans="1:6" ht="31.05" customHeight="1">
      <c r="A222" s="6">
        <v>-31623</v>
      </c>
      <c r="B222" s="2" t="s">
        <v>786</v>
      </c>
      <c r="C222" s="2" t="s">
        <v>17636</v>
      </c>
      <c r="D222" s="3">
        <v>4</v>
      </c>
      <c r="E222" s="3">
        <v>4</v>
      </c>
      <c r="F222" s="3" t="str">
        <f>HYPERLINK("https://www.boe.es/gazeta/dias/1813/06/01/pdfs/GRE-1813-68E.pdf","Abrir PDF")</f>
        <v>Abrir PDF</v>
      </c>
    </row>
    <row r="223" spans="1:6" ht="31.05" customHeight="1">
      <c r="A223" s="6">
        <v>-31621</v>
      </c>
      <c r="B223" s="2" t="s">
        <v>1825</v>
      </c>
      <c r="C223" s="2" t="s">
        <v>17637</v>
      </c>
      <c r="D223" s="3">
        <v>8</v>
      </c>
      <c r="E223" s="3">
        <v>13</v>
      </c>
      <c r="F223" s="3" t="str">
        <f>HYPERLINK("https://www.boe.es/gazeta/dias/1813/06/03/pdfs/GMR-1813-1.pdf","Abrir PDF")</f>
        <v>Abrir PDF</v>
      </c>
    </row>
    <row r="224" spans="1:6" ht="31.05" customHeight="1">
      <c r="A224" s="6">
        <v>-31621</v>
      </c>
      <c r="B224" s="2" t="s">
        <v>709</v>
      </c>
      <c r="C224" s="2" t="s">
        <v>17421</v>
      </c>
      <c r="D224" s="3">
        <v>8</v>
      </c>
      <c r="E224" s="3">
        <v>52</v>
      </c>
      <c r="F224" s="3" t="str">
        <f>HYPERLINK("https://www.boe.es/gazeta/dias/1813/06/03/pdfs/GRE-1813-69.pdf","Abrir PDF")</f>
        <v>Abrir PDF</v>
      </c>
    </row>
    <row r="225" spans="1:6" ht="31.05" customHeight="1">
      <c r="A225" s="6">
        <v>-31619</v>
      </c>
      <c r="B225" s="2" t="s">
        <v>1350</v>
      </c>
      <c r="C225" s="2" t="s">
        <v>17638</v>
      </c>
      <c r="D225" s="3">
        <v>8</v>
      </c>
      <c r="E225" s="3">
        <v>18</v>
      </c>
      <c r="F225" s="3" t="str">
        <f>HYPERLINK("https://www.boe.es/gazeta/dias/1813/06/05/pdfs/GMR-1813-2.pdf","Abrir PDF")</f>
        <v>Abrir PDF</v>
      </c>
    </row>
    <row r="226" spans="1:6" ht="31.05" customHeight="1">
      <c r="A226" s="6">
        <v>-31619</v>
      </c>
      <c r="B226" s="2" t="s">
        <v>749</v>
      </c>
      <c r="C226" s="2" t="s">
        <v>17639</v>
      </c>
      <c r="D226" s="3">
        <v>8</v>
      </c>
      <c r="E226" s="3">
        <v>20</v>
      </c>
      <c r="F226" s="3" t="str">
        <f>HYPERLINK("https://www.boe.es/gazeta/dias/1813/06/05/pdfs/GRE-1813-70.pdf","Abrir PDF")</f>
        <v>Abrir PDF</v>
      </c>
    </row>
    <row r="227" spans="1:6" ht="31.05" customHeight="1">
      <c r="A227" s="6">
        <v>-31618</v>
      </c>
      <c r="B227" s="2" t="s">
        <v>1057</v>
      </c>
      <c r="C227" s="2" t="s">
        <v>17602</v>
      </c>
      <c r="D227" s="3">
        <v>8</v>
      </c>
      <c r="E227" s="3">
        <v>30</v>
      </c>
      <c r="F227" s="3" t="str">
        <f>HYPERLINK("https://www.boe.es/gazeta/dias/1813/06/06/pdfs/GRE-1813-56.pdf","Abrir PDF")</f>
        <v>Abrir PDF</v>
      </c>
    </row>
    <row r="228" spans="1:6" ht="31.05" customHeight="1">
      <c r="A228" s="6">
        <v>-31616</v>
      </c>
      <c r="B228" s="2" t="s">
        <v>2201</v>
      </c>
      <c r="C228" s="2" t="s">
        <v>17640</v>
      </c>
      <c r="D228" s="3">
        <v>16</v>
      </c>
      <c r="E228" s="3">
        <v>20</v>
      </c>
      <c r="F228" s="3" t="str">
        <f>HYPERLINK("https://www.boe.es/gazeta/dias/1813/06/08/pdfs/GMR-1813-3.pdf","Abrir PDF")</f>
        <v>Abrir PDF</v>
      </c>
    </row>
    <row r="229" spans="1:6" ht="31.05" customHeight="1">
      <c r="A229" s="6">
        <v>-31616</v>
      </c>
      <c r="B229" s="2" t="s">
        <v>545</v>
      </c>
      <c r="C229" s="2" t="s">
        <v>17641</v>
      </c>
      <c r="D229" s="3">
        <v>8</v>
      </c>
      <c r="E229" s="3">
        <v>11</v>
      </c>
      <c r="F229" s="3" t="str">
        <f>HYPERLINK("https://www.boe.es/gazeta/dias/1813/06/08/pdfs/GRE-1813-71.pdf","Abrir PDF")</f>
        <v>Abrir PDF</v>
      </c>
    </row>
    <row r="230" spans="1:6" ht="31.05" customHeight="1">
      <c r="A230" s="6">
        <v>-31614</v>
      </c>
      <c r="B230" s="2" t="s">
        <v>498</v>
      </c>
      <c r="C230" s="2" t="s">
        <v>17642</v>
      </c>
      <c r="D230" s="3">
        <v>8</v>
      </c>
      <c r="E230" s="3">
        <v>25</v>
      </c>
      <c r="F230" s="3" t="str">
        <f>HYPERLINK("https://www.boe.es/gazeta/dias/1813/06/10/pdfs/GRE-1813-72.pdf","Abrir PDF")</f>
        <v>Abrir PDF</v>
      </c>
    </row>
    <row r="231" spans="1:6" ht="31.05" customHeight="1">
      <c r="A231" s="6">
        <v>-31613</v>
      </c>
      <c r="B231" s="2" t="s">
        <v>1629</v>
      </c>
      <c r="C231" s="2" t="s">
        <v>17643</v>
      </c>
      <c r="D231" s="3">
        <v>12</v>
      </c>
      <c r="E231" s="3">
        <v>34</v>
      </c>
      <c r="F231" s="3" t="str">
        <f>HYPERLINK("https://www.boe.es/gazeta/dias/1813/06/11/pdfs/GMR-1813-4.pdf","Abrir PDF")</f>
        <v>Abrir PDF</v>
      </c>
    </row>
    <row r="232" spans="1:6" ht="31.05" customHeight="1">
      <c r="A232" s="6">
        <v>-31613</v>
      </c>
      <c r="B232" s="2" t="s">
        <v>17644</v>
      </c>
      <c r="C232" s="2" t="s">
        <v>17645</v>
      </c>
      <c r="D232" s="3">
        <v>1</v>
      </c>
      <c r="E232" s="3">
        <v>0</v>
      </c>
      <c r="F232" s="3" t="str">
        <f>HYPERLINK("https://www.boe.es/gazeta/dias/1813/06/11/pdfs/GMR-1813-5E.pdf","Abrir PDF")</f>
        <v>Abrir PDF</v>
      </c>
    </row>
    <row r="233" spans="1:6" ht="31.05" customHeight="1">
      <c r="A233" s="6">
        <v>-31612</v>
      </c>
      <c r="B233" s="2" t="s">
        <v>5784</v>
      </c>
      <c r="C233" s="2" t="s">
        <v>17646</v>
      </c>
      <c r="D233" s="3">
        <v>8</v>
      </c>
      <c r="E233" s="3">
        <v>14</v>
      </c>
      <c r="F233" s="3" t="str">
        <f>HYPERLINK("https://www.boe.es/gazeta/dias/1813/06/12/pdfs/GRE-1813-73.pdf","Abrir PDF")</f>
        <v>Abrir PDF</v>
      </c>
    </row>
    <row r="234" spans="1:6" ht="31.05" customHeight="1">
      <c r="A234" s="6">
        <v>-31609</v>
      </c>
      <c r="B234" s="2" t="s">
        <v>711</v>
      </c>
      <c r="C234" s="2" t="s">
        <v>17647</v>
      </c>
      <c r="D234" s="3">
        <v>12</v>
      </c>
      <c r="E234" s="3">
        <v>19</v>
      </c>
      <c r="F234" s="3" t="str">
        <f>HYPERLINK("https://www.boe.es/gazeta/dias/1813/06/15/pdfs/GMR-1813-6.pdf","Abrir PDF")</f>
        <v>Abrir PDF</v>
      </c>
    </row>
    <row r="235" spans="1:6" ht="31.05" customHeight="1">
      <c r="A235" s="6">
        <v>-31609</v>
      </c>
      <c r="B235" s="2" t="s">
        <v>584</v>
      </c>
      <c r="C235" s="2" t="s">
        <v>17648</v>
      </c>
      <c r="D235" s="3">
        <v>8</v>
      </c>
      <c r="E235" s="3">
        <v>7</v>
      </c>
      <c r="F235" s="3" t="str">
        <f>HYPERLINK("https://www.boe.es/gazeta/dias/1813/06/15/pdfs/GRE-1813-74.pdf","Abrir PDF")</f>
        <v>Abrir PDF</v>
      </c>
    </row>
    <row r="236" spans="1:6" ht="31.05" customHeight="1">
      <c r="A236" s="6">
        <v>-31607</v>
      </c>
      <c r="B236" s="2" t="s">
        <v>3370</v>
      </c>
      <c r="C236" s="2" t="s">
        <v>17649</v>
      </c>
      <c r="D236" s="3">
        <v>8</v>
      </c>
      <c r="E236" s="3">
        <v>6</v>
      </c>
      <c r="F236" s="3" t="str">
        <f>HYPERLINK("https://www.boe.es/gazeta/dias/1813/06/17/pdfs/GRE-1813-75.pdf","Abrir PDF")</f>
        <v>Abrir PDF</v>
      </c>
    </row>
    <row r="237" spans="1:6" ht="31.05" customHeight="1">
      <c r="A237" s="6">
        <v>-31606</v>
      </c>
      <c r="B237" s="2" t="s">
        <v>124</v>
      </c>
      <c r="C237" s="2" t="s">
        <v>17650</v>
      </c>
      <c r="D237" s="3">
        <v>8</v>
      </c>
      <c r="E237" s="3">
        <v>28</v>
      </c>
      <c r="F237" s="3" t="str">
        <f>HYPERLINK("https://www.boe.es/gazeta/dias/1813/06/18/pdfs/GMR-1813-7.pdf","Abrir PDF")</f>
        <v>Abrir PDF</v>
      </c>
    </row>
    <row r="238" spans="1:6" ht="31.05" customHeight="1">
      <c r="A238" s="6">
        <v>-31606</v>
      </c>
      <c r="B238" s="2" t="s">
        <v>17651</v>
      </c>
      <c r="C238" s="2" t="s">
        <v>17652</v>
      </c>
      <c r="D238" s="3">
        <v>1</v>
      </c>
      <c r="E238" s="3">
        <v>0</v>
      </c>
      <c r="F238" s="3" t="str">
        <f>HYPERLINK("https://www.boe.es/gazeta/dias/1813/06/18/pdfs/GMR-1813-8E.pdf","Abrir PDF")</f>
        <v>Abrir PDF</v>
      </c>
    </row>
    <row r="239" spans="1:6" ht="31.05" customHeight="1">
      <c r="A239" s="6">
        <v>-31605</v>
      </c>
      <c r="B239" s="2" t="s">
        <v>884</v>
      </c>
      <c r="C239" s="2" t="s">
        <v>17653</v>
      </c>
      <c r="D239" s="3">
        <v>8</v>
      </c>
      <c r="E239" s="3">
        <v>18</v>
      </c>
      <c r="F239" s="3" t="str">
        <f>HYPERLINK("https://www.boe.es/gazeta/dias/1813/06/19/pdfs/GRE-1813-76.pdf","Abrir PDF")</f>
        <v>Abrir PDF</v>
      </c>
    </row>
    <row r="240" spans="1:6" ht="31.05" customHeight="1">
      <c r="A240" s="6">
        <v>-31602</v>
      </c>
      <c r="B240" s="2" t="s">
        <v>17654</v>
      </c>
      <c r="C240" s="2" t="s">
        <v>17655</v>
      </c>
      <c r="D240" s="3">
        <v>1</v>
      </c>
      <c r="E240" s="3">
        <v>0</v>
      </c>
      <c r="F240" s="3" t="str">
        <f>HYPERLINK("https://www.boe.es/gazeta/dias/1813/06/22/pdfs/GMR-1813-10E.pdf","Abrir PDF")</f>
        <v>Abrir PDF</v>
      </c>
    </row>
    <row r="241" spans="1:6" ht="31.05" customHeight="1">
      <c r="A241" s="6">
        <v>-31602</v>
      </c>
      <c r="B241" s="2" t="s">
        <v>2117</v>
      </c>
      <c r="C241" s="2" t="s">
        <v>17656</v>
      </c>
      <c r="D241" s="3">
        <v>16</v>
      </c>
      <c r="E241" s="3">
        <v>42</v>
      </c>
      <c r="F241" s="3" t="str">
        <f>HYPERLINK("https://www.boe.es/gazeta/dias/1813/06/22/pdfs/GMR-1813-9.pdf","Abrir PDF")</f>
        <v>Abrir PDF</v>
      </c>
    </row>
    <row r="242" spans="1:6" ht="31.05" customHeight="1">
      <c r="A242" s="6">
        <v>-31602</v>
      </c>
      <c r="B242" s="2" t="s">
        <v>4545</v>
      </c>
      <c r="C242" s="2" t="s">
        <v>17657</v>
      </c>
      <c r="D242" s="3">
        <v>8</v>
      </c>
      <c r="E242" s="3">
        <v>17</v>
      </c>
      <c r="F242" s="3" t="str">
        <f>HYPERLINK("https://www.boe.es/gazeta/dias/1813/06/22/pdfs/GRE-1813-77.pdf","Abrir PDF")</f>
        <v>Abrir PDF</v>
      </c>
    </row>
    <row r="243" spans="1:6" ht="31.05" customHeight="1">
      <c r="A243" s="6">
        <v>-31600</v>
      </c>
      <c r="B243" s="2" t="s">
        <v>2121</v>
      </c>
      <c r="C243" s="2" t="s">
        <v>17658</v>
      </c>
      <c r="D243" s="3">
        <v>8</v>
      </c>
      <c r="E243" s="3">
        <v>16</v>
      </c>
      <c r="F243" s="3" t="str">
        <f>HYPERLINK("https://www.boe.es/gazeta/dias/1813/06/24/pdfs/GRE-1813-78.pdf","Abrir PDF")</f>
        <v>Abrir PDF</v>
      </c>
    </row>
    <row r="244" spans="1:6" ht="31.05" customHeight="1">
      <c r="A244" s="6">
        <v>-31599</v>
      </c>
      <c r="B244" s="2" t="s">
        <v>2470</v>
      </c>
      <c r="C244" s="2" t="s">
        <v>17659</v>
      </c>
      <c r="D244" s="3">
        <v>12</v>
      </c>
      <c r="E244" s="3">
        <v>19</v>
      </c>
      <c r="F244" s="3" t="str">
        <f>HYPERLINK("https://www.boe.es/gazeta/dias/1813/06/25/pdfs/GMR-1813-11.pdf","Abrir PDF")</f>
        <v>Abrir PDF</v>
      </c>
    </row>
    <row r="245" spans="1:6" ht="31.05" customHeight="1">
      <c r="A245" s="6">
        <v>-31599</v>
      </c>
      <c r="B245" s="2" t="s">
        <v>798</v>
      </c>
      <c r="C245" s="2" t="s">
        <v>17660</v>
      </c>
      <c r="D245" s="3">
        <v>1</v>
      </c>
      <c r="E245" s="3">
        <v>2</v>
      </c>
      <c r="F245" s="3" t="str">
        <f>HYPERLINK("https://www.boe.es/gazeta/dias/1813/06/25/pdfs/GMR-1813-12E.pdf","Abrir PDF")</f>
        <v>Abrir PDF</v>
      </c>
    </row>
    <row r="246" spans="1:6" ht="31.05" customHeight="1">
      <c r="A246" s="6">
        <v>-31598</v>
      </c>
      <c r="B246" s="2" t="s">
        <v>286</v>
      </c>
      <c r="C246" s="2" t="s">
        <v>17661</v>
      </c>
      <c r="D246" s="3">
        <v>8</v>
      </c>
      <c r="E246" s="3">
        <v>41</v>
      </c>
      <c r="F246" s="3" t="str">
        <f>HYPERLINK("https://www.boe.es/gazeta/dias/1813/06/26/pdfs/GRE-1813-79.pdf","Abrir PDF")</f>
        <v>Abrir PDF</v>
      </c>
    </row>
    <row r="247" spans="1:6" ht="31.05" customHeight="1">
      <c r="A247" s="6">
        <v>-31595</v>
      </c>
      <c r="B247" s="2" t="s">
        <v>70</v>
      </c>
      <c r="C247" s="2" t="s">
        <v>17662</v>
      </c>
      <c r="D247" s="3">
        <v>16</v>
      </c>
      <c r="E247" s="3">
        <v>30</v>
      </c>
      <c r="F247" s="3" t="str">
        <f>HYPERLINK("https://www.boe.es/gazeta/dias/1813/06/29/pdfs/GMR-1813-13.pdf","Abrir PDF")</f>
        <v>Abrir PDF</v>
      </c>
    </row>
    <row r="248" spans="1:6" ht="31.05" customHeight="1">
      <c r="A248" s="6">
        <v>-31595</v>
      </c>
      <c r="B248" s="2" t="s">
        <v>1319</v>
      </c>
      <c r="C248" s="2" t="s">
        <v>17663</v>
      </c>
      <c r="D248" s="3">
        <v>8</v>
      </c>
      <c r="E248" s="3">
        <v>27</v>
      </c>
      <c r="F248" s="3" t="str">
        <f>HYPERLINK("https://www.boe.es/gazeta/dias/1813/06/29/pdfs/GRE-1813-80.pdf","Abrir PDF")</f>
        <v>Abrir PDF</v>
      </c>
    </row>
    <row r="249" spans="1:6" ht="31.05" customHeight="1">
      <c r="A249" s="6">
        <v>-31593</v>
      </c>
      <c r="B249" s="2" t="s">
        <v>5942</v>
      </c>
      <c r="C249" s="2" t="s">
        <v>17664</v>
      </c>
      <c r="D249" s="3">
        <v>8</v>
      </c>
      <c r="E249" s="3">
        <v>5</v>
      </c>
      <c r="F249" s="3" t="str">
        <f>HYPERLINK("https://www.boe.es/gazeta/dias/1813/07/01/pdfs/GRE-1813-81.pdf","Abrir PDF")</f>
        <v>Abrir PDF</v>
      </c>
    </row>
    <row r="250" spans="1:6" ht="31.05" customHeight="1">
      <c r="A250" s="6">
        <v>-31592</v>
      </c>
      <c r="B250" s="2" t="s">
        <v>1538</v>
      </c>
      <c r="C250" s="2" t="s">
        <v>17665</v>
      </c>
      <c r="D250" s="3">
        <v>12</v>
      </c>
      <c r="E250" s="3">
        <v>20</v>
      </c>
      <c r="F250" s="3" t="str">
        <f>HYPERLINK("https://www.boe.es/gazeta/dias/1813/07/02/pdfs/GMR-1813-14.pdf","Abrir PDF")</f>
        <v>Abrir PDF</v>
      </c>
    </row>
    <row r="251" spans="1:6" ht="31.05" customHeight="1">
      <c r="A251" s="6">
        <v>-31592</v>
      </c>
      <c r="B251" s="2" t="s">
        <v>175</v>
      </c>
      <c r="C251" s="2" t="s">
        <v>17666</v>
      </c>
      <c r="D251" s="3">
        <v>8</v>
      </c>
      <c r="E251" s="3">
        <v>54</v>
      </c>
      <c r="F251" s="3" t="str">
        <f>HYPERLINK("https://www.boe.es/gazeta/dias/1813/07/02/pdfs/GRE-1813-82.pdf","Abrir PDF")</f>
        <v>Abrir PDF</v>
      </c>
    </row>
    <row r="252" spans="1:6" ht="31.05" customHeight="1">
      <c r="A252" s="6">
        <v>-31591</v>
      </c>
      <c r="B252" s="2" t="s">
        <v>2123</v>
      </c>
      <c r="C252" s="2" t="s">
        <v>17667</v>
      </c>
      <c r="D252" s="3">
        <v>8</v>
      </c>
      <c r="E252" s="3">
        <v>19</v>
      </c>
      <c r="F252" s="3" t="str">
        <f>HYPERLINK("https://www.boe.es/gazeta/dias/1813/07/03/pdfs/GRE-1813-83.pdf","Abrir PDF")</f>
        <v>Abrir PDF</v>
      </c>
    </row>
    <row r="253" spans="1:6" ht="31.05" customHeight="1">
      <c r="A253" s="6">
        <v>-31588</v>
      </c>
      <c r="B253" s="2" t="s">
        <v>1535</v>
      </c>
      <c r="C253" s="2" t="s">
        <v>17668</v>
      </c>
      <c r="D253" s="3">
        <v>16</v>
      </c>
      <c r="E253" s="3">
        <v>31</v>
      </c>
      <c r="F253" s="3" t="str">
        <f>HYPERLINK("https://www.boe.es/gazeta/dias/1813/07/06/pdfs/GMR-1813-15.pdf","Abrir PDF")</f>
        <v>Abrir PDF</v>
      </c>
    </row>
    <row r="254" spans="1:6" ht="31.05" customHeight="1">
      <c r="A254" s="6">
        <v>-31588</v>
      </c>
      <c r="B254" s="2" t="s">
        <v>2402</v>
      </c>
      <c r="C254" s="2" t="s">
        <v>17669</v>
      </c>
      <c r="D254" s="3">
        <v>8</v>
      </c>
      <c r="E254" s="3">
        <v>25</v>
      </c>
      <c r="F254" s="3" t="str">
        <f>HYPERLINK("https://www.boe.es/gazeta/dias/1813/07/06/pdfs/GRE-1813-84.pdf","Abrir PDF")</f>
        <v>Abrir PDF</v>
      </c>
    </row>
    <row r="255" spans="1:6" ht="31.05" customHeight="1">
      <c r="A255" s="6">
        <v>-31586</v>
      </c>
      <c r="B255" s="2" t="s">
        <v>2807</v>
      </c>
      <c r="C255" s="2" t="s">
        <v>17670</v>
      </c>
      <c r="D255" s="3">
        <v>8</v>
      </c>
      <c r="E255" s="3">
        <v>13</v>
      </c>
      <c r="F255" s="3" t="str">
        <f>HYPERLINK("https://www.boe.es/gazeta/dias/1813/07/08/pdfs/GRE-1813-85.pdf","Abrir PDF")</f>
        <v>Abrir PDF</v>
      </c>
    </row>
    <row r="256" spans="1:6" ht="31.05" customHeight="1">
      <c r="A256" s="6">
        <v>-31585</v>
      </c>
      <c r="B256" s="2" t="s">
        <v>177</v>
      </c>
      <c r="C256" s="2" t="s">
        <v>17671</v>
      </c>
      <c r="D256" s="3">
        <v>16</v>
      </c>
      <c r="E256" s="3">
        <v>86</v>
      </c>
      <c r="F256" s="3" t="str">
        <f>HYPERLINK("https://www.boe.es/gazeta/dias/1813/07/09/pdfs/GMR-1813-16.pdf","Abrir PDF")</f>
        <v>Abrir PDF</v>
      </c>
    </row>
    <row r="257" spans="1:6" ht="31.05" customHeight="1">
      <c r="A257" s="6">
        <v>-31584</v>
      </c>
      <c r="B257" s="2" t="s">
        <v>114</v>
      </c>
      <c r="C257" s="2" t="s">
        <v>17672</v>
      </c>
      <c r="D257" s="3">
        <v>8</v>
      </c>
      <c r="E257" s="3">
        <v>26</v>
      </c>
      <c r="F257" s="3" t="str">
        <f>HYPERLINK("https://www.boe.es/gazeta/dias/1813/07/10/pdfs/GRE-1813-86.pdf","Abrir PDF")</f>
        <v>Abrir PDF</v>
      </c>
    </row>
    <row r="258" spans="1:6" ht="31.05" customHeight="1">
      <c r="A258" s="6">
        <v>-31582</v>
      </c>
      <c r="B258" s="2" t="s">
        <v>907</v>
      </c>
      <c r="C258" s="2" t="s">
        <v>17673</v>
      </c>
      <c r="D258" s="3">
        <v>8</v>
      </c>
      <c r="E258" s="3">
        <v>50</v>
      </c>
      <c r="F258" s="3" t="str">
        <f>HYPERLINK("https://www.boe.es/gazeta/dias/1813/07/12/pdfs/GRE-1813-87.pdf","Abrir PDF")</f>
        <v>Abrir PDF</v>
      </c>
    </row>
    <row r="259" spans="1:6" ht="31.05" customHeight="1">
      <c r="A259" s="6">
        <v>-31581</v>
      </c>
      <c r="B259" s="2" t="s">
        <v>1321</v>
      </c>
      <c r="C259" s="2" t="s">
        <v>17674</v>
      </c>
      <c r="D259" s="3">
        <v>16</v>
      </c>
      <c r="E259" s="3">
        <v>36</v>
      </c>
      <c r="F259" s="3" t="str">
        <f>HYPERLINK("https://www.boe.es/gazeta/dias/1813/07/13/pdfs/GMR-1813-17.pdf","Abrir PDF")</f>
        <v>Abrir PDF</v>
      </c>
    </row>
    <row r="260" spans="1:6" ht="31.05" customHeight="1">
      <c r="A260" s="6">
        <v>-31581</v>
      </c>
      <c r="B260" s="2" t="s">
        <v>3599</v>
      </c>
      <c r="C260" s="2" t="s">
        <v>17675</v>
      </c>
      <c r="D260" s="3">
        <v>8</v>
      </c>
      <c r="E260" s="3">
        <v>13</v>
      </c>
      <c r="F260" s="3" t="str">
        <f>HYPERLINK("https://www.boe.es/gazeta/dias/1813/07/13/pdfs/GRE-1813-88.pdf","Abrir PDF")</f>
        <v>Abrir PDF</v>
      </c>
    </row>
    <row r="261" spans="1:6" ht="31.05" customHeight="1">
      <c r="A261" s="6">
        <v>-31579</v>
      </c>
      <c r="B261" s="2" t="s">
        <v>609</v>
      </c>
      <c r="C261" s="2" t="s">
        <v>17676</v>
      </c>
      <c r="D261" s="3">
        <v>8</v>
      </c>
      <c r="E261" s="3">
        <v>25</v>
      </c>
      <c r="F261" s="3" t="str">
        <f>HYPERLINK("https://www.boe.es/gazeta/dias/1813/07/15/pdfs/GRE-1813-89.pdf","Abrir PDF")</f>
        <v>Abrir PDF</v>
      </c>
    </row>
    <row r="262" spans="1:6" ht="31.05" customHeight="1">
      <c r="A262" s="6">
        <v>-31578</v>
      </c>
      <c r="B262" s="2" t="s">
        <v>974</v>
      </c>
      <c r="C262" s="2" t="s">
        <v>17677</v>
      </c>
      <c r="D262" s="3">
        <v>12</v>
      </c>
      <c r="E262" s="3">
        <v>51</v>
      </c>
      <c r="F262" s="3" t="str">
        <f>HYPERLINK("https://www.boe.es/gazeta/dias/1813/07/16/pdfs/GMR-1813-18.pdf","Abrir PDF")</f>
        <v>Abrir PDF</v>
      </c>
    </row>
    <row r="263" spans="1:6" ht="31.05" customHeight="1">
      <c r="A263" s="6">
        <v>-31577</v>
      </c>
      <c r="B263" s="2" t="s">
        <v>586</v>
      </c>
      <c r="C263" s="2" t="s">
        <v>17678</v>
      </c>
      <c r="D263" s="3">
        <v>8</v>
      </c>
      <c r="E263" s="3">
        <v>12</v>
      </c>
      <c r="F263" s="3" t="str">
        <f>HYPERLINK("https://www.boe.es/gazeta/dias/1813/07/17/pdfs/GRE-1813-90.pdf","Abrir PDF")</f>
        <v>Abrir PDF</v>
      </c>
    </row>
    <row r="264" spans="1:6" ht="31.05" customHeight="1">
      <c r="A264" s="6">
        <v>-31576</v>
      </c>
      <c r="B264" s="2" t="s">
        <v>1981</v>
      </c>
      <c r="C264" s="2" t="s">
        <v>17679</v>
      </c>
      <c r="D264" s="3">
        <v>3</v>
      </c>
      <c r="E264" s="3">
        <v>3</v>
      </c>
      <c r="F264" s="3" t="str">
        <f>HYPERLINK("https://www.boe.es/gazeta/dias/1813/07/18/pdfs/GRE-1813-91E.pdf","Abrir PDF")</f>
        <v>Abrir PDF</v>
      </c>
    </row>
    <row r="265" spans="1:6" ht="31.05" customHeight="1">
      <c r="A265" s="6">
        <v>-31574</v>
      </c>
      <c r="B265" s="2" t="s">
        <v>1343</v>
      </c>
      <c r="C265" s="2" t="s">
        <v>17680</v>
      </c>
      <c r="D265" s="3">
        <v>16</v>
      </c>
      <c r="E265" s="3">
        <v>62</v>
      </c>
      <c r="F265" s="3" t="str">
        <f>HYPERLINK("https://www.boe.es/gazeta/dias/1813/07/20/pdfs/GMR-1813-19.pdf","Abrir PDF")</f>
        <v>Abrir PDF</v>
      </c>
    </row>
    <row r="266" spans="1:6" ht="31.05" customHeight="1">
      <c r="A266" s="6">
        <v>-31574</v>
      </c>
      <c r="B266" s="2" t="s">
        <v>509</v>
      </c>
      <c r="C266" s="2" t="s">
        <v>17681</v>
      </c>
      <c r="D266" s="3">
        <v>8</v>
      </c>
      <c r="E266" s="3">
        <v>15</v>
      </c>
      <c r="F266" s="3" t="str">
        <f>HYPERLINK("https://www.boe.es/gazeta/dias/1813/07/20/pdfs/GRE-1813-92.pdf","Abrir PDF")</f>
        <v>Abrir PDF</v>
      </c>
    </row>
    <row r="267" spans="1:6" ht="31.05" customHeight="1">
      <c r="A267" s="6">
        <v>-31572</v>
      </c>
      <c r="B267" s="2" t="s">
        <v>317</v>
      </c>
      <c r="C267" s="2" t="s">
        <v>17682</v>
      </c>
      <c r="D267" s="3">
        <v>8</v>
      </c>
      <c r="E267" s="3">
        <v>20</v>
      </c>
      <c r="F267" s="3" t="str">
        <f>HYPERLINK("https://www.boe.es/gazeta/dias/1813/07/22/pdfs/GRE-1813-93.pdf","Abrir PDF")</f>
        <v>Abrir PDF</v>
      </c>
    </row>
    <row r="268" spans="1:6" ht="31.05" customHeight="1">
      <c r="A268" s="6">
        <v>-31571</v>
      </c>
      <c r="B268" s="2" t="s">
        <v>788</v>
      </c>
      <c r="C268" s="2" t="s">
        <v>17683</v>
      </c>
      <c r="D268" s="3">
        <v>12</v>
      </c>
      <c r="E268" s="3">
        <v>36</v>
      </c>
      <c r="F268" s="3" t="str">
        <f>HYPERLINK("https://www.boe.es/gazeta/dias/1813/07/23/pdfs/GMR-1813-20.pdf","Abrir PDF")</f>
        <v>Abrir PDF</v>
      </c>
    </row>
    <row r="269" spans="1:6" ht="31.05" customHeight="1">
      <c r="A269" s="6">
        <v>-31570</v>
      </c>
      <c r="B269" s="2" t="s">
        <v>1803</v>
      </c>
      <c r="C269" s="2" t="s">
        <v>17684</v>
      </c>
      <c r="D269" s="3">
        <v>8</v>
      </c>
      <c r="E269" s="3">
        <v>38</v>
      </c>
      <c r="F269" s="3" t="str">
        <f>HYPERLINK("https://www.boe.es/gazeta/dias/1813/07/24/pdfs/GRE-1813-94.pdf","Abrir PDF")</f>
        <v>Abrir PDF</v>
      </c>
    </row>
    <row r="270" spans="1:6" ht="31.05" customHeight="1">
      <c r="A270" s="6">
        <v>-31567</v>
      </c>
      <c r="B270" s="2" t="s">
        <v>820</v>
      </c>
      <c r="C270" s="2" t="s">
        <v>17685</v>
      </c>
      <c r="D270" s="3">
        <v>16</v>
      </c>
      <c r="E270" s="3">
        <v>80</v>
      </c>
      <c r="F270" s="3" t="str">
        <f>HYPERLINK("https://www.boe.es/gazeta/dias/1813/07/27/pdfs/GMR-1813-21.pdf","Abrir PDF")</f>
        <v>Abrir PDF</v>
      </c>
    </row>
    <row r="271" spans="1:6" ht="31.05" customHeight="1">
      <c r="A271" s="6">
        <v>-31567</v>
      </c>
      <c r="B271" s="2" t="s">
        <v>1471</v>
      </c>
      <c r="C271" s="2" t="s">
        <v>17686</v>
      </c>
      <c r="D271" s="3">
        <v>8</v>
      </c>
      <c r="E271" s="3">
        <v>24</v>
      </c>
      <c r="F271" s="3" t="str">
        <f>HYPERLINK("https://www.boe.es/gazeta/dias/1813/07/27/pdfs/GRE-1813-95.pdf","Abrir PDF")</f>
        <v>Abrir PDF</v>
      </c>
    </row>
    <row r="272" spans="1:6" ht="31.05" customHeight="1">
      <c r="A272" s="6">
        <v>-31565</v>
      </c>
      <c r="B272" s="2" t="s">
        <v>306</v>
      </c>
      <c r="C272" s="2" t="s">
        <v>17687</v>
      </c>
      <c r="D272" s="3">
        <v>8</v>
      </c>
      <c r="E272" s="3">
        <v>27</v>
      </c>
      <c r="F272" s="3" t="str">
        <f>HYPERLINK("https://www.boe.es/gazeta/dias/1813/07/29/pdfs/GRE-1813-96.pdf","Abrir PDF")</f>
        <v>Abrir PDF</v>
      </c>
    </row>
    <row r="273" spans="1:6" ht="31.05" customHeight="1">
      <c r="A273" s="6">
        <v>-31564</v>
      </c>
      <c r="B273" s="2" t="s">
        <v>206</v>
      </c>
      <c r="C273" s="2" t="s">
        <v>17688</v>
      </c>
      <c r="D273" s="3">
        <v>12</v>
      </c>
      <c r="E273" s="3">
        <v>37</v>
      </c>
      <c r="F273" s="3" t="str">
        <f>HYPERLINK("https://www.boe.es/gazeta/dias/1813/07/30/pdfs/GMR-1813-22.pdf","Abrir PDF")</f>
        <v>Abrir PDF</v>
      </c>
    </row>
    <row r="274" spans="1:6" ht="31.05" customHeight="1">
      <c r="A274" s="6">
        <v>-31563</v>
      </c>
      <c r="B274" s="2" t="s">
        <v>1267</v>
      </c>
      <c r="C274" s="2" t="s">
        <v>17689</v>
      </c>
      <c r="D274" s="3">
        <v>8</v>
      </c>
      <c r="E274" s="3">
        <v>24</v>
      </c>
      <c r="F274" s="3" t="str">
        <f>HYPERLINK("https://www.boe.es/gazeta/dias/1813/07/31/pdfs/GRE-1813-97.pdf","Abrir PDF")</f>
        <v>Abrir PDF</v>
      </c>
    </row>
    <row r="275" spans="1:6" ht="31.05" customHeight="1">
      <c r="A275" s="6">
        <v>-31560</v>
      </c>
      <c r="B275" s="2" t="s">
        <v>1233</v>
      </c>
      <c r="C275" s="2" t="s">
        <v>17690</v>
      </c>
      <c r="D275" s="3">
        <v>8</v>
      </c>
      <c r="E275" s="3">
        <v>26</v>
      </c>
      <c r="F275" s="3" t="str">
        <f>HYPERLINK("https://www.boe.es/gazeta/dias/1813/08/03/pdfs/GMR-1813-23.pdf","Abrir PDF")</f>
        <v>Abrir PDF</v>
      </c>
    </row>
    <row r="276" spans="1:6" ht="31.05" customHeight="1">
      <c r="A276" s="6">
        <v>-31560</v>
      </c>
      <c r="B276" s="2" t="s">
        <v>590</v>
      </c>
      <c r="C276" s="2" t="s">
        <v>17691</v>
      </c>
      <c r="D276" s="3">
        <v>8</v>
      </c>
      <c r="E276" s="3">
        <v>41</v>
      </c>
      <c r="F276" s="3" t="str">
        <f>HYPERLINK("https://www.boe.es/gazeta/dias/1813/08/03/pdfs/GRE-1813-98.pdf","Abrir PDF")</f>
        <v>Abrir PDF</v>
      </c>
    </row>
    <row r="277" spans="1:6" ht="31.05" customHeight="1">
      <c r="A277" s="6">
        <v>-31559</v>
      </c>
      <c r="B277" s="2" t="s">
        <v>1485</v>
      </c>
      <c r="C277" s="2" t="s">
        <v>17692</v>
      </c>
      <c r="D277" s="3">
        <v>8</v>
      </c>
      <c r="E277" s="3">
        <v>60</v>
      </c>
      <c r="F277" s="3" t="str">
        <f>HYPERLINK("https://www.boe.es/gazeta/dias/1813/08/04/pdfs/GRE-1813-113.pdf","Abrir PDF")</f>
        <v>Abrir PDF</v>
      </c>
    </row>
    <row r="278" spans="1:6" ht="31.05" customHeight="1">
      <c r="A278" s="6">
        <v>-31558</v>
      </c>
      <c r="B278" s="2" t="s">
        <v>1288</v>
      </c>
      <c r="C278" s="2" t="s">
        <v>17693</v>
      </c>
      <c r="D278" s="3">
        <v>8</v>
      </c>
      <c r="E278" s="3">
        <v>25</v>
      </c>
      <c r="F278" s="3" t="str">
        <f>HYPERLINK("https://www.boe.es/gazeta/dias/1813/08/05/pdfs/GMR-1813-24.pdf","Abrir PDF")</f>
        <v>Abrir PDF</v>
      </c>
    </row>
    <row r="279" spans="1:6" ht="31.05" customHeight="1">
      <c r="A279" s="6">
        <v>-31558</v>
      </c>
      <c r="B279" s="2" t="s">
        <v>385</v>
      </c>
      <c r="C279" s="2" t="s">
        <v>17511</v>
      </c>
      <c r="D279" s="3">
        <v>8</v>
      </c>
      <c r="E279" s="3">
        <v>54</v>
      </c>
      <c r="F279" s="3" t="str">
        <f>HYPERLINK("https://www.boe.es/gazeta/dias/1813/08/05/pdfs/GRE-1813-99.pdf","Abrir PDF")</f>
        <v>Abrir PDF</v>
      </c>
    </row>
    <row r="280" spans="1:6" ht="31.05" customHeight="1">
      <c r="A280" s="6">
        <v>-31556</v>
      </c>
      <c r="B280" s="2" t="s">
        <v>118</v>
      </c>
      <c r="C280" s="2" t="s">
        <v>17694</v>
      </c>
      <c r="D280" s="3">
        <v>8</v>
      </c>
      <c r="E280" s="3">
        <v>20</v>
      </c>
      <c r="F280" s="3" t="str">
        <f>HYPERLINK("https://www.boe.es/gazeta/dias/1813/08/07/pdfs/GMR-1813-25.pdf","Abrir PDF")</f>
        <v>Abrir PDF</v>
      </c>
    </row>
    <row r="281" spans="1:6" ht="31.05" customHeight="1">
      <c r="A281" s="6">
        <v>-31556</v>
      </c>
      <c r="B281" s="2" t="s">
        <v>976</v>
      </c>
      <c r="C281" s="2" t="s">
        <v>17695</v>
      </c>
      <c r="D281" s="3">
        <v>8</v>
      </c>
      <c r="E281" s="3">
        <v>11</v>
      </c>
      <c r="F281" s="3" t="str">
        <f>HYPERLINK("https://www.boe.es/gazeta/dias/1813/08/07/pdfs/GRE-1813-100.pdf","Abrir PDF")</f>
        <v>Abrir PDF</v>
      </c>
    </row>
    <row r="282" spans="1:6" ht="31.05" customHeight="1">
      <c r="A282" s="6">
        <v>-31553</v>
      </c>
      <c r="B282" s="2" t="s">
        <v>1853</v>
      </c>
      <c r="C282" s="2" t="s">
        <v>17696</v>
      </c>
      <c r="D282" s="3">
        <v>8</v>
      </c>
      <c r="E282" s="3">
        <v>16</v>
      </c>
      <c r="F282" s="3" t="str">
        <f>HYPERLINK("https://www.boe.es/gazeta/dias/1813/08/10/pdfs/GMR-1813-26.pdf","Abrir PDF")</f>
        <v>Abrir PDF</v>
      </c>
    </row>
    <row r="283" spans="1:6" ht="31.05" customHeight="1">
      <c r="A283" s="6">
        <v>-31553</v>
      </c>
      <c r="B283" s="2" t="s">
        <v>592</v>
      </c>
      <c r="C283" s="2" t="s">
        <v>17697</v>
      </c>
      <c r="D283" s="3">
        <v>8</v>
      </c>
      <c r="E283" s="3">
        <v>15</v>
      </c>
      <c r="F283" s="3" t="str">
        <f>HYPERLINK("https://www.boe.es/gazeta/dias/1813/08/10/pdfs/GRE-1813-101.pdf","Abrir PDF")</f>
        <v>Abrir PDF</v>
      </c>
    </row>
    <row r="284" spans="1:6" ht="31.05" customHeight="1">
      <c r="A284" s="6">
        <v>-31551</v>
      </c>
      <c r="B284" s="2" t="s">
        <v>954</v>
      </c>
      <c r="C284" s="2" t="s">
        <v>17698</v>
      </c>
      <c r="D284" s="3">
        <v>8</v>
      </c>
      <c r="E284" s="3">
        <v>24</v>
      </c>
      <c r="F284" s="3" t="str">
        <f>HYPERLINK("https://www.boe.es/gazeta/dias/1813/08/12/pdfs/GMR-1813-27.pdf","Abrir PDF")</f>
        <v>Abrir PDF</v>
      </c>
    </row>
    <row r="285" spans="1:6" ht="31.05" customHeight="1">
      <c r="A285" s="6">
        <v>-31551</v>
      </c>
      <c r="B285" s="2" t="s">
        <v>4349</v>
      </c>
      <c r="C285" s="2" t="s">
        <v>17699</v>
      </c>
      <c r="D285" s="3">
        <v>8</v>
      </c>
      <c r="E285" s="3">
        <v>16</v>
      </c>
      <c r="F285" s="3" t="str">
        <f>HYPERLINK("https://www.boe.es/gazeta/dias/1813/08/12/pdfs/GRE-1813-102.pdf","Abrir PDF")</f>
        <v>Abrir PDF</v>
      </c>
    </row>
    <row r="286" spans="1:6" ht="31.05" customHeight="1">
      <c r="A286" s="6">
        <v>-31549</v>
      </c>
      <c r="B286" s="2" t="s">
        <v>332</v>
      </c>
      <c r="C286" s="2" t="s">
        <v>17700</v>
      </c>
      <c r="D286" s="3">
        <v>12</v>
      </c>
      <c r="E286" s="3">
        <v>20</v>
      </c>
      <c r="F286" s="3" t="str">
        <f>HYPERLINK("https://www.boe.es/gazeta/dias/1813/08/14/pdfs/GMR-1813-28.pdf","Abrir PDF")</f>
        <v>Abrir PDF</v>
      </c>
    </row>
    <row r="287" spans="1:6" ht="31.05" customHeight="1">
      <c r="A287" s="6">
        <v>-31549</v>
      </c>
      <c r="B287" s="2" t="s">
        <v>294</v>
      </c>
      <c r="C287" s="2" t="s">
        <v>17701</v>
      </c>
      <c r="D287" s="3">
        <v>8</v>
      </c>
      <c r="E287" s="3">
        <v>17</v>
      </c>
      <c r="F287" s="3" t="str">
        <f>HYPERLINK("https://www.boe.es/gazeta/dias/1813/08/14/pdfs/GRE-1813-103.pdf","Abrir PDF")</f>
        <v>Abrir PDF</v>
      </c>
    </row>
    <row r="288" spans="1:6" ht="31.05" customHeight="1">
      <c r="A288" s="6">
        <v>-31548</v>
      </c>
      <c r="B288" s="2" t="s">
        <v>1680</v>
      </c>
      <c r="C288" s="2" t="s">
        <v>17702</v>
      </c>
      <c r="D288" s="3">
        <v>8</v>
      </c>
      <c r="E288" s="3">
        <v>48</v>
      </c>
      <c r="F288" s="3" t="str">
        <f>HYPERLINK("https://www.boe.es/gazeta/dias/1813/08/15/pdfs/GRE-1813-104E.pdf","Abrir PDF")</f>
        <v>Abrir PDF</v>
      </c>
    </row>
    <row r="289" spans="1:6" ht="31.05" customHeight="1">
      <c r="A289" s="6">
        <v>-31546</v>
      </c>
      <c r="B289" s="2" t="s">
        <v>461</v>
      </c>
      <c r="C289" s="2" t="s">
        <v>17703</v>
      </c>
      <c r="D289" s="3">
        <v>8</v>
      </c>
      <c r="E289" s="3">
        <v>23</v>
      </c>
      <c r="F289" s="3" t="str">
        <f>HYPERLINK("https://www.boe.es/gazeta/dias/1813/08/17/pdfs/GMR-1813-29.pdf","Abrir PDF")</f>
        <v>Abrir PDF</v>
      </c>
    </row>
    <row r="290" spans="1:6" ht="31.05" customHeight="1">
      <c r="A290" s="6">
        <v>-31546</v>
      </c>
      <c r="B290" s="2" t="s">
        <v>2057</v>
      </c>
      <c r="C290" s="2" t="s">
        <v>17704</v>
      </c>
      <c r="D290" s="3">
        <v>8</v>
      </c>
      <c r="E290" s="3">
        <v>23</v>
      </c>
      <c r="F290" s="3" t="str">
        <f>HYPERLINK("https://www.boe.es/gazeta/dias/1813/08/17/pdfs/GRE-1813-105.pdf","Abrir PDF")</f>
        <v>Abrir PDF</v>
      </c>
    </row>
    <row r="291" spans="1:6" ht="31.05" customHeight="1">
      <c r="A291" s="6">
        <v>-31544</v>
      </c>
      <c r="B291" s="2" t="s">
        <v>44</v>
      </c>
      <c r="C291" s="2" t="s">
        <v>17705</v>
      </c>
      <c r="D291" s="3">
        <v>8</v>
      </c>
      <c r="E291" s="3">
        <v>27</v>
      </c>
      <c r="F291" s="3" t="str">
        <f>HYPERLINK("https://www.boe.es/gazeta/dias/1813/08/19/pdfs/GMR-1813-30.pdf","Abrir PDF")</f>
        <v>Abrir PDF</v>
      </c>
    </row>
    <row r="292" spans="1:6" ht="31.05" customHeight="1">
      <c r="A292" s="6">
        <v>-31544</v>
      </c>
      <c r="B292" s="2" t="s">
        <v>200</v>
      </c>
      <c r="C292" s="2" t="s">
        <v>17706</v>
      </c>
      <c r="D292" s="3">
        <v>8</v>
      </c>
      <c r="E292" s="3">
        <v>35</v>
      </c>
      <c r="F292" s="3" t="str">
        <f>HYPERLINK("https://www.boe.es/gazeta/dias/1813/08/19/pdfs/GRE-1813-106.pdf","Abrir PDF")</f>
        <v>Abrir PDF</v>
      </c>
    </row>
    <row r="293" spans="1:6" ht="31.05" customHeight="1">
      <c r="A293" s="6">
        <v>-31542</v>
      </c>
      <c r="B293" s="2" t="s">
        <v>347</v>
      </c>
      <c r="C293" s="2" t="s">
        <v>17707</v>
      </c>
      <c r="D293" s="3">
        <v>8</v>
      </c>
      <c r="E293" s="3">
        <v>39</v>
      </c>
      <c r="F293" s="3" t="str">
        <f>HYPERLINK("https://www.boe.es/gazeta/dias/1813/08/21/pdfs/GMR-1813-31.pdf","Abrir PDF")</f>
        <v>Abrir PDF</v>
      </c>
    </row>
    <row r="294" spans="1:6" ht="31.05" customHeight="1">
      <c r="A294" s="6">
        <v>-31542</v>
      </c>
      <c r="B294" s="2" t="s">
        <v>337</v>
      </c>
      <c r="C294" s="2" t="s">
        <v>17708</v>
      </c>
      <c r="D294" s="3">
        <v>8</v>
      </c>
      <c r="E294" s="3">
        <v>31</v>
      </c>
      <c r="F294" s="3" t="str">
        <f>HYPERLINK("https://www.boe.es/gazeta/dias/1813/08/21/pdfs/GRE-1813-107.pdf","Abrir PDF")</f>
        <v>Abrir PDF</v>
      </c>
    </row>
    <row r="295" spans="1:6" ht="31.05" customHeight="1">
      <c r="A295" s="6">
        <v>-31539</v>
      </c>
      <c r="B295" s="2" t="s">
        <v>1316</v>
      </c>
      <c r="C295" s="2" t="s">
        <v>17709</v>
      </c>
      <c r="D295" s="3">
        <v>8</v>
      </c>
      <c r="E295" s="3">
        <v>11</v>
      </c>
      <c r="F295" s="3" t="str">
        <f>HYPERLINK("https://www.boe.es/gazeta/dias/1813/08/24/pdfs/GMR-1813-32.pdf","Abrir PDF")</f>
        <v>Abrir PDF</v>
      </c>
    </row>
    <row r="296" spans="1:6" ht="31.05" customHeight="1">
      <c r="A296" s="6">
        <v>-31539</v>
      </c>
      <c r="B296" s="2" t="s">
        <v>1220</v>
      </c>
      <c r="C296" s="2" t="s">
        <v>17710</v>
      </c>
      <c r="D296" s="3">
        <v>8</v>
      </c>
      <c r="E296" s="3">
        <v>30</v>
      </c>
      <c r="F296" s="3" t="str">
        <f>HYPERLINK("https://www.boe.es/gazeta/dias/1813/08/24/pdfs/GRE-1813-108.pdf","Abrir PDF")</f>
        <v>Abrir PDF</v>
      </c>
    </row>
    <row r="297" spans="1:6" ht="31.05" customHeight="1">
      <c r="A297" s="6">
        <v>-31537</v>
      </c>
      <c r="B297" s="2" t="s">
        <v>138</v>
      </c>
      <c r="C297" s="2" t="s">
        <v>17711</v>
      </c>
      <c r="D297" s="3">
        <v>16</v>
      </c>
      <c r="E297" s="3">
        <v>65</v>
      </c>
      <c r="F297" s="3" t="str">
        <f>HYPERLINK("https://www.boe.es/gazeta/dias/1813/08/26/pdfs/GMR-1813-33.pdf","Abrir PDF")</f>
        <v>Abrir PDF</v>
      </c>
    </row>
    <row r="298" spans="1:6" ht="31.05" customHeight="1">
      <c r="A298" s="6">
        <v>-31537</v>
      </c>
      <c r="B298" s="2" t="s">
        <v>5241</v>
      </c>
      <c r="C298" s="2" t="s">
        <v>17712</v>
      </c>
      <c r="D298" s="3">
        <v>8</v>
      </c>
      <c r="E298" s="3">
        <v>19</v>
      </c>
      <c r="F298" s="3" t="str">
        <f>HYPERLINK("https://www.boe.es/gazeta/dias/1813/08/26/pdfs/GRE-1813-109.pdf","Abrir PDF")</f>
        <v>Abrir PDF</v>
      </c>
    </row>
    <row r="299" spans="1:6" ht="31.05" customHeight="1">
      <c r="A299" s="6">
        <v>-31535</v>
      </c>
      <c r="B299" s="2" t="s">
        <v>894</v>
      </c>
      <c r="C299" s="2" t="s">
        <v>17713</v>
      </c>
      <c r="D299" s="3">
        <v>8</v>
      </c>
      <c r="E299" s="3">
        <v>19</v>
      </c>
      <c r="F299" s="3" t="str">
        <f>HYPERLINK("https://www.boe.es/gazeta/dias/1813/08/28/pdfs/GMR-1813-34.pdf","Abrir PDF")</f>
        <v>Abrir PDF</v>
      </c>
    </row>
    <row r="300" spans="1:6" ht="31.05" customHeight="1">
      <c r="A300" s="6">
        <v>-31535</v>
      </c>
      <c r="B300" s="2" t="s">
        <v>366</v>
      </c>
      <c r="C300" s="2" t="s">
        <v>17714</v>
      </c>
      <c r="D300" s="3">
        <v>8</v>
      </c>
      <c r="E300" s="3">
        <v>19</v>
      </c>
      <c r="F300" s="3" t="str">
        <f>HYPERLINK("https://www.boe.es/gazeta/dias/1813/08/28/pdfs/GRE-1813-110.pdf","Abrir PDF")</f>
        <v>Abrir PDF</v>
      </c>
    </row>
    <row r="301" spans="1:6" ht="31.05" customHeight="1">
      <c r="A301" s="6">
        <v>-31532</v>
      </c>
      <c r="B301" s="2" t="s">
        <v>1728</v>
      </c>
      <c r="C301" s="2" t="s">
        <v>17715</v>
      </c>
      <c r="D301" s="3">
        <v>12</v>
      </c>
      <c r="E301" s="3">
        <v>19</v>
      </c>
      <c r="F301" s="3" t="str">
        <f>HYPERLINK("https://www.boe.es/gazeta/dias/1813/08/31/pdfs/GMR-1813-35.pdf","Abrir PDF")</f>
        <v>Abrir PDF</v>
      </c>
    </row>
    <row r="302" spans="1:6" ht="31.05" customHeight="1">
      <c r="A302" s="6">
        <v>-31532</v>
      </c>
      <c r="B302" s="2" t="s">
        <v>215</v>
      </c>
      <c r="C302" s="2" t="s">
        <v>17716</v>
      </c>
      <c r="D302" s="3">
        <v>8</v>
      </c>
      <c r="E302" s="3">
        <v>59</v>
      </c>
      <c r="F302" s="3" t="str">
        <f>HYPERLINK("https://www.boe.es/gazeta/dias/1813/08/31/pdfs/GRE-1813-111.pdf","Abrir PDF")</f>
        <v>Abrir PDF</v>
      </c>
    </row>
    <row r="303" spans="1:6" ht="31.05" customHeight="1">
      <c r="A303" s="6">
        <v>-31530</v>
      </c>
      <c r="B303" s="2" t="s">
        <v>133</v>
      </c>
      <c r="C303" s="2" t="s">
        <v>17717</v>
      </c>
      <c r="D303" s="3">
        <v>8</v>
      </c>
      <c r="E303" s="3">
        <v>40</v>
      </c>
      <c r="F303" s="3" t="str">
        <f>HYPERLINK("https://www.boe.es/gazeta/dias/1813/09/02/pdfs/GMR-1813-36.pdf","Abrir PDF")</f>
        <v>Abrir PDF</v>
      </c>
    </row>
    <row r="304" spans="1:6" ht="31.05" customHeight="1">
      <c r="A304" s="6">
        <v>-31530</v>
      </c>
      <c r="B304" s="2" t="s">
        <v>319</v>
      </c>
      <c r="C304" s="2" t="s">
        <v>17718</v>
      </c>
      <c r="D304" s="3">
        <v>8</v>
      </c>
      <c r="E304" s="3">
        <v>29</v>
      </c>
      <c r="F304" s="3" t="str">
        <f>HYPERLINK("https://www.boe.es/gazeta/dias/1813/09/02/pdfs/GRE-1813-112.pdf","Abrir PDF")</f>
        <v>Abrir PDF</v>
      </c>
    </row>
    <row r="305" spans="1:6" ht="31.05" customHeight="1">
      <c r="A305" s="6">
        <v>-31528</v>
      </c>
      <c r="B305" s="2" t="s">
        <v>141</v>
      </c>
      <c r="C305" s="2" t="s">
        <v>17719</v>
      </c>
      <c r="D305" s="3">
        <v>8</v>
      </c>
      <c r="E305" s="3">
        <v>13</v>
      </c>
      <c r="F305" s="3" t="str">
        <f>HYPERLINK("https://www.boe.es/gazeta/dias/1813/09/04/pdfs/GMR-1813-37.pdf","Abrir PDF")</f>
        <v>Abrir PDF</v>
      </c>
    </row>
    <row r="306" spans="1:6" ht="31.05" customHeight="1">
      <c r="A306" s="6">
        <v>-31528</v>
      </c>
      <c r="B306" s="2" t="s">
        <v>1485</v>
      </c>
      <c r="C306" s="2" t="s">
        <v>17692</v>
      </c>
      <c r="D306" s="3">
        <v>8</v>
      </c>
      <c r="E306" s="3">
        <v>60</v>
      </c>
      <c r="F306" s="3" t="str">
        <f>HYPERLINK("https://www.boe.es/gazeta/dias/1813/09/04/pdfs/GRE-1813-113.pdf","Abrir PDF")</f>
        <v>Abrir PDF</v>
      </c>
    </row>
    <row r="307" spans="1:6" ht="31.05" customHeight="1">
      <c r="A307" s="6">
        <v>-31525</v>
      </c>
      <c r="B307" s="2" t="s">
        <v>135</v>
      </c>
      <c r="C307" s="2" t="s">
        <v>17720</v>
      </c>
      <c r="D307" s="3">
        <v>8</v>
      </c>
      <c r="E307" s="3">
        <v>20</v>
      </c>
      <c r="F307" s="3" t="str">
        <f>HYPERLINK("https://www.boe.es/gazeta/dias/1813/09/07/pdfs/GMR-1813-38.pdf","Abrir PDF")</f>
        <v>Abrir PDF</v>
      </c>
    </row>
    <row r="308" spans="1:6" ht="31.05" customHeight="1">
      <c r="A308" s="6">
        <v>-31525</v>
      </c>
      <c r="B308" s="2" t="s">
        <v>6355</v>
      </c>
      <c r="C308" s="2" t="s">
        <v>17721</v>
      </c>
      <c r="D308" s="3">
        <v>2</v>
      </c>
      <c r="E308" s="3">
        <v>2</v>
      </c>
      <c r="F308" s="3" t="str">
        <f>HYPERLINK("https://www.boe.es/gazeta/dias/1813/09/07/pdfs/GMR-1813-39E.pdf","Abrir PDF")</f>
        <v>Abrir PDF</v>
      </c>
    </row>
    <row r="309" spans="1:6" ht="31.05" customHeight="1">
      <c r="A309" s="6">
        <v>-31525</v>
      </c>
      <c r="B309" s="2" t="s">
        <v>1131</v>
      </c>
      <c r="C309" s="2" t="s">
        <v>17722</v>
      </c>
      <c r="D309" s="3">
        <v>8</v>
      </c>
      <c r="E309" s="3">
        <v>29</v>
      </c>
      <c r="F309" s="3" t="str">
        <f>HYPERLINK("https://www.boe.es/gazeta/dias/1813/09/07/pdfs/GRE-1813-114.pdf","Abrir PDF")</f>
        <v>Abrir PDF</v>
      </c>
    </row>
    <row r="310" spans="1:6" ht="31.05" customHeight="1">
      <c r="A310" s="6">
        <v>-31523</v>
      </c>
      <c r="B310" s="2" t="s">
        <v>2140</v>
      </c>
      <c r="C310" s="2" t="s">
        <v>17723</v>
      </c>
      <c r="D310" s="3">
        <v>8</v>
      </c>
      <c r="E310" s="3">
        <v>13</v>
      </c>
      <c r="F310" s="3" t="str">
        <f>HYPERLINK("https://www.boe.es/gazeta/dias/1813/09/09/pdfs/GMR-1813-40.pdf","Abrir PDF")</f>
        <v>Abrir PDF</v>
      </c>
    </row>
    <row r="311" spans="1:6" ht="31.05" customHeight="1">
      <c r="A311" s="6">
        <v>-31523</v>
      </c>
      <c r="B311" s="2" t="s">
        <v>81</v>
      </c>
      <c r="C311" s="2" t="s">
        <v>17724</v>
      </c>
      <c r="D311" s="3">
        <v>8</v>
      </c>
      <c r="E311" s="3">
        <v>22</v>
      </c>
      <c r="F311" s="3" t="str">
        <f>HYPERLINK("https://www.boe.es/gazeta/dias/1813/09/09/pdfs/GRE-1813-115.pdf","Abrir PDF")</f>
        <v>Abrir PDF</v>
      </c>
    </row>
    <row r="312" spans="1:6" ht="31.05" customHeight="1">
      <c r="A312" s="6">
        <v>-31521</v>
      </c>
      <c r="B312" s="2" t="s">
        <v>1282</v>
      </c>
      <c r="C312" s="2" t="s">
        <v>17725</v>
      </c>
      <c r="D312" s="3">
        <v>12</v>
      </c>
      <c r="E312" s="3">
        <v>47</v>
      </c>
      <c r="F312" s="3" t="str">
        <f>HYPERLINK("https://www.boe.es/gazeta/dias/1813/09/11/pdfs/GMR-1813-41.pdf","Abrir PDF")</f>
        <v>Abrir PDF</v>
      </c>
    </row>
    <row r="313" spans="1:6" ht="31.05" customHeight="1">
      <c r="A313" s="6">
        <v>-31521</v>
      </c>
      <c r="B313" s="2" t="s">
        <v>1256</v>
      </c>
      <c r="C313" s="2" t="s">
        <v>17726</v>
      </c>
      <c r="D313" s="3">
        <v>8</v>
      </c>
      <c r="E313" s="3">
        <v>34</v>
      </c>
      <c r="F313" s="3" t="str">
        <f>HYPERLINK("https://www.boe.es/gazeta/dias/1813/09/11/pdfs/GRE-1813-116.pdf","Abrir PDF")</f>
        <v>Abrir PDF</v>
      </c>
    </row>
    <row r="314" spans="1:6" ht="31.05" customHeight="1">
      <c r="A314" s="6">
        <v>-31521</v>
      </c>
      <c r="B314" s="2" t="s">
        <v>6395</v>
      </c>
      <c r="C314" s="2" t="s">
        <v>17727</v>
      </c>
      <c r="D314" s="3">
        <v>1</v>
      </c>
      <c r="E314" s="3">
        <v>1</v>
      </c>
      <c r="F314" s="3" t="str">
        <f>HYPERLINK("https://www.boe.es/gazeta/dias/1813/09/11/pdfs/GRE-1813-117E.pdf","Abrir PDF")</f>
        <v>Abrir PDF</v>
      </c>
    </row>
    <row r="315" spans="1:6" ht="31.05" customHeight="1">
      <c r="A315" s="6">
        <v>-31519</v>
      </c>
      <c r="B315" s="2" t="s">
        <v>312</v>
      </c>
      <c r="C315" s="2" t="s">
        <v>17728</v>
      </c>
      <c r="D315" s="3">
        <v>12</v>
      </c>
      <c r="E315" s="3">
        <v>138</v>
      </c>
      <c r="F315" s="3" t="str">
        <f>HYPERLINK("https://www.boe.es/gazeta/dias/1813/09/13/pdfs/GRE-1813-118E.pdf","Abrir PDF")</f>
        <v>Abrir PDF</v>
      </c>
    </row>
    <row r="316" spans="1:6" ht="31.05" customHeight="1">
      <c r="A316" s="6">
        <v>-31518</v>
      </c>
      <c r="B316" s="2" t="s">
        <v>1090</v>
      </c>
      <c r="C316" s="2" t="s">
        <v>17729</v>
      </c>
      <c r="D316" s="3">
        <v>12</v>
      </c>
      <c r="E316" s="3">
        <v>11</v>
      </c>
      <c r="F316" s="3" t="str">
        <f>HYPERLINK("https://www.boe.es/gazeta/dias/1813/09/14/pdfs/GMR-1813-42.pdf","Abrir PDF")</f>
        <v>Abrir PDF</v>
      </c>
    </row>
    <row r="317" spans="1:6" ht="31.05" customHeight="1">
      <c r="A317" s="6">
        <v>-31518</v>
      </c>
      <c r="B317" s="2" t="s">
        <v>155</v>
      </c>
      <c r="C317" s="2" t="s">
        <v>17730</v>
      </c>
      <c r="D317" s="3">
        <v>8</v>
      </c>
      <c r="E317" s="3">
        <v>25</v>
      </c>
      <c r="F317" s="3" t="str">
        <f>HYPERLINK("https://www.boe.es/gazeta/dias/1813/09/14/pdfs/GRE-1813-119.pdf","Abrir PDF")</f>
        <v>Abrir PDF</v>
      </c>
    </row>
    <row r="318" spans="1:6" ht="31.05" customHeight="1">
      <c r="A318" s="6">
        <v>-31516</v>
      </c>
      <c r="B318" s="2" t="s">
        <v>246</v>
      </c>
      <c r="C318" s="2" t="s">
        <v>17731</v>
      </c>
      <c r="D318" s="3">
        <v>8</v>
      </c>
      <c r="E318" s="3">
        <v>17</v>
      </c>
      <c r="F318" s="3" t="str">
        <f>HYPERLINK("https://www.boe.es/gazeta/dias/1813/09/16/pdfs/GMR-1813-43.pdf","Abrir PDF")</f>
        <v>Abrir PDF</v>
      </c>
    </row>
    <row r="319" spans="1:6" ht="31.05" customHeight="1">
      <c r="A319" s="6">
        <v>-31516</v>
      </c>
      <c r="B319" s="2" t="s">
        <v>17732</v>
      </c>
      <c r="C319" s="2" t="s">
        <v>17733</v>
      </c>
      <c r="D319" s="3">
        <v>1</v>
      </c>
      <c r="E319" s="3">
        <v>0</v>
      </c>
      <c r="F319" s="3" t="str">
        <f>HYPERLINK("https://www.boe.es/gazeta/dias/1813/09/16/pdfs/GMR-1813-44E.pdf","Abrir PDF")</f>
        <v>Abrir PDF</v>
      </c>
    </row>
    <row r="320" spans="1:6" ht="31.05" customHeight="1">
      <c r="A320" s="6">
        <v>-31516</v>
      </c>
      <c r="B320" s="2" t="s">
        <v>1685</v>
      </c>
      <c r="C320" s="2" t="s">
        <v>17734</v>
      </c>
      <c r="D320" s="3">
        <v>8</v>
      </c>
      <c r="E320" s="3">
        <v>50</v>
      </c>
      <c r="F320" s="3" t="str">
        <f>HYPERLINK("https://www.boe.es/gazeta/dias/1813/09/16/pdfs/GRE-1813-120.pdf","Abrir PDF")</f>
        <v>Abrir PDF</v>
      </c>
    </row>
    <row r="321" spans="1:6" ht="31.05" customHeight="1">
      <c r="A321" s="6">
        <v>-31514</v>
      </c>
      <c r="B321" s="2" t="s">
        <v>2099</v>
      </c>
      <c r="C321" s="2" t="s">
        <v>17735</v>
      </c>
      <c r="D321" s="3">
        <v>8</v>
      </c>
      <c r="E321" s="3">
        <v>25</v>
      </c>
      <c r="F321" s="3" t="str">
        <f>HYPERLINK("https://www.boe.es/gazeta/dias/1813/09/18/pdfs/GMR-1813-45.pdf","Abrir PDF")</f>
        <v>Abrir PDF</v>
      </c>
    </row>
    <row r="322" spans="1:6" ht="31.05" customHeight="1">
      <c r="A322" s="6">
        <v>-31514</v>
      </c>
      <c r="B322" s="2" t="s">
        <v>1095</v>
      </c>
      <c r="C322" s="2" t="s">
        <v>17736</v>
      </c>
      <c r="D322" s="3">
        <v>8</v>
      </c>
      <c r="E322" s="3">
        <v>9</v>
      </c>
      <c r="F322" s="3" t="str">
        <f>HYPERLINK("https://www.boe.es/gazeta/dias/1813/09/18/pdfs/GRE-1813-121.pdf","Abrir PDF")</f>
        <v>Abrir PDF</v>
      </c>
    </row>
    <row r="323" spans="1:6" ht="31.05" customHeight="1">
      <c r="A323" s="6">
        <v>-31512</v>
      </c>
      <c r="B323" s="2" t="s">
        <v>5204</v>
      </c>
      <c r="C323" s="2" t="s">
        <v>17737</v>
      </c>
      <c r="D323" s="3">
        <v>4</v>
      </c>
      <c r="E323" s="3">
        <v>1</v>
      </c>
      <c r="F323" s="3" t="str">
        <f>HYPERLINK("https://www.boe.es/gazeta/dias/1813/09/20/pdfs/GRE-1813-123E.pdf","Abrir PDF")</f>
        <v>Abrir PDF</v>
      </c>
    </row>
    <row r="324" spans="1:6" ht="31.05" customHeight="1">
      <c r="A324" s="6">
        <v>-31511</v>
      </c>
      <c r="B324" s="2" t="s">
        <v>935</v>
      </c>
      <c r="C324" s="2" t="s">
        <v>17738</v>
      </c>
      <c r="D324" s="3">
        <v>12</v>
      </c>
      <c r="E324" s="3">
        <v>33</v>
      </c>
      <c r="F324" s="3" t="str">
        <f>HYPERLINK("https://www.boe.es/gazeta/dias/1813/09/21/pdfs/GMR-1813-46.pdf","Abrir PDF")</f>
        <v>Abrir PDF</v>
      </c>
    </row>
    <row r="325" spans="1:6" ht="31.05" customHeight="1">
      <c r="A325" s="6">
        <v>-31511</v>
      </c>
      <c r="B325" s="2" t="s">
        <v>2149</v>
      </c>
      <c r="C325" s="2" t="s">
        <v>17739</v>
      </c>
      <c r="D325" s="3">
        <v>8</v>
      </c>
      <c r="E325" s="3">
        <v>28</v>
      </c>
      <c r="F325" s="3" t="str">
        <f>HYPERLINK("https://www.boe.es/gazeta/dias/1813/09/21/pdfs/GRE-1813-122.pdf","Abrir PDF")</f>
        <v>Abrir PDF</v>
      </c>
    </row>
    <row r="326" spans="1:6" ht="31.05" customHeight="1">
      <c r="A326" s="6">
        <v>-31511</v>
      </c>
      <c r="B326" s="2" t="s">
        <v>3791</v>
      </c>
      <c r="C326" s="2" t="s">
        <v>17740</v>
      </c>
      <c r="D326" s="3">
        <v>3</v>
      </c>
      <c r="E326" s="3">
        <v>7</v>
      </c>
      <c r="F326" s="3" t="str">
        <f>HYPERLINK("https://www.boe.es/gazeta/dias/1813/09/21/pdfs/GRE-1813-124E.pdf","Abrir PDF")</f>
        <v>Abrir PDF</v>
      </c>
    </row>
    <row r="327" spans="1:6" ht="31.05" customHeight="1">
      <c r="A327" s="6">
        <v>-31509</v>
      </c>
      <c r="B327" s="2" t="s">
        <v>202</v>
      </c>
      <c r="C327" s="2" t="s">
        <v>17741</v>
      </c>
      <c r="D327" s="3">
        <v>12</v>
      </c>
      <c r="E327" s="3">
        <v>18</v>
      </c>
      <c r="F327" s="3" t="str">
        <f>HYPERLINK("https://www.boe.es/gazeta/dias/1813/09/23/pdfs/GMR-1813-47.pdf","Abrir PDF")</f>
        <v>Abrir PDF</v>
      </c>
    </row>
    <row r="328" spans="1:6" ht="31.05" customHeight="1">
      <c r="A328" s="6">
        <v>-31509</v>
      </c>
      <c r="B328" s="2" t="s">
        <v>2007</v>
      </c>
      <c r="C328" s="2" t="s">
        <v>17742</v>
      </c>
      <c r="D328" s="3">
        <v>8</v>
      </c>
      <c r="E328" s="3">
        <v>15</v>
      </c>
      <c r="F328" s="3" t="str">
        <f>HYPERLINK("https://www.boe.es/gazeta/dias/1813/09/23/pdfs/GRE-1813-125.pdf","Abrir PDF")</f>
        <v>Abrir PDF</v>
      </c>
    </row>
    <row r="329" spans="1:6" ht="31.05" customHeight="1">
      <c r="A329" s="6">
        <v>-31507</v>
      </c>
      <c r="B329" s="2" t="s">
        <v>61</v>
      </c>
      <c r="C329" s="2" t="s">
        <v>17743</v>
      </c>
      <c r="D329" s="3">
        <v>12</v>
      </c>
      <c r="E329" s="3">
        <v>93</v>
      </c>
      <c r="F329" s="3" t="str">
        <f>HYPERLINK("https://www.boe.es/gazeta/dias/1813/09/25/pdfs/GMR-1813-48.pdf","Abrir PDF")</f>
        <v>Abrir PDF</v>
      </c>
    </row>
    <row r="330" spans="1:6" ht="31.05" customHeight="1">
      <c r="A330" s="6">
        <v>-31507</v>
      </c>
      <c r="B330" s="2" t="s">
        <v>2294</v>
      </c>
      <c r="C330" s="2" t="s">
        <v>17744</v>
      </c>
      <c r="D330" s="3">
        <v>8</v>
      </c>
      <c r="E330" s="3">
        <v>8</v>
      </c>
      <c r="F330" s="3" t="str">
        <f>HYPERLINK("https://www.boe.es/gazeta/dias/1813/09/25/pdfs/GRE-1813-126.pdf","Abrir PDF")</f>
        <v>Abrir PDF</v>
      </c>
    </row>
    <row r="331" spans="1:6" ht="31.05" customHeight="1">
      <c r="A331" s="6">
        <v>-31506</v>
      </c>
      <c r="B331" s="2" t="s">
        <v>5208</v>
      </c>
      <c r="C331" s="2" t="s">
        <v>17745</v>
      </c>
      <c r="D331" s="3">
        <v>2</v>
      </c>
      <c r="E331" s="3">
        <v>1</v>
      </c>
      <c r="F331" s="3" t="str">
        <f>HYPERLINK("https://www.boe.es/gazeta/dias/1813/09/26/pdfs/GMR-1813-49E.pdf","Abrir PDF")</f>
        <v>Abrir PDF</v>
      </c>
    </row>
    <row r="332" spans="1:6" ht="31.05" customHeight="1">
      <c r="A332" s="6">
        <v>-31504</v>
      </c>
      <c r="B332" s="2" t="s">
        <v>1361</v>
      </c>
      <c r="C332" s="2" t="s">
        <v>17746</v>
      </c>
      <c r="D332" s="3">
        <v>8</v>
      </c>
      <c r="E332" s="3">
        <v>25</v>
      </c>
      <c r="F332" s="3" t="str">
        <f>HYPERLINK("https://www.boe.es/gazeta/dias/1813/09/28/pdfs/GMR-1813-50.pdf","Abrir PDF")</f>
        <v>Abrir PDF</v>
      </c>
    </row>
    <row r="333" spans="1:6" ht="31.05" customHeight="1">
      <c r="A333" s="6">
        <v>-31504</v>
      </c>
      <c r="B333" s="2" t="s">
        <v>192</v>
      </c>
      <c r="C333" s="2" t="s">
        <v>17747</v>
      </c>
      <c r="D333" s="3">
        <v>8</v>
      </c>
      <c r="E333" s="3">
        <v>24</v>
      </c>
      <c r="F333" s="3" t="str">
        <f>HYPERLINK("https://www.boe.es/gazeta/dias/1813/09/28/pdfs/GRE-1813-127.pdf","Abrir PDF")</f>
        <v>Abrir PDF</v>
      </c>
    </row>
    <row r="334" spans="1:6" ht="31.05" customHeight="1">
      <c r="A334" s="6">
        <v>-31502</v>
      </c>
      <c r="B334" s="2" t="s">
        <v>257</v>
      </c>
      <c r="C334" s="2" t="s">
        <v>17748</v>
      </c>
      <c r="D334" s="3">
        <v>12</v>
      </c>
      <c r="E334" s="3">
        <v>27</v>
      </c>
      <c r="F334" s="3" t="str">
        <f>HYPERLINK("https://www.boe.es/gazeta/dias/1813/09/30/pdfs/GMR-1813-51.pdf","Abrir PDF")</f>
        <v>Abrir PDF</v>
      </c>
    </row>
    <row r="335" spans="1:6" ht="31.05" customHeight="1">
      <c r="A335" s="6">
        <v>-31502</v>
      </c>
      <c r="B335" s="2" t="s">
        <v>1363</v>
      </c>
      <c r="C335" s="2" t="s">
        <v>17749</v>
      </c>
      <c r="D335" s="3">
        <v>8</v>
      </c>
      <c r="E335" s="3">
        <v>29</v>
      </c>
      <c r="F335" s="3" t="str">
        <f>HYPERLINK("https://www.boe.es/gazeta/dias/1813/09/30/pdfs/GRE-1813-128.pdf","Abrir PDF")</f>
        <v>Abrir PDF</v>
      </c>
    </row>
    <row r="336" spans="1:6" ht="31.05" customHeight="1">
      <c r="A336" s="6">
        <v>-31500</v>
      </c>
      <c r="B336" s="2" t="s">
        <v>938</v>
      </c>
      <c r="C336" s="2" t="s">
        <v>17750</v>
      </c>
      <c r="D336" s="3">
        <v>8</v>
      </c>
      <c r="E336" s="3">
        <v>19</v>
      </c>
      <c r="F336" s="3" t="str">
        <f>HYPERLINK("https://www.boe.es/gazeta/dias/1813/10/02/pdfs/GMR-1813-52.pdf","Abrir PDF")</f>
        <v>Abrir PDF</v>
      </c>
    </row>
    <row r="337" spans="1:6" ht="31.05" customHeight="1">
      <c r="A337" s="6">
        <v>-31500</v>
      </c>
      <c r="B337" s="2" t="s">
        <v>5349</v>
      </c>
      <c r="C337" s="2" t="s">
        <v>17751</v>
      </c>
      <c r="D337" s="3">
        <v>8</v>
      </c>
      <c r="E337" s="3">
        <v>8</v>
      </c>
      <c r="F337" s="3" t="str">
        <f>HYPERLINK("https://www.boe.es/gazeta/dias/1813/10/02/pdfs/GRE-1813-129.pdf","Abrir PDF")</f>
        <v>Abrir PDF</v>
      </c>
    </row>
    <row r="338" spans="1:6" ht="31.05" customHeight="1">
      <c r="A338" s="6">
        <v>-31499</v>
      </c>
      <c r="B338" s="2" t="s">
        <v>220</v>
      </c>
      <c r="C338" s="2" t="s">
        <v>17752</v>
      </c>
      <c r="D338" s="3">
        <v>12</v>
      </c>
      <c r="E338" s="3">
        <v>51</v>
      </c>
      <c r="F338" s="3" t="str">
        <f>HYPERLINK("https://www.boe.es/gazeta/dias/1813/10/03/pdfs/GMR-1813-53E.pdf","Abrir PDF")</f>
        <v>Abrir PDF</v>
      </c>
    </row>
    <row r="339" spans="1:6" ht="31.05" customHeight="1">
      <c r="A339" s="6">
        <v>-31497</v>
      </c>
      <c r="B339" s="2" t="s">
        <v>1457</v>
      </c>
      <c r="C339" s="2" t="s">
        <v>17753</v>
      </c>
      <c r="D339" s="3">
        <v>8</v>
      </c>
      <c r="E339" s="3">
        <v>17</v>
      </c>
      <c r="F339" s="3" t="str">
        <f>HYPERLINK("https://www.boe.es/gazeta/dias/1813/10/05/pdfs/GMR-1813-54.pdf","Abrir PDF")</f>
        <v>Abrir PDF</v>
      </c>
    </row>
    <row r="340" spans="1:6" ht="31.05" customHeight="1">
      <c r="A340" s="6">
        <v>-31497</v>
      </c>
      <c r="B340" s="2" t="s">
        <v>223</v>
      </c>
      <c r="C340" s="2" t="s">
        <v>17754</v>
      </c>
      <c r="D340" s="3">
        <v>8</v>
      </c>
      <c r="E340" s="3">
        <v>40</v>
      </c>
      <c r="F340" s="3" t="str">
        <f>HYPERLINK("https://www.boe.es/gazeta/dias/1813/10/05/pdfs/GRE-1813-130.pdf","Abrir PDF")</f>
        <v>Abrir PDF</v>
      </c>
    </row>
    <row r="341" spans="1:6" ht="31.05" customHeight="1">
      <c r="A341" s="6">
        <v>-31495</v>
      </c>
      <c r="B341" s="2" t="s">
        <v>194</v>
      </c>
      <c r="C341" s="2" t="s">
        <v>17755</v>
      </c>
      <c r="D341" s="3">
        <v>8</v>
      </c>
      <c r="E341" s="3">
        <v>19</v>
      </c>
      <c r="F341" s="3" t="str">
        <f>HYPERLINK("https://www.boe.es/gazeta/dias/1813/10/07/pdfs/GMR-1813-55.pdf","Abrir PDF")</f>
        <v>Abrir PDF</v>
      </c>
    </row>
    <row r="342" spans="1:6" ht="31.05" customHeight="1">
      <c r="A342" s="6">
        <v>-31495</v>
      </c>
      <c r="B342" s="2" t="s">
        <v>484</v>
      </c>
      <c r="C342" s="2" t="s">
        <v>17756</v>
      </c>
      <c r="D342" s="3">
        <v>8</v>
      </c>
      <c r="E342" s="3">
        <v>10</v>
      </c>
      <c r="F342" s="3" t="str">
        <f>HYPERLINK("https://www.boe.es/gazeta/dias/1813/10/07/pdfs/GRE-1813-131.pdf","Abrir PDF")</f>
        <v>Abrir PDF</v>
      </c>
    </row>
    <row r="343" spans="1:6" ht="31.05" customHeight="1">
      <c r="A343" s="6">
        <v>-31493</v>
      </c>
      <c r="B343" s="2" t="s">
        <v>1097</v>
      </c>
      <c r="C343" s="2" t="s">
        <v>17757</v>
      </c>
      <c r="D343" s="3">
        <v>8</v>
      </c>
      <c r="E343" s="3">
        <v>6</v>
      </c>
      <c r="F343" s="3" t="str">
        <f>HYPERLINK("https://www.boe.es/gazeta/dias/1813/10/09/pdfs/GMR-1813-56.pdf","Abrir PDF")</f>
        <v>Abrir PDF</v>
      </c>
    </row>
    <row r="344" spans="1:6" ht="31.05" customHeight="1">
      <c r="A344" s="6">
        <v>-31493</v>
      </c>
      <c r="B344" s="2" t="s">
        <v>1996</v>
      </c>
      <c r="C344" s="2" t="s">
        <v>17758</v>
      </c>
      <c r="D344" s="3">
        <v>8</v>
      </c>
      <c r="E344" s="3">
        <v>14</v>
      </c>
      <c r="F344" s="3" t="str">
        <f>HYPERLINK("https://www.boe.es/gazeta/dias/1813/10/09/pdfs/GRE-1813-132.pdf","Abrir PDF")</f>
        <v>Abrir PDF</v>
      </c>
    </row>
    <row r="345" spans="1:6" ht="31.05" customHeight="1">
      <c r="A345" s="6">
        <v>-31490</v>
      </c>
      <c r="B345" s="2" t="s">
        <v>2909</v>
      </c>
      <c r="C345" s="2" t="s">
        <v>17759</v>
      </c>
      <c r="D345" s="3">
        <v>12</v>
      </c>
      <c r="E345" s="3">
        <v>8</v>
      </c>
      <c r="F345" s="3" t="str">
        <f>HYPERLINK("https://www.boe.es/gazeta/dias/1813/10/12/pdfs/GMR-1813-57.pdf","Abrir PDF")</f>
        <v>Abrir PDF</v>
      </c>
    </row>
    <row r="346" spans="1:6" ht="31.05" customHeight="1">
      <c r="A346" s="6">
        <v>-31490</v>
      </c>
      <c r="B346" s="2" t="s">
        <v>7776</v>
      </c>
      <c r="C346" s="2" t="s">
        <v>17760</v>
      </c>
      <c r="D346" s="3">
        <v>2</v>
      </c>
      <c r="E346" s="3">
        <v>1</v>
      </c>
      <c r="F346" s="3" t="str">
        <f>HYPERLINK("https://www.boe.es/gazeta/dias/1813/10/12/pdfs/GMR-1813-58E.pdf","Abrir PDF")</f>
        <v>Abrir PDF</v>
      </c>
    </row>
    <row r="347" spans="1:6" ht="31.05" customHeight="1">
      <c r="A347" s="6">
        <v>-31490</v>
      </c>
      <c r="B347" s="2" t="s">
        <v>3271</v>
      </c>
      <c r="C347" s="2" t="s">
        <v>17761</v>
      </c>
      <c r="D347" s="3">
        <v>8</v>
      </c>
      <c r="E347" s="3">
        <v>13</v>
      </c>
      <c r="F347" s="3" t="str">
        <f>HYPERLINK("https://www.boe.es/gazeta/dias/1813/10/12/pdfs/GRE-1813-133.pdf","Abrir PDF")</f>
        <v>Abrir PDF</v>
      </c>
    </row>
    <row r="348" spans="1:6" ht="31.05" customHeight="1">
      <c r="A348" s="6">
        <v>-31488</v>
      </c>
      <c r="B348" s="2" t="s">
        <v>2370</v>
      </c>
      <c r="C348" s="2" t="s">
        <v>17762</v>
      </c>
      <c r="D348" s="3">
        <v>8</v>
      </c>
      <c r="E348" s="3">
        <v>10</v>
      </c>
      <c r="F348" s="3" t="str">
        <f>HYPERLINK("https://www.boe.es/gazeta/dias/1813/10/14/pdfs/GMR-1813-59.pdf","Abrir PDF")</f>
        <v>Abrir PDF</v>
      </c>
    </row>
    <row r="349" spans="1:6" ht="31.05" customHeight="1">
      <c r="A349" s="6">
        <v>-31488</v>
      </c>
      <c r="B349" s="2" t="s">
        <v>1023</v>
      </c>
      <c r="C349" s="2" t="s">
        <v>17763</v>
      </c>
      <c r="D349" s="3">
        <v>8</v>
      </c>
      <c r="E349" s="3">
        <v>14</v>
      </c>
      <c r="F349" s="3" t="str">
        <f>HYPERLINK("https://www.boe.es/gazeta/dias/1813/10/14/pdfs/GRE-1813-134.pdf","Abrir PDF")</f>
        <v>Abrir PDF</v>
      </c>
    </row>
    <row r="350" spans="1:6" ht="31.05" customHeight="1">
      <c r="A350" s="6">
        <v>-31486</v>
      </c>
      <c r="B350" s="2" t="s">
        <v>1284</v>
      </c>
      <c r="C350" s="2" t="s">
        <v>17764</v>
      </c>
      <c r="D350" s="3">
        <v>8</v>
      </c>
      <c r="E350" s="3">
        <v>21</v>
      </c>
      <c r="F350" s="3" t="str">
        <f>HYPERLINK("https://www.boe.es/gazeta/dias/1813/10/16/pdfs/GMR-1813-60.pdf","Abrir PDF")</f>
        <v>Abrir PDF</v>
      </c>
    </row>
    <row r="351" spans="1:6" ht="31.05" customHeight="1">
      <c r="A351" s="6">
        <v>-31486</v>
      </c>
      <c r="B351" s="2" t="s">
        <v>597</v>
      </c>
      <c r="C351" s="2" t="s">
        <v>17765</v>
      </c>
      <c r="D351" s="3">
        <v>8</v>
      </c>
      <c r="E351" s="3">
        <v>20</v>
      </c>
      <c r="F351" s="3" t="str">
        <f>HYPERLINK("https://www.boe.es/gazeta/dias/1813/10/16/pdfs/GRE-1813-135.pdf","Abrir PDF")</f>
        <v>Abrir PDF</v>
      </c>
    </row>
    <row r="352" spans="1:6" ht="31.05" customHeight="1">
      <c r="A352" s="6">
        <v>-31483</v>
      </c>
      <c r="B352" s="2" t="s">
        <v>1292</v>
      </c>
      <c r="C352" s="2" t="s">
        <v>17766</v>
      </c>
      <c r="D352" s="3">
        <v>12</v>
      </c>
      <c r="E352" s="3">
        <v>44</v>
      </c>
      <c r="F352" s="3" t="str">
        <f>HYPERLINK("https://www.boe.es/gazeta/dias/1813/10/19/pdfs/GMR-1813-61.pdf","Abrir PDF")</f>
        <v>Abrir PDF</v>
      </c>
    </row>
    <row r="353" spans="1:6" ht="31.05" customHeight="1">
      <c r="A353" s="6">
        <v>-31483</v>
      </c>
      <c r="B353" s="2" t="s">
        <v>308</v>
      </c>
      <c r="C353" s="2" t="s">
        <v>17767</v>
      </c>
      <c r="D353" s="3">
        <v>8</v>
      </c>
      <c r="E353" s="3">
        <v>21</v>
      </c>
      <c r="F353" s="3" t="str">
        <f>HYPERLINK("https://www.boe.es/gazeta/dias/1813/10/19/pdfs/GRE-1813-136.pdf","Abrir PDF")</f>
        <v>Abrir PDF</v>
      </c>
    </row>
    <row r="354" spans="1:6" ht="31.05" customHeight="1">
      <c r="A354" s="6">
        <v>-31481</v>
      </c>
      <c r="B354" s="2" t="s">
        <v>40</v>
      </c>
      <c r="C354" s="2" t="s">
        <v>17768</v>
      </c>
      <c r="D354" s="3">
        <v>8</v>
      </c>
      <c r="E354" s="3">
        <v>55</v>
      </c>
      <c r="F354" s="3" t="str">
        <f>HYPERLINK("https://www.boe.es/gazeta/dias/1813/10/21/pdfs/GMR-1813-62.pdf","Abrir PDF")</f>
        <v>Abrir PDF</v>
      </c>
    </row>
    <row r="355" spans="1:6" ht="31.05" customHeight="1">
      <c r="A355" s="6">
        <v>-31481</v>
      </c>
      <c r="B355" s="2" t="s">
        <v>380</v>
      </c>
      <c r="C355" s="2" t="s">
        <v>17769</v>
      </c>
      <c r="D355" s="3">
        <v>8</v>
      </c>
      <c r="E355" s="3">
        <v>36</v>
      </c>
      <c r="F355" s="3" t="str">
        <f>HYPERLINK("https://www.boe.es/gazeta/dias/1813/10/21/pdfs/GRE-1813-137.pdf","Abrir PDF")</f>
        <v>Abrir PDF</v>
      </c>
    </row>
    <row r="356" spans="1:6" ht="31.05" customHeight="1">
      <c r="A356" s="6">
        <v>-31479</v>
      </c>
      <c r="B356" s="2" t="s">
        <v>322</v>
      </c>
      <c r="C356" s="2" t="s">
        <v>17770</v>
      </c>
      <c r="D356" s="3">
        <v>12</v>
      </c>
      <c r="E356" s="3">
        <v>33</v>
      </c>
      <c r="F356" s="3" t="str">
        <f>HYPERLINK("https://www.boe.es/gazeta/dias/1813/10/23/pdfs/GMR-1813-63.pdf","Abrir PDF")</f>
        <v>Abrir PDF</v>
      </c>
    </row>
    <row r="357" spans="1:6" ht="31.05" customHeight="1">
      <c r="A357" s="6">
        <v>-31479</v>
      </c>
      <c r="B357" s="2" t="s">
        <v>2383</v>
      </c>
      <c r="C357" s="2" t="s">
        <v>17771</v>
      </c>
      <c r="D357" s="3">
        <v>8</v>
      </c>
      <c r="E357" s="3">
        <v>31</v>
      </c>
      <c r="F357" s="3" t="str">
        <f>HYPERLINK("https://www.boe.es/gazeta/dias/1813/10/23/pdfs/GRE-1813-138.pdf","Abrir PDF")</f>
        <v>Abrir PDF</v>
      </c>
    </row>
    <row r="358" spans="1:6" ht="31.05" customHeight="1">
      <c r="A358" s="6">
        <v>-31479</v>
      </c>
      <c r="B358" s="2" t="s">
        <v>290</v>
      </c>
      <c r="C358" s="2" t="s">
        <v>17772</v>
      </c>
      <c r="D358" s="3">
        <v>16</v>
      </c>
      <c r="E358" s="3">
        <v>111</v>
      </c>
      <c r="F358" s="3" t="str">
        <f>HYPERLINK("https://www.boe.es/gazeta/dias/1813/10/23/pdfs/GRE-1813-139E.pdf","Abrir PDF")</f>
        <v>Abrir PDF</v>
      </c>
    </row>
    <row r="359" spans="1:6" ht="31.05" customHeight="1">
      <c r="A359" s="6">
        <v>-31476</v>
      </c>
      <c r="B359" s="2" t="s">
        <v>158</v>
      </c>
      <c r="C359" s="2" t="s">
        <v>17773</v>
      </c>
      <c r="D359" s="3">
        <v>8</v>
      </c>
      <c r="E359" s="3">
        <v>34</v>
      </c>
      <c r="F359" s="3" t="str">
        <f>HYPERLINK("https://www.boe.es/gazeta/dias/1813/10/26/pdfs/GMR-1813-64.pdf","Abrir PDF")</f>
        <v>Abrir PDF</v>
      </c>
    </row>
    <row r="360" spans="1:6" ht="31.05" customHeight="1">
      <c r="A360" s="6">
        <v>-31476</v>
      </c>
      <c r="B360" s="2" t="s">
        <v>229</v>
      </c>
      <c r="C360" s="2" t="s">
        <v>17774</v>
      </c>
      <c r="D360" s="3">
        <v>8</v>
      </c>
      <c r="E360" s="3">
        <v>30</v>
      </c>
      <c r="F360" s="3" t="str">
        <f>HYPERLINK("https://www.boe.es/gazeta/dias/1813/10/26/pdfs/GRE-1813-140.pdf","Abrir PDF")</f>
        <v>Abrir PDF</v>
      </c>
    </row>
    <row r="361" spans="1:6" ht="31.05" customHeight="1">
      <c r="A361" s="6">
        <v>-31474</v>
      </c>
      <c r="B361" s="2" t="s">
        <v>1082</v>
      </c>
      <c r="C361" s="2" t="s">
        <v>17775</v>
      </c>
      <c r="D361" s="3">
        <v>8</v>
      </c>
      <c r="E361" s="3">
        <v>10</v>
      </c>
      <c r="F361" s="3" t="str">
        <f>HYPERLINK("https://www.boe.es/gazeta/dias/1813/10/28/pdfs/GMR-1813-65.pdf","Abrir PDF")</f>
        <v>Abrir PDF</v>
      </c>
    </row>
    <row r="362" spans="1:6" ht="31.05" customHeight="1">
      <c r="A362" s="6">
        <v>-31474</v>
      </c>
      <c r="B362" s="2" t="s">
        <v>130</v>
      </c>
      <c r="C362" s="2" t="s">
        <v>17776</v>
      </c>
      <c r="D362" s="3">
        <v>8</v>
      </c>
      <c r="E362" s="3">
        <v>36</v>
      </c>
      <c r="F362" s="3" t="str">
        <f>HYPERLINK("https://www.boe.es/gazeta/dias/1813/10/28/pdfs/GRE-1813-141.pdf","Abrir PDF")</f>
        <v>Abrir PDF</v>
      </c>
    </row>
    <row r="363" spans="1:6" ht="31.05" customHeight="1">
      <c r="A363" s="6">
        <v>-31472</v>
      </c>
      <c r="B363" s="2" t="s">
        <v>143</v>
      </c>
      <c r="C363" s="2" t="s">
        <v>17777</v>
      </c>
      <c r="D363" s="3">
        <v>8</v>
      </c>
      <c r="E363" s="3">
        <v>30</v>
      </c>
      <c r="F363" s="3" t="str">
        <f>HYPERLINK("https://www.boe.es/gazeta/dias/1813/10/30/pdfs/GMR-1813-66.pdf","Abrir PDF")</f>
        <v>Abrir PDF</v>
      </c>
    </row>
    <row r="364" spans="1:6" ht="31.05" customHeight="1">
      <c r="A364" s="6">
        <v>-31472</v>
      </c>
      <c r="B364" s="2" t="s">
        <v>1942</v>
      </c>
      <c r="C364" s="2" t="s">
        <v>17778</v>
      </c>
      <c r="D364" s="3">
        <v>8</v>
      </c>
      <c r="E364" s="3">
        <v>23</v>
      </c>
      <c r="F364" s="3" t="str">
        <f>HYPERLINK("https://www.boe.es/gazeta/dias/1813/10/30/pdfs/GRE-1813-142.pdf","Abrir PDF")</f>
        <v>Abrir PDF</v>
      </c>
    </row>
    <row r="365" spans="1:6" ht="31.05" customHeight="1">
      <c r="A365" s="6">
        <v>-31469</v>
      </c>
      <c r="B365" s="2" t="s">
        <v>1311</v>
      </c>
      <c r="C365" s="2" t="s">
        <v>17779</v>
      </c>
      <c r="D365" s="3">
        <v>8</v>
      </c>
      <c r="E365" s="3">
        <v>12</v>
      </c>
      <c r="F365" s="3" t="str">
        <f>HYPERLINK("https://www.boe.es/gazeta/dias/1813/11/02/pdfs/GMR-1813-67.pdf","Abrir PDF")</f>
        <v>Abrir PDF</v>
      </c>
    </row>
    <row r="366" spans="1:6" ht="31.05" customHeight="1">
      <c r="A366" s="6">
        <v>-31469</v>
      </c>
      <c r="B366" s="2" t="s">
        <v>1452</v>
      </c>
      <c r="C366" s="2" t="s">
        <v>17780</v>
      </c>
      <c r="D366" s="3">
        <v>8</v>
      </c>
      <c r="E366" s="3">
        <v>26</v>
      </c>
      <c r="F366" s="3" t="str">
        <f>HYPERLINK("https://www.boe.es/gazeta/dias/1813/11/02/pdfs/GRE-1813-143.pdf","Abrir PDF")</f>
        <v>Abrir PDF</v>
      </c>
    </row>
    <row r="367" spans="1:6" ht="31.05" customHeight="1">
      <c r="A367" s="6">
        <v>-31467</v>
      </c>
      <c r="B367" s="2" t="s">
        <v>120</v>
      </c>
      <c r="C367" s="2" t="s">
        <v>17781</v>
      </c>
      <c r="D367" s="3">
        <v>8</v>
      </c>
      <c r="E367" s="3">
        <v>46</v>
      </c>
      <c r="F367" s="3" t="str">
        <f>HYPERLINK("https://www.boe.es/gazeta/dias/1813/11/04/pdfs/GMR-1813-68.pdf","Abrir PDF")</f>
        <v>Abrir PDF</v>
      </c>
    </row>
    <row r="368" spans="1:6" ht="31.05" customHeight="1">
      <c r="A368" s="6">
        <v>-31467</v>
      </c>
      <c r="B368" s="2" t="s">
        <v>17782</v>
      </c>
      <c r="C368" s="2" t="s">
        <v>17783</v>
      </c>
      <c r="D368" s="3">
        <v>1</v>
      </c>
      <c r="E368" s="3">
        <v>0</v>
      </c>
      <c r="F368" s="3" t="str">
        <f>HYPERLINK("https://www.boe.es/gazeta/dias/1813/11/04/pdfs/GMR-1813-69E.pdf","Abrir PDF")</f>
        <v>Abrir PDF</v>
      </c>
    </row>
    <row r="369" spans="1:6" ht="31.05" customHeight="1">
      <c r="A369" s="6">
        <v>-31467</v>
      </c>
      <c r="B369" s="2" t="s">
        <v>1464</v>
      </c>
      <c r="C369" s="2" t="s">
        <v>17784</v>
      </c>
      <c r="D369" s="3">
        <v>8</v>
      </c>
      <c r="E369" s="3">
        <v>33</v>
      </c>
      <c r="F369" s="3" t="str">
        <f>HYPERLINK("https://www.boe.es/gazeta/dias/1813/11/04/pdfs/GRE-1813-144.pdf","Abrir PDF")</f>
        <v>Abrir PDF</v>
      </c>
    </row>
    <row r="370" spans="1:6" ht="31.05" customHeight="1">
      <c r="A370" s="6">
        <v>-31465</v>
      </c>
      <c r="B370" s="2" t="s">
        <v>407</v>
      </c>
      <c r="C370" s="2" t="s">
        <v>17785</v>
      </c>
      <c r="D370" s="3">
        <v>8</v>
      </c>
      <c r="E370" s="3">
        <v>65</v>
      </c>
      <c r="F370" s="3" t="str">
        <f>HYPERLINK("https://www.boe.es/gazeta/dias/1813/11/06/pdfs/GMR-1813-70.pdf","Abrir PDF")</f>
        <v>Abrir PDF</v>
      </c>
    </row>
    <row r="371" spans="1:6" ht="31.05" customHeight="1">
      <c r="A371" s="6">
        <v>-31465</v>
      </c>
      <c r="B371" s="2" t="s">
        <v>2930</v>
      </c>
      <c r="C371" s="2" t="s">
        <v>17786</v>
      </c>
      <c r="D371" s="3">
        <v>8</v>
      </c>
      <c r="E371" s="3">
        <v>24</v>
      </c>
      <c r="F371" s="3" t="str">
        <f>HYPERLINK("https://www.boe.es/gazeta/dias/1813/11/06/pdfs/GRE-1813-145.pdf","Abrir PDF")</f>
        <v>Abrir PDF</v>
      </c>
    </row>
    <row r="372" spans="1:6" ht="31.05" customHeight="1">
      <c r="A372" s="6">
        <v>-31462</v>
      </c>
      <c r="B372" s="2" t="s">
        <v>1028</v>
      </c>
      <c r="C372" s="2" t="s">
        <v>17787</v>
      </c>
      <c r="D372" s="3">
        <v>12</v>
      </c>
      <c r="E372" s="3">
        <v>50</v>
      </c>
      <c r="F372" s="3" t="str">
        <f>HYPERLINK("https://www.boe.es/gazeta/dias/1813/11/09/pdfs/GMR-1813-71.pdf","Abrir PDF")</f>
        <v>Abrir PDF</v>
      </c>
    </row>
    <row r="373" spans="1:6" ht="31.05" customHeight="1">
      <c r="A373" s="6">
        <v>-31462</v>
      </c>
      <c r="B373" s="2" t="s">
        <v>542</v>
      </c>
      <c r="C373" s="2" t="s">
        <v>17788</v>
      </c>
      <c r="D373" s="3">
        <v>8</v>
      </c>
      <c r="E373" s="3">
        <v>44</v>
      </c>
      <c r="F373" s="3" t="str">
        <f>HYPERLINK("https://www.boe.es/gazeta/dias/1813/11/09/pdfs/GRE-1813-146.pdf","Abrir PDF")</f>
        <v>Abrir PDF</v>
      </c>
    </row>
    <row r="374" spans="1:6" ht="31.05" customHeight="1">
      <c r="A374" s="6">
        <v>-31460</v>
      </c>
      <c r="B374" s="2" t="s">
        <v>599</v>
      </c>
      <c r="C374" s="2" t="s">
        <v>17789</v>
      </c>
      <c r="D374" s="3">
        <v>12</v>
      </c>
      <c r="E374" s="3">
        <v>37</v>
      </c>
      <c r="F374" s="3" t="str">
        <f>HYPERLINK("https://www.boe.es/gazeta/dias/1813/11/11/pdfs/GMR-1813-72.pdf","Abrir PDF")</f>
        <v>Abrir PDF</v>
      </c>
    </row>
    <row r="375" spans="1:6" ht="31.05" customHeight="1">
      <c r="A375" s="6">
        <v>-31460</v>
      </c>
      <c r="B375" s="2" t="s">
        <v>1468</v>
      </c>
      <c r="C375" s="2" t="s">
        <v>17790</v>
      </c>
      <c r="D375" s="3">
        <v>8</v>
      </c>
      <c r="E375" s="3">
        <v>7</v>
      </c>
      <c r="F375" s="3" t="str">
        <f>HYPERLINK("https://www.boe.es/gazeta/dias/1813/11/11/pdfs/GRE-1813-147.pdf","Abrir PDF")</f>
        <v>Abrir PDF</v>
      </c>
    </row>
    <row r="376" spans="1:6" ht="31.05" customHeight="1">
      <c r="A376" s="6">
        <v>-31460</v>
      </c>
      <c r="B376" s="2" t="s">
        <v>3382</v>
      </c>
      <c r="C376" s="2" t="s">
        <v>17791</v>
      </c>
      <c r="D376" s="3">
        <v>3</v>
      </c>
      <c r="E376" s="3">
        <v>4</v>
      </c>
      <c r="F376" s="3" t="str">
        <f>HYPERLINK("https://www.boe.es/gazeta/dias/1813/11/11/pdfs/GRE-1813-148E.pdf","Abrir PDF")</f>
        <v>Abrir PDF</v>
      </c>
    </row>
    <row r="377" spans="1:6" ht="31.05" customHeight="1">
      <c r="A377" s="6">
        <v>-31458</v>
      </c>
      <c r="B377" s="2" t="s">
        <v>2315</v>
      </c>
      <c r="C377" s="2" t="s">
        <v>17792</v>
      </c>
      <c r="D377" s="3">
        <v>8</v>
      </c>
      <c r="E377" s="3">
        <v>33</v>
      </c>
      <c r="F377" s="3" t="str">
        <f>HYPERLINK("https://www.boe.es/gazeta/dias/1813/11/13/pdfs/GMR-1813-73.pdf","Abrir PDF")</f>
        <v>Abrir PDF</v>
      </c>
    </row>
    <row r="378" spans="1:6" ht="31.05" customHeight="1">
      <c r="A378" s="6">
        <v>-31458</v>
      </c>
      <c r="B378" s="2" t="s">
        <v>1171</v>
      </c>
      <c r="C378" s="2" t="s">
        <v>17793</v>
      </c>
      <c r="D378" s="3">
        <v>8</v>
      </c>
      <c r="E378" s="3">
        <v>36</v>
      </c>
      <c r="F378" s="3" t="str">
        <f>HYPERLINK("https://www.boe.es/gazeta/dias/1813/11/13/pdfs/GRE-1813-149.pdf","Abrir PDF")</f>
        <v>Abrir PDF</v>
      </c>
    </row>
    <row r="379" spans="1:6" ht="31.05" customHeight="1">
      <c r="A379" s="6">
        <v>-31455</v>
      </c>
      <c r="B379" s="2" t="s">
        <v>6184</v>
      </c>
      <c r="C379" s="2" t="s">
        <v>17794</v>
      </c>
      <c r="D379" s="3">
        <v>8</v>
      </c>
      <c r="E379" s="3">
        <v>7</v>
      </c>
      <c r="F379" s="3" t="str">
        <f>HYPERLINK("https://www.boe.es/gazeta/dias/1813/11/16/pdfs/GMR-1813-74.pdf","Abrir PDF")</f>
        <v>Abrir PDF</v>
      </c>
    </row>
    <row r="380" spans="1:6" ht="31.05" customHeight="1">
      <c r="A380" s="6">
        <v>-31455</v>
      </c>
      <c r="B380" s="2" t="s">
        <v>13024</v>
      </c>
      <c r="C380" s="2" t="s">
        <v>17795</v>
      </c>
      <c r="D380" s="3">
        <v>2</v>
      </c>
      <c r="E380" s="3">
        <v>1</v>
      </c>
      <c r="F380" s="3" t="str">
        <f>HYPERLINK("https://www.boe.es/gazeta/dias/1813/11/16/pdfs/GMR-1813-75E.pdf","Abrir PDF")</f>
        <v>Abrir PDF</v>
      </c>
    </row>
    <row r="381" spans="1:6" ht="31.05" customHeight="1">
      <c r="A381" s="6">
        <v>-31455</v>
      </c>
      <c r="B381" s="2" t="s">
        <v>693</v>
      </c>
      <c r="C381" s="2" t="s">
        <v>17796</v>
      </c>
      <c r="D381" s="3">
        <v>8</v>
      </c>
      <c r="E381" s="3">
        <v>29</v>
      </c>
      <c r="F381" s="3" t="str">
        <f>HYPERLINK("https://www.boe.es/gazeta/dias/1813/11/16/pdfs/GRE-1813-150.pdf","Abrir PDF")</f>
        <v>Abrir PDF</v>
      </c>
    </row>
    <row r="382" spans="1:6" ht="31.05" customHeight="1">
      <c r="A382" s="6">
        <v>-31453</v>
      </c>
      <c r="B382" s="2" t="s">
        <v>887</v>
      </c>
      <c r="C382" s="2" t="s">
        <v>17797</v>
      </c>
      <c r="D382" s="3">
        <v>12</v>
      </c>
      <c r="E382" s="3">
        <v>51</v>
      </c>
      <c r="F382" s="3" t="str">
        <f>HYPERLINK("https://www.boe.es/gazeta/dias/1813/11/18/pdfs/GMR-1813-76.pdf","Abrir PDF")</f>
        <v>Abrir PDF</v>
      </c>
    </row>
    <row r="383" spans="1:6" ht="31.05" customHeight="1">
      <c r="A383" s="6">
        <v>-31453</v>
      </c>
      <c r="B383" s="2" t="s">
        <v>695</v>
      </c>
      <c r="C383" s="2" t="s">
        <v>17798</v>
      </c>
      <c r="D383" s="3">
        <v>8</v>
      </c>
      <c r="E383" s="3">
        <v>39</v>
      </c>
      <c r="F383" s="3" t="str">
        <f>HYPERLINK("https://www.boe.es/gazeta/dias/1813/11/18/pdfs/GRE-1813-151.pdf","Abrir PDF")</f>
        <v>Abrir PDF</v>
      </c>
    </row>
    <row r="384" spans="1:6" ht="31.05" customHeight="1">
      <c r="A384" s="6">
        <v>-31451</v>
      </c>
      <c r="B384" s="2" t="s">
        <v>2325</v>
      </c>
      <c r="C384" s="2" t="s">
        <v>17799</v>
      </c>
      <c r="D384" s="3">
        <v>8</v>
      </c>
      <c r="E384" s="3">
        <v>22</v>
      </c>
      <c r="F384" s="3" t="str">
        <f>HYPERLINK("https://www.boe.es/gazeta/dias/1813/11/20/pdfs/GMR-1813-77.pdf","Abrir PDF")</f>
        <v>Abrir PDF</v>
      </c>
    </row>
    <row r="385" spans="1:6" ht="31.05" customHeight="1">
      <c r="A385" s="6">
        <v>-31451</v>
      </c>
      <c r="B385" s="2" t="s">
        <v>127</v>
      </c>
      <c r="C385" s="2" t="s">
        <v>17800</v>
      </c>
      <c r="D385" s="3">
        <v>8</v>
      </c>
      <c r="E385" s="3">
        <v>26</v>
      </c>
      <c r="F385" s="3" t="str">
        <f>HYPERLINK("https://www.boe.es/gazeta/dias/1813/11/20/pdfs/GRE-1813-152.pdf","Abrir PDF")</f>
        <v>Abrir PDF</v>
      </c>
    </row>
    <row r="386" spans="1:6" ht="31.05" customHeight="1">
      <c r="A386" s="6">
        <v>-31448</v>
      </c>
      <c r="B386" s="2" t="s">
        <v>325</v>
      </c>
      <c r="C386" s="2" t="s">
        <v>17801</v>
      </c>
      <c r="D386" s="3">
        <v>12</v>
      </c>
      <c r="E386" s="3">
        <v>55</v>
      </c>
      <c r="F386" s="3" t="str">
        <f>HYPERLINK("https://www.boe.es/gazeta/dias/1813/11/23/pdfs/GMR-1813-78.pdf","Abrir PDF")</f>
        <v>Abrir PDF</v>
      </c>
    </row>
    <row r="387" spans="1:6" ht="31.05" customHeight="1">
      <c r="A387" s="6">
        <v>-31448</v>
      </c>
      <c r="B387" s="2" t="s">
        <v>57</v>
      </c>
      <c r="C387" s="2" t="s">
        <v>17802</v>
      </c>
      <c r="D387" s="3">
        <v>8</v>
      </c>
      <c r="E387" s="3">
        <v>41</v>
      </c>
      <c r="F387" s="3" t="str">
        <f>HYPERLINK("https://www.boe.es/gazeta/dias/1813/11/23/pdfs/GRE-1813-153.pdf","Abrir PDF")</f>
        <v>Abrir PDF</v>
      </c>
    </row>
    <row r="388" spans="1:6" ht="31.05" customHeight="1">
      <c r="A388" s="6">
        <v>-31446</v>
      </c>
      <c r="B388" s="2" t="s">
        <v>103</v>
      </c>
      <c r="C388" s="2" t="s">
        <v>17803</v>
      </c>
      <c r="D388" s="3">
        <v>8</v>
      </c>
      <c r="E388" s="3">
        <v>18</v>
      </c>
      <c r="F388" s="3" t="str">
        <f>HYPERLINK("https://www.boe.es/gazeta/dias/1813/11/25/pdfs/GMR-1813-79.pdf","Abrir PDF")</f>
        <v>Abrir PDF</v>
      </c>
    </row>
    <row r="389" spans="1:6" ht="31.05" customHeight="1">
      <c r="A389" s="6">
        <v>-31446</v>
      </c>
      <c r="B389" s="2" t="s">
        <v>1078</v>
      </c>
      <c r="C389" s="2" t="s">
        <v>17804</v>
      </c>
      <c r="D389" s="3">
        <v>8</v>
      </c>
      <c r="E389" s="3">
        <v>37</v>
      </c>
      <c r="F389" s="3" t="str">
        <f>HYPERLINK("https://www.boe.es/gazeta/dias/1813/11/25/pdfs/GRE-1813-154.pdf","Abrir PDF")</f>
        <v>Abrir PDF</v>
      </c>
    </row>
    <row r="390" spans="1:6" ht="31.05" customHeight="1">
      <c r="A390" s="6">
        <v>-31446</v>
      </c>
      <c r="B390" s="2" t="s">
        <v>1877</v>
      </c>
      <c r="C390" s="2" t="s">
        <v>17805</v>
      </c>
      <c r="D390" s="3">
        <v>8</v>
      </c>
      <c r="E390" s="3">
        <v>42</v>
      </c>
      <c r="F390" s="3" t="str">
        <f>HYPERLINK("https://www.boe.es/gazeta/dias/1813/11/25/pdfs/GRE-1813-155E.pdf","Abrir PDF")</f>
        <v>Abrir PDF</v>
      </c>
    </row>
    <row r="391" spans="1:6" ht="31.05" customHeight="1">
      <c r="A391" s="6">
        <v>-31445</v>
      </c>
      <c r="B391" s="2" t="s">
        <v>299</v>
      </c>
      <c r="C391" s="2" t="s">
        <v>17806</v>
      </c>
      <c r="D391" s="3">
        <v>7</v>
      </c>
      <c r="E391" s="3">
        <v>30</v>
      </c>
      <c r="F391" s="3" t="str">
        <f>HYPERLINK("https://www.boe.es/gazeta/dias/1813/11/26/pdfs/GRE-1813-156E.pdf","Abrir PDF")</f>
        <v>Abrir PDF</v>
      </c>
    </row>
    <row r="392" spans="1:6" ht="31.05" customHeight="1">
      <c r="A392" s="6">
        <v>-31444</v>
      </c>
      <c r="B392" s="2" t="s">
        <v>389</v>
      </c>
      <c r="C392" s="2" t="s">
        <v>17807</v>
      </c>
      <c r="D392" s="3">
        <v>8</v>
      </c>
      <c r="E392" s="3">
        <v>32</v>
      </c>
      <c r="F392" s="3" t="str">
        <f>HYPERLINK("https://www.boe.es/gazeta/dias/1813/11/27/pdfs/GMR-1813-80.pdf","Abrir PDF")</f>
        <v>Abrir PDF</v>
      </c>
    </row>
    <row r="393" spans="1:6" ht="31.05" customHeight="1">
      <c r="A393" s="6">
        <v>-31444</v>
      </c>
      <c r="B393" s="2" t="s">
        <v>2451</v>
      </c>
      <c r="C393" s="2" t="s">
        <v>17808</v>
      </c>
      <c r="D393" s="3">
        <v>8</v>
      </c>
      <c r="E393" s="3">
        <v>9</v>
      </c>
      <c r="F393" s="3" t="str">
        <f>HYPERLINK("https://www.boe.es/gazeta/dias/1813/11/27/pdfs/GRE-1813-157.pdf","Abrir PDF")</f>
        <v>Abrir PDF</v>
      </c>
    </row>
    <row r="394" spans="1:6" ht="31.05" customHeight="1">
      <c r="A394" s="6">
        <v>-31441</v>
      </c>
      <c r="B394" s="2" t="s">
        <v>1933</v>
      </c>
      <c r="C394" s="2" t="s">
        <v>17809</v>
      </c>
      <c r="D394" s="3">
        <v>8</v>
      </c>
      <c r="E394" s="3">
        <v>25</v>
      </c>
      <c r="F394" s="3" t="str">
        <f>HYPERLINK("https://www.boe.es/gazeta/dias/1813/11/30/pdfs/GMR-1813-81.pdf","Abrir PDF")</f>
        <v>Abrir PDF</v>
      </c>
    </row>
    <row r="395" spans="1:6" ht="31.05" customHeight="1">
      <c r="A395" s="6">
        <v>-31441</v>
      </c>
      <c r="B395" s="2" t="s">
        <v>1952</v>
      </c>
      <c r="C395" s="2" t="s">
        <v>17810</v>
      </c>
      <c r="D395" s="3">
        <v>8</v>
      </c>
      <c r="E395" s="3">
        <v>14</v>
      </c>
      <c r="F395" s="3" t="str">
        <f>HYPERLINK("https://www.boe.es/gazeta/dias/1813/11/30/pdfs/GRE-1813-158.pdf","Abrir PDF")</f>
        <v>Abrir PDF</v>
      </c>
    </row>
    <row r="396" spans="1:6" ht="31.05" customHeight="1">
      <c r="A396" s="6">
        <v>-31439</v>
      </c>
      <c r="B396" s="2" t="s">
        <v>1298</v>
      </c>
      <c r="C396" s="2" t="s">
        <v>17811</v>
      </c>
      <c r="D396" s="3">
        <v>8</v>
      </c>
      <c r="E396" s="3">
        <v>21</v>
      </c>
      <c r="F396" s="3" t="str">
        <f>HYPERLINK("https://www.boe.es/gazeta/dias/1813/12/02/pdfs/GMR-1813-82.pdf","Abrir PDF")</f>
        <v>Abrir PDF</v>
      </c>
    </row>
    <row r="397" spans="1:6" ht="31.05" customHeight="1">
      <c r="A397" s="6">
        <v>-31439</v>
      </c>
      <c r="B397" s="2" t="s">
        <v>3821</v>
      </c>
      <c r="C397" s="2" t="s">
        <v>17812</v>
      </c>
      <c r="D397" s="3">
        <v>8</v>
      </c>
      <c r="E397" s="3">
        <v>13</v>
      </c>
      <c r="F397" s="3" t="str">
        <f>HYPERLINK("https://www.boe.es/gazeta/dias/1813/12/02/pdfs/GRE-1813-159.pdf","Abrir PDF")</f>
        <v>Abrir PDF</v>
      </c>
    </row>
    <row r="398" spans="1:6" ht="31.05" customHeight="1">
      <c r="A398" s="6">
        <v>-31437</v>
      </c>
      <c r="B398" s="2" t="s">
        <v>680</v>
      </c>
      <c r="C398" s="2" t="s">
        <v>17813</v>
      </c>
      <c r="D398" s="3">
        <v>8</v>
      </c>
      <c r="E398" s="3">
        <v>23</v>
      </c>
      <c r="F398" s="3" t="str">
        <f>HYPERLINK("https://www.boe.es/gazeta/dias/1813/12/04/pdfs/GMR-1813-83.pdf","Abrir PDF")</f>
        <v>Abrir PDF</v>
      </c>
    </row>
    <row r="399" spans="1:6" ht="31.05" customHeight="1">
      <c r="A399" s="6">
        <v>-31437</v>
      </c>
      <c r="B399" s="2" t="s">
        <v>217</v>
      </c>
      <c r="C399" s="2" t="s">
        <v>17814</v>
      </c>
      <c r="D399" s="3">
        <v>8</v>
      </c>
      <c r="E399" s="3">
        <v>30</v>
      </c>
      <c r="F399" s="3" t="str">
        <f>HYPERLINK("https://www.boe.es/gazeta/dias/1813/12/04/pdfs/GRE-1813-160.pdf","Abrir PDF")</f>
        <v>Abrir PDF</v>
      </c>
    </row>
    <row r="400" spans="1:6" ht="31.05" customHeight="1">
      <c r="A400" s="6">
        <v>-31434</v>
      </c>
      <c r="B400" s="2" t="s">
        <v>948</v>
      </c>
      <c r="C400" s="2" t="s">
        <v>17815</v>
      </c>
      <c r="D400" s="3">
        <v>8</v>
      </c>
      <c r="E400" s="3">
        <v>22</v>
      </c>
      <c r="F400" s="3" t="str">
        <f>HYPERLINK("https://www.boe.es/gazeta/dias/1813/12/07/pdfs/GMR-1813-84.pdf","Abrir PDF")</f>
        <v>Abrir PDF</v>
      </c>
    </row>
    <row r="401" spans="1:6" ht="31.05" customHeight="1">
      <c r="A401" s="6">
        <v>-31434</v>
      </c>
      <c r="B401" s="2" t="s">
        <v>18</v>
      </c>
      <c r="C401" s="2" t="s">
        <v>17816</v>
      </c>
      <c r="D401" s="3">
        <v>8</v>
      </c>
      <c r="E401" s="3">
        <v>23</v>
      </c>
      <c r="F401" s="3" t="str">
        <f>HYPERLINK("https://www.boe.es/gazeta/dias/1813/12/07/pdfs/GRE-1813-161.pdf","Abrir PDF")</f>
        <v>Abrir PDF</v>
      </c>
    </row>
    <row r="402" spans="1:6" ht="31.05" customHeight="1">
      <c r="A402" s="6">
        <v>-31432</v>
      </c>
      <c r="B402" s="2" t="s">
        <v>702</v>
      </c>
      <c r="C402" s="2" t="s">
        <v>17817</v>
      </c>
      <c r="D402" s="3">
        <v>8</v>
      </c>
      <c r="E402" s="3">
        <v>46</v>
      </c>
      <c r="F402" s="3" t="str">
        <f>HYPERLINK("https://www.boe.es/gazeta/dias/1813/12/09/pdfs/GMR-1813-85.pdf","Abrir PDF")</f>
        <v>Abrir PDF</v>
      </c>
    </row>
    <row r="403" spans="1:6" ht="31.05" customHeight="1">
      <c r="A403" s="6">
        <v>-31432</v>
      </c>
      <c r="B403" s="2" t="s">
        <v>803</v>
      </c>
      <c r="C403" s="2" t="s">
        <v>17818</v>
      </c>
      <c r="D403" s="3">
        <v>8</v>
      </c>
      <c r="E403" s="3">
        <v>22</v>
      </c>
      <c r="F403" s="3" t="str">
        <f>HYPERLINK("https://www.boe.es/gazeta/dias/1813/12/09/pdfs/GRE-1813-162.pdf","Abrir PDF")</f>
        <v>Abrir PDF</v>
      </c>
    </row>
    <row r="404" spans="1:6" ht="31.05" customHeight="1">
      <c r="A404" s="6">
        <v>-31430</v>
      </c>
      <c r="B404" s="2" t="s">
        <v>1161</v>
      </c>
      <c r="C404" s="2" t="s">
        <v>17819</v>
      </c>
      <c r="D404" s="3">
        <v>8</v>
      </c>
      <c r="E404" s="3">
        <v>38</v>
      </c>
      <c r="F404" s="3" t="str">
        <f>HYPERLINK("https://www.boe.es/gazeta/dias/1813/12/11/pdfs/GMR-1813-86.pdf","Abrir PDF")</f>
        <v>Abrir PDF</v>
      </c>
    </row>
    <row r="405" spans="1:6" ht="31.05" customHeight="1">
      <c r="A405" s="6">
        <v>-31430</v>
      </c>
      <c r="B405" s="2" t="s">
        <v>1731</v>
      </c>
      <c r="C405" s="2" t="s">
        <v>17820</v>
      </c>
      <c r="D405" s="3">
        <v>8</v>
      </c>
      <c r="E405" s="3">
        <v>20</v>
      </c>
      <c r="F405" s="3" t="str">
        <f>HYPERLINK("https://www.boe.es/gazeta/dias/1813/12/11/pdfs/GRE-1813-163.pdf","Abrir PDF")</f>
        <v>Abrir PDF</v>
      </c>
    </row>
    <row r="406" spans="1:6" ht="31.05" customHeight="1">
      <c r="A406" s="6">
        <v>-31427</v>
      </c>
      <c r="B406" s="2" t="s">
        <v>489</v>
      </c>
      <c r="C406" s="2" t="s">
        <v>17821</v>
      </c>
      <c r="D406" s="3">
        <v>12</v>
      </c>
      <c r="E406" s="3">
        <v>46</v>
      </c>
      <c r="F406" s="3" t="str">
        <f>HYPERLINK("https://www.boe.es/gazeta/dias/1813/12/14/pdfs/GMR-1813-87.pdf","Abrir PDF")</f>
        <v>Abrir PDF</v>
      </c>
    </row>
    <row r="407" spans="1:6" ht="31.05" customHeight="1">
      <c r="A407" s="6">
        <v>-31427</v>
      </c>
      <c r="B407" s="2" t="s">
        <v>1822</v>
      </c>
      <c r="C407" s="2" t="s">
        <v>17822</v>
      </c>
      <c r="D407" s="3">
        <v>8</v>
      </c>
      <c r="E407" s="3">
        <v>18</v>
      </c>
      <c r="F407" s="3" t="str">
        <f>HYPERLINK("https://www.boe.es/gazeta/dias/1813/12/14/pdfs/GRE-1813-164.pdf","Abrir PDF")</f>
        <v>Abrir PDF</v>
      </c>
    </row>
    <row r="408" spans="1:6" ht="31.05" customHeight="1">
      <c r="A408" s="6">
        <v>-31425</v>
      </c>
      <c r="B408" s="2" t="s">
        <v>1955</v>
      </c>
      <c r="C408" s="2" t="s">
        <v>17823</v>
      </c>
      <c r="D408" s="3">
        <v>12</v>
      </c>
      <c r="E408" s="3">
        <v>29</v>
      </c>
      <c r="F408" s="3" t="str">
        <f>HYPERLINK("https://www.boe.es/gazeta/dias/1813/12/16/pdfs/GMR-1813-88.pdf","Abrir PDF")</f>
        <v>Abrir PDF</v>
      </c>
    </row>
    <row r="409" spans="1:6" ht="31.05" customHeight="1">
      <c r="A409" s="6">
        <v>-31425</v>
      </c>
      <c r="B409" s="2" t="s">
        <v>1669</v>
      </c>
      <c r="C409" s="2" t="s">
        <v>17824</v>
      </c>
      <c r="D409" s="3">
        <v>8</v>
      </c>
      <c r="E409" s="3">
        <v>22</v>
      </c>
      <c r="F409" s="3" t="str">
        <f>HYPERLINK("https://www.boe.es/gazeta/dias/1813/12/16/pdfs/GRE-1813-165.pdf","Abrir PDF")</f>
        <v>Abrir PDF</v>
      </c>
    </row>
    <row r="410" spans="1:6" ht="31.05" customHeight="1">
      <c r="A410" s="6">
        <v>-31423</v>
      </c>
      <c r="B410" s="2" t="s">
        <v>2465</v>
      </c>
      <c r="C410" s="2" t="s">
        <v>17825</v>
      </c>
      <c r="D410" s="3">
        <v>8</v>
      </c>
      <c r="E410" s="3">
        <v>14</v>
      </c>
      <c r="F410" s="3" t="str">
        <f>HYPERLINK("https://www.boe.es/gazeta/dias/1813/12/18/pdfs/GMR-1813-89.pdf","Abrir PDF")</f>
        <v>Abrir PDF</v>
      </c>
    </row>
    <row r="411" spans="1:6" ht="31.05" customHeight="1">
      <c r="A411" s="6">
        <v>-31423</v>
      </c>
      <c r="B411" s="2" t="s">
        <v>340</v>
      </c>
      <c r="C411" s="2" t="s">
        <v>17826</v>
      </c>
      <c r="D411" s="3">
        <v>8</v>
      </c>
      <c r="E411" s="3">
        <v>11</v>
      </c>
      <c r="F411" s="3" t="str">
        <f>HYPERLINK("https://www.boe.es/gazeta/dias/1813/12/18/pdfs/GRE-1813-166.pdf","Abrir PDF")</f>
        <v>Abrir PDF</v>
      </c>
    </row>
    <row r="412" spans="1:6" ht="31.05" customHeight="1">
      <c r="A412" s="6">
        <v>-31420</v>
      </c>
      <c r="B412" s="2" t="s">
        <v>145</v>
      </c>
      <c r="C412" s="2" t="s">
        <v>17827</v>
      </c>
      <c r="D412" s="3">
        <v>12</v>
      </c>
      <c r="E412" s="3">
        <v>35</v>
      </c>
      <c r="F412" s="3" t="str">
        <f>HYPERLINK("https://www.boe.es/gazeta/dias/1813/12/21/pdfs/GMR-1813-90.pdf","Abrir PDF")</f>
        <v>Abrir PDF</v>
      </c>
    </row>
    <row r="413" spans="1:6" ht="31.05" customHeight="1">
      <c r="A413" s="6">
        <v>-31420</v>
      </c>
      <c r="B413" s="2" t="s">
        <v>210</v>
      </c>
      <c r="C413" s="2" t="s">
        <v>17828</v>
      </c>
      <c r="D413" s="3">
        <v>8</v>
      </c>
      <c r="E413" s="3">
        <v>11</v>
      </c>
      <c r="F413" s="3" t="str">
        <f>HYPERLINK("https://www.boe.es/gazeta/dias/1813/12/21/pdfs/GRE-1813-167.pdf","Abrir PDF")</f>
        <v>Abrir PDF</v>
      </c>
    </row>
    <row r="414" spans="1:6" ht="31.05" customHeight="1">
      <c r="A414" s="6">
        <v>-31418</v>
      </c>
      <c r="B414" s="2" t="s">
        <v>1529</v>
      </c>
      <c r="C414" s="2" t="s">
        <v>17829</v>
      </c>
      <c r="D414" s="3">
        <v>8</v>
      </c>
      <c r="E414" s="3">
        <v>22</v>
      </c>
      <c r="F414" s="3" t="str">
        <f>HYPERLINK("https://www.boe.es/gazeta/dias/1813/12/23/pdfs/GMR-1813-91.pdf","Abrir PDF")</f>
        <v>Abrir PDF</v>
      </c>
    </row>
    <row r="415" spans="1:6" ht="31.05" customHeight="1">
      <c r="A415" s="6">
        <v>-31418</v>
      </c>
      <c r="B415" s="2" t="s">
        <v>147</v>
      </c>
      <c r="C415" s="2" t="s">
        <v>17830</v>
      </c>
      <c r="D415" s="3">
        <v>8</v>
      </c>
      <c r="E415" s="3">
        <v>25</v>
      </c>
      <c r="F415" s="3" t="str">
        <f>HYPERLINK("https://www.boe.es/gazeta/dias/1813/12/23/pdfs/GRE-1813-168.pdf","Abrir PDF")</f>
        <v>Abrir PDF</v>
      </c>
    </row>
    <row r="416" spans="1:6" ht="31.05" customHeight="1">
      <c r="A416" s="6">
        <v>-31416</v>
      </c>
      <c r="B416" s="2" t="s">
        <v>278</v>
      </c>
      <c r="C416" s="2" t="s">
        <v>17831</v>
      </c>
      <c r="D416" s="3">
        <v>12</v>
      </c>
      <c r="E416" s="3">
        <v>34</v>
      </c>
      <c r="F416" s="3" t="str">
        <f>HYPERLINK("https://www.boe.es/gazeta/dias/1813/12/25/pdfs/GMR-1813-92.pdf","Abrir PDF")</f>
        <v>Abrir PDF</v>
      </c>
    </row>
    <row r="417" spans="1:6" ht="31.05" customHeight="1">
      <c r="A417" s="6">
        <v>-31416</v>
      </c>
      <c r="B417" s="2" t="s">
        <v>110</v>
      </c>
      <c r="C417" s="2" t="s">
        <v>17832</v>
      </c>
      <c r="D417" s="3">
        <v>8</v>
      </c>
      <c r="E417" s="3">
        <v>28</v>
      </c>
      <c r="F417" s="3" t="str">
        <f>HYPERLINK("https://www.boe.es/gazeta/dias/1813/12/25/pdfs/GRE-1813-169.pdf","Abrir PDF")</f>
        <v>Abrir PDF</v>
      </c>
    </row>
    <row r="418" spans="1:6" ht="31.05" customHeight="1">
      <c r="A418" s="6">
        <v>-31413</v>
      </c>
      <c r="B418" s="2" t="s">
        <v>149</v>
      </c>
      <c r="C418" s="2" t="s">
        <v>17833</v>
      </c>
      <c r="D418" s="3">
        <v>8</v>
      </c>
      <c r="E418" s="3">
        <v>28</v>
      </c>
      <c r="F418" s="3" t="str">
        <f>HYPERLINK("https://www.boe.es/gazeta/dias/1813/12/28/pdfs/GMR-1813-93.pdf","Abrir PDF")</f>
        <v>Abrir PDF</v>
      </c>
    </row>
    <row r="419" spans="1:6" ht="31.05" customHeight="1">
      <c r="A419" s="6">
        <v>-31413</v>
      </c>
      <c r="B419" s="2" t="s">
        <v>152</v>
      </c>
      <c r="C419" s="2" t="s">
        <v>17834</v>
      </c>
      <c r="D419" s="3">
        <v>8</v>
      </c>
      <c r="E419" s="3">
        <v>22</v>
      </c>
      <c r="F419" s="3" t="str">
        <f>HYPERLINK("https://www.boe.es/gazeta/dias/1813/12/28/pdfs/GRE-1813-170.pdf","Abrir PDF")</f>
        <v>Abrir PDF</v>
      </c>
    </row>
    <row r="420" spans="1:6" ht="31.05" customHeight="1">
      <c r="A420" s="6">
        <v>-31411</v>
      </c>
      <c r="B420" s="2" t="s">
        <v>2306</v>
      </c>
      <c r="C420" s="2" t="s">
        <v>17835</v>
      </c>
      <c r="D420" s="3">
        <v>8</v>
      </c>
      <c r="E420" s="3">
        <v>14</v>
      </c>
      <c r="F420" s="3" t="str">
        <f>HYPERLINK("https://www.boe.es/gazeta/dias/1813/12/30/pdfs/GMR-1813-94.pdf","Abrir PDF")</f>
        <v>Abrir PDF</v>
      </c>
    </row>
    <row r="421" spans="1:6" ht="31.05" customHeight="1">
      <c r="A421" s="6">
        <v>-31411</v>
      </c>
      <c r="B421" s="2" t="s">
        <v>3702</v>
      </c>
      <c r="C421" s="2" t="s">
        <v>17836</v>
      </c>
      <c r="D421" s="3">
        <v>8</v>
      </c>
      <c r="E421" s="3">
        <v>16</v>
      </c>
      <c r="F421" s="3" t="str">
        <f>HYPERLINK("https://www.boe.es/gazeta/dias/1813/12/30/pdfs/GRE-1813-171.pdf","Abrir PDF")</f>
        <v>Abrir PDF</v>
      </c>
    </row>
    <row r="422" spans="1:6" ht="31.05" customHeight="1">
      <c r="A422" s="4"/>
      <c r="B422" s="2"/>
      <c r="C422" s="2"/>
      <c r="D422" s="3"/>
      <c r="E422" s="3"/>
      <c r="F422" s="3"/>
    </row>
    <row r="423" spans="1:6" ht="31.05" customHeight="1">
      <c r="A423" s="4"/>
      <c r="B423" s="2"/>
      <c r="C423" s="2"/>
      <c r="D423" s="3"/>
      <c r="E423" s="3"/>
      <c r="F423" s="3"/>
    </row>
    <row r="424" spans="1:6" ht="24" customHeight="1">
      <c r="A424" s="13" t="s">
        <v>17837</v>
      </c>
      <c r="B424" s="14"/>
      <c r="C424" s="14"/>
      <c r="D424" s="15"/>
      <c r="E424" s="15"/>
      <c r="F424" s="16"/>
    </row>
    <row r="425" spans="1:6" ht="42" customHeight="1">
      <c r="A425" s="7" t="s">
        <v>17838</v>
      </c>
      <c r="B425" s="17" t="s">
        <v>17839</v>
      </c>
      <c r="C425" s="17"/>
      <c r="D425" s="18"/>
      <c r="E425" s="18"/>
      <c r="F425" s="18"/>
    </row>
    <row r="426" spans="1:6" ht="42" customHeight="1">
      <c r="A426" s="7" t="s">
        <v>17840</v>
      </c>
      <c r="B426" s="17" t="s">
        <v>17841</v>
      </c>
      <c r="C426" s="17"/>
      <c r="D426" s="18"/>
      <c r="E426" s="18"/>
      <c r="F426" s="18"/>
    </row>
    <row r="427" spans="1:6" ht="42" customHeight="1">
      <c r="A427" s="7" t="s">
        <v>17842</v>
      </c>
      <c r="B427" s="17" t="s">
        <v>17843</v>
      </c>
      <c r="C427" s="17"/>
      <c r="D427" s="18"/>
      <c r="E427" s="18"/>
      <c r="F427" s="18"/>
    </row>
    <row r="428" spans="1:6" ht="42" customHeight="1">
      <c r="A428" s="7" t="s">
        <v>17844</v>
      </c>
      <c r="B428" s="17" t="s">
        <v>17845</v>
      </c>
      <c r="C428" s="17"/>
      <c r="D428" s="18"/>
      <c r="E428" s="18"/>
      <c r="F428" s="18"/>
    </row>
    <row r="429" spans="1:6" ht="42" customHeight="1">
      <c r="A429" s="7" t="s">
        <v>17846</v>
      </c>
      <c r="B429" s="17" t="s">
        <v>17847</v>
      </c>
      <c r="C429" s="17"/>
      <c r="D429" s="18"/>
      <c r="E429" s="18"/>
      <c r="F429" s="18"/>
    </row>
    <row r="430" spans="1:6" ht="42" customHeight="1">
      <c r="A430" s="7" t="s">
        <v>10</v>
      </c>
      <c r="B430" s="17" t="s">
        <v>17848</v>
      </c>
      <c r="C430" s="17"/>
      <c r="D430" s="18"/>
      <c r="E430" s="18"/>
      <c r="F430" s="18"/>
    </row>
    <row r="431" spans="1:6" ht="42" customHeight="1">
      <c r="A431" s="7" t="s">
        <v>17849</v>
      </c>
      <c r="B431" s="17" t="s">
        <v>17850</v>
      </c>
      <c r="C431" s="17"/>
      <c r="D431" s="18"/>
      <c r="E431" s="18"/>
      <c r="F431" s="18"/>
    </row>
    <row r="432" spans="1:6" ht="42" customHeight="1">
      <c r="A432" s="7" t="s">
        <v>17851</v>
      </c>
      <c r="B432" s="17" t="s">
        <v>17852</v>
      </c>
      <c r="C432" s="17"/>
      <c r="D432" s="18"/>
      <c r="E432" s="18"/>
      <c r="F432" s="18"/>
    </row>
    <row r="433" spans="1:6" ht="42" customHeight="1">
      <c r="A433" s="7" t="s">
        <v>17853</v>
      </c>
      <c r="B433" s="17" t="s">
        <v>17854</v>
      </c>
      <c r="C433" s="17"/>
      <c r="D433" s="18"/>
      <c r="E433" s="18"/>
      <c r="F433" s="18"/>
    </row>
    <row r="434" spans="1:6" ht="31.05" customHeight="1"/>
    <row r="435" spans="1:6" ht="31.05" customHeight="1"/>
    <row r="436" spans="1:6" ht="31.05" customHeight="1"/>
    <row r="437" spans="1:6" ht="31.05" customHeight="1"/>
    <row r="438" spans="1:6" ht="31.05" customHeight="1"/>
    <row r="439" spans="1:6" ht="31.05" customHeight="1"/>
    <row r="440" spans="1:6" ht="31.05" customHeight="1"/>
    <row r="441" spans="1:6" ht="31.05" customHeight="1"/>
    <row r="442" spans="1:6" ht="31.05" customHeight="1"/>
    <row r="443" spans="1:6" ht="31.05" customHeight="1"/>
    <row r="444" spans="1:6" ht="31.05" customHeight="1"/>
    <row r="445" spans="1:6" ht="31.05" customHeight="1"/>
    <row r="446" spans="1:6" ht="31.05" customHeight="1"/>
    <row r="447" spans="1:6" ht="31.05" customHeight="1"/>
    <row r="448" spans="1:6"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432:F432"/>
    <mergeCell ref="B433:F433"/>
    <mergeCell ref="B427:F427"/>
    <mergeCell ref="B428:F428"/>
    <mergeCell ref="B429:F429"/>
    <mergeCell ref="B430:F430"/>
    <mergeCell ref="B431:F431"/>
    <mergeCell ref="A1:F1"/>
    <mergeCell ref="A2:F2"/>
    <mergeCell ref="A424:F424"/>
    <mergeCell ref="B425:F425"/>
    <mergeCell ref="B426:F426"/>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2026-09-28T09:30:09Z</dcterms:created>
  <dcterms:modified xsi:type="dcterms:W3CDTF">2026-09-28T09:30:09Z</dcterms:modified>
</cp:coreProperties>
</file>